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C:\Users\oikop\Desktop\"/>
    </mc:Choice>
  </mc:AlternateContent>
  <xr:revisionPtr revIDLastSave="0" documentId="13_ncr:1_{F6EAAE25-43A4-4EB7-87EC-B94C6EDD1769}" xr6:coauthVersionLast="47" xr6:coauthVersionMax="47" xr10:uidLastSave="{00000000-0000-0000-0000-000000000000}"/>
  <bookViews>
    <workbookView xWindow="-108" yWindow="-108" windowWidth="23256" windowHeight="12456" firstSheet="2" activeTab="3" xr2:uid="{3CAA3B76-3378-4BBD-BA8D-306064B4E00E}"/>
  </bookViews>
  <sheets>
    <sheet name="SETTINGS" sheetId="3" r:id="rId1"/>
    <sheet name="BUDGET PLANNING" sheetId="1" r:id="rId2"/>
    <sheet name="BUDGET TRACKING" sheetId="4" r:id="rId3"/>
    <sheet name="BUDGET DASHBOARD" sheetId="8" r:id="rId4"/>
    <sheet name="CALCULATIONS" sheetId="7" r:id="rId5"/>
    <sheet name="DROPDOWN DATA" sheetId="9" r:id="rId6"/>
  </sheets>
  <definedNames>
    <definedName name="budget" localSheetId="3">'BUDGET DASHBOARD'!$L1</definedName>
    <definedName name="budget_range" localSheetId="3">'BUDGET DASHBOARD'!$Q1</definedName>
    <definedName name="budget_rank" localSheetId="3">'BUDGET DASHBOARD'!$R1</definedName>
    <definedName name="BudgetTracking" localSheetId="4">#REF!</definedName>
    <definedName name="BudgetTracking">Tracking[]</definedName>
    <definedName name="cc_budget" localSheetId="4">CALCULATIONS!$K1</definedName>
    <definedName name="cc_delta" localSheetId="4">CALCULATIONS!$L1</definedName>
    <definedName name="cc_in_focus" localSheetId="4">CALCULATIONS!$G1</definedName>
    <definedName name="cc_month_number" localSheetId="4">CALCULATIONS!$F1</definedName>
    <definedName name="cc_show_remaining_budget" localSheetId="4">CALCULATIONS!$I1</definedName>
    <definedName name="cc_show_type" localSheetId="4">CALCULATIONS!$H1</definedName>
    <definedName name="cc_tracked" localSheetId="4">CALCULATIONS!$J1</definedName>
    <definedName name="cc_type" localSheetId="4">CALCULATIONS!$E1</definedName>
    <definedName name="combo_rank" localSheetId="3">'BUDGET DASHBOARD'!$S1</definedName>
    <definedName name="combo_rank_norm" localSheetId="3">'BUDGET DASHBOARD'!$U1</definedName>
    <definedName name="combo_rank_norm_run_range" localSheetId="3">'BUDGET DASHBOARD'!$V1</definedName>
    <definedName name="combo_rank_range" localSheetId="3">'BUDGET DASHBOARD'!$T1</definedName>
    <definedName name="combo_rank_unique" localSheetId="3">'BUDGET DASHBOARD'!$W1</definedName>
    <definedName name="current_date">TODAY()</definedName>
    <definedName name="expenses_header_row" localSheetId="4">ROW(Expenses[[#Headers],[Expenses]])</definedName>
    <definedName name="expenses_header_row">ROW(Expenses[[#Headers],[Expenses]])</definedName>
    <definedName name="expenses_max_row" localSheetId="4">MAX(ROW(Expenses[]))</definedName>
    <definedName name="expenses_max_row">MAX(ROW(Expenses[]))</definedName>
    <definedName name="expenses_min_row" localSheetId="4">MIN(ROW(Expenses[]))</definedName>
    <definedName name="expenses_min_row">MIN(ROW(Expenses[]))</definedName>
    <definedName name="expenses_total_row">ROW('BUDGET PLANNING'!$C$37)</definedName>
    <definedName name="header_row_id" localSheetId="3">'BUDGET DASHBOARD'!$D1</definedName>
    <definedName name="income_header_row" localSheetId="4">ROW(Income[[#Headers],[Income]])</definedName>
    <definedName name="income_header_row">ROW(Income[[#Headers],[Income]])</definedName>
    <definedName name="income_max_row" localSheetId="4">MAX(ROW(Income[]))</definedName>
    <definedName name="income_max_row">MAX(ROW(Income[]))</definedName>
    <definedName name="income_min_row" localSheetId="4">MIN(ROW(Income[]))</definedName>
    <definedName name="income_min_row">MIN(ROW(Income[]))</definedName>
    <definedName name="income_total_row">ROW('BUDGET PLANNING'!$C$21)</definedName>
    <definedName name="is_category" localSheetId="3">'BUDGET DASHBOARD'!$F1</definedName>
    <definedName name="is_empty" localSheetId="3">'BUDGET DASHBOARD'!$H1</definedName>
    <definedName name="is_header" localSheetId="3">'BUDGET DASHBOARD'!$E1</definedName>
    <definedName name="is_total" localSheetId="3">'BUDGET DASHBOARD'!$G1</definedName>
    <definedName name="item">'BUDGET DASHBOARD'!$J1</definedName>
    <definedName name="out_budget" localSheetId="3">'BUDGET DASHBOARD'!$AA1</definedName>
    <definedName name="out_percentage_completed" localSheetId="3">'BUDGET DASHBOARD'!$AB1</definedName>
    <definedName name="out_tracked" localSheetId="3">'BUDGET DASHBOARD'!$Z1</definedName>
    <definedName name="row_id" localSheetId="3">'BUDGET DASHBOARD'!$C1</definedName>
    <definedName name="savings_header_row" localSheetId="4">ROW(Savings[[#Headers],[Savings]])</definedName>
    <definedName name="savings_header_row">ROW(Savings[[#Headers],[Savings]])</definedName>
    <definedName name="savings_max_row" localSheetId="4">MAX(ROW(Savings[]))</definedName>
    <definedName name="savings_max_row">MAX(ROW(Savings[]))</definedName>
    <definedName name="savings_min_row" localSheetId="4">MIN(ROW(Savings[]))</definedName>
    <definedName name="savings_min_row">MIN(ROW(Savings[]))</definedName>
    <definedName name="savings_rate_type">SETTINGS!$E$22</definedName>
    <definedName name="savings_total_row">ROW('BUDGET PLANNING'!$C$51)</definedName>
    <definedName name="selected_period">CALCULATIONS!$D$20</definedName>
    <definedName name="selected_period_display">CALCULATIONS!$D$21</definedName>
    <definedName name="selected_year">CALCULATIONS!$D$19</definedName>
    <definedName name="shift_late_income_starting_date">SETTINGS!$E$18</definedName>
    <definedName name="shift_late_income_status">SETTINGS!$E$16</definedName>
    <definedName name="sort_max_row" localSheetId="3">'BUDGET DASHBOARD'!$N1</definedName>
    <definedName name="sort_min_row" localSheetId="3">'BUDGET DASHBOARD'!$M1</definedName>
    <definedName name="starting_year">SETTINGS!$E$8</definedName>
    <definedName name="tracked" localSheetId="3">'BUDGET DASHBOARD'!$K1</definedName>
    <definedName name="tracked_range" localSheetId="3">'BUDGET DASHBOARD'!$O1</definedName>
    <definedName name="tracked_rank" localSheetId="3">'BUDGET DASHBOARD'!$P1</definedName>
    <definedName name="type" localSheetId="3">'BUDGET DASHBOARD'!$I1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7" l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542" i="4" a="1"/>
  <c r="H542" i="4" s="1"/>
  <c r="H543" i="4" a="1"/>
  <c r="H543" i="4" s="1"/>
  <c r="H544" i="4" a="1"/>
  <c r="H544" i="4" s="1"/>
  <c r="H545" i="4" a="1"/>
  <c r="H545" i="4" s="1"/>
  <c r="H546" i="4" a="1"/>
  <c r="H546" i="4" s="1"/>
  <c r="H547" i="4" a="1"/>
  <c r="H547" i="4" s="1"/>
  <c r="H548" i="4" a="1"/>
  <c r="H548" i="4" s="1"/>
  <c r="H549" i="4" a="1"/>
  <c r="H549" i="4" s="1"/>
  <c r="H550" i="4" a="1"/>
  <c r="H550" i="4" s="1"/>
  <c r="H551" i="4" a="1"/>
  <c r="H551" i="4" s="1"/>
  <c r="H552" i="4" a="1"/>
  <c r="H552" i="4" s="1"/>
  <c r="H553" i="4" a="1"/>
  <c r="H553" i="4" s="1"/>
  <c r="H554" i="4" a="1"/>
  <c r="H554" i="4" s="1"/>
  <c r="H555" i="4" a="1"/>
  <c r="H555" i="4" s="1"/>
  <c r="H556" i="4" a="1"/>
  <c r="H556" i="4" s="1"/>
  <c r="H557" i="4" a="1"/>
  <c r="H557" i="4" s="1"/>
  <c r="H558" i="4" a="1"/>
  <c r="H558" i="4" s="1"/>
  <c r="H559" i="4" a="1"/>
  <c r="H559" i="4" s="1"/>
  <c r="H560" i="4" a="1"/>
  <c r="H560" i="4" s="1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 s="1"/>
  <c r="H572" i="4" a="1"/>
  <c r="H572" i="4" s="1"/>
  <c r="H573" i="4" a="1"/>
  <c r="H573" i="4" s="1"/>
  <c r="H574" i="4" a="1"/>
  <c r="H574" i="4" s="1"/>
  <c r="H575" i="4" a="1"/>
  <c r="H575" i="4" s="1"/>
  <c r="H576" i="4" a="1"/>
  <c r="H576" i="4" s="1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86" i="4" a="1"/>
  <c r="H586" i="4" s="1"/>
  <c r="H587" i="4" a="1"/>
  <c r="H587" i="4" s="1"/>
  <c r="H588" i="4" a="1"/>
  <c r="H588" i="4" s="1"/>
  <c r="H589" i="4" a="1"/>
  <c r="H589" i="4" s="1"/>
  <c r="H590" i="4" a="1"/>
  <c r="H590" i="4" s="1"/>
  <c r="H591" i="4" a="1"/>
  <c r="H591" i="4" s="1"/>
  <c r="H592" i="4" a="1"/>
  <c r="H592" i="4" s="1"/>
  <c r="H593" i="4" a="1"/>
  <c r="H593" i="4" s="1"/>
  <c r="H594" i="4" a="1"/>
  <c r="H594" i="4" s="1"/>
  <c r="H595" i="4" a="1"/>
  <c r="H595" i="4" s="1"/>
  <c r="H596" i="4" a="1"/>
  <c r="H596" i="4" s="1"/>
  <c r="H597" i="4" a="1"/>
  <c r="H597" i="4" s="1"/>
  <c r="H598" i="4" a="1"/>
  <c r="H598" i="4" s="1"/>
  <c r="H599" i="4" a="1"/>
  <c r="H599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 s="1"/>
  <c r="H606" i="4" a="1"/>
  <c r="H606" i="4" s="1"/>
  <c r="H607" i="4" a="1"/>
  <c r="H607" i="4" s="1"/>
  <c r="H608" i="4" a="1"/>
  <c r="H608" i="4" s="1"/>
  <c r="H609" i="4" a="1"/>
  <c r="H609" i="4" s="1"/>
  <c r="H610" i="4" a="1"/>
  <c r="H610" i="4" s="1"/>
  <c r="H611" i="4" a="1"/>
  <c r="H611" i="4" s="1"/>
  <c r="H612" i="4" a="1"/>
  <c r="H612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 s="1"/>
  <c r="H620" i="4" a="1"/>
  <c r="H620" i="4" s="1"/>
  <c r="H621" i="4" a="1"/>
  <c r="H621" i="4" s="1"/>
  <c r="H622" i="4" a="1"/>
  <c r="H622" i="4" s="1"/>
  <c r="H623" i="4" a="1"/>
  <c r="H623" i="4" s="1"/>
  <c r="H624" i="4" a="1"/>
  <c r="H624" i="4" s="1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 s="1"/>
  <c r="H636" i="4" a="1"/>
  <c r="H636" i="4" s="1"/>
  <c r="H637" i="4" a="1"/>
  <c r="H637" i="4" s="1"/>
  <c r="H638" i="4" a="1"/>
  <c r="H638" i="4" s="1"/>
  <c r="H639" i="4" a="1"/>
  <c r="H639" i="4" s="1"/>
  <c r="H640" i="4" a="1"/>
  <c r="H640" i="4" s="1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50" i="4" a="1"/>
  <c r="H650" i="4" s="1"/>
  <c r="H651" i="4" a="1"/>
  <c r="H651" i="4" s="1"/>
  <c r="H652" i="4" a="1"/>
  <c r="H652" i="4" s="1"/>
  <c r="H653" i="4" a="1"/>
  <c r="H653" i="4" s="1"/>
  <c r="H654" i="4" a="1"/>
  <c r="H654" i="4" s="1"/>
  <c r="H655" i="4" a="1"/>
  <c r="H655" i="4" s="1"/>
  <c r="H656" i="4" a="1"/>
  <c r="H656" i="4" s="1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 s="1"/>
  <c r="H664" i="4" a="1"/>
  <c r="H664" i="4" s="1"/>
  <c r="H665" i="4" a="1"/>
  <c r="H665" i="4" s="1"/>
  <c r="H666" i="4" a="1"/>
  <c r="H666" i="4" s="1"/>
  <c r="H667" i="4" a="1"/>
  <c r="H667" i="4" s="1"/>
  <c r="H668" i="4" a="1"/>
  <c r="H668" i="4" s="1"/>
  <c r="H669" i="4" a="1"/>
  <c r="H669" i="4" s="1"/>
  <c r="H670" i="4" a="1"/>
  <c r="H670" i="4" s="1"/>
  <c r="H671" i="4" a="1"/>
  <c r="H671" i="4" s="1"/>
  <c r="H672" i="4" a="1"/>
  <c r="H672" i="4" s="1"/>
  <c r="H673" i="4" a="1"/>
  <c r="H673" i="4" s="1"/>
  <c r="H674" i="4" a="1"/>
  <c r="H674" i="4" s="1"/>
  <c r="H675" i="4" a="1"/>
  <c r="H675" i="4" s="1"/>
  <c r="H676" i="4" a="1"/>
  <c r="H676" i="4" s="1"/>
  <c r="H677" i="4" a="1"/>
  <c r="H677" i="4" s="1"/>
  <c r="H678" i="4" a="1"/>
  <c r="H678" i="4" s="1"/>
  <c r="H679" i="4" a="1"/>
  <c r="H679" i="4" s="1"/>
  <c r="H680" i="4" a="1"/>
  <c r="H680" i="4" s="1"/>
  <c r="H681" i="4" a="1"/>
  <c r="H681" i="4" s="1"/>
  <c r="H682" i="4" a="1"/>
  <c r="H682" i="4" s="1"/>
  <c r="H683" i="4" a="1"/>
  <c r="H683" i="4" s="1"/>
  <c r="H684" i="4" a="1"/>
  <c r="H684" i="4" s="1"/>
  <c r="H685" i="4" a="1"/>
  <c r="H685" i="4" s="1"/>
  <c r="H686" i="4" a="1"/>
  <c r="H686" i="4" s="1"/>
  <c r="H687" i="4" a="1"/>
  <c r="H687" i="4" s="1"/>
  <c r="H688" i="4" a="1"/>
  <c r="H688" i="4" s="1"/>
  <c r="H689" i="4" a="1"/>
  <c r="H689" i="4" s="1"/>
  <c r="H690" i="4" a="1"/>
  <c r="H690" i="4" s="1"/>
  <c r="H691" i="4" a="1"/>
  <c r="H691" i="4" s="1"/>
  <c r="H692" i="4" a="1"/>
  <c r="H692" i="4" s="1"/>
  <c r="H693" i="4" a="1"/>
  <c r="H693" i="4" s="1"/>
  <c r="H694" i="4" a="1"/>
  <c r="H694" i="4" s="1"/>
  <c r="H695" i="4" a="1"/>
  <c r="H695" i="4" s="1"/>
  <c r="H696" i="4" a="1"/>
  <c r="H696" i="4" s="1"/>
  <c r="H697" i="4" a="1"/>
  <c r="H697" i="4" s="1"/>
  <c r="H698" i="4" a="1"/>
  <c r="H698" i="4" s="1"/>
  <c r="H699" i="4" a="1"/>
  <c r="H699" i="4" s="1"/>
  <c r="H700" i="4" a="1"/>
  <c r="H700" i="4" s="1"/>
  <c r="H701" i="4" a="1"/>
  <c r="H701" i="4" s="1"/>
  <c r="H702" i="4" a="1"/>
  <c r="H702" i="4" s="1"/>
  <c r="H703" i="4" a="1"/>
  <c r="H703" i="4" s="1"/>
  <c r="H704" i="4" a="1"/>
  <c r="H704" i="4" s="1"/>
  <c r="H705" i="4" a="1"/>
  <c r="H705" i="4" s="1"/>
  <c r="H706" i="4" a="1"/>
  <c r="H706" i="4" s="1"/>
  <c r="H707" i="4" a="1"/>
  <c r="H707" i="4" s="1"/>
  <c r="H708" i="4" a="1"/>
  <c r="H708" i="4" s="1"/>
  <c r="H709" i="4" a="1"/>
  <c r="H709" i="4" s="1"/>
  <c r="H710" i="4" a="1"/>
  <c r="H710" i="4" s="1"/>
  <c r="H711" i="4" a="1"/>
  <c r="H711" i="4" s="1"/>
  <c r="H712" i="4" a="1"/>
  <c r="H712" i="4" s="1"/>
  <c r="H713" i="4" a="1"/>
  <c r="H713" i="4" s="1"/>
  <c r="H714" i="4" a="1"/>
  <c r="H714" i="4" s="1"/>
  <c r="H715" i="4" a="1"/>
  <c r="H715" i="4" s="1"/>
  <c r="H716" i="4" a="1"/>
  <c r="H716" i="4" s="1"/>
  <c r="H717" i="4" a="1"/>
  <c r="H717" i="4" s="1"/>
  <c r="H718" i="4" a="1"/>
  <c r="H718" i="4" s="1"/>
  <c r="H719" i="4" a="1"/>
  <c r="H719" i="4" s="1"/>
  <c r="H720" i="4" a="1"/>
  <c r="H720" i="4" s="1"/>
  <c r="H721" i="4" a="1"/>
  <c r="H721" i="4" s="1"/>
  <c r="H722" i="4" a="1"/>
  <c r="H722" i="4" s="1"/>
  <c r="H723" i="4" a="1"/>
  <c r="H723" i="4" s="1"/>
  <c r="H724" i="4" a="1"/>
  <c r="H724" i="4" s="1"/>
  <c r="H725" i="4" a="1"/>
  <c r="H725" i="4" s="1"/>
  <c r="H726" i="4" a="1"/>
  <c r="H726" i="4" s="1"/>
  <c r="H727" i="4" a="1"/>
  <c r="H727" i="4" s="1"/>
  <c r="H728" i="4" a="1"/>
  <c r="H728" i="4" s="1"/>
  <c r="H729" i="4" a="1"/>
  <c r="H729" i="4" s="1"/>
  <c r="H730" i="4" a="1"/>
  <c r="H730" i="4" s="1"/>
  <c r="H731" i="4" a="1"/>
  <c r="H731" i="4" s="1"/>
  <c r="H732" i="4" a="1"/>
  <c r="H732" i="4" s="1"/>
  <c r="H733" i="4" a="1"/>
  <c r="H733" i="4" s="1"/>
  <c r="H734" i="4" a="1"/>
  <c r="H734" i="4" s="1"/>
  <c r="H735" i="4" a="1"/>
  <c r="H735" i="4" s="1"/>
  <c r="H736" i="4" a="1"/>
  <c r="H736" i="4" s="1"/>
  <c r="H737" i="4" a="1"/>
  <c r="H737" i="4" s="1"/>
  <c r="H738" i="4" a="1"/>
  <c r="H738" i="4" s="1"/>
  <c r="H739" i="4" a="1"/>
  <c r="H739" i="4" s="1"/>
  <c r="H740" i="4" a="1"/>
  <c r="H740" i="4" s="1"/>
  <c r="H741" i="4" a="1"/>
  <c r="H741" i="4" s="1"/>
  <c r="H742" i="4" a="1"/>
  <c r="H742" i="4" s="1"/>
  <c r="H743" i="4" a="1"/>
  <c r="H743" i="4" s="1"/>
  <c r="H744" i="4" a="1"/>
  <c r="H744" i="4" s="1"/>
  <c r="H745" i="4" a="1"/>
  <c r="H745" i="4" s="1"/>
  <c r="H746" i="4" a="1"/>
  <c r="H746" i="4" s="1"/>
  <c r="H747" i="4" a="1"/>
  <c r="H747" i="4" s="1"/>
  <c r="H748" i="4" a="1"/>
  <c r="H748" i="4" s="1"/>
  <c r="H749" i="4" a="1"/>
  <c r="H749" i="4" s="1"/>
  <c r="H750" i="4" a="1"/>
  <c r="H750" i="4" s="1"/>
  <c r="H751" i="4" a="1"/>
  <c r="H751" i="4" s="1"/>
  <c r="H752" i="4" a="1"/>
  <c r="H752" i="4" s="1"/>
  <c r="H753" i="4" a="1"/>
  <c r="H753" i="4" s="1"/>
  <c r="H754" i="4" a="1"/>
  <c r="H754" i="4" s="1"/>
  <c r="H755" i="4" a="1"/>
  <c r="H755" i="4" s="1"/>
  <c r="H756" i="4" a="1"/>
  <c r="H756" i="4" s="1"/>
  <c r="H757" i="4" a="1"/>
  <c r="H757" i="4" s="1"/>
  <c r="H758" i="4" a="1"/>
  <c r="H758" i="4" s="1"/>
  <c r="H759" i="4" a="1"/>
  <c r="H759" i="4" s="1"/>
  <c r="H760" i="4" a="1"/>
  <c r="H760" i="4" s="1"/>
  <c r="H761" i="4" a="1"/>
  <c r="H761" i="4" s="1"/>
  <c r="H762" i="4" a="1"/>
  <c r="H762" i="4" s="1"/>
  <c r="H763" i="4" a="1"/>
  <c r="H763" i="4" s="1"/>
  <c r="H764" i="4" a="1"/>
  <c r="H764" i="4" s="1"/>
  <c r="H765" i="4" a="1"/>
  <c r="H765" i="4" s="1"/>
  <c r="H766" i="4" a="1"/>
  <c r="H766" i="4" s="1"/>
  <c r="H767" i="4" a="1"/>
  <c r="H767" i="4" s="1"/>
  <c r="H768" i="4" a="1"/>
  <c r="H768" i="4" s="1"/>
  <c r="H769" i="4" a="1"/>
  <c r="H769" i="4" s="1"/>
  <c r="H770" i="4" a="1"/>
  <c r="H770" i="4" s="1"/>
  <c r="H771" i="4" a="1"/>
  <c r="H771" i="4" s="1"/>
  <c r="H772" i="4" a="1"/>
  <c r="H772" i="4" s="1"/>
  <c r="H773" i="4" a="1"/>
  <c r="H773" i="4" s="1"/>
  <c r="H774" i="4" a="1"/>
  <c r="H774" i="4" s="1"/>
  <c r="H775" i="4" a="1"/>
  <c r="H775" i="4" s="1"/>
  <c r="H776" i="4" a="1"/>
  <c r="H776" i="4" s="1"/>
  <c r="H777" i="4" a="1"/>
  <c r="H777" i="4" s="1"/>
  <c r="H778" i="4" a="1"/>
  <c r="H778" i="4" s="1"/>
  <c r="H779" i="4" a="1"/>
  <c r="H779" i="4" s="1"/>
  <c r="H780" i="4" a="1"/>
  <c r="H780" i="4" s="1"/>
  <c r="H781" i="4" a="1"/>
  <c r="H781" i="4" s="1"/>
  <c r="H782" i="4" a="1"/>
  <c r="H782" i="4" s="1"/>
  <c r="H783" i="4" a="1"/>
  <c r="H783" i="4" s="1"/>
  <c r="H784" i="4" a="1"/>
  <c r="H784" i="4" s="1"/>
  <c r="H785" i="4" a="1"/>
  <c r="H785" i="4" s="1"/>
  <c r="H786" i="4" a="1"/>
  <c r="H786" i="4" s="1"/>
  <c r="H787" i="4" a="1"/>
  <c r="H787" i="4" s="1"/>
  <c r="H788" i="4" a="1"/>
  <c r="H788" i="4" s="1"/>
  <c r="H789" i="4" a="1"/>
  <c r="H789" i="4" s="1"/>
  <c r="H790" i="4" a="1"/>
  <c r="H790" i="4" s="1"/>
  <c r="H791" i="4" a="1"/>
  <c r="H791" i="4" s="1"/>
  <c r="H792" i="4" a="1"/>
  <c r="H792" i="4" s="1"/>
  <c r="H793" i="4" a="1"/>
  <c r="H793" i="4" s="1"/>
  <c r="H794" i="4" a="1"/>
  <c r="H794" i="4" s="1"/>
  <c r="H795" i="4" a="1"/>
  <c r="H795" i="4" s="1"/>
  <c r="H796" i="4" a="1"/>
  <c r="H796" i="4" s="1"/>
  <c r="H797" i="4" a="1"/>
  <c r="H797" i="4" s="1"/>
  <c r="H798" i="4" a="1"/>
  <c r="H798" i="4" s="1"/>
  <c r="H799" i="4" a="1"/>
  <c r="H799" i="4" s="1"/>
  <c r="H800" i="4" a="1"/>
  <c r="H800" i="4" s="1"/>
  <c r="H801" i="4" a="1"/>
  <c r="H801" i="4" s="1"/>
  <c r="H802" i="4" a="1"/>
  <c r="H802" i="4" s="1"/>
  <c r="H803" i="4" a="1"/>
  <c r="H803" i="4" s="1"/>
  <c r="H804" i="4" a="1"/>
  <c r="H804" i="4" s="1"/>
  <c r="H805" i="4" a="1"/>
  <c r="H805" i="4" s="1"/>
  <c r="H806" i="4" a="1"/>
  <c r="H806" i="4" s="1"/>
  <c r="H807" i="4" a="1"/>
  <c r="H807" i="4" s="1"/>
  <c r="H808" i="4" a="1"/>
  <c r="H808" i="4" s="1"/>
  <c r="H809" i="4" a="1"/>
  <c r="H809" i="4" s="1"/>
  <c r="H810" i="4" a="1"/>
  <c r="H810" i="4" s="1"/>
  <c r="H811" i="4" a="1"/>
  <c r="H811" i="4" s="1"/>
  <c r="H812" i="4" a="1"/>
  <c r="H812" i="4" s="1"/>
  <c r="H813" i="4" a="1"/>
  <c r="H813" i="4" s="1"/>
  <c r="H814" i="4" a="1"/>
  <c r="H814" i="4" s="1"/>
  <c r="H815" i="4" a="1"/>
  <c r="H815" i="4" s="1"/>
  <c r="H816" i="4" a="1"/>
  <c r="H816" i="4" s="1"/>
  <c r="H817" i="4" a="1"/>
  <c r="H817" i="4" s="1"/>
  <c r="H818" i="4" a="1"/>
  <c r="H818" i="4" s="1"/>
  <c r="H819" i="4" a="1"/>
  <c r="H819" i="4" s="1"/>
  <c r="H820" i="4" a="1"/>
  <c r="H820" i="4" s="1"/>
  <c r="H821" i="4" a="1"/>
  <c r="H821" i="4" s="1"/>
  <c r="H822" i="4" a="1"/>
  <c r="H822" i="4" s="1"/>
  <c r="H823" i="4" a="1"/>
  <c r="H823" i="4" s="1"/>
  <c r="H824" i="4" a="1"/>
  <c r="H824" i="4" s="1"/>
  <c r="H825" i="4" a="1"/>
  <c r="H825" i="4" s="1"/>
  <c r="H826" i="4" a="1"/>
  <c r="H826" i="4" s="1"/>
  <c r="H827" i="4" a="1"/>
  <c r="H827" i="4" s="1"/>
  <c r="H828" i="4" a="1"/>
  <c r="H828" i="4" s="1"/>
  <c r="H829" i="4" a="1"/>
  <c r="H829" i="4" s="1"/>
  <c r="H830" i="4" a="1"/>
  <c r="H830" i="4" s="1"/>
  <c r="H831" i="4" a="1"/>
  <c r="H831" i="4" s="1"/>
  <c r="H832" i="4" a="1"/>
  <c r="H832" i="4" s="1"/>
  <c r="H833" i="4" a="1"/>
  <c r="H833" i="4" s="1"/>
  <c r="H834" i="4" a="1"/>
  <c r="H834" i="4" s="1"/>
  <c r="H835" i="4" a="1"/>
  <c r="H835" i="4" s="1"/>
  <c r="H836" i="4" a="1"/>
  <c r="H836" i="4" s="1"/>
  <c r="H837" i="4" a="1"/>
  <c r="H837" i="4" s="1"/>
  <c r="H838" i="4" a="1"/>
  <c r="H838" i="4" s="1"/>
  <c r="H839" i="4" a="1"/>
  <c r="H839" i="4" s="1"/>
  <c r="H840" i="4" a="1"/>
  <c r="H840" i="4" s="1"/>
  <c r="H841" i="4" a="1"/>
  <c r="H841" i="4" s="1"/>
  <c r="H842" i="4" a="1"/>
  <c r="H842" i="4" s="1"/>
  <c r="H843" i="4" a="1"/>
  <c r="H843" i="4" s="1"/>
  <c r="H844" i="4" a="1"/>
  <c r="H844" i="4" s="1"/>
  <c r="H845" i="4" a="1"/>
  <c r="H845" i="4" s="1"/>
  <c r="H846" i="4" a="1"/>
  <c r="H846" i="4" s="1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H439" i="4" a="1"/>
  <c r="H439" i="4" s="1"/>
  <c r="L260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40" i="4"/>
  <c r="I38" i="4"/>
  <c r="I39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5" i="4"/>
  <c r="I118" i="4"/>
  <c r="I116" i="4"/>
  <c r="I117" i="4"/>
  <c r="I119" i="4"/>
  <c r="I120" i="4"/>
  <c r="I121" i="4"/>
  <c r="I122" i="4"/>
  <c r="I123" i="4"/>
  <c r="I124" i="4"/>
  <c r="I125" i="4"/>
  <c r="I126" i="4"/>
  <c r="I114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60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61" i="4"/>
  <c r="I159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H38" i="4" a="1"/>
  <c r="H38" i="4" s="1"/>
  <c r="H39" i="4" a="1"/>
  <c r="H39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5" i="4" a="1"/>
  <c r="H115" i="4" s="1"/>
  <c r="H118" i="4" a="1"/>
  <c r="H118" i="4" s="1"/>
  <c r="H116" i="4" a="1"/>
  <c r="H116" i="4" s="1"/>
  <c r="H117" i="4" a="1"/>
  <c r="H117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14" i="4" a="1"/>
  <c r="H114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60" i="4" a="1"/>
  <c r="H160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61" i="4" a="1"/>
  <c r="H161" i="4" s="1"/>
  <c r="H159" i="4" a="1"/>
  <c r="H159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40" i="4" a="1"/>
  <c r="H40" i="4" s="1"/>
  <c r="Q24" i="1"/>
  <c r="Q25" i="1"/>
  <c r="Q26" i="1"/>
  <c r="Q27" i="1"/>
  <c r="Q28" i="1"/>
  <c r="Q29" i="1"/>
  <c r="Q30" i="1"/>
  <c r="Q31" i="1"/>
  <c r="Q10" i="1"/>
  <c r="N36" i="7" a="1"/>
  <c r="N36" i="7" s="1"/>
  <c r="M36" i="7" s="1" a="1"/>
  <c r="M36" i="7" s="1"/>
  <c r="N37" i="7" a="1"/>
  <c r="N37" i="7" s="1"/>
  <c r="M37" i="7" s="1" a="1"/>
  <c r="M37" i="7" s="1"/>
  <c r="N38" i="7" a="1"/>
  <c r="N38" i="7" s="1"/>
  <c r="M38" i="7" s="1" a="1"/>
  <c r="M38" i="7" s="1"/>
  <c r="N39" i="7" a="1"/>
  <c r="N39" i="7" s="1"/>
  <c r="M39" i="7" s="1" a="1"/>
  <c r="M39" i="7" s="1"/>
  <c r="I59" i="7"/>
  <c r="I60" i="7"/>
  <c r="I61" i="7"/>
  <c r="I63" i="7"/>
  <c r="I64" i="7"/>
  <c r="I65" i="7"/>
  <c r="I67" i="7"/>
  <c r="I68" i="7"/>
  <c r="I69" i="7"/>
  <c r="I71" i="7"/>
  <c r="I72" i="7"/>
  <c r="I73" i="7"/>
  <c r="I75" i="7"/>
  <c r="I76" i="7"/>
  <c r="I77" i="7"/>
  <c r="I79" i="7"/>
  <c r="I80" i="7"/>
  <c r="I81" i="7"/>
  <c r="I83" i="7"/>
  <c r="I84" i="7"/>
  <c r="I85" i="7"/>
  <c r="I87" i="7"/>
  <c r="I88" i="7"/>
  <c r="I89" i="7"/>
  <c r="I91" i="7"/>
  <c r="I92" i="7"/>
  <c r="I93" i="7"/>
  <c r="I95" i="7"/>
  <c r="I96" i="7"/>
  <c r="I97" i="7"/>
  <c r="I99" i="7"/>
  <c r="I100" i="7"/>
  <c r="I101" i="7"/>
  <c r="I57" i="7"/>
  <c r="I56" i="7"/>
  <c r="I55" i="7"/>
  <c r="H59" i="7"/>
  <c r="H60" i="7"/>
  <c r="H61" i="7"/>
  <c r="H63" i="7"/>
  <c r="H64" i="7"/>
  <c r="H65" i="7"/>
  <c r="H67" i="7"/>
  <c r="H68" i="7"/>
  <c r="H69" i="7"/>
  <c r="H71" i="7"/>
  <c r="H72" i="7"/>
  <c r="H73" i="7"/>
  <c r="H75" i="7"/>
  <c r="H76" i="7"/>
  <c r="H77" i="7"/>
  <c r="H79" i="7"/>
  <c r="H80" i="7"/>
  <c r="H81" i="7"/>
  <c r="H83" i="7"/>
  <c r="H84" i="7"/>
  <c r="H85" i="7"/>
  <c r="H87" i="7"/>
  <c r="H88" i="7"/>
  <c r="H89" i="7"/>
  <c r="H91" i="7"/>
  <c r="H92" i="7"/>
  <c r="H93" i="7"/>
  <c r="H95" i="7"/>
  <c r="H96" i="7"/>
  <c r="H97" i="7"/>
  <c r="H99" i="7"/>
  <c r="H100" i="7"/>
  <c r="H101" i="7"/>
  <c r="H57" i="7"/>
  <c r="H56" i="7"/>
  <c r="H55" i="7"/>
  <c r="I13" i="4"/>
  <c r="F39" i="7" a="1"/>
  <c r="F39" i="7" s="1"/>
  <c r="E39" i="7" s="1" a="1"/>
  <c r="E39" i="7" s="1"/>
  <c r="F37" i="7" a="1"/>
  <c r="F37" i="7" s="1"/>
  <c r="E37" i="7" s="1" a="1"/>
  <c r="E37" i="7" s="1"/>
  <c r="F38" i="7" a="1"/>
  <c r="F38" i="7" s="1"/>
  <c r="E38" i="7" s="1" a="1"/>
  <c r="E38" i="7" s="1"/>
  <c r="AP35" i="8"/>
  <c r="D8" i="7" a="1"/>
  <c r="D8" i="7" s="1"/>
  <c r="D10" i="7" s="1"/>
  <c r="C13" i="8" a="1"/>
  <c r="C13" i="8" s="1"/>
  <c r="C14" i="8" s="1" a="1"/>
  <c r="C14" i="8" s="1"/>
  <c r="J14" i="8" s="1" a="1"/>
  <c r="J14" i="8" s="1"/>
  <c r="D20" i="7" a="1"/>
  <c r="D20" i="7" s="1"/>
  <c r="D19" i="7" a="1"/>
  <c r="D19" i="7" s="1"/>
  <c r="D71" i="7" s="1"/>
  <c r="C9" i="9"/>
  <c r="C10" i="9" s="1"/>
  <c r="C11" i="9" s="1"/>
  <c r="C12" i="9" s="1"/>
  <c r="C13" i="9" s="1"/>
  <c r="C14" i="9" s="1"/>
  <c r="C15" i="9" s="1"/>
  <c r="C16" i="9" s="1"/>
  <c r="DK50" i="1"/>
  <c r="DK49" i="1"/>
  <c r="DK48" i="1"/>
  <c r="DK47" i="1"/>
  <c r="DK46" i="1"/>
  <c r="DK45" i="1"/>
  <c r="DK44" i="1"/>
  <c r="DK43" i="1"/>
  <c r="DK42" i="1"/>
  <c r="DK41" i="1"/>
  <c r="DK40" i="1"/>
  <c r="DK34" i="1"/>
  <c r="DK33" i="1"/>
  <c r="DK32" i="1"/>
  <c r="DK31" i="1"/>
  <c r="DK30" i="1"/>
  <c r="DK29" i="1"/>
  <c r="DK28" i="1"/>
  <c r="DK27" i="1"/>
  <c r="DK26" i="1"/>
  <c r="DK25" i="1"/>
  <c r="DK24" i="1"/>
  <c r="DK20" i="1"/>
  <c r="DK19" i="1"/>
  <c r="DK18" i="1"/>
  <c r="DK17" i="1"/>
  <c r="DK16" i="1"/>
  <c r="DK15" i="1"/>
  <c r="DK14" i="1"/>
  <c r="DK13" i="1"/>
  <c r="DK12" i="1"/>
  <c r="DK11" i="1"/>
  <c r="DK10" i="1"/>
  <c r="CW50" i="1"/>
  <c r="CW49" i="1"/>
  <c r="CW48" i="1"/>
  <c r="CW47" i="1"/>
  <c r="CW46" i="1"/>
  <c r="CW45" i="1"/>
  <c r="CW44" i="1"/>
  <c r="CW43" i="1"/>
  <c r="CW42" i="1"/>
  <c r="CW41" i="1"/>
  <c r="CW40" i="1"/>
  <c r="CW34" i="1"/>
  <c r="CW33" i="1"/>
  <c r="CW32" i="1"/>
  <c r="CW31" i="1"/>
  <c r="CW30" i="1"/>
  <c r="CW29" i="1"/>
  <c r="CW28" i="1"/>
  <c r="CW27" i="1"/>
  <c r="CW26" i="1"/>
  <c r="CW25" i="1"/>
  <c r="CW24" i="1"/>
  <c r="CW20" i="1"/>
  <c r="CW19" i="1"/>
  <c r="CW18" i="1"/>
  <c r="CW17" i="1"/>
  <c r="CW16" i="1"/>
  <c r="CW15" i="1"/>
  <c r="CW14" i="1"/>
  <c r="CW13" i="1"/>
  <c r="CW12" i="1"/>
  <c r="CW11" i="1"/>
  <c r="CW10" i="1"/>
  <c r="CI50" i="1"/>
  <c r="CI49" i="1"/>
  <c r="CI48" i="1"/>
  <c r="CI47" i="1"/>
  <c r="CI46" i="1"/>
  <c r="CI45" i="1"/>
  <c r="CI44" i="1"/>
  <c r="CI43" i="1"/>
  <c r="CI42" i="1"/>
  <c r="CI41" i="1"/>
  <c r="CI40" i="1"/>
  <c r="CI34" i="1"/>
  <c r="CI33" i="1"/>
  <c r="CI32" i="1"/>
  <c r="CI31" i="1"/>
  <c r="CI30" i="1"/>
  <c r="CI29" i="1"/>
  <c r="CI28" i="1"/>
  <c r="CI27" i="1"/>
  <c r="CI26" i="1"/>
  <c r="CI25" i="1"/>
  <c r="CI24" i="1"/>
  <c r="CI20" i="1"/>
  <c r="CI19" i="1"/>
  <c r="CI18" i="1"/>
  <c r="CI17" i="1"/>
  <c r="CI16" i="1"/>
  <c r="CI15" i="1"/>
  <c r="CI14" i="1"/>
  <c r="CI13" i="1"/>
  <c r="CI12" i="1"/>
  <c r="CI11" i="1"/>
  <c r="CI10" i="1"/>
  <c r="BU50" i="1"/>
  <c r="BU49" i="1"/>
  <c r="BU48" i="1"/>
  <c r="BU47" i="1"/>
  <c r="BU46" i="1"/>
  <c r="BU45" i="1"/>
  <c r="BU44" i="1"/>
  <c r="BU43" i="1"/>
  <c r="BU42" i="1"/>
  <c r="BU41" i="1"/>
  <c r="BU40" i="1"/>
  <c r="BU34" i="1"/>
  <c r="BU33" i="1"/>
  <c r="BU32" i="1"/>
  <c r="BU31" i="1"/>
  <c r="BU30" i="1"/>
  <c r="BU29" i="1"/>
  <c r="BU28" i="1"/>
  <c r="BU27" i="1"/>
  <c r="BU26" i="1"/>
  <c r="BU25" i="1"/>
  <c r="BU24" i="1"/>
  <c r="BU20" i="1"/>
  <c r="BU19" i="1"/>
  <c r="BU18" i="1"/>
  <c r="BU17" i="1"/>
  <c r="BU16" i="1"/>
  <c r="BU15" i="1"/>
  <c r="BU14" i="1"/>
  <c r="BU13" i="1"/>
  <c r="BU12" i="1"/>
  <c r="BU11" i="1"/>
  <c r="BU10" i="1"/>
  <c r="BG50" i="1"/>
  <c r="BG49" i="1"/>
  <c r="BG48" i="1"/>
  <c r="BG47" i="1"/>
  <c r="BG46" i="1"/>
  <c r="BG45" i="1"/>
  <c r="BG44" i="1"/>
  <c r="BG43" i="1"/>
  <c r="BG42" i="1"/>
  <c r="BG41" i="1"/>
  <c r="BG40" i="1"/>
  <c r="BG34" i="1"/>
  <c r="BG33" i="1"/>
  <c r="BG32" i="1"/>
  <c r="BG31" i="1"/>
  <c r="BG30" i="1"/>
  <c r="BG29" i="1"/>
  <c r="BG28" i="1"/>
  <c r="BG27" i="1"/>
  <c r="BG26" i="1"/>
  <c r="BG25" i="1"/>
  <c r="BG24" i="1"/>
  <c r="BG20" i="1"/>
  <c r="BG19" i="1"/>
  <c r="BG18" i="1"/>
  <c r="BG17" i="1"/>
  <c r="BG16" i="1"/>
  <c r="BG15" i="1"/>
  <c r="BG14" i="1"/>
  <c r="BG13" i="1"/>
  <c r="BG12" i="1"/>
  <c r="BG11" i="1"/>
  <c r="BG10" i="1"/>
  <c r="AS50" i="1"/>
  <c r="AS49" i="1"/>
  <c r="AS48" i="1"/>
  <c r="AS47" i="1"/>
  <c r="AS46" i="1"/>
  <c r="AS45" i="1"/>
  <c r="AS44" i="1"/>
  <c r="AS43" i="1"/>
  <c r="AS42" i="1"/>
  <c r="AS41" i="1"/>
  <c r="AS40" i="1"/>
  <c r="AS34" i="1"/>
  <c r="AS33" i="1"/>
  <c r="AS32" i="1"/>
  <c r="AS31" i="1"/>
  <c r="AS30" i="1"/>
  <c r="AS29" i="1"/>
  <c r="AS28" i="1"/>
  <c r="AS27" i="1"/>
  <c r="AS26" i="1"/>
  <c r="AS25" i="1"/>
  <c r="AS24" i="1"/>
  <c r="AS20" i="1"/>
  <c r="AS19" i="1"/>
  <c r="AS18" i="1"/>
  <c r="AS17" i="1"/>
  <c r="AS16" i="1"/>
  <c r="AS15" i="1"/>
  <c r="AS14" i="1"/>
  <c r="AS13" i="1"/>
  <c r="AS12" i="1"/>
  <c r="AS11" i="1"/>
  <c r="AS10" i="1"/>
  <c r="AE10" i="1"/>
  <c r="AE11" i="1"/>
  <c r="AE12" i="1"/>
  <c r="AE13" i="1"/>
  <c r="AE14" i="1"/>
  <c r="AE15" i="1"/>
  <c r="AE16" i="1"/>
  <c r="AE17" i="1"/>
  <c r="AE18" i="1"/>
  <c r="AE19" i="1"/>
  <c r="AE20" i="1"/>
  <c r="AE24" i="1"/>
  <c r="AE25" i="1"/>
  <c r="AE26" i="1"/>
  <c r="AE27" i="1"/>
  <c r="AE28" i="1"/>
  <c r="AE29" i="1"/>
  <c r="AE30" i="1"/>
  <c r="AE31" i="1"/>
  <c r="AE32" i="1"/>
  <c r="AE33" i="1"/>
  <c r="AE34" i="1"/>
  <c r="AE40" i="1"/>
  <c r="AE41" i="1"/>
  <c r="AE42" i="1"/>
  <c r="AE43" i="1"/>
  <c r="AE44" i="1"/>
  <c r="AE45" i="1"/>
  <c r="AE46" i="1"/>
  <c r="AE47" i="1"/>
  <c r="AE48" i="1"/>
  <c r="AE49" i="1"/>
  <c r="AE50" i="1"/>
  <c r="E5" i="1"/>
  <c r="S5" i="1" s="1"/>
  <c r="AG5" i="1" s="1"/>
  <c r="H20" i="4" l="1" a="1"/>
  <c r="H20" i="4" s="1"/>
  <c r="D11" i="7"/>
  <c r="H24" i="4" a="1"/>
  <c r="H24" i="4" s="1"/>
  <c r="H21" i="4" a="1"/>
  <c r="H21" i="4" s="1"/>
  <c r="D12" i="7" a="1"/>
  <c r="D12" i="7" s="1"/>
  <c r="H15" i="4" a="1"/>
  <c r="H15" i="4" s="1"/>
  <c r="H22" i="4" a="1"/>
  <c r="H22" i="4" s="1"/>
  <c r="H13" i="4" a="1"/>
  <c r="H13" i="4" s="1"/>
  <c r="H16" i="4" a="1"/>
  <c r="H16" i="4" s="1"/>
  <c r="H14" i="4" a="1"/>
  <c r="H14" i="4" s="1"/>
  <c r="H18" i="4" a="1"/>
  <c r="H18" i="4" s="1"/>
  <c r="H25" i="4" a="1"/>
  <c r="H25" i="4" s="1"/>
  <c r="H17" i="4" a="1"/>
  <c r="H17" i="4" s="1"/>
  <c r="H19" i="4" a="1"/>
  <c r="H19" i="4" s="1"/>
  <c r="H23" i="4" a="1"/>
  <c r="H23" i="4" s="1"/>
  <c r="E13" i="8" a="1"/>
  <c r="E13" i="8" s="1"/>
  <c r="D13" i="8" s="1"/>
  <c r="I13" i="8" s="1" a="1"/>
  <c r="I13" i="8" s="1"/>
  <c r="J13" i="8" a="1"/>
  <c r="J13" i="8" s="1"/>
  <c r="D22" i="7"/>
  <c r="D23" i="7" s="1" a="1"/>
  <c r="D23" i="7" s="1"/>
  <c r="D24" i="7" s="1"/>
  <c r="D99" i="7"/>
  <c r="F99" i="7" s="1"/>
  <c r="J99" i="7" s="1" a="1"/>
  <c r="J99" i="7" s="1"/>
  <c r="D91" i="7"/>
  <c r="F91" i="7" s="1"/>
  <c r="J91" i="7" s="1" a="1"/>
  <c r="J91" i="7" s="1"/>
  <c r="D67" i="7"/>
  <c r="F67" i="7" s="1"/>
  <c r="J67" i="7" s="1" a="1"/>
  <c r="J67" i="7" s="1"/>
  <c r="D59" i="7"/>
  <c r="F59" i="7" s="1"/>
  <c r="J59" i="7" s="1" a="1"/>
  <c r="J59" i="7" s="1"/>
  <c r="F71" i="7"/>
  <c r="J71" i="7" s="1" a="1"/>
  <c r="J71" i="7" s="1"/>
  <c r="F72" i="7"/>
  <c r="J72" i="7" s="1" a="1"/>
  <c r="J72" i="7" s="1"/>
  <c r="F73" i="7"/>
  <c r="J73" i="7" s="1" a="1"/>
  <c r="J73" i="7" s="1"/>
  <c r="D95" i="7"/>
  <c r="F96" i="7" s="1"/>
  <c r="J96" i="7" s="1" a="1"/>
  <c r="J96" i="7" s="1"/>
  <c r="D63" i="7"/>
  <c r="F64" i="7" s="1"/>
  <c r="J64" i="7" s="1" a="1"/>
  <c r="J64" i="7" s="1"/>
  <c r="D87" i="7"/>
  <c r="F87" i="7" s="1"/>
  <c r="J87" i="7" s="1" a="1"/>
  <c r="J87" i="7" s="1"/>
  <c r="D83" i="7"/>
  <c r="F85" i="7" s="1"/>
  <c r="J85" i="7" s="1" a="1"/>
  <c r="J85" i="7" s="1"/>
  <c r="D79" i="7"/>
  <c r="F79" i="7" s="1"/>
  <c r="J79" i="7" s="1" a="1"/>
  <c r="J79" i="7" s="1"/>
  <c r="D75" i="7"/>
  <c r="F75" i="7" s="1"/>
  <c r="J75" i="7" s="1" a="1"/>
  <c r="J75" i="7" s="1"/>
  <c r="D55" i="7"/>
  <c r="F57" i="7" s="1"/>
  <c r="J57" i="7" s="1" a="1"/>
  <c r="J57" i="7" s="1"/>
  <c r="H13" i="8"/>
  <c r="G13" i="8" a="1"/>
  <c r="G13" i="8" s="1"/>
  <c r="C15" i="8" a="1"/>
  <c r="C15" i="8" s="1"/>
  <c r="E15" i="8" s="1" a="1"/>
  <c r="E15" i="8" s="1"/>
  <c r="H14" i="8"/>
  <c r="G14" i="8" a="1"/>
  <c r="G14" i="8" s="1"/>
  <c r="E14" i="8" a="1"/>
  <c r="E14" i="8" s="1"/>
  <c r="AO39" i="1"/>
  <c r="AH39" i="1"/>
  <c r="AU5" i="1"/>
  <c r="BE39" i="1" s="1"/>
  <c r="AR9" i="1"/>
  <c r="AJ9" i="1"/>
  <c r="AQ9" i="1"/>
  <c r="AQ23" i="1"/>
  <c r="AI9" i="1"/>
  <c r="AI23" i="1"/>
  <c r="AP39" i="1"/>
  <c r="D21" i="7"/>
  <c r="AF11" i="8" s="1"/>
  <c r="AX23" i="1"/>
  <c r="BF23" i="1"/>
  <c r="AW39" i="1"/>
  <c r="AX39" i="1"/>
  <c r="BF39" i="1"/>
  <c r="AZ23" i="1"/>
  <c r="AY39" i="1"/>
  <c r="BA9" i="1"/>
  <c r="BA23" i="1"/>
  <c r="BB23" i="1"/>
  <c r="BA39" i="1"/>
  <c r="AV9" i="1"/>
  <c r="BD9" i="1"/>
  <c r="AU23" i="1"/>
  <c r="BB39" i="1"/>
  <c r="BE9" i="1"/>
  <c r="BD23" i="1"/>
  <c r="AU39" i="1"/>
  <c r="AJ23" i="1"/>
  <c r="AR23" i="1"/>
  <c r="AI39" i="1"/>
  <c r="AQ39" i="1"/>
  <c r="AL9" i="1"/>
  <c r="AK23" i="1"/>
  <c r="AS23" i="1"/>
  <c r="AJ39" i="1"/>
  <c r="AR39" i="1"/>
  <c r="AK9" i="1"/>
  <c r="AS9" i="1"/>
  <c r="AL23" i="1"/>
  <c r="AK39" i="1"/>
  <c r="AS39" i="1"/>
  <c r="AM9" i="1"/>
  <c r="AN9" i="1"/>
  <c r="AM23" i="1"/>
  <c r="AL39" i="1"/>
  <c r="AG9" i="1"/>
  <c r="AN23" i="1"/>
  <c r="AM39" i="1"/>
  <c r="AO9" i="1"/>
  <c r="AH9" i="1"/>
  <c r="AP9" i="1"/>
  <c r="AG23" i="1"/>
  <c r="AO23" i="1"/>
  <c r="AN39" i="1"/>
  <c r="AH23" i="1"/>
  <c r="AP23" i="1"/>
  <c r="AG39" i="1"/>
  <c r="S9" i="1"/>
  <c r="X9" i="1"/>
  <c r="S23" i="1"/>
  <c r="AA23" i="1"/>
  <c r="S39" i="1"/>
  <c r="AA39" i="1"/>
  <c r="Y9" i="1"/>
  <c r="T23" i="1"/>
  <c r="AB23" i="1"/>
  <c r="T39" i="1"/>
  <c r="AB39" i="1"/>
  <c r="V23" i="1"/>
  <c r="AD39" i="1"/>
  <c r="AE23" i="1"/>
  <c r="AE39" i="1"/>
  <c r="X39" i="1"/>
  <c r="Y23" i="1"/>
  <c r="AA9" i="1"/>
  <c r="U23" i="1"/>
  <c r="AC23" i="1"/>
  <c r="U39" i="1"/>
  <c r="AC39" i="1"/>
  <c r="AD23" i="1"/>
  <c r="V39" i="1"/>
  <c r="AE9" i="1"/>
  <c r="W39" i="1"/>
  <c r="Y39" i="1"/>
  <c r="Z39" i="1"/>
  <c r="AD9" i="1"/>
  <c r="W23" i="1"/>
  <c r="X23" i="1"/>
  <c r="V9" i="1"/>
  <c r="W9" i="1"/>
  <c r="Z9" i="1"/>
  <c r="Z23" i="1"/>
  <c r="AC9" i="1"/>
  <c r="U9" i="1"/>
  <c r="AB9" i="1"/>
  <c r="T9" i="1"/>
  <c r="AD21" i="1" a="1"/>
  <c r="CL51" i="1" a="1"/>
  <c r="BN21" i="1" a="1"/>
  <c r="BM37" i="1" a="1"/>
  <c r="CH21" i="1" a="1"/>
  <c r="CD51" i="1" a="1"/>
  <c r="CV51" i="1" a="1"/>
  <c r="BS37" i="1" a="1"/>
  <c r="CB51" i="1" a="1"/>
  <c r="AH37" i="1" a="1"/>
  <c r="BS21" i="1" a="1"/>
  <c r="AX37" i="1" a="1"/>
  <c r="BA21" i="1" a="1"/>
  <c r="BJ51" i="1" a="1"/>
  <c r="AN37" i="1" a="1"/>
  <c r="AD37" i="1" a="1"/>
  <c r="CM51" i="1" a="1"/>
  <c r="BP21" i="1" a="1"/>
  <c r="CZ21" i="1" a="1"/>
  <c r="CR21" i="1" a="1"/>
  <c r="DH51" i="1" a="1"/>
  <c r="CV37" i="1" a="1"/>
  <c r="Y51" i="1" a="1"/>
  <c r="CG51" i="1" a="1"/>
  <c r="CP21" i="1" a="1"/>
  <c r="DG21" i="1" a="1"/>
  <c r="BC37" i="1" a="1"/>
  <c r="BL21" i="1" a="1"/>
  <c r="CL37" i="1" a="1"/>
  <c r="CH51" i="1" a="1"/>
  <c r="Y21" i="1" a="1"/>
  <c r="CD21" i="1" a="1"/>
  <c r="BJ21" i="1" a="1"/>
  <c r="Y37" i="1" a="1"/>
  <c r="AC37" i="1" a="1"/>
  <c r="CF21" i="1" a="1"/>
  <c r="AK37" i="1" a="1"/>
  <c r="AQ37" i="1" a="1"/>
  <c r="AN21" i="1" a="1"/>
  <c r="AG51" i="1" a="1"/>
  <c r="BT21" i="1" a="1"/>
  <c r="AR21" i="1" a="1"/>
  <c r="CF37" i="1" a="1"/>
  <c r="AV37" i="1" a="1"/>
  <c r="DG37" i="1" a="1"/>
  <c r="CF51" i="1" a="1"/>
  <c r="T51" i="1" a="1"/>
  <c r="AL51" i="1" a="1"/>
  <c r="BI37" i="1" a="1"/>
  <c r="CE51" i="1" a="1"/>
  <c r="BF37" i="1" a="1"/>
  <c r="BY37" i="1" a="1"/>
  <c r="BJ37" i="1" a="1"/>
  <c r="CS51" i="1" a="1"/>
  <c r="AR37" i="1" a="1"/>
  <c r="Z51" i="1" a="1"/>
  <c r="CK21" i="1" a="1"/>
  <c r="BO51" i="1" a="1"/>
  <c r="BK51" i="1" a="1"/>
  <c r="BA51" i="1" a="1"/>
  <c r="AN51" i="1" a="1"/>
  <c r="CL21" i="1" a="1"/>
  <c r="BQ51" i="1" a="1"/>
  <c r="AA37" i="1" a="1"/>
  <c r="BP37" i="1" a="1"/>
  <c r="DB51" i="1" a="1"/>
  <c r="DB37" i="1" a="1"/>
  <c r="BX21" i="1" a="1"/>
  <c r="CS21" i="1" a="1"/>
  <c r="AB21" i="1" a="1"/>
  <c r="E51" i="1" a="1"/>
  <c r="DH37" i="1" a="1"/>
  <c r="V51" i="1" a="1"/>
  <c r="DE21" i="1" a="1"/>
  <c r="AG37" i="1" a="1"/>
  <c r="BP51" i="1" a="1"/>
  <c r="BL37" i="1" a="1"/>
  <c r="CB21" i="1" a="1"/>
  <c r="BW51" i="1" a="1"/>
  <c r="CK51" i="1" a="1"/>
  <c r="T37" i="1" a="1"/>
  <c r="AW51" i="1" a="1"/>
  <c r="CC37" i="1" a="1"/>
  <c r="AP21" i="1" a="1"/>
  <c r="DD21" i="1" a="1"/>
  <c r="AO37" i="1" a="1"/>
  <c r="DC51" i="1" a="1"/>
  <c r="CN37" i="1" a="1"/>
  <c r="BE37" i="1" a="1"/>
  <c r="DA51" i="1" a="1"/>
  <c r="AY21" i="1" a="1"/>
  <c r="AM51" i="1" a="1"/>
  <c r="T21" i="1" a="1"/>
  <c r="DB21" i="1" a="1"/>
  <c r="CQ37" i="1" a="1"/>
  <c r="CN21" i="1" a="1"/>
  <c r="AM21" i="1" a="1"/>
  <c r="AP51" i="1" a="1"/>
  <c r="CA21" i="1" a="1"/>
  <c r="AB37" i="1" a="1"/>
  <c r="CT21" i="1" a="1"/>
  <c r="BO21" i="1" a="1"/>
  <c r="AO51" i="1" a="1"/>
  <c r="CN51" i="1" a="1"/>
  <c r="AI51" i="1" a="1"/>
  <c r="BZ21" i="1" a="1"/>
  <c r="AU51" i="1" a="1"/>
  <c r="DC37" i="1" a="1"/>
  <c r="BT51" i="1" a="1"/>
  <c r="AH21" i="1" a="1"/>
  <c r="CB37" i="1" a="1"/>
  <c r="BM51" i="1" a="1"/>
  <c r="DJ21" i="1" a="1"/>
  <c r="AA51" i="1" a="1"/>
  <c r="BD51" i="1" a="1"/>
  <c r="BC51" i="1" a="1"/>
  <c r="CU51" i="1" a="1"/>
  <c r="DJ37" i="1" a="1"/>
  <c r="AX51" i="1" a="1"/>
  <c r="AD51" i="1" a="1"/>
  <c r="CZ37" i="1" a="1"/>
  <c r="AO21" i="1" a="1"/>
  <c r="DD37" i="1" a="1"/>
  <c r="AC51" i="1" a="1"/>
  <c r="BW21" i="1" a="1"/>
  <c r="CR37" i="1" a="1"/>
  <c r="BB51" i="1" a="1"/>
  <c r="DJ51" i="1" a="1"/>
  <c r="BD21" i="1" a="1"/>
  <c r="BT37" i="1" a="1"/>
  <c r="BF51" i="1" a="1"/>
  <c r="W51" i="1" a="1"/>
  <c r="CU21" i="1" a="1"/>
  <c r="DE37" i="1" a="1"/>
  <c r="CA37" i="1" a="1"/>
  <c r="Z37" i="1" a="1"/>
  <c r="DI37" i="1" a="1"/>
  <c r="BA37" i="1" a="1"/>
  <c r="S21" i="1" a="1"/>
  <c r="BQ37" i="1" a="1"/>
  <c r="AL21" i="1" a="1"/>
  <c r="AP37" i="1" a="1"/>
  <c r="CT37" i="1" a="1"/>
  <c r="AM37" i="1" a="1"/>
  <c r="AJ51" i="1" a="1"/>
  <c r="AZ51" i="1" a="1"/>
  <c r="CK37" i="1" a="1"/>
  <c r="CD37" i="1" a="1"/>
  <c r="BY51" i="1" a="1"/>
  <c r="BR51" i="1" a="1"/>
  <c r="CU37" i="1" a="1"/>
  <c r="AK21" i="1" a="1"/>
  <c r="BR37" i="1" a="1"/>
  <c r="V21" i="1" a="1"/>
  <c r="CR51" i="1" a="1"/>
  <c r="BR21" i="1" a="1"/>
  <c r="X51" i="1" a="1"/>
  <c r="BW37" i="1" a="1"/>
  <c r="X21" i="1" a="1"/>
  <c r="AX21" i="1" a="1"/>
  <c r="CP37" i="1" a="1"/>
  <c r="U21" i="1" a="1"/>
  <c r="CE37" i="1" a="1"/>
  <c r="AY51" i="1" a="1"/>
  <c r="BZ51" i="1" a="1"/>
  <c r="AJ21" i="1" a="1"/>
  <c r="AW37" i="1" a="1"/>
  <c r="BE21" i="1" a="1"/>
  <c r="CT51" i="1" a="1"/>
  <c r="S51" i="1" a="1"/>
  <c r="CY51" i="1" a="1"/>
  <c r="CH37" i="1" a="1"/>
  <c r="BC21" i="1" a="1"/>
  <c r="CA51" i="1" a="1"/>
  <c r="W37" i="1" a="1"/>
  <c r="CO21" i="1" a="1"/>
  <c r="CV21" i="1" a="1"/>
  <c r="CC51" i="1" a="1"/>
  <c r="CP51" i="1" a="1"/>
  <c r="BN51" i="1" a="1"/>
  <c r="BO37" i="1" a="1"/>
  <c r="AC21" i="1" a="1"/>
  <c r="AI37" i="1" a="1"/>
  <c r="AH51" i="1" a="1"/>
  <c r="BD37" i="1" a="1"/>
  <c r="AZ21" i="1" a="1"/>
  <c r="DH21" i="1" a="1"/>
  <c r="DI21" i="1" a="1"/>
  <c r="CY21" i="1" a="1"/>
  <c r="F51" i="1" a="1"/>
  <c r="AY37" i="1" a="1"/>
  <c r="BX51" i="1" a="1"/>
  <c r="BX37" i="1" a="1"/>
  <c r="DE51" i="1" a="1"/>
  <c r="AA21" i="1" a="1"/>
  <c r="AU37" i="1" a="1"/>
  <c r="CC21" i="1" a="1"/>
  <c r="DF21" i="1" a="1"/>
  <c r="AK51" i="1" a="1"/>
  <c r="AG21" i="1" a="1"/>
  <c r="AW21" i="1" a="1"/>
  <c r="E37" i="1" a="1"/>
  <c r="BK21" i="1" a="1"/>
  <c r="W21" i="1" a="1"/>
  <c r="DI51" i="1" a="1"/>
  <c r="BB37" i="1" a="1"/>
  <c r="BS51" i="1" a="1"/>
  <c r="DD51" i="1" a="1"/>
  <c r="AQ51" i="1" a="1"/>
  <c r="V37" i="1" a="1"/>
  <c r="AV21" i="1" a="1"/>
  <c r="BB21" i="1" a="1"/>
  <c r="DA37" i="1" a="1"/>
  <c r="BY21" i="1" a="1"/>
  <c r="AL37" i="1" a="1"/>
  <c r="U51" i="1" a="1"/>
  <c r="CY37" i="1" a="1"/>
  <c r="AR51" i="1" a="1"/>
  <c r="CG37" i="1" a="1"/>
  <c r="AB51" i="1" a="1"/>
  <c r="BI51" i="1" a="1"/>
  <c r="AJ37" i="1" a="1"/>
  <c r="AZ37" i="1" a="1"/>
  <c r="AV51" i="1" a="1"/>
  <c r="CO51" i="1" a="1"/>
  <c r="BZ37" i="1" a="1"/>
  <c r="S37" i="1" a="1"/>
  <c r="DF51" i="1" a="1"/>
  <c r="BK37" i="1" a="1"/>
  <c r="AQ21" i="1" a="1"/>
  <c r="CM21" i="1" a="1"/>
  <c r="DA21" i="1" a="1"/>
  <c r="CM37" i="1" a="1"/>
  <c r="BF21" i="1" a="1"/>
  <c r="CQ51" i="1" a="1"/>
  <c r="AU21" i="1" a="1"/>
  <c r="DC21" i="1" a="1"/>
  <c r="CS37" i="1" a="1"/>
  <c r="X37" i="1" a="1"/>
  <c r="BQ21" i="1" a="1"/>
  <c r="CZ51" i="1" a="1"/>
  <c r="Z21" i="1" a="1"/>
  <c r="BM21" i="1" a="1"/>
  <c r="BE51" i="1" a="1"/>
  <c r="CE21" i="1" a="1"/>
  <c r="BN37" i="1" a="1"/>
  <c r="U37" i="1" a="1"/>
  <c r="CQ21" i="1" a="1"/>
  <c r="BI21" i="1" a="1"/>
  <c r="DG51" i="1" a="1"/>
  <c r="BL51" i="1" a="1"/>
  <c r="CO37" i="1" a="1"/>
  <c r="CG21" i="1" a="1"/>
  <c r="AI21" i="1" a="1"/>
  <c r="DF37" i="1" a="1"/>
  <c r="CL37" i="1" l="1"/>
  <c r="W51" i="1"/>
  <c r="CM21" i="1"/>
  <c r="BJ21" i="1"/>
  <c r="AU51" i="1"/>
  <c r="CC21" i="1"/>
  <c r="BI37" i="1"/>
  <c r="CF37" i="1"/>
  <c r="CN21" i="1"/>
  <c r="AJ37" i="1"/>
  <c r="BC37" i="1"/>
  <c r="AU37" i="1"/>
  <c r="Z21" i="1"/>
  <c r="AW21" i="1"/>
  <c r="DA21" i="1"/>
  <c r="AG51" i="1"/>
  <c r="DG51" i="1"/>
  <c r="BA51" i="1"/>
  <c r="AD51" i="1"/>
  <c r="BZ37" i="1"/>
  <c r="BE21" i="1"/>
  <c r="CE21" i="1"/>
  <c r="CG21" i="1"/>
  <c r="AH37" i="1"/>
  <c r="BZ51" i="1"/>
  <c r="CR21" i="1"/>
  <c r="AP37" i="1"/>
  <c r="CQ37" i="1"/>
  <c r="W21" i="1"/>
  <c r="BL51" i="1"/>
  <c r="AP21" i="1"/>
  <c r="BI51" i="1"/>
  <c r="CC37" i="1"/>
  <c r="AW37" i="1"/>
  <c r="AI37" i="1"/>
  <c r="CP51" i="1"/>
  <c r="DB21" i="1"/>
  <c r="BB21" i="1"/>
  <c r="V21" i="1"/>
  <c r="AJ21" i="1"/>
  <c r="AO51" i="1"/>
  <c r="CG51" i="1"/>
  <c r="E37" i="1"/>
  <c r="AG21" i="1"/>
  <c r="AC37" i="1"/>
  <c r="AN51" i="1"/>
  <c r="CO51" i="1"/>
  <c r="AC21" i="1"/>
  <c r="S37" i="1"/>
  <c r="BL37" i="1"/>
  <c r="E51" i="1"/>
  <c r="BJ37" i="1"/>
  <c r="BY21" i="1"/>
  <c r="U37" i="1"/>
  <c r="CK51" i="1"/>
  <c r="X21" i="1"/>
  <c r="BN51" i="1"/>
  <c r="DF21" i="1"/>
  <c r="BM21" i="1"/>
  <c r="AA37" i="1"/>
  <c r="BS21" i="1"/>
  <c r="BY37" i="1"/>
  <c r="AD21" i="1"/>
  <c r="DA51" i="1"/>
  <c r="BP37" i="1"/>
  <c r="CY37" i="1"/>
  <c r="AB37" i="1"/>
  <c r="BN21" i="1"/>
  <c r="CV51" i="1"/>
  <c r="CP21" i="1"/>
  <c r="Y51" i="1"/>
  <c r="BO37" i="1"/>
  <c r="AM51" i="1"/>
  <c r="BD21" i="1"/>
  <c r="BP51" i="1"/>
  <c r="AL51" i="1"/>
  <c r="AU21" i="1"/>
  <c r="BD37" i="1"/>
  <c r="AK51" i="1"/>
  <c r="BA37" i="1"/>
  <c r="CB37" i="1"/>
  <c r="Y37" i="1"/>
  <c r="BC21" i="1"/>
  <c r="AR37" i="1"/>
  <c r="BS37" i="1"/>
  <c r="CR37" i="1"/>
  <c r="BK51" i="1"/>
  <c r="AV37" i="1"/>
  <c r="CS21" i="1"/>
  <c r="BK37" i="1"/>
  <c r="DG37" i="1"/>
  <c r="AV21" i="1"/>
  <c r="CU37" i="1"/>
  <c r="AQ37" i="1"/>
  <c r="AK21" i="1"/>
  <c r="AZ51" i="1"/>
  <c r="AY51" i="1"/>
  <c r="CN51" i="1"/>
  <c r="CF51" i="1"/>
  <c r="CF21" i="1"/>
  <c r="DH51" i="1"/>
  <c r="AD37" i="1"/>
  <c r="AI21" i="1"/>
  <c r="CQ51" i="1"/>
  <c r="DJ51" i="1"/>
  <c r="BO51" i="1"/>
  <c r="DI21" i="1"/>
  <c r="Z37" i="1"/>
  <c r="DF37" i="1"/>
  <c r="AC51" i="1"/>
  <c r="BI21" i="1"/>
  <c r="AN21" i="1"/>
  <c r="DC37" i="1"/>
  <c r="AL21" i="1"/>
  <c r="BZ21" i="1"/>
  <c r="CB51" i="1"/>
  <c r="CA37" i="1"/>
  <c r="Y21" i="1"/>
  <c r="CY21" i="1"/>
  <c r="BD51" i="1"/>
  <c r="CN37" i="1"/>
  <c r="AH51" i="1"/>
  <c r="T51" i="1"/>
  <c r="BF37" i="1"/>
  <c r="CZ51" i="1"/>
  <c r="CT37" i="1"/>
  <c r="CO21" i="1"/>
  <c r="CQ21" i="1"/>
  <c r="BT37" i="1"/>
  <c r="CH37" i="1"/>
  <c r="BX37" i="1"/>
  <c r="CM51" i="1"/>
  <c r="BT51" i="1"/>
  <c r="BW21" i="1"/>
  <c r="CT21" i="1"/>
  <c r="CS37" i="1"/>
  <c r="CA51" i="1"/>
  <c r="AQ51" i="1"/>
  <c r="DC51" i="1"/>
  <c r="CS51" i="1"/>
  <c r="AV51" i="1"/>
  <c r="CZ37" i="1"/>
  <c r="AG37" i="1"/>
  <c r="BL21" i="1"/>
  <c r="CD51" i="1"/>
  <c r="DD21" i="1"/>
  <c r="DD37" i="1"/>
  <c r="CZ21" i="1"/>
  <c r="AX37" i="1"/>
  <c r="BC51" i="1"/>
  <c r="BE37" i="1"/>
  <c r="DJ21" i="1"/>
  <c r="DF51" i="1"/>
  <c r="V51" i="1"/>
  <c r="BQ21" i="1"/>
  <c r="CC51" i="1"/>
  <c r="CK37" i="1"/>
  <c r="BM37" i="1"/>
  <c r="CY51" i="1"/>
  <c r="CL51" i="1"/>
  <c r="S21" i="1"/>
  <c r="CH21" i="1"/>
  <c r="DE51" i="1"/>
  <c r="AI51" i="1"/>
  <c r="U21" i="1"/>
  <c r="AB21" i="1"/>
  <c r="BA21" i="1"/>
  <c r="AZ37" i="1"/>
  <c r="BR21" i="1"/>
  <c r="AB51" i="1"/>
  <c r="BP21" i="1"/>
  <c r="AW51" i="1"/>
  <c r="Z51" i="1"/>
  <c r="AZ21" i="1"/>
  <c r="BX51" i="1"/>
  <c r="AP51" i="1"/>
  <c r="CK21" i="1"/>
  <c r="CB21" i="1"/>
  <c r="BW37" i="1"/>
  <c r="CH51" i="1"/>
  <c r="AR51" i="1"/>
  <c r="AL37" i="1"/>
  <c r="AA51" i="1"/>
  <c r="CP37" i="1"/>
  <c r="BQ51" i="1"/>
  <c r="BR51" i="1"/>
  <c r="X51" i="1"/>
  <c r="DB51" i="1"/>
  <c r="BQ37" i="1"/>
  <c r="BN37" i="1"/>
  <c r="BF21" i="1"/>
  <c r="CA21" i="1"/>
  <c r="BO21" i="1"/>
  <c r="CU51" i="1"/>
  <c r="AQ21" i="1"/>
  <c r="AA21" i="1"/>
  <c r="AN37" i="1"/>
  <c r="V37" i="1"/>
  <c r="DG21" i="1"/>
  <c r="S51" i="1"/>
  <c r="CO37" i="1"/>
  <c r="BB51" i="1"/>
  <c r="DE21" i="1"/>
  <c r="BJ51" i="1"/>
  <c r="W37" i="1"/>
  <c r="AJ51" i="1"/>
  <c r="BB37" i="1"/>
  <c r="CV37" i="1"/>
  <c r="BE51" i="1"/>
  <c r="DB37" i="1"/>
  <c r="AY21" i="1"/>
  <c r="CD37" i="1"/>
  <c r="CR51" i="1"/>
  <c r="DH37" i="1"/>
  <c r="DC21" i="1"/>
  <c r="BK21" i="1"/>
  <c r="AR21" i="1"/>
  <c r="CT51" i="1"/>
  <c r="T37" i="1"/>
  <c r="CD21" i="1"/>
  <c r="AY37" i="1"/>
  <c r="T21" i="1"/>
  <c r="X37" i="1"/>
  <c r="CG37" i="1"/>
  <c r="BF51" i="1"/>
  <c r="U51" i="1"/>
  <c r="DJ37" i="1"/>
  <c r="DH21" i="1"/>
  <c r="CU21" i="1"/>
  <c r="CE51" i="1"/>
  <c r="CE37" i="1"/>
  <c r="AO37" i="1"/>
  <c r="DI37" i="1"/>
  <c r="AK37" i="1"/>
  <c r="BX21" i="1"/>
  <c r="BW51" i="1"/>
  <c r="AX21" i="1"/>
  <c r="AO21" i="1"/>
  <c r="BY51" i="1"/>
  <c r="AM21" i="1"/>
  <c r="BR37" i="1"/>
  <c r="AM37" i="1"/>
  <c r="AH21" i="1"/>
  <c r="DA37" i="1"/>
  <c r="DI51" i="1"/>
  <c r="DE37" i="1"/>
  <c r="BS51" i="1"/>
  <c r="DD51" i="1"/>
  <c r="AX51" i="1"/>
  <c r="BM51" i="1"/>
  <c r="CM37" i="1"/>
  <c r="BT21" i="1"/>
  <c r="CL21" i="1"/>
  <c r="CV21" i="1"/>
  <c r="BG23" i="1"/>
  <c r="AV23" i="1"/>
  <c r="AZ39" i="1"/>
  <c r="AZ9" i="1"/>
  <c r="G96" i="7"/>
  <c r="G72" i="7"/>
  <c r="G99" i="7"/>
  <c r="G57" i="7"/>
  <c r="G64" i="7"/>
  <c r="G67" i="7"/>
  <c r="G87" i="7"/>
  <c r="G91" i="7"/>
  <c r="G71" i="7"/>
  <c r="D13" i="7"/>
  <c r="D14" i="7" s="1"/>
  <c r="L13" i="8" a="1"/>
  <c r="L13" i="8" s="1"/>
  <c r="C16" i="8" a="1"/>
  <c r="C16" i="8" s="1"/>
  <c r="E16" i="8" s="1" a="1"/>
  <c r="E16" i="8" s="1"/>
  <c r="J15" i="8" a="1"/>
  <c r="J15" i="8" s="1"/>
  <c r="K13" i="8" a="1"/>
  <c r="K13" i="8" s="1"/>
  <c r="H15" i="8"/>
  <c r="F92" i="7"/>
  <c r="G75" i="7"/>
  <c r="G85" i="7"/>
  <c r="G79" i="7"/>
  <c r="G73" i="7"/>
  <c r="G59" i="7"/>
  <c r="F93" i="7"/>
  <c r="F76" i="7"/>
  <c r="F77" i="7"/>
  <c r="F68" i="7"/>
  <c r="F95" i="7"/>
  <c r="F56" i="7"/>
  <c r="F55" i="7"/>
  <c r="F100" i="7"/>
  <c r="F69" i="7"/>
  <c r="F60" i="7"/>
  <c r="F88" i="7"/>
  <c r="F61" i="7"/>
  <c r="F65" i="7"/>
  <c r="F101" i="7"/>
  <c r="F89" i="7"/>
  <c r="F97" i="7"/>
  <c r="F80" i="7"/>
  <c r="F81" i="7"/>
  <c r="F63" i="7"/>
  <c r="F83" i="7"/>
  <c r="F84" i="7"/>
  <c r="BC23" i="1"/>
  <c r="BB9" i="1"/>
  <c r="AY23" i="1"/>
  <c r="BG39" i="1"/>
  <c r="AC13" i="8"/>
  <c r="AD13" i="8"/>
  <c r="AB13" i="8"/>
  <c r="Z13" i="8"/>
  <c r="AA13" i="8"/>
  <c r="F13" i="8"/>
  <c r="G15" i="8" a="1"/>
  <c r="G15" i="8" s="1"/>
  <c r="F15" i="8" s="1"/>
  <c r="D14" i="8"/>
  <c r="I14" i="8" s="1" a="1"/>
  <c r="I14" i="8" s="1"/>
  <c r="K14" i="8" s="1" a="1"/>
  <c r="K14" i="8" s="1"/>
  <c r="F14" i="8"/>
  <c r="BC39" i="1"/>
  <c r="BE23" i="1"/>
  <c r="AW23" i="1"/>
  <c r="AX9" i="1"/>
  <c r="AW9" i="1"/>
  <c r="BD39" i="1"/>
  <c r="AU9" i="1"/>
  <c r="AV39" i="1"/>
  <c r="BG9" i="1"/>
  <c r="BI5" i="1"/>
  <c r="AY9" i="1"/>
  <c r="BF9" i="1"/>
  <c r="BC9" i="1"/>
  <c r="Y11" i="8"/>
  <c r="F51" i="1"/>
  <c r="G51" i="1" a="1"/>
  <c r="DD7" i="1" l="1"/>
  <c r="AH7" i="1"/>
  <c r="AH6" i="1" s="1"/>
  <c r="CU7" i="1"/>
  <c r="BB7" i="1"/>
  <c r="BB6" i="1" s="1"/>
  <c r="DE7" i="1"/>
  <c r="T7" i="1"/>
  <c r="T6" i="1" s="1"/>
  <c r="BC7" i="1"/>
  <c r="BC6" i="1" s="1"/>
  <c r="AA7" i="1"/>
  <c r="AA6" i="1" s="1"/>
  <c r="AI7" i="1"/>
  <c r="AI6" i="1" s="1"/>
  <c r="AK7" i="1"/>
  <c r="AK6" i="1" s="1"/>
  <c r="AB7" i="1"/>
  <c r="AB6" i="1" s="1"/>
  <c r="BM7" i="1"/>
  <c r="CH7" i="1"/>
  <c r="CQ7" i="1"/>
  <c r="BS7" i="1"/>
  <c r="CT7" i="1"/>
  <c r="AQ7" i="1"/>
  <c r="AQ6" i="1" s="1"/>
  <c r="BP7" i="1"/>
  <c r="Y7" i="1"/>
  <c r="Y6" i="1" s="1"/>
  <c r="AD7" i="1"/>
  <c r="AD6" i="1" s="1"/>
  <c r="V7" i="1"/>
  <c r="V6" i="1" s="1"/>
  <c r="U7" i="1"/>
  <c r="U6" i="1" s="1"/>
  <c r="AU7" i="1"/>
  <c r="AU6" i="1" s="1"/>
  <c r="CF7" i="1"/>
  <c r="BZ7" i="1"/>
  <c r="CV7" i="1"/>
  <c r="AZ7" i="1"/>
  <c r="AZ6" i="1" s="1"/>
  <c r="BL7" i="1"/>
  <c r="BD7" i="1"/>
  <c r="BD6" i="1" s="1"/>
  <c r="AC7" i="1"/>
  <c r="AC6" i="1" s="1"/>
  <c r="CR7" i="1"/>
  <c r="DB7" i="1"/>
  <c r="BQ7" i="1"/>
  <c r="CD7" i="1"/>
  <c r="AY7" i="1"/>
  <c r="AY6" i="1" s="1"/>
  <c r="CB7" i="1"/>
  <c r="CC7" i="1"/>
  <c r="CN7" i="1"/>
  <c r="CL7" i="1"/>
  <c r="AL7" i="1"/>
  <c r="AL6" i="1" s="1"/>
  <c r="BW7" i="1"/>
  <c r="AW7" i="1"/>
  <c r="BR7" i="1"/>
  <c r="AM7" i="1"/>
  <c r="AM6" i="1" s="1"/>
  <c r="AO7" i="1"/>
  <c r="AO6" i="1" s="1"/>
  <c r="BK7" i="1"/>
  <c r="AE51" i="1"/>
  <c r="CA7" i="1"/>
  <c r="CW37" i="1"/>
  <c r="DJ7" i="1"/>
  <c r="CS7" i="1"/>
  <c r="AN7" i="1"/>
  <c r="AN6" i="1" s="1"/>
  <c r="BO7" i="1"/>
  <c r="X7" i="1"/>
  <c r="X6" i="1" s="1"/>
  <c r="BU51" i="1"/>
  <c r="DG7" i="1"/>
  <c r="CO7" i="1"/>
  <c r="DK37" i="1"/>
  <c r="BF7" i="1"/>
  <c r="BF6" i="1" s="1"/>
  <c r="DI7" i="1"/>
  <c r="AX7" i="1"/>
  <c r="AX6" i="1" s="1"/>
  <c r="AR7" i="1"/>
  <c r="AR6" i="1" s="1"/>
  <c r="DF7" i="1"/>
  <c r="DH7" i="1"/>
  <c r="Z7" i="1"/>
  <c r="Z6" i="1" s="1"/>
  <c r="DC7" i="1"/>
  <c r="BE7" i="1"/>
  <c r="BE6" i="1" s="1"/>
  <c r="CP7" i="1"/>
  <c r="AE37" i="1"/>
  <c r="CW51" i="1"/>
  <c r="BT7" i="1"/>
  <c r="CZ7" i="1"/>
  <c r="CM7" i="1"/>
  <c r="BN7" i="1"/>
  <c r="BJ7" i="1"/>
  <c r="BY7" i="1"/>
  <c r="W7" i="1"/>
  <c r="W6" i="1" s="1"/>
  <c r="AP7" i="1"/>
  <c r="AP6" i="1" s="1"/>
  <c r="CI37" i="1"/>
  <c r="CI51" i="1"/>
  <c r="DK51" i="1"/>
  <c r="CG7" i="1"/>
  <c r="DA7" i="1"/>
  <c r="BG37" i="1"/>
  <c r="AS21" i="1"/>
  <c r="BU21" i="1"/>
  <c r="BU37" i="1"/>
  <c r="BG51" i="1"/>
  <c r="AS51" i="1"/>
  <c r="BG21" i="1"/>
  <c r="AG7" i="1"/>
  <c r="AG6" i="1" s="1"/>
  <c r="DK21" i="1"/>
  <c r="CK7" i="1"/>
  <c r="S7" i="1"/>
  <c r="S6" i="1" s="1"/>
  <c r="AJ7" i="1"/>
  <c r="AJ6" i="1" s="1"/>
  <c r="BA7" i="1"/>
  <c r="BA6" i="1" s="1"/>
  <c r="CW21" i="1"/>
  <c r="AE21" i="1"/>
  <c r="BI7" i="1"/>
  <c r="CI21" i="1"/>
  <c r="CE7" i="1"/>
  <c r="AS37" i="1"/>
  <c r="AV7" i="1"/>
  <c r="AV6" i="1" s="1"/>
  <c r="BX7" i="1"/>
  <c r="CY7" i="1"/>
  <c r="AW6" i="1"/>
  <c r="H16" i="8"/>
  <c r="G16" i="8" a="1"/>
  <c r="G16" i="8" s="1"/>
  <c r="J92" i="7" a="1"/>
  <c r="J92" i="7" s="1"/>
  <c r="G92" i="7"/>
  <c r="M13" i="8" a="1"/>
  <c r="M13" i="8" s="1"/>
  <c r="N13" i="8" a="1"/>
  <c r="N13" i="8" s="1"/>
  <c r="C17" i="8" a="1"/>
  <c r="C17" i="8" s="1"/>
  <c r="J16" i="8" a="1"/>
  <c r="J16" i="8" s="1"/>
  <c r="J89" i="7" a="1"/>
  <c r="J89" i="7" s="1"/>
  <c r="G89" i="7"/>
  <c r="J101" i="7" a="1"/>
  <c r="J101" i="7" s="1"/>
  <c r="G101" i="7"/>
  <c r="J55" i="7" a="1"/>
  <c r="J55" i="7" s="1"/>
  <c r="G55" i="7"/>
  <c r="J84" i="7" a="1"/>
  <c r="J84" i="7" s="1"/>
  <c r="G84" i="7"/>
  <c r="J65" i="7" a="1"/>
  <c r="J65" i="7" s="1"/>
  <c r="G65" i="7"/>
  <c r="J56" i="7" a="1"/>
  <c r="J56" i="7" s="1"/>
  <c r="G56" i="7"/>
  <c r="J83" i="7" a="1"/>
  <c r="J83" i="7" s="1"/>
  <c r="G83" i="7"/>
  <c r="J61" i="7" a="1"/>
  <c r="J61" i="7" s="1"/>
  <c r="G61" i="7"/>
  <c r="J95" i="7" a="1"/>
  <c r="J95" i="7" s="1"/>
  <c r="G95" i="7"/>
  <c r="J63" i="7" a="1"/>
  <c r="J63" i="7" s="1"/>
  <c r="G63" i="7"/>
  <c r="J88" i="7" a="1"/>
  <c r="J88" i="7" s="1"/>
  <c r="G88" i="7"/>
  <c r="J68" i="7" a="1"/>
  <c r="J68" i="7" s="1"/>
  <c r="G68" i="7"/>
  <c r="J81" i="7" a="1"/>
  <c r="J81" i="7" s="1"/>
  <c r="G81" i="7"/>
  <c r="J60" i="7" a="1"/>
  <c r="J60" i="7" s="1"/>
  <c r="G60" i="7"/>
  <c r="J77" i="7" a="1"/>
  <c r="J77" i="7" s="1"/>
  <c r="G77" i="7"/>
  <c r="J80" i="7" a="1"/>
  <c r="J80" i="7" s="1"/>
  <c r="G80" i="7"/>
  <c r="J69" i="7" a="1"/>
  <c r="J69" i="7" s="1"/>
  <c r="G69" i="7"/>
  <c r="J76" i="7" a="1"/>
  <c r="J76" i="7" s="1"/>
  <c r="G76" i="7"/>
  <c r="J97" i="7" a="1"/>
  <c r="J97" i="7" s="1"/>
  <c r="G97" i="7"/>
  <c r="J100" i="7" a="1"/>
  <c r="J100" i="7" s="1"/>
  <c r="G100" i="7"/>
  <c r="J93" i="7" a="1"/>
  <c r="J93" i="7" s="1"/>
  <c r="G93" i="7"/>
  <c r="F16" i="8"/>
  <c r="Q16" i="8" s="1"/>
  <c r="O13" i="8"/>
  <c r="W13" i="8"/>
  <c r="R13" i="8"/>
  <c r="V13" i="8"/>
  <c r="X13" i="8"/>
  <c r="S13" i="8"/>
  <c r="Q13" i="8"/>
  <c r="T13" i="8"/>
  <c r="P13" i="8"/>
  <c r="D15" i="8"/>
  <c r="I15" i="8" s="1" a="1"/>
  <c r="I15" i="8" s="1"/>
  <c r="K15" i="8" s="1" a="1"/>
  <c r="K15" i="8" s="1"/>
  <c r="N14" i="8" a="1"/>
  <c r="N14" i="8" s="1"/>
  <c r="M14" i="8" a="1"/>
  <c r="M14" i="8" s="1"/>
  <c r="BQ39" i="1"/>
  <c r="BK23" i="1"/>
  <c r="BR39" i="1"/>
  <c r="BJ39" i="1"/>
  <c r="BS9" i="1"/>
  <c r="BT9" i="1"/>
  <c r="BW5" i="1"/>
  <c r="BL9" i="1"/>
  <c r="BS23" i="1"/>
  <c r="BK9" i="1"/>
  <c r="BM23" i="1"/>
  <c r="BP9" i="1"/>
  <c r="BR9" i="1"/>
  <c r="BJ9" i="1"/>
  <c r="BL23" i="1"/>
  <c r="BU23" i="1"/>
  <c r="BO23" i="1"/>
  <c r="BI23" i="1"/>
  <c r="BN9" i="1"/>
  <c r="BT23" i="1"/>
  <c r="BL39" i="1"/>
  <c r="BN39" i="1"/>
  <c r="BQ23" i="1"/>
  <c r="BK39" i="1"/>
  <c r="BT39" i="1"/>
  <c r="BP23" i="1"/>
  <c r="BP39" i="1"/>
  <c r="BM39" i="1"/>
  <c r="BU39" i="1"/>
  <c r="BS39" i="1"/>
  <c r="BO9" i="1"/>
  <c r="BO39" i="1"/>
  <c r="BJ23" i="1"/>
  <c r="BM9" i="1"/>
  <c r="BN23" i="1"/>
  <c r="BI9" i="1"/>
  <c r="BR23" i="1"/>
  <c r="BU9" i="1"/>
  <c r="BQ9" i="1"/>
  <c r="BI39" i="1"/>
  <c r="G51" i="1"/>
  <c r="F39" i="1"/>
  <c r="K39" i="1"/>
  <c r="Q50" i="1"/>
  <c r="Q49" i="1"/>
  <c r="Q48" i="1"/>
  <c r="Q47" i="1"/>
  <c r="Q46" i="1"/>
  <c r="Q45" i="1"/>
  <c r="Q44" i="1"/>
  <c r="Q43" i="1"/>
  <c r="Q42" i="1"/>
  <c r="Q41" i="1"/>
  <c r="Q40" i="1"/>
  <c r="Q34" i="1"/>
  <c r="Q33" i="1"/>
  <c r="Q32" i="1"/>
  <c r="G23" i="1"/>
  <c r="F23" i="1"/>
  <c r="Q11" i="1"/>
  <c r="Q12" i="1"/>
  <c r="Q13" i="1"/>
  <c r="Q14" i="1"/>
  <c r="Q15" i="1"/>
  <c r="Q16" i="1"/>
  <c r="Q17" i="1"/>
  <c r="Q18" i="1"/>
  <c r="Q19" i="1"/>
  <c r="Q20" i="1"/>
  <c r="P9" i="1"/>
  <c r="G21" i="1" a="1"/>
  <c r="L37" i="1" a="1"/>
  <c r="N21" i="1" a="1"/>
  <c r="L51" i="1" a="1"/>
  <c r="K51" i="1" a="1"/>
  <c r="F37" i="1" a="1"/>
  <c r="M51" i="1" a="1"/>
  <c r="P37" i="1" a="1"/>
  <c r="J37" i="1" a="1"/>
  <c r="I21" i="1" a="1"/>
  <c r="K21" i="1" a="1"/>
  <c r="O21" i="1" a="1"/>
  <c r="E21" i="1" a="1"/>
  <c r="F21" i="1" a="1"/>
  <c r="P21" i="1" a="1"/>
  <c r="O37" i="1" a="1"/>
  <c r="H21" i="1" a="1"/>
  <c r="N51" i="1" a="1"/>
  <c r="L21" i="1" a="1"/>
  <c r="N37" i="1" a="1"/>
  <c r="G37" i="1" a="1"/>
  <c r="J21" i="1" a="1"/>
  <c r="M37" i="1" a="1"/>
  <c r="O51" i="1" a="1"/>
  <c r="K37" i="1" a="1"/>
  <c r="J51" i="1" a="1"/>
  <c r="H37" i="1" a="1"/>
  <c r="H51" i="1" a="1"/>
  <c r="I37" i="1" a="1"/>
  <c r="M21" i="1" a="1"/>
  <c r="I51" i="1" a="1"/>
  <c r="P51" i="1" a="1"/>
  <c r="BP6" i="1" l="1"/>
  <c r="BL6" i="1"/>
  <c r="BM6" i="1"/>
  <c r="BK6" i="1"/>
  <c r="BS6" i="1"/>
  <c r="BQ6" i="1"/>
  <c r="BO6" i="1"/>
  <c r="BR6" i="1"/>
  <c r="AE7" i="1"/>
  <c r="CW7" i="1"/>
  <c r="DK7" i="1"/>
  <c r="BT6" i="1"/>
  <c r="BG7" i="1"/>
  <c r="BJ6" i="1"/>
  <c r="BN6" i="1"/>
  <c r="BU7" i="1"/>
  <c r="AS7" i="1"/>
  <c r="CI7" i="1"/>
  <c r="BI6" i="1"/>
  <c r="M15" i="8" a="1"/>
  <c r="M15" i="8" s="1"/>
  <c r="V15" i="8" s="1"/>
  <c r="N15" i="8" a="1"/>
  <c r="N15" i="8" s="1"/>
  <c r="P16" i="8"/>
  <c r="C18" i="8" a="1"/>
  <c r="C18" i="8" s="1"/>
  <c r="J17" i="8" a="1"/>
  <c r="J17" i="8" s="1"/>
  <c r="G17" i="8" a="1"/>
  <c r="G17" i="8" s="1"/>
  <c r="E17" i="8" a="1"/>
  <c r="E17" i="8" s="1"/>
  <c r="H17" i="8"/>
  <c r="X16" i="8"/>
  <c r="V16" i="8"/>
  <c r="S16" i="8"/>
  <c r="W16" i="8"/>
  <c r="Y13" i="8"/>
  <c r="M16" i="8" a="1"/>
  <c r="M16" i="8" s="1"/>
  <c r="N16" i="8" a="1"/>
  <c r="N16" i="8" s="1"/>
  <c r="R16" i="8"/>
  <c r="T16" i="8"/>
  <c r="O16" i="8"/>
  <c r="O14" i="8"/>
  <c r="U16" i="8"/>
  <c r="D16" i="8"/>
  <c r="I16" i="8" s="1" a="1"/>
  <c r="I16" i="8" s="1"/>
  <c r="K16" i="8" s="1" a="1"/>
  <c r="K16" i="8" s="1"/>
  <c r="Q14" i="8"/>
  <c r="T14" i="8"/>
  <c r="V14" i="8"/>
  <c r="CE39" i="1"/>
  <c r="CC39" i="1"/>
  <c r="CD23" i="1"/>
  <c r="BY39" i="1"/>
  <c r="CK5" i="1"/>
  <c r="BX39" i="1"/>
  <c r="BY23" i="1"/>
  <c r="CA9" i="1"/>
  <c r="CA6" i="1" s="1"/>
  <c r="BW9" i="1"/>
  <c r="BW6" i="1" s="1"/>
  <c r="BZ9" i="1"/>
  <c r="BZ6" i="1" s="1"/>
  <c r="BY9" i="1"/>
  <c r="BY6" i="1" s="1"/>
  <c r="BZ23" i="1"/>
  <c r="CG39" i="1"/>
  <c r="CH23" i="1"/>
  <c r="CI9" i="1"/>
  <c r="CE9" i="1"/>
  <c r="CE6" i="1" s="1"/>
  <c r="CF39" i="1"/>
  <c r="CG23" i="1"/>
  <c r="CH9" i="1"/>
  <c r="CH6" i="1" s="1"/>
  <c r="CG9" i="1"/>
  <c r="CG6" i="1" s="1"/>
  <c r="CI39" i="1"/>
  <c r="CE23" i="1"/>
  <c r="CB9" i="1"/>
  <c r="CB6" i="1" s="1"/>
  <c r="CC9" i="1"/>
  <c r="CC6" i="1" s="1"/>
  <c r="CD39" i="1"/>
  <c r="BW23" i="1"/>
  <c r="CA23" i="1"/>
  <c r="CD9" i="1"/>
  <c r="CD6" i="1" s="1"/>
  <c r="BX23" i="1"/>
  <c r="CA39" i="1"/>
  <c r="CI23" i="1"/>
  <c r="CC23" i="1"/>
  <c r="CF23" i="1"/>
  <c r="BZ39" i="1"/>
  <c r="CB39" i="1"/>
  <c r="BW39" i="1"/>
  <c r="CH39" i="1"/>
  <c r="BX9" i="1"/>
  <c r="BX6" i="1" s="1"/>
  <c r="CB23" i="1"/>
  <c r="CF9" i="1"/>
  <c r="CF6" i="1" s="1"/>
  <c r="M51" i="1"/>
  <c r="I51" i="1"/>
  <c r="J51" i="1"/>
  <c r="P51" i="1"/>
  <c r="L51" i="1"/>
  <c r="H51" i="1"/>
  <c r="N51" i="1"/>
  <c r="O51" i="1"/>
  <c r="K51" i="1"/>
  <c r="K23" i="1"/>
  <c r="E39" i="1"/>
  <c r="L23" i="1"/>
  <c r="M23" i="1"/>
  <c r="N23" i="1"/>
  <c r="N39" i="1"/>
  <c r="O23" i="1"/>
  <c r="M39" i="1"/>
  <c r="E23" i="1"/>
  <c r="L39" i="1"/>
  <c r="J39" i="1"/>
  <c r="H23" i="1"/>
  <c r="P23" i="1"/>
  <c r="Q39" i="1"/>
  <c r="I39" i="1"/>
  <c r="I23" i="1"/>
  <c r="Q23" i="1"/>
  <c r="P39" i="1"/>
  <c r="H39" i="1"/>
  <c r="J23" i="1"/>
  <c r="O39" i="1"/>
  <c r="G39" i="1"/>
  <c r="M37" i="1"/>
  <c r="I37" i="1"/>
  <c r="H37" i="1"/>
  <c r="P37" i="1"/>
  <c r="L37" i="1"/>
  <c r="G37" i="1"/>
  <c r="K64" i="7" s="1" a="1"/>
  <c r="K64" i="7" s="1"/>
  <c r="O37" i="1"/>
  <c r="K37" i="1"/>
  <c r="N37" i="1"/>
  <c r="J37" i="1"/>
  <c r="F37" i="1"/>
  <c r="M21" i="1"/>
  <c r="I21" i="1"/>
  <c r="K71" i="7" s="1" a="1"/>
  <c r="K71" i="7" s="1"/>
  <c r="P21" i="1"/>
  <c r="H21" i="1"/>
  <c r="L21" i="1"/>
  <c r="K21" i="1"/>
  <c r="G21" i="1"/>
  <c r="O21" i="1"/>
  <c r="N21" i="1"/>
  <c r="J21" i="1"/>
  <c r="K75" i="7" s="1" a="1"/>
  <c r="K75" i="7" s="1"/>
  <c r="F21" i="1"/>
  <c r="E21" i="1"/>
  <c r="I9" i="1"/>
  <c r="Q9" i="1"/>
  <c r="J9" i="1"/>
  <c r="K9" i="1"/>
  <c r="L9" i="1"/>
  <c r="F9" i="1"/>
  <c r="E9" i="1"/>
  <c r="N9" i="1"/>
  <c r="M9" i="1"/>
  <c r="G9" i="1"/>
  <c r="O9" i="1"/>
  <c r="H9" i="1"/>
  <c r="P14" i="8"/>
  <c r="O15" i="8" l="1"/>
  <c r="T15" i="8"/>
  <c r="Q15" i="8"/>
  <c r="K101" i="7" a="1"/>
  <c r="K101" i="7" s="1"/>
  <c r="M101" i="7" s="1"/>
  <c r="K95" i="7" a="1"/>
  <c r="K95" i="7" s="1"/>
  <c r="M95" i="7" s="1"/>
  <c r="K56" i="7" a="1"/>
  <c r="K56" i="7" s="1"/>
  <c r="P56" i="7" s="1"/>
  <c r="K100" i="7" a="1"/>
  <c r="K100" i="7" s="1"/>
  <c r="P100" i="7" s="1"/>
  <c r="K77" i="7" a="1"/>
  <c r="K77" i="7" s="1"/>
  <c r="M77" i="7" s="1"/>
  <c r="K63" i="7" a="1"/>
  <c r="K63" i="7" s="1"/>
  <c r="M63" i="7" s="1"/>
  <c r="K60" i="7" a="1"/>
  <c r="K60" i="7" s="1"/>
  <c r="P60" i="7" s="1"/>
  <c r="K68" i="7" a="1"/>
  <c r="K68" i="7" s="1"/>
  <c r="P68" i="7" s="1"/>
  <c r="K73" i="7" a="1"/>
  <c r="K73" i="7" s="1"/>
  <c r="L73" i="7" s="1"/>
  <c r="K87" i="7" a="1"/>
  <c r="K87" i="7" s="1"/>
  <c r="P87" i="7" s="1"/>
  <c r="K79" i="7" a="1"/>
  <c r="K79" i="7" s="1"/>
  <c r="L79" i="7" s="1"/>
  <c r="K76" i="7" a="1"/>
  <c r="K76" i="7" s="1"/>
  <c r="P76" i="7" s="1"/>
  <c r="K72" i="7" a="1"/>
  <c r="K72" i="7" s="1"/>
  <c r="M72" i="7" s="1"/>
  <c r="K81" i="7" a="1"/>
  <c r="K81" i="7" s="1"/>
  <c r="L81" i="7" s="1"/>
  <c r="K89" i="7" a="1"/>
  <c r="K89" i="7" s="1"/>
  <c r="M89" i="7" s="1"/>
  <c r="K84" i="7" a="1"/>
  <c r="K84" i="7" s="1"/>
  <c r="P84" i="7" s="1"/>
  <c r="K92" i="7" a="1"/>
  <c r="K92" i="7" s="1"/>
  <c r="L92" i="7" s="1"/>
  <c r="K88" i="7" a="1"/>
  <c r="K88" i="7" s="1"/>
  <c r="P88" i="7" s="1"/>
  <c r="K97" i="7" a="1"/>
  <c r="K97" i="7" s="1"/>
  <c r="L97" i="7" s="1"/>
  <c r="K91" i="7" a="1"/>
  <c r="K91" i="7" s="1"/>
  <c r="M91" i="7" s="1"/>
  <c r="K83" i="7" a="1"/>
  <c r="K83" i="7" s="1"/>
  <c r="L83" i="7" s="1"/>
  <c r="K67" i="7" a="1"/>
  <c r="K67" i="7" s="1"/>
  <c r="P67" i="7" s="1"/>
  <c r="K80" i="7" a="1"/>
  <c r="K80" i="7" s="1"/>
  <c r="L80" i="7" s="1"/>
  <c r="K93" i="7" a="1"/>
  <c r="K93" i="7" s="1"/>
  <c r="P93" i="7" s="1"/>
  <c r="K85" i="7" a="1"/>
  <c r="K85" i="7" s="1"/>
  <c r="P85" i="7" s="1"/>
  <c r="K57" i="7" a="1"/>
  <c r="K57" i="7" s="1"/>
  <c r="L14" i="8" a="1"/>
  <c r="L14" i="8" s="1"/>
  <c r="K61" i="7" a="1"/>
  <c r="K61" i="7" s="1"/>
  <c r="K59" i="7" a="1"/>
  <c r="K59" i="7" s="1"/>
  <c r="P59" i="7" s="1"/>
  <c r="K99" i="7" a="1"/>
  <c r="K99" i="7" s="1"/>
  <c r="M99" i="7" s="1"/>
  <c r="K96" i="7" a="1"/>
  <c r="K96" i="7" s="1"/>
  <c r="P96" i="7" s="1"/>
  <c r="K69" i="7" a="1"/>
  <c r="K69" i="7" s="1"/>
  <c r="M69" i="7" s="1"/>
  <c r="K65" i="7" a="1"/>
  <c r="K65" i="7" s="1"/>
  <c r="E7" i="1"/>
  <c r="E6" i="1" s="1"/>
  <c r="AC17" i="8"/>
  <c r="AA17" i="8"/>
  <c r="AD17" i="8"/>
  <c r="Z17" i="8"/>
  <c r="AB17" i="8"/>
  <c r="L17" i="8" a="1"/>
  <c r="L17" i="8" s="1"/>
  <c r="K17" i="8" a="1"/>
  <c r="K17" i="8" s="1"/>
  <c r="D17" i="8"/>
  <c r="I17" i="8" s="1" a="1"/>
  <c r="I17" i="8" s="1"/>
  <c r="F17" i="8"/>
  <c r="C19" i="8" a="1"/>
  <c r="C19" i="8" s="1"/>
  <c r="J18" i="8" a="1"/>
  <c r="J18" i="8" s="1"/>
  <c r="E18" i="8" a="1"/>
  <c r="E18" i="8" s="1"/>
  <c r="G18" i="8" a="1"/>
  <c r="G18" i="8" s="1"/>
  <c r="H18" i="8"/>
  <c r="M75" i="7"/>
  <c r="P75" i="7"/>
  <c r="M71" i="7"/>
  <c r="P71" i="7"/>
  <c r="M64" i="7"/>
  <c r="P64" i="7"/>
  <c r="L75" i="7"/>
  <c r="L71" i="7"/>
  <c r="L64" i="7"/>
  <c r="K55" i="7" a="1"/>
  <c r="K55" i="7" s="1"/>
  <c r="P55" i="7" s="1"/>
  <c r="CS39" i="1"/>
  <c r="CY5" i="1"/>
  <c r="CU23" i="1"/>
  <c r="CM23" i="1"/>
  <c r="CT39" i="1"/>
  <c r="CL39" i="1"/>
  <c r="CV9" i="1"/>
  <c r="CV6" i="1" s="1"/>
  <c r="CN9" i="1"/>
  <c r="CN6" i="1" s="1"/>
  <c r="CM39" i="1"/>
  <c r="CQ9" i="1"/>
  <c r="CQ6" i="1" s="1"/>
  <c r="CR23" i="1"/>
  <c r="CM9" i="1"/>
  <c r="CM6" i="1" s="1"/>
  <c r="CU39" i="1"/>
  <c r="CP23" i="1"/>
  <c r="CQ39" i="1"/>
  <c r="CU9" i="1"/>
  <c r="CU6" i="1" s="1"/>
  <c r="CV23" i="1"/>
  <c r="CO9" i="1"/>
  <c r="CO6" i="1" s="1"/>
  <c r="CO39" i="1"/>
  <c r="CS9" i="1"/>
  <c r="CS6" i="1" s="1"/>
  <c r="CL23" i="1"/>
  <c r="CP9" i="1"/>
  <c r="CP6" i="1" s="1"/>
  <c r="CW39" i="1"/>
  <c r="CL9" i="1"/>
  <c r="CL6" i="1" s="1"/>
  <c r="CT23" i="1"/>
  <c r="CK9" i="1"/>
  <c r="CK6" i="1" s="1"/>
  <c r="CO23" i="1"/>
  <c r="CR9" i="1"/>
  <c r="CR6" i="1" s="1"/>
  <c r="CT9" i="1"/>
  <c r="CT6" i="1" s="1"/>
  <c r="CK39" i="1"/>
  <c r="CW9" i="1"/>
  <c r="CW23" i="1"/>
  <c r="CQ23" i="1"/>
  <c r="CK23" i="1"/>
  <c r="CN23" i="1"/>
  <c r="CN39" i="1"/>
  <c r="CP39" i="1"/>
  <c r="CS23" i="1"/>
  <c r="CV39" i="1"/>
  <c r="CR39" i="1"/>
  <c r="L7" i="1"/>
  <c r="L6" i="1" s="1"/>
  <c r="K7" i="1"/>
  <c r="K6" i="1" s="1"/>
  <c r="P7" i="1"/>
  <c r="P6" i="1" s="1"/>
  <c r="H7" i="1"/>
  <c r="H6" i="1" s="1"/>
  <c r="F7" i="1"/>
  <c r="F6" i="1" s="1"/>
  <c r="J7" i="1"/>
  <c r="J6" i="1" s="1"/>
  <c r="M7" i="1"/>
  <c r="M6" i="1" s="1"/>
  <c r="I7" i="1"/>
  <c r="I6" i="1" s="1"/>
  <c r="N7" i="1"/>
  <c r="N6" i="1" s="1"/>
  <c r="O7" i="1"/>
  <c r="O6" i="1" s="1"/>
  <c r="G7" i="1"/>
  <c r="G6" i="1" s="1"/>
  <c r="Q51" i="1"/>
  <c r="Q37" i="1"/>
  <c r="Q21" i="1"/>
  <c r="P15" i="8"/>
  <c r="M79" i="7" l="1"/>
  <c r="P79" i="7"/>
  <c r="L101" i="7"/>
  <c r="R101" i="7" s="1"/>
  <c r="L87" i="7"/>
  <c r="N87" i="7" s="1"/>
  <c r="L76" i="7"/>
  <c r="N76" i="7" s="1"/>
  <c r="M56" i="7"/>
  <c r="M76" i="7"/>
  <c r="L95" i="7"/>
  <c r="R95" i="7" s="1"/>
  <c r="P95" i="7"/>
  <c r="M88" i="7"/>
  <c r="M87" i="7"/>
  <c r="P73" i="7"/>
  <c r="M81" i="7"/>
  <c r="P92" i="7"/>
  <c r="M92" i="7"/>
  <c r="L88" i="7"/>
  <c r="Q88" i="7" s="1"/>
  <c r="L59" i="7"/>
  <c r="N59" i="7" s="1"/>
  <c r="P83" i="7"/>
  <c r="P97" i="7"/>
  <c r="L85" i="7"/>
  <c r="R85" i="7" s="1"/>
  <c r="M85" i="7"/>
  <c r="P101" i="7"/>
  <c r="M73" i="7"/>
  <c r="M97" i="7"/>
  <c r="L56" i="7"/>
  <c r="N56" i="7" s="1"/>
  <c r="M67" i="7"/>
  <c r="P81" i="7"/>
  <c r="L99" i="7"/>
  <c r="R99" i="7" s="1"/>
  <c r="L67" i="7"/>
  <c r="N67" i="7" s="1"/>
  <c r="P63" i="7"/>
  <c r="L63" i="7"/>
  <c r="Q63" i="7" s="1"/>
  <c r="P99" i="7"/>
  <c r="L60" i="7"/>
  <c r="R60" i="7" s="1"/>
  <c r="M60" i="7"/>
  <c r="M93" i="7"/>
  <c r="M59" i="7"/>
  <c r="L72" i="7"/>
  <c r="R72" i="7" s="1"/>
  <c r="P72" i="7"/>
  <c r="M83" i="7"/>
  <c r="L77" i="7"/>
  <c r="Q77" i="7" s="1"/>
  <c r="P77" i="7"/>
  <c r="L68" i="7"/>
  <c r="R68" i="7" s="1"/>
  <c r="L100" i="7"/>
  <c r="N100" i="7" s="1"/>
  <c r="L91" i="7"/>
  <c r="N91" i="7" s="1"/>
  <c r="P91" i="7"/>
  <c r="M84" i="7"/>
  <c r="M96" i="7"/>
  <c r="M100" i="7"/>
  <c r="P80" i="7"/>
  <c r="M80" i="7"/>
  <c r="M68" i="7"/>
  <c r="L93" i="7"/>
  <c r="N93" i="7" s="1"/>
  <c r="L89" i="7"/>
  <c r="N89" i="7" s="1"/>
  <c r="M61" i="7"/>
  <c r="L61" i="7"/>
  <c r="P61" i="7"/>
  <c r="P69" i="7"/>
  <c r="P89" i="7"/>
  <c r="L84" i="7"/>
  <c r="O84" i="7" s="1"/>
  <c r="L69" i="7"/>
  <c r="N69" i="7" s="1"/>
  <c r="P57" i="7"/>
  <c r="L57" i="7"/>
  <c r="M57" i="7"/>
  <c r="L96" i="7"/>
  <c r="R96" i="7" s="1"/>
  <c r="L65" i="7"/>
  <c r="P65" i="7"/>
  <c r="M65" i="7"/>
  <c r="L15" i="8" a="1"/>
  <c r="L15" i="8" s="1"/>
  <c r="L16" i="8" a="1"/>
  <c r="L16" i="8" s="1"/>
  <c r="F18" i="8"/>
  <c r="D18" i="8"/>
  <c r="L18" i="8" a="1"/>
  <c r="L18" i="8" s="1"/>
  <c r="C20" i="8" a="1"/>
  <c r="C20" i="8" s="1"/>
  <c r="J19" i="8" a="1"/>
  <c r="J19" i="8" s="1"/>
  <c r="G19" i="8" a="1"/>
  <c r="G19" i="8" s="1"/>
  <c r="E19" i="8" a="1"/>
  <c r="E19" i="8" s="1"/>
  <c r="H19" i="8"/>
  <c r="W17" i="8"/>
  <c r="V17" i="8"/>
  <c r="S17" i="8"/>
  <c r="R17" i="8"/>
  <c r="P17" i="8"/>
  <c r="T17" i="8"/>
  <c r="U17" i="8"/>
  <c r="M17" i="8" a="1"/>
  <c r="M17" i="8" s="1"/>
  <c r="X17" i="8"/>
  <c r="N17" i="8" a="1"/>
  <c r="N17" i="8" s="1"/>
  <c r="Q17" i="8"/>
  <c r="O17" i="8"/>
  <c r="Q71" i="7"/>
  <c r="R71" i="7"/>
  <c r="Q73" i="7"/>
  <c r="R73" i="7"/>
  <c r="R79" i="7"/>
  <c r="Q79" i="7"/>
  <c r="Q75" i="7"/>
  <c r="R75" i="7"/>
  <c r="Q97" i="7"/>
  <c r="R97" i="7"/>
  <c r="Q64" i="7"/>
  <c r="R64" i="7"/>
  <c r="Q81" i="7"/>
  <c r="R81" i="7"/>
  <c r="Q80" i="7"/>
  <c r="R80" i="7"/>
  <c r="Q92" i="7"/>
  <c r="R92" i="7"/>
  <c r="R83" i="7"/>
  <c r="Q83" i="7"/>
  <c r="M55" i="7"/>
  <c r="N64" i="7"/>
  <c r="O64" i="7"/>
  <c r="N71" i="7"/>
  <c r="O71" i="7"/>
  <c r="N73" i="7"/>
  <c r="O73" i="7"/>
  <c r="N79" i="7"/>
  <c r="O79" i="7"/>
  <c r="N75" i="7"/>
  <c r="O75" i="7"/>
  <c r="N97" i="7"/>
  <c r="O97" i="7"/>
  <c r="N81" i="7"/>
  <c r="O81" i="7"/>
  <c r="N92" i="7"/>
  <c r="O92" i="7"/>
  <c r="N80" i="7"/>
  <c r="O80" i="7"/>
  <c r="N83" i="7"/>
  <c r="O83" i="7"/>
  <c r="L55" i="7"/>
  <c r="DG39" i="1"/>
  <c r="DI39" i="1"/>
  <c r="DI23" i="1"/>
  <c r="DH39" i="1"/>
  <c r="DB9" i="1"/>
  <c r="DB6" i="1" s="1"/>
  <c r="DA39" i="1"/>
  <c r="DA23" i="1"/>
  <c r="CZ39" i="1"/>
  <c r="DK9" i="1"/>
  <c r="DC9" i="1"/>
  <c r="DC6" i="1" s="1"/>
  <c r="DJ23" i="1"/>
  <c r="DJ9" i="1"/>
  <c r="DJ6" i="1" s="1"/>
  <c r="DB23" i="1"/>
  <c r="DC23" i="1"/>
  <c r="DF9" i="1"/>
  <c r="DF6" i="1" s="1"/>
  <c r="DH9" i="1"/>
  <c r="DH6" i="1" s="1"/>
  <c r="CY39" i="1"/>
  <c r="DK23" i="1"/>
  <c r="DE23" i="1"/>
  <c r="CY23" i="1"/>
  <c r="DH23" i="1"/>
  <c r="DB39" i="1"/>
  <c r="DD39" i="1"/>
  <c r="DG23" i="1"/>
  <c r="DJ39" i="1"/>
  <c r="CY9" i="1"/>
  <c r="CY6" i="1" s="1"/>
  <c r="DF39" i="1"/>
  <c r="DD23" i="1"/>
  <c r="DG9" i="1"/>
  <c r="DG6" i="1" s="1"/>
  <c r="DA9" i="1"/>
  <c r="DA6" i="1" s="1"/>
  <c r="DC39" i="1"/>
  <c r="DF23" i="1"/>
  <c r="DI9" i="1"/>
  <c r="DI6" i="1" s="1"/>
  <c r="DK39" i="1"/>
  <c r="DE39" i="1"/>
  <c r="CZ23" i="1"/>
  <c r="DD9" i="1"/>
  <c r="DD6" i="1" s="1"/>
  <c r="DE9" i="1"/>
  <c r="DE6" i="1" s="1"/>
  <c r="CZ9" i="1"/>
  <c r="CZ6" i="1" s="1"/>
  <c r="Q7" i="1"/>
  <c r="R15" i="8"/>
  <c r="R14" i="8"/>
  <c r="O101" i="7" l="1"/>
  <c r="Q101" i="7"/>
  <c r="N101" i="7"/>
  <c r="R87" i="7"/>
  <c r="Q87" i="7"/>
  <c r="O87" i="7"/>
  <c r="O88" i="7"/>
  <c r="O76" i="7"/>
  <c r="Q76" i="7"/>
  <c r="R76" i="7"/>
  <c r="O95" i="7"/>
  <c r="Q95" i="7"/>
  <c r="N88" i="7"/>
  <c r="N95" i="7"/>
  <c r="O56" i="7"/>
  <c r="R56" i="7"/>
  <c r="R88" i="7"/>
  <c r="R59" i="7"/>
  <c r="O59" i="7"/>
  <c r="Q59" i="7"/>
  <c r="O89" i="7"/>
  <c r="Q67" i="7"/>
  <c r="Q99" i="7"/>
  <c r="O99" i="7"/>
  <c r="Q85" i="7"/>
  <c r="N99" i="7"/>
  <c r="O85" i="7"/>
  <c r="N85" i="7"/>
  <c r="Q89" i="7"/>
  <c r="R67" i="7"/>
  <c r="O67" i="7"/>
  <c r="O60" i="7"/>
  <c r="Q56" i="7"/>
  <c r="N63" i="7"/>
  <c r="Q72" i="7"/>
  <c r="N72" i="7"/>
  <c r="O63" i="7"/>
  <c r="O72" i="7"/>
  <c r="N60" i="7"/>
  <c r="R63" i="7"/>
  <c r="Q60" i="7"/>
  <c r="N84" i="7"/>
  <c r="O77" i="7"/>
  <c r="N77" i="7"/>
  <c r="R77" i="7"/>
  <c r="Q100" i="7"/>
  <c r="R84" i="7"/>
  <c r="R100" i="7"/>
  <c r="Q84" i="7"/>
  <c r="O68" i="7"/>
  <c r="O100" i="7"/>
  <c r="N68" i="7"/>
  <c r="Q68" i="7"/>
  <c r="Q93" i="7"/>
  <c r="R91" i="7"/>
  <c r="R69" i="7"/>
  <c r="R93" i="7"/>
  <c r="Q91" i="7"/>
  <c r="Q69" i="7"/>
  <c r="O93" i="7"/>
  <c r="O91" i="7"/>
  <c r="O69" i="7"/>
  <c r="O61" i="7"/>
  <c r="N61" i="7"/>
  <c r="Q61" i="7"/>
  <c r="R61" i="7"/>
  <c r="R89" i="7"/>
  <c r="N57" i="7"/>
  <c r="O57" i="7"/>
  <c r="R57" i="7"/>
  <c r="Q57" i="7"/>
  <c r="Q96" i="7"/>
  <c r="O96" i="7"/>
  <c r="N96" i="7"/>
  <c r="Q65" i="7"/>
  <c r="R65" i="7"/>
  <c r="N65" i="7"/>
  <c r="O65" i="7"/>
  <c r="S14" i="8"/>
  <c r="I18" i="8" a="1"/>
  <c r="I18" i="8" s="1"/>
  <c r="K18" i="8" s="1" a="1"/>
  <c r="K18" i="8" s="1"/>
  <c r="F19" i="8"/>
  <c r="D19" i="8"/>
  <c r="I19" i="8" s="1" a="1"/>
  <c r="I19" i="8" s="1"/>
  <c r="K19" i="8" s="1" a="1"/>
  <c r="K19" i="8" s="1"/>
  <c r="L19" i="8" a="1"/>
  <c r="L19" i="8" s="1"/>
  <c r="M18" i="8" a="1"/>
  <c r="M18" i="8" s="1"/>
  <c r="C21" i="8" a="1"/>
  <c r="C21" i="8" s="1"/>
  <c r="J20" i="8" a="1"/>
  <c r="J20" i="8" s="1"/>
  <c r="G20" i="8" a="1"/>
  <c r="G20" i="8" s="1"/>
  <c r="H20" i="8"/>
  <c r="E20" i="8" a="1"/>
  <c r="E20" i="8" s="1"/>
  <c r="Q55" i="7"/>
  <c r="R55" i="7"/>
  <c r="N55" i="7"/>
  <c r="O55" i="7"/>
  <c r="S15" i="8"/>
  <c r="AI18" i="8"/>
  <c r="AI19" i="8"/>
  <c r="AI20" i="8"/>
  <c r="AJ18" i="8"/>
  <c r="AJ19" i="8"/>
  <c r="AJ20" i="8"/>
  <c r="U14" i="8"/>
  <c r="V18" i="8" l="1"/>
  <c r="F20" i="8"/>
  <c r="D20" i="8"/>
  <c r="I20" i="8" s="1" a="1"/>
  <c r="I20" i="8" s="1"/>
  <c r="K20" i="8" s="1" a="1"/>
  <c r="K20" i="8" s="1"/>
  <c r="L20" i="8" a="1"/>
  <c r="L20" i="8" s="1"/>
  <c r="M19" i="8" a="1"/>
  <c r="M19" i="8" s="1"/>
  <c r="V19" i="8" s="1"/>
  <c r="C22" i="8" a="1"/>
  <c r="C22" i="8" s="1"/>
  <c r="J21" i="8" a="1"/>
  <c r="J21" i="8" s="1"/>
  <c r="H21" i="8"/>
  <c r="G21" i="8" a="1"/>
  <c r="G21" i="8" s="1"/>
  <c r="E21" i="8" a="1"/>
  <c r="E21" i="8" s="1"/>
  <c r="AI35" i="8"/>
  <c r="AI22" i="8"/>
  <c r="U15" i="8"/>
  <c r="W14" i="8"/>
  <c r="L21" i="8" l="1" a="1"/>
  <c r="L21" i="8" s="1"/>
  <c r="D21" i="8"/>
  <c r="I21" i="8" s="1" a="1"/>
  <c r="I21" i="8" s="1"/>
  <c r="K21" i="8" s="1" a="1"/>
  <c r="K21" i="8" s="1"/>
  <c r="F21" i="8"/>
  <c r="C23" i="8" a="1"/>
  <c r="C23" i="8" s="1"/>
  <c r="J22" i="8" a="1"/>
  <c r="J22" i="8" s="1"/>
  <c r="G22" i="8" a="1"/>
  <c r="G22" i="8" s="1"/>
  <c r="E22" i="8" a="1"/>
  <c r="E22" i="8" s="1"/>
  <c r="H22" i="8"/>
  <c r="M20" i="8" a="1"/>
  <c r="M20" i="8" s="1"/>
  <c r="X14" i="8"/>
  <c r="W15" i="8"/>
  <c r="V20" i="8" l="1"/>
  <c r="F22" i="8"/>
  <c r="L22" i="8" a="1"/>
  <c r="L22" i="8" s="1"/>
  <c r="D22" i="8"/>
  <c r="I22" i="8" s="1" a="1"/>
  <c r="I22" i="8" s="1"/>
  <c r="K22" i="8" s="1" a="1"/>
  <c r="K22" i="8" s="1"/>
  <c r="C24" i="8" a="1"/>
  <c r="C24" i="8" s="1"/>
  <c r="J23" i="8" a="1"/>
  <c r="J23" i="8" s="1"/>
  <c r="G23" i="8" a="1"/>
  <c r="G23" i="8" s="1"/>
  <c r="E23" i="8" a="1"/>
  <c r="E23" i="8" s="1"/>
  <c r="H23" i="8"/>
  <c r="M21" i="8" a="1"/>
  <c r="M21" i="8" s="1"/>
  <c r="X15" i="8"/>
  <c r="Y17" i="8" s="1"/>
  <c r="M22" i="8" l="1" a="1"/>
  <c r="M22" i="8" s="1"/>
  <c r="V22" i="8" s="1"/>
  <c r="F23" i="8"/>
  <c r="L23" i="8" a="1"/>
  <c r="L23" i="8" s="1"/>
  <c r="D23" i="8"/>
  <c r="I23" i="8" s="1" a="1"/>
  <c r="I23" i="8" s="1"/>
  <c r="K23" i="8" s="1" a="1"/>
  <c r="K23" i="8" s="1"/>
  <c r="V21" i="8"/>
  <c r="C25" i="8" a="1"/>
  <c r="C25" i="8" s="1"/>
  <c r="J24" i="8" a="1"/>
  <c r="J24" i="8" s="1"/>
  <c r="H24" i="8"/>
  <c r="G24" i="8" a="1"/>
  <c r="G24" i="8" s="1"/>
  <c r="E24" i="8" a="1"/>
  <c r="E24" i="8" s="1"/>
  <c r="Y16" i="8"/>
  <c r="Y15" i="8"/>
  <c r="Z15" i="8"/>
  <c r="AA15" i="8"/>
  <c r="F36" i="7" a="1"/>
  <c r="F36" i="7" s="1"/>
  <c r="Z16" i="8"/>
  <c r="AA16" i="8"/>
  <c r="AB15" i="8" l="1"/>
  <c r="AB16" i="8"/>
  <c r="F24" i="8"/>
  <c r="L24" i="8" a="1"/>
  <c r="L24" i="8" s="1"/>
  <c r="D24" i="8"/>
  <c r="I24" i="8" s="1" a="1"/>
  <c r="I24" i="8" s="1"/>
  <c r="K24" i="8" s="1" a="1"/>
  <c r="K24" i="8" s="1"/>
  <c r="M23" i="8" a="1"/>
  <c r="M23" i="8" s="1"/>
  <c r="C26" i="8" a="1"/>
  <c r="C26" i="8" s="1"/>
  <c r="J25" i="8" a="1"/>
  <c r="J25" i="8" s="1"/>
  <c r="G25" i="8" a="1"/>
  <c r="G25" i="8" s="1"/>
  <c r="E25" i="8" a="1"/>
  <c r="E25" i="8" s="1"/>
  <c r="H25" i="8"/>
  <c r="E36" i="7" a="1"/>
  <c r="E36" i="7" s="1"/>
  <c r="AI17" i="8" s="1"/>
  <c r="AJ17" i="8"/>
  <c r="AD15" i="8"/>
  <c r="AC15" i="8"/>
  <c r="AC16" i="8"/>
  <c r="AD16" i="8"/>
  <c r="F25" i="8" l="1"/>
  <c r="M24" i="8" a="1"/>
  <c r="M24" i="8" s="1"/>
  <c r="C27" i="8" a="1"/>
  <c r="C27" i="8" s="1"/>
  <c r="J26" i="8" a="1"/>
  <c r="J26" i="8" s="1"/>
  <c r="E26" i="8" a="1"/>
  <c r="E26" i="8" s="1"/>
  <c r="H26" i="8"/>
  <c r="G26" i="8" a="1"/>
  <c r="G26" i="8" s="1"/>
  <c r="V23" i="8"/>
  <c r="L25" i="8" a="1"/>
  <c r="L25" i="8" s="1"/>
  <c r="D25" i="8"/>
  <c r="I25" i="8" s="1" a="1"/>
  <c r="I25" i="8" s="1"/>
  <c r="K25" i="8" s="1" a="1"/>
  <c r="K25" i="8" s="1"/>
  <c r="F26" i="8" l="1"/>
  <c r="L26" i="8" a="1"/>
  <c r="L26" i="8" s="1"/>
  <c r="D26" i="8"/>
  <c r="I26" i="8" s="1" a="1"/>
  <c r="I26" i="8" s="1"/>
  <c r="K26" i="8" s="1" a="1"/>
  <c r="K26" i="8" s="1"/>
  <c r="M25" i="8" a="1"/>
  <c r="M25" i="8" s="1"/>
  <c r="C28" i="8" a="1"/>
  <c r="C28" i="8" s="1"/>
  <c r="J27" i="8" a="1"/>
  <c r="J27" i="8" s="1"/>
  <c r="H27" i="8"/>
  <c r="G27" i="8" a="1"/>
  <c r="G27" i="8" s="1"/>
  <c r="E27" i="8" a="1"/>
  <c r="E27" i="8" s="1"/>
  <c r="V24" i="8"/>
  <c r="V25" i="8" l="1"/>
  <c r="C29" i="8" a="1"/>
  <c r="C29" i="8" s="1"/>
  <c r="J28" i="8" a="1"/>
  <c r="J28" i="8" s="1"/>
  <c r="H28" i="8"/>
  <c r="E28" i="8" a="1"/>
  <c r="E28" i="8" s="1"/>
  <c r="G28" i="8" a="1"/>
  <c r="G28" i="8" s="1"/>
  <c r="L27" i="8" a="1"/>
  <c r="L27" i="8" s="1"/>
  <c r="F27" i="8"/>
  <c r="D27" i="8"/>
  <c r="I27" i="8" s="1" a="1"/>
  <c r="I27" i="8" s="1"/>
  <c r="K27" i="8" s="1" a="1"/>
  <c r="K27" i="8" s="1"/>
  <c r="M26" i="8" a="1"/>
  <c r="M26" i="8" s="1"/>
  <c r="V26" i="8" l="1"/>
  <c r="L28" i="8" a="1"/>
  <c r="L28" i="8" s="1"/>
  <c r="F28" i="8"/>
  <c r="D28" i="8"/>
  <c r="I28" i="8" s="1" a="1"/>
  <c r="I28" i="8" s="1"/>
  <c r="K28" i="8" s="1" a="1"/>
  <c r="K28" i="8" s="1"/>
  <c r="C30" i="8" a="1"/>
  <c r="C30" i="8" s="1"/>
  <c r="J29" i="8" a="1"/>
  <c r="J29" i="8" s="1"/>
  <c r="H29" i="8"/>
  <c r="G29" i="8" a="1"/>
  <c r="G29" i="8" s="1"/>
  <c r="E29" i="8" a="1"/>
  <c r="E29" i="8" s="1"/>
  <c r="M27" i="8" a="1"/>
  <c r="M27" i="8" s="1"/>
  <c r="V27" i="8" l="1"/>
  <c r="M28" i="8" a="1"/>
  <c r="M28" i="8" s="1"/>
  <c r="C31" i="8" a="1"/>
  <c r="C31" i="8" s="1"/>
  <c r="N26" i="8" s="1" a="1"/>
  <c r="N26" i="8" s="1"/>
  <c r="J30" i="8" a="1"/>
  <c r="J30" i="8" s="1"/>
  <c r="E30" i="8" a="1"/>
  <c r="E30" i="8" s="1"/>
  <c r="H30" i="8"/>
  <c r="G30" i="8" a="1"/>
  <c r="G30" i="8" s="1"/>
  <c r="D29" i="8"/>
  <c r="I29" i="8" s="1" a="1"/>
  <c r="I29" i="8" s="1"/>
  <c r="K29" i="8" s="1" a="1"/>
  <c r="K29" i="8" s="1"/>
  <c r="F29" i="8"/>
  <c r="L29" i="8" a="1"/>
  <c r="L29" i="8" s="1"/>
  <c r="T26" i="8" l="1"/>
  <c r="Q26" i="8"/>
  <c r="O26" i="8"/>
  <c r="N22" i="8" a="1"/>
  <c r="N22" i="8" s="1"/>
  <c r="Q22" i="8" s="1"/>
  <c r="N28" i="8" a="1"/>
  <c r="N28" i="8" s="1"/>
  <c r="T28" i="8" s="1"/>
  <c r="N23" i="8" a="1"/>
  <c r="N23" i="8" s="1"/>
  <c r="Q23" i="8" s="1"/>
  <c r="N24" i="8" a="1"/>
  <c r="N24" i="8" s="1"/>
  <c r="Q24" i="8" s="1"/>
  <c r="N19" i="8" a="1"/>
  <c r="N19" i="8" s="1"/>
  <c r="Q19" i="8" s="1"/>
  <c r="N21" i="8" a="1"/>
  <c r="N21" i="8" s="1"/>
  <c r="O21" i="8" s="1"/>
  <c r="N25" i="8" a="1"/>
  <c r="N25" i="8" s="1"/>
  <c r="T25" i="8" s="1"/>
  <c r="N27" i="8" a="1"/>
  <c r="N27" i="8" s="1"/>
  <c r="T22" i="8"/>
  <c r="O22" i="8"/>
  <c r="V28" i="8"/>
  <c r="F30" i="8"/>
  <c r="D30" i="8"/>
  <c r="I30" i="8" s="1" a="1"/>
  <c r="I30" i="8" s="1"/>
  <c r="K30" i="8" s="1" a="1"/>
  <c r="K30" i="8" s="1"/>
  <c r="L30" i="8" a="1"/>
  <c r="L30" i="8" s="1"/>
  <c r="M29" i="8" a="1"/>
  <c r="M29" i="8" s="1"/>
  <c r="V29" i="8" s="1"/>
  <c r="N29" i="8" a="1"/>
  <c r="N29" i="8" s="1"/>
  <c r="C32" i="8" a="1"/>
  <c r="C32" i="8" s="1"/>
  <c r="J31" i="8" a="1"/>
  <c r="J31" i="8" s="1"/>
  <c r="G31" i="8" a="1"/>
  <c r="G31" i="8" s="1"/>
  <c r="E31" i="8" a="1"/>
  <c r="E31" i="8" s="1"/>
  <c r="H31" i="8"/>
  <c r="O19" i="8" l="1"/>
  <c r="T19" i="8"/>
  <c r="Q28" i="8"/>
  <c r="Q25" i="8"/>
  <c r="O28" i="8"/>
  <c r="O25" i="8"/>
  <c r="Q21" i="8"/>
  <c r="O23" i="8"/>
  <c r="T23" i="8"/>
  <c r="O24" i="8"/>
  <c r="T24" i="8"/>
  <c r="T21" i="8"/>
  <c r="T27" i="8"/>
  <c r="O27" i="8"/>
  <c r="Q27" i="8"/>
  <c r="O29" i="8"/>
  <c r="Q29" i="8"/>
  <c r="T29" i="8"/>
  <c r="L31" i="8" a="1"/>
  <c r="L31" i="8" s="1"/>
  <c r="F31" i="8"/>
  <c r="D31" i="8"/>
  <c r="I31" i="8" s="1" a="1"/>
  <c r="I31" i="8" s="1"/>
  <c r="K31" i="8" s="1" a="1"/>
  <c r="K31" i="8" s="1"/>
  <c r="C33" i="8" a="1"/>
  <c r="C33" i="8" s="1"/>
  <c r="J32" i="8" a="1"/>
  <c r="J32" i="8" s="1"/>
  <c r="G32" i="8" a="1"/>
  <c r="G32" i="8" s="1"/>
  <c r="H32" i="8"/>
  <c r="E32" i="8" a="1"/>
  <c r="E32" i="8" s="1"/>
  <c r="N30" i="8" a="1"/>
  <c r="N30" i="8" s="1"/>
  <c r="M30" i="8" a="1"/>
  <c r="M30" i="8" s="1"/>
  <c r="R22" i="8"/>
  <c r="P28" i="8"/>
  <c r="P25" i="8"/>
  <c r="R27" i="8"/>
  <c r="P24" i="8"/>
  <c r="P26" i="8"/>
  <c r="R24" i="8"/>
  <c r="R21" i="8"/>
  <c r="R29" i="8"/>
  <c r="R25" i="8"/>
  <c r="R26" i="8"/>
  <c r="R19" i="8"/>
  <c r="P21" i="8"/>
  <c r="P29" i="8"/>
  <c r="P19" i="8"/>
  <c r="P23" i="8"/>
  <c r="P27" i="8"/>
  <c r="P22" i="8"/>
  <c r="R28" i="8"/>
  <c r="R23" i="8"/>
  <c r="S21" i="8" l="1"/>
  <c r="S23" i="8"/>
  <c r="S25" i="8"/>
  <c r="S22" i="8"/>
  <c r="S19" i="8"/>
  <c r="S26" i="8"/>
  <c r="S28" i="8"/>
  <c r="S27" i="8"/>
  <c r="S24" i="8"/>
  <c r="O30" i="8"/>
  <c r="T30" i="8"/>
  <c r="V30" i="8"/>
  <c r="Q30" i="8"/>
  <c r="C34" i="8" a="1"/>
  <c r="C34" i="8" s="1"/>
  <c r="J33" i="8" a="1"/>
  <c r="J33" i="8" s="1"/>
  <c r="H33" i="8"/>
  <c r="E33" i="8" a="1"/>
  <c r="E33" i="8" s="1"/>
  <c r="G33" i="8" a="1"/>
  <c r="G33" i="8" s="1"/>
  <c r="N31" i="8" a="1"/>
  <c r="N31" i="8" s="1"/>
  <c r="M31" i="8" a="1"/>
  <c r="M31" i="8" s="1"/>
  <c r="L32" i="8" a="1"/>
  <c r="L32" i="8" s="1"/>
  <c r="K32" i="8" a="1"/>
  <c r="K32" i="8" s="1"/>
  <c r="F32" i="8"/>
  <c r="D32" i="8"/>
  <c r="I32" i="8" s="1" a="1"/>
  <c r="I32" i="8" s="1"/>
  <c r="S29" i="8"/>
  <c r="R30" i="8"/>
  <c r="P30" i="8"/>
  <c r="O31" i="8" l="1"/>
  <c r="V31" i="8"/>
  <c r="Q31" i="8"/>
  <c r="T31" i="8"/>
  <c r="S30" i="8"/>
  <c r="C35" i="8" a="1"/>
  <c r="C35" i="8" s="1"/>
  <c r="J34" i="8" a="1"/>
  <c r="J34" i="8" s="1"/>
  <c r="E34" i="8" a="1"/>
  <c r="E34" i="8" s="1"/>
  <c r="G34" i="8" a="1"/>
  <c r="G34" i="8" s="1"/>
  <c r="H34" i="8"/>
  <c r="K33" i="8" a="1"/>
  <c r="K33" i="8" s="1"/>
  <c r="L33" i="8" a="1"/>
  <c r="L33" i="8" s="1"/>
  <c r="F33" i="8"/>
  <c r="D33" i="8"/>
  <c r="I33" i="8" s="1" a="1"/>
  <c r="I33" i="8" s="1"/>
  <c r="M32" i="8" a="1"/>
  <c r="M32" i="8" s="1"/>
  <c r="T32" i="8" s="1"/>
  <c r="N32" i="8" a="1"/>
  <c r="N32" i="8" s="1"/>
  <c r="R31" i="8"/>
  <c r="P31" i="8"/>
  <c r="O32" i="8" l="1"/>
  <c r="V32" i="8"/>
  <c r="Q32" i="8"/>
  <c r="S31" i="8"/>
  <c r="K34" i="8" a="1"/>
  <c r="K34" i="8" s="1"/>
  <c r="L34" i="8" a="1"/>
  <c r="L34" i="8" s="1"/>
  <c r="F34" i="8"/>
  <c r="D34" i="8"/>
  <c r="I34" i="8" s="1" a="1"/>
  <c r="I34" i="8" s="1"/>
  <c r="C36" i="8" a="1"/>
  <c r="C36" i="8" s="1"/>
  <c r="J35" i="8" a="1"/>
  <c r="J35" i="8" s="1"/>
  <c r="H35" i="8"/>
  <c r="G35" i="8" a="1"/>
  <c r="G35" i="8" s="1"/>
  <c r="E35" i="8" a="1"/>
  <c r="E35" i="8" s="1"/>
  <c r="M33" i="8" a="1"/>
  <c r="M33" i="8" s="1"/>
  <c r="N33" i="8" a="1"/>
  <c r="N33" i="8" s="1"/>
  <c r="P32" i="8"/>
  <c r="R32" i="8"/>
  <c r="T33" i="8" l="1"/>
  <c r="V33" i="8"/>
  <c r="O33" i="8"/>
  <c r="Q33" i="8"/>
  <c r="S32" i="8"/>
  <c r="N34" i="8" a="1"/>
  <c r="N34" i="8" s="1"/>
  <c r="M34" i="8" a="1"/>
  <c r="M34" i="8" s="1"/>
  <c r="Q34" i="8" s="1"/>
  <c r="C37" i="8" a="1"/>
  <c r="C37" i="8" s="1"/>
  <c r="N18" i="8" s="1" a="1"/>
  <c r="N18" i="8" s="1"/>
  <c r="O18" i="8" s="1"/>
  <c r="J36" i="8" a="1"/>
  <c r="J36" i="8" s="1"/>
  <c r="G36" i="8" a="1"/>
  <c r="G36" i="8" s="1"/>
  <c r="E36" i="8" a="1"/>
  <c r="E36" i="8" s="1"/>
  <c r="H36" i="8"/>
  <c r="K35" i="8" a="1"/>
  <c r="K35" i="8" s="1"/>
  <c r="L35" i="8" a="1"/>
  <c r="L35" i="8" s="1"/>
  <c r="D35" i="8"/>
  <c r="I35" i="8" s="1" a="1"/>
  <c r="I35" i="8" s="1"/>
  <c r="F35" i="8"/>
  <c r="U32" i="8"/>
  <c r="R33" i="8"/>
  <c r="P33" i="8"/>
  <c r="R34" i="8"/>
  <c r="T34" i="8" l="1"/>
  <c r="O34" i="8"/>
  <c r="V34" i="8"/>
  <c r="S33" i="8"/>
  <c r="T18" i="8"/>
  <c r="Q18" i="8"/>
  <c r="K36" i="8" a="1"/>
  <c r="K36" i="8" s="1"/>
  <c r="L36" i="8" a="1"/>
  <c r="L36" i="8" s="1"/>
  <c r="D36" i="8"/>
  <c r="I36" i="8" s="1" a="1"/>
  <c r="I36" i="8" s="1"/>
  <c r="F36" i="8"/>
  <c r="M35" i="8" a="1"/>
  <c r="M35" i="8" s="1"/>
  <c r="N35" i="8" a="1"/>
  <c r="N35" i="8" s="1"/>
  <c r="E37" i="8" a="1"/>
  <c r="E37" i="8" s="1"/>
  <c r="J37" i="8" a="1"/>
  <c r="J37" i="8" s="1"/>
  <c r="H37" i="8"/>
  <c r="G37" i="8" a="1"/>
  <c r="G37" i="8" s="1"/>
  <c r="N20" i="8" a="1"/>
  <c r="N20" i="8" s="1"/>
  <c r="AP30" i="8"/>
  <c r="AQ30" i="8"/>
  <c r="AP31" i="8"/>
  <c r="AQ31" i="8"/>
  <c r="W32" i="8"/>
  <c r="U33" i="8"/>
  <c r="P18" i="8"/>
  <c r="R18" i="8"/>
  <c r="P34" i="8"/>
  <c r="T35" i="8" l="1"/>
  <c r="O35" i="8"/>
  <c r="Q35" i="8"/>
  <c r="V35" i="8"/>
  <c r="S34" i="8"/>
  <c r="X32" i="8"/>
  <c r="S18" i="8"/>
  <c r="L37" i="8" a="1"/>
  <c r="L37" i="8" s="1"/>
  <c r="K37" i="8" a="1"/>
  <c r="K37" i="8" s="1"/>
  <c r="D37" i="8"/>
  <c r="I37" i="8" s="1" a="1"/>
  <c r="I37" i="8" s="1"/>
  <c r="F37" i="8"/>
  <c r="T20" i="8"/>
  <c r="Q20" i="8"/>
  <c r="O20" i="8"/>
  <c r="AD37" i="8"/>
  <c r="Z37" i="8"/>
  <c r="Y37" i="8"/>
  <c r="AC37" i="8"/>
  <c r="AB37" i="8"/>
  <c r="AA37" i="8"/>
  <c r="X36" i="8"/>
  <c r="V36" i="8"/>
  <c r="U36" i="8"/>
  <c r="W36" i="8"/>
  <c r="T36" i="8"/>
  <c r="Q36" i="8"/>
  <c r="M36" i="8" a="1"/>
  <c r="M36" i="8" s="1"/>
  <c r="R36" i="8"/>
  <c r="S36" i="8"/>
  <c r="N36" i="8" a="1"/>
  <c r="N36" i="8" s="1"/>
  <c r="P36" i="8"/>
  <c r="O36" i="8"/>
  <c r="F41" i="7" a="1"/>
  <c r="F41" i="7" s="1"/>
  <c r="AP32" i="8"/>
  <c r="AQ32" i="8"/>
  <c r="W33" i="8"/>
  <c r="R35" i="8"/>
  <c r="P35" i="8"/>
  <c r="R20" i="8"/>
  <c r="P20" i="8"/>
  <c r="U34" i="8"/>
  <c r="S35" i="8" l="1"/>
  <c r="X33" i="8"/>
  <c r="S20" i="8"/>
  <c r="N37" i="8" a="1"/>
  <c r="N37" i="8" s="1"/>
  <c r="U37" i="8"/>
  <c r="W37" i="8"/>
  <c r="P37" i="8"/>
  <c r="T37" i="8"/>
  <c r="O37" i="8"/>
  <c r="R37" i="8"/>
  <c r="X37" i="8"/>
  <c r="S37" i="8"/>
  <c r="M37" i="8" a="1"/>
  <c r="M37" i="8" s="1"/>
  <c r="Q37" i="8"/>
  <c r="V37" i="8"/>
  <c r="AJ22" i="8"/>
  <c r="AP33" i="8"/>
  <c r="AQ33" i="8"/>
  <c r="U31" i="8"/>
  <c r="U35" i="8"/>
  <c r="W34" i="8"/>
  <c r="U28" i="8"/>
  <c r="U29" i="8"/>
  <c r="U30" i="8"/>
  <c r="U23" i="8"/>
  <c r="U25" i="8"/>
  <c r="U24" i="8"/>
  <c r="U18" i="8"/>
  <c r="U21" i="8"/>
  <c r="U26" i="8"/>
  <c r="U22" i="8"/>
  <c r="U19" i="8"/>
  <c r="U27" i="8"/>
  <c r="U20" i="8"/>
  <c r="X34" i="8" l="1"/>
  <c r="AI34" i="8"/>
  <c r="AI21" i="8"/>
  <c r="AP34" i="8"/>
  <c r="W31" i="8"/>
  <c r="W35" i="8"/>
  <c r="W29" i="8"/>
  <c r="W20" i="8"/>
  <c r="W24" i="8"/>
  <c r="W28" i="8"/>
  <c r="W25" i="8"/>
  <c r="W22" i="8"/>
  <c r="W30" i="8"/>
  <c r="W18" i="8"/>
  <c r="W23" i="8"/>
  <c r="W27" i="8"/>
  <c r="W26" i="8"/>
  <c r="W21" i="8"/>
  <c r="W19" i="8"/>
  <c r="X35" i="8" l="1"/>
  <c r="X31" i="8"/>
  <c r="X30" i="8"/>
  <c r="X29" i="8"/>
  <c r="X28" i="8"/>
  <c r="X27" i="8"/>
  <c r="X23" i="8"/>
  <c r="X22" i="8"/>
  <c r="X24" i="8"/>
  <c r="X21" i="8"/>
  <c r="X20" i="8"/>
  <c r="X18" i="8"/>
  <c r="X25" i="8"/>
  <c r="X19" i="8"/>
  <c r="X26" i="8"/>
  <c r="Z14" i="8" l="1"/>
  <c r="Z18" i="8"/>
  <c r="Z36" i="8"/>
  <c r="AA36" i="8"/>
  <c r="Y36" i="8"/>
  <c r="Z35" i="8"/>
  <c r="Y35" i="8"/>
  <c r="AA35" i="8"/>
  <c r="Y34" i="8"/>
  <c r="Z34" i="8"/>
  <c r="AA34" i="8"/>
  <c r="Z32" i="8"/>
  <c r="AA32" i="8"/>
  <c r="Y33" i="8"/>
  <c r="AA33" i="8"/>
  <c r="Z33" i="8"/>
  <c r="J38" i="7" a="1"/>
  <c r="J38" i="7" s="1"/>
  <c r="AJ32" i="8" s="1"/>
  <c r="Z28" i="8"/>
  <c r="AA28" i="8"/>
  <c r="Y32" i="8"/>
  <c r="Y14" i="8"/>
  <c r="AA14" i="8"/>
  <c r="F35" i="7" a="1"/>
  <c r="F35" i="7" s="1"/>
  <c r="Y27" i="8"/>
  <c r="J37" i="7" a="1"/>
  <c r="J37" i="7" s="1"/>
  <c r="I37" i="7" s="1" a="1"/>
  <c r="I37" i="7" s="1"/>
  <c r="AI31" i="8" s="1"/>
  <c r="AA27" i="8"/>
  <c r="Y31" i="8"/>
  <c r="Z27" i="8"/>
  <c r="AA20" i="8"/>
  <c r="AA31" i="8"/>
  <c r="Z31" i="8"/>
  <c r="AA24" i="8"/>
  <c r="Z21" i="8"/>
  <c r="AA18" i="8"/>
  <c r="Z19" i="8"/>
  <c r="N41" i="7" a="1"/>
  <c r="N41" i="7" s="1"/>
  <c r="AQ35" i="8" s="1"/>
  <c r="Z26" i="8"/>
  <c r="J36" i="7" a="1"/>
  <c r="J36" i="7" s="1"/>
  <c r="I36" i="7" s="1" a="1"/>
  <c r="I36" i="7" s="1"/>
  <c r="AI30" i="8" s="1"/>
  <c r="AA26" i="8"/>
  <c r="N35" i="7" a="1"/>
  <c r="N35" i="7" s="1"/>
  <c r="M35" i="7" s="1" a="1"/>
  <c r="M35" i="7" s="1"/>
  <c r="AP29" i="8" s="1"/>
  <c r="AA30" i="8"/>
  <c r="AA19" i="8"/>
  <c r="AA25" i="8"/>
  <c r="Y25" i="8"/>
  <c r="Y24" i="8"/>
  <c r="AA23" i="8"/>
  <c r="Y28" i="8"/>
  <c r="Y30" i="8"/>
  <c r="AA22" i="8"/>
  <c r="Z23" i="8"/>
  <c r="AA29" i="8"/>
  <c r="Z25" i="8"/>
  <c r="Y29" i="8"/>
  <c r="Y19" i="8"/>
  <c r="Z22" i="8"/>
  <c r="Y21" i="8"/>
  <c r="J41" i="7" a="1"/>
  <c r="J41" i="7" s="1"/>
  <c r="AJ35" i="8" s="1"/>
  <c r="Z20" i="8"/>
  <c r="Y20" i="8"/>
  <c r="Y22" i="8"/>
  <c r="Y18" i="8"/>
  <c r="J39" i="7" a="1"/>
  <c r="J39" i="7" s="1"/>
  <c r="AJ33" i="8" s="1"/>
  <c r="J35" i="7" a="1"/>
  <c r="J35" i="7" s="1"/>
  <c r="AJ29" i="8" s="1"/>
  <c r="Z30" i="8"/>
  <c r="AA21" i="8"/>
  <c r="Y23" i="8"/>
  <c r="Z24" i="8"/>
  <c r="Z29" i="8"/>
  <c r="Y26" i="8"/>
  <c r="AB36" i="8" l="1"/>
  <c r="AD18" i="8"/>
  <c r="AD31" i="8"/>
  <c r="AD36" i="8"/>
  <c r="AC36" i="8"/>
  <c r="AC35" i="8"/>
  <c r="AD35" i="8"/>
  <c r="AB35" i="8"/>
  <c r="AB30" i="8"/>
  <c r="AC34" i="8"/>
  <c r="AD34" i="8"/>
  <c r="AB34" i="8"/>
  <c r="AB33" i="8"/>
  <c r="AD33" i="8"/>
  <c r="AC33" i="8"/>
  <c r="I38" i="7" a="1"/>
  <c r="I38" i="7" s="1"/>
  <c r="AI32" i="8" s="1"/>
  <c r="AB32" i="8"/>
  <c r="AC32" i="8"/>
  <c r="AD32" i="8"/>
  <c r="AC28" i="8"/>
  <c r="AD28" i="8"/>
  <c r="AB28" i="8"/>
  <c r="AJ31" i="8"/>
  <c r="AB14" i="8"/>
  <c r="AB23" i="8"/>
  <c r="AJ16" i="8"/>
  <c r="F40" i="7"/>
  <c r="AJ21" i="8" s="1"/>
  <c r="E35" i="7" a="1"/>
  <c r="E35" i="7" s="1"/>
  <c r="AI16" i="8" s="1"/>
  <c r="AD14" i="8"/>
  <c r="AC14" i="8"/>
  <c r="AD27" i="8"/>
  <c r="AB25" i="8"/>
  <c r="AC27" i="8"/>
  <c r="AB27" i="8"/>
  <c r="AC31" i="8"/>
  <c r="AB20" i="8"/>
  <c r="AB21" i="8"/>
  <c r="AD22" i="8"/>
  <c r="AB31" i="8"/>
  <c r="AB24" i="8"/>
  <c r="AD19" i="8"/>
  <c r="AQ29" i="8"/>
  <c r="AD30" i="8"/>
  <c r="AC30" i="8"/>
  <c r="AC19" i="8"/>
  <c r="AB29" i="8"/>
  <c r="AC20" i="8"/>
  <c r="AD20" i="8"/>
  <c r="AD26" i="8"/>
  <c r="D27" i="7"/>
  <c r="N40" i="7"/>
  <c r="AQ34" i="8" s="1"/>
  <c r="AC18" i="8"/>
  <c r="AB19" i="8"/>
  <c r="AD24" i="8"/>
  <c r="AC24" i="8"/>
  <c r="AJ30" i="8"/>
  <c r="D25" i="7"/>
  <c r="D26" i="7" s="1"/>
  <c r="I35" i="7" a="1"/>
  <c r="I35" i="7" s="1"/>
  <c r="AI29" i="8" s="1"/>
  <c r="AB18" i="8"/>
  <c r="AB26" i="8"/>
  <c r="I39" i="7" a="1"/>
  <c r="I39" i="7" s="1"/>
  <c r="AI33" i="8" s="1"/>
  <c r="AD25" i="8"/>
  <c r="AB22" i="8"/>
  <c r="AC22" i="8"/>
  <c r="AC26" i="8"/>
  <c r="AC25" i="8"/>
  <c r="J40" i="7"/>
  <c r="AJ34" i="8" s="1"/>
  <c r="AC21" i="8"/>
  <c r="AC23" i="8"/>
  <c r="AD23" i="8"/>
  <c r="AD21" i="8"/>
  <c r="AC29" i="8"/>
  <c r="AD2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<sst xmlns="http://schemas.openxmlformats.org/spreadsheetml/2006/main" count="1898" uniqueCount="182">
  <si>
    <t>BUDGET PLANNING</t>
  </si>
  <si>
    <t>SETTINGS</t>
  </si>
  <si>
    <t xml:space="preserve"> </t>
  </si>
  <si>
    <t>GENERAL</t>
  </si>
  <si>
    <t>Starting Year</t>
  </si>
  <si>
    <t>Set the starting year xxxx</t>
  </si>
  <si>
    <t>Income</t>
  </si>
  <si>
    <t>Enter Income category…..</t>
  </si>
  <si>
    <t>Total</t>
  </si>
  <si>
    <t>Expenses</t>
  </si>
  <si>
    <t>Savings</t>
  </si>
  <si>
    <t>Enter savings category…..</t>
  </si>
  <si>
    <t>Διαθέσιμο Κεφάλαιο</t>
  </si>
  <si>
    <t>BUDGET TRACKING</t>
  </si>
  <si>
    <t xml:space="preserve">Date </t>
  </si>
  <si>
    <t xml:space="preserve">Type </t>
  </si>
  <si>
    <t xml:space="preserve">Category </t>
  </si>
  <si>
    <t>Amount</t>
  </si>
  <si>
    <t>Details</t>
  </si>
  <si>
    <t>Μισθός</t>
  </si>
  <si>
    <t xml:space="preserve">Μάρκετ </t>
  </si>
  <si>
    <t xml:space="preserve">Ρεύμα </t>
  </si>
  <si>
    <t>Νερό</t>
  </si>
  <si>
    <t>Φυσικό Αέριο</t>
  </si>
  <si>
    <t>Ίντερνετ</t>
  </si>
  <si>
    <t>Μονάδες Κινητό</t>
  </si>
  <si>
    <t>Έξοδος</t>
  </si>
  <si>
    <t>Ρούχα</t>
  </si>
  <si>
    <t>Balance</t>
  </si>
  <si>
    <t>Effective Date</t>
  </si>
  <si>
    <t>BUDGET TRACKING &amp; DASHBOARD</t>
  </si>
  <si>
    <t>Shift late Income:</t>
  </si>
  <si>
    <t>Active</t>
  </si>
  <si>
    <t>Late Monthly Income</t>
  </si>
  <si>
    <t>Starting on day x in month:</t>
  </si>
  <si>
    <t>Activate this option  to treat late income received on or after a certain date of a month</t>
  </si>
  <si>
    <t>CALCULATIONS</t>
  </si>
  <si>
    <t>Worksheet : Budget Tracking</t>
  </si>
  <si>
    <t>Today:</t>
  </si>
  <si>
    <t>Last Record:</t>
  </si>
  <si>
    <t>Delta Last Record:</t>
  </si>
  <si>
    <t># Records:</t>
  </si>
  <si>
    <t># Records this year:</t>
  </si>
  <si>
    <t>Tracking Balance:</t>
  </si>
  <si>
    <t xml:space="preserve"> Balance Analysis Tetxt: </t>
  </si>
  <si>
    <t>BUDGET DASHBOARD</t>
  </si>
  <si>
    <t>Year</t>
  </si>
  <si>
    <t>Select the year</t>
  </si>
  <si>
    <t>Period</t>
  </si>
  <si>
    <t>Select the period</t>
  </si>
  <si>
    <t>DROPDOWN DATA</t>
  </si>
  <si>
    <t>Year Dropdown</t>
  </si>
  <si>
    <t>Current year</t>
  </si>
  <si>
    <t>Period Dropdown</t>
  </si>
  <si>
    <t>Total Year</t>
  </si>
  <si>
    <t>Current Month</t>
  </si>
  <si>
    <t>Worksheet : Budget Dashboard</t>
  </si>
  <si>
    <t>Selected Year:</t>
  </si>
  <si>
    <t>Selected Period:</t>
  </si>
  <si>
    <t>Selected Period (Display):</t>
  </si>
  <si>
    <t>row_id</t>
  </si>
  <si>
    <t>header_row_id</t>
  </si>
  <si>
    <t>is_header</t>
  </si>
  <si>
    <t>is_category</t>
  </si>
  <si>
    <t>is_total</t>
  </si>
  <si>
    <t>is_empty</t>
  </si>
  <si>
    <t>type</t>
  </si>
  <si>
    <t>item</t>
  </si>
  <si>
    <t>tracked</t>
  </si>
  <si>
    <t>budget</t>
  </si>
  <si>
    <t>Τράπεζα</t>
  </si>
  <si>
    <t>sort_min_row</t>
  </si>
  <si>
    <t>sort_max_row</t>
  </si>
  <si>
    <t>tracked_range</t>
  </si>
  <si>
    <t>tracked_rank</t>
  </si>
  <si>
    <t>budget_range</t>
  </si>
  <si>
    <t>budget_rank</t>
  </si>
  <si>
    <t>combo_rank</t>
  </si>
  <si>
    <t>combo_rank_range</t>
  </si>
  <si>
    <t>combo_rank_norm</t>
  </si>
  <si>
    <t xml:space="preserve">combo_rank_norm_run_range </t>
  </si>
  <si>
    <t>combo_rank_unique</t>
  </si>
  <si>
    <t>sorted_row_id</t>
  </si>
  <si>
    <r>
      <t xml:space="preserve">Chart Calculatoins : </t>
    </r>
    <r>
      <rPr>
        <sz val="11"/>
        <color rgb="FF00B0F0"/>
        <rFont val="Calibri"/>
        <family val="2"/>
        <charset val="161"/>
        <scheme val="minor"/>
      </rPr>
      <t>Category Distribution Charts</t>
    </r>
  </si>
  <si>
    <t>Category</t>
  </si>
  <si>
    <t xml:space="preserve">Total </t>
  </si>
  <si>
    <r>
      <t xml:space="preserve">Chart Calculatoins : </t>
    </r>
    <r>
      <rPr>
        <sz val="11"/>
        <color rgb="FF00B0F0"/>
        <rFont val="Calibri"/>
        <family val="2"/>
        <charset val="161"/>
        <scheme val="minor"/>
      </rPr>
      <t>Tracked (vs Budget) Chart</t>
    </r>
  </si>
  <si>
    <t>Month</t>
  </si>
  <si>
    <t>Type</t>
  </si>
  <si>
    <t>Month Number</t>
  </si>
  <si>
    <t>In Focus</t>
  </si>
  <si>
    <t>Show Type</t>
  </si>
  <si>
    <t>Show Remaining Budget</t>
  </si>
  <si>
    <t xml:space="preserve">Tracked </t>
  </si>
  <si>
    <t>Budget</t>
  </si>
  <si>
    <t>Delta</t>
  </si>
  <si>
    <t>Period in Focus</t>
  </si>
  <si>
    <t>In Budget</t>
  </si>
  <si>
    <t>Remaining</t>
  </si>
  <si>
    <t>Excess</t>
  </si>
  <si>
    <t>Period not in Focus</t>
  </si>
  <si>
    <t>Show Income:</t>
  </si>
  <si>
    <t>Show Expenses:</t>
  </si>
  <si>
    <t>Show Savings:</t>
  </si>
  <si>
    <t>Show Rem.Budget:</t>
  </si>
  <si>
    <t>Other</t>
  </si>
  <si>
    <t>Days in Period:</t>
  </si>
  <si>
    <t>Days passed in Period:</t>
  </si>
  <si>
    <t>% Days passed in Period:</t>
  </si>
  <si>
    <t>Period Tracking Balance:</t>
  </si>
  <si>
    <t xml:space="preserve">  </t>
  </si>
  <si>
    <t xml:space="preserve">Period Savings Rate: </t>
  </si>
  <si>
    <t>KPI Calculations</t>
  </si>
  <si>
    <t>Savings Rate as % of Income:</t>
  </si>
  <si>
    <t>% not allocated to Expenses</t>
  </si>
  <si>
    <t>Choose how your savings rate will be calculated:                                1) Savings/Income (Active)                                                                 2) (Income-Expenses)/Income (Passive)</t>
  </si>
  <si>
    <t>Λοιπά</t>
  </si>
  <si>
    <t>Κάρτα μετρό</t>
  </si>
  <si>
    <t>Λαστιχάκια παραλλαγής</t>
  </si>
  <si>
    <t>Ταξί</t>
  </si>
  <si>
    <t>Καρτ</t>
  </si>
  <si>
    <t xml:space="preserve">Φαγητό </t>
  </si>
  <si>
    <t>PYTHON</t>
  </si>
  <si>
    <t>Πρωτεϊνη</t>
  </si>
  <si>
    <t>Μάτι Κουζίνας</t>
  </si>
  <si>
    <t>Διώδια</t>
  </si>
  <si>
    <t>ΚΤΕΛ</t>
  </si>
  <si>
    <t>HDD</t>
  </si>
  <si>
    <t>Μπουφαν</t>
  </si>
  <si>
    <t>Μονάδες</t>
  </si>
  <si>
    <t>Κούρεμα , Μπάλα</t>
  </si>
  <si>
    <t>Ενοίκιο</t>
  </si>
  <si>
    <t>Φαρμακειο Σαμπουάν</t>
  </si>
  <si>
    <t>Airfryer</t>
  </si>
  <si>
    <t xml:space="preserve">Βενζινη </t>
  </si>
  <si>
    <t>Εισητήρια για Βόλο</t>
  </si>
  <si>
    <t>Ξενοδοχείο</t>
  </si>
  <si>
    <t>Εισητήριο ΟΑΣΑ</t>
  </si>
  <si>
    <t>Θέατρο</t>
  </si>
  <si>
    <t xml:space="preserve">Δέμα </t>
  </si>
  <si>
    <t>Φαρμακείο</t>
  </si>
  <si>
    <t>Φρουτάκια</t>
  </si>
  <si>
    <t>Βιβλίο</t>
  </si>
  <si>
    <t>Κούρεμα</t>
  </si>
  <si>
    <t>Εισητήρια ΟΣΑ</t>
  </si>
  <si>
    <t>Θεσσαλονίκη</t>
  </si>
  <si>
    <t>Εισητήρια Ελλάδα</t>
  </si>
  <si>
    <t>Workearly</t>
  </si>
  <si>
    <t>Μπάλα</t>
  </si>
  <si>
    <t>Μετρό</t>
  </si>
  <si>
    <t xml:space="preserve">Εισητήρια </t>
  </si>
  <si>
    <t>Εισητήρια Κτελ</t>
  </si>
  <si>
    <t>Κινηματογράφος</t>
  </si>
  <si>
    <t>Πάτρα</t>
  </si>
  <si>
    <t>Ξενώνες Πάτρα</t>
  </si>
  <si>
    <t>Βενζίνες</t>
  </si>
  <si>
    <t>Άρωμα</t>
  </si>
  <si>
    <t>ΟΣΕ</t>
  </si>
  <si>
    <t>Αμάξι Λάρισα</t>
  </si>
  <si>
    <t>ΟΑΣΑ</t>
  </si>
  <si>
    <t>Στολή</t>
  </si>
  <si>
    <t>Κομοτηνή</t>
  </si>
  <si>
    <t>Τρένο</t>
  </si>
  <si>
    <t>Πλαίσιο</t>
  </si>
  <si>
    <t>Σπίττι</t>
  </si>
  <si>
    <t>Σπίτι</t>
  </si>
  <si>
    <t>Νερό Ελδαπ</t>
  </si>
  <si>
    <t>Γυμναστήριο 12 μήνες</t>
  </si>
  <si>
    <t>Παντελ</t>
  </si>
  <si>
    <t>Χαλκίδα</t>
  </si>
  <si>
    <t>Camping</t>
  </si>
  <si>
    <t>KTEL</t>
  </si>
  <si>
    <t>Αγωνας Εθνική</t>
  </si>
  <si>
    <t>Λάδι</t>
  </si>
  <si>
    <t>κτελ</t>
  </si>
  <si>
    <t>Κλειδαριά</t>
  </si>
  <si>
    <t>Ψήσιμο</t>
  </si>
  <si>
    <t>Πόκερ</t>
  </si>
  <si>
    <t>Απεντόμωση</t>
  </si>
  <si>
    <t>Αεροπορικά</t>
  </si>
  <si>
    <t>Πολωνία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</si>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</sst>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-* #,##0.00\ &quot;€&quot;_-;\-* #,##0.00\ &quot;€&quot;_-;_-* &quot;-&quot;??\ &quot;€&quot;_-;_-@_-"/>
    <numFmt numFmtId="164" formatCode="mmm"/>
    <numFmt numFmtId="165" formatCode="#,##0.00\ &quot;€&quot;"/>
    <numFmt numFmtId="166" formatCode="m\-mmm\-yy"/>
    <numFmt numFmtId="167" formatCode="mmmm"/>
    <numFmt numFmtId="168" formatCode="[$-F800]dddd\,\ mmmm\ dd\,\ yyyy"/>
    <numFmt numFmtId="169" formatCode="_-* #,##0\ &quot;€&quot;_-;\-* #,##0\ &quot;€&quot;_-;_-* &quot;-&quot;??\ &quot;€&quot;_-;_-@_-"/>
    <numFmt numFmtId="170" formatCode="_-* #,##0\ [$€-408]_-;\-* #,##0\ [$€-408]_-;_-* &quot;-&quot;??\ [$€-408]_-;_-@_-"/>
    <numFmt numFmtId="171" formatCode="0.0%"/>
    <numFmt numFmtId="172" formatCode="_-* #,##0.0\ &quot;€&quot;_-;\-* #,##0.0\ &quot;€&quot;_-;_-* &quot;-&quot;??\ &quot;€&quot;_-;_-@_-"/>
  </numFmts>
  <fonts count="25" x14ac:knownFonts="1">
    <font>
      <sz val="11"/>
      <color theme="1"/>
      <name val="Calibri"/>
      <family val="2"/>
      <charset val="161"/>
      <scheme val="minor"/>
    </font>
    <font>
      <b/>
      <sz val="20"/>
      <color theme="0"/>
      <name val="Calibri"/>
      <family val="2"/>
      <charset val="161"/>
      <scheme val="minor"/>
    </font>
    <font>
      <b/>
      <sz val="11"/>
      <color rgb="FFFFFF0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6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1"/>
      <color theme="0" tint="-0.34998626667073579"/>
      <name val="Calibri"/>
      <family val="2"/>
      <charset val="161"/>
      <scheme val="minor"/>
    </font>
    <font>
      <b/>
      <sz val="11"/>
      <color theme="0" tint="-0.34998626667073579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color theme="0" tint="-0.499984740745262"/>
      <name val="Calibri"/>
      <family val="2"/>
      <charset val="161"/>
      <scheme val="minor"/>
    </font>
    <font>
      <b/>
      <sz val="11"/>
      <color theme="4" tint="-0.249977111117893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b/>
      <i/>
      <sz val="11"/>
      <color theme="0" tint="-0.499984740745262"/>
      <name val="Calibri"/>
      <family val="2"/>
      <charset val="161"/>
      <scheme val="minor"/>
    </font>
    <font>
      <b/>
      <sz val="10"/>
      <color theme="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11"/>
      <color rgb="FF00B0F0"/>
      <name val="Calibri"/>
      <family val="2"/>
      <charset val="161"/>
      <scheme val="minor"/>
    </font>
    <font>
      <b/>
      <sz val="11"/>
      <color rgb="FF00B0F0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8"/>
      <color rgb="FF000000"/>
      <name val="Segoe UI"/>
      <family val="2"/>
      <charset val="161"/>
    </font>
    <font>
      <sz val="11"/>
      <color theme="0" tint="-0.1499984740745262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166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CD0B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</fills>
  <borders count="33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5" fillId="2" borderId="0" xfId="0" applyFont="1" applyFill="1"/>
    <xf numFmtId="0" fontId="0" fillId="4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6" xfId="0" applyFill="1" applyBorder="1"/>
    <xf numFmtId="0" fontId="0" fillId="0" borderId="0" xfId="0" applyAlignment="1">
      <alignment horizontal="left" indent="1"/>
    </xf>
    <xf numFmtId="0" fontId="5" fillId="2" borderId="7" xfId="0" applyFont="1" applyFill="1" applyBorder="1" applyAlignment="1">
      <alignment horizontal="left" indent="1"/>
    </xf>
    <xf numFmtId="0" fontId="4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horizontal="left" indent="1"/>
    </xf>
    <xf numFmtId="0" fontId="8" fillId="0" borderId="0" xfId="0" applyFont="1" applyAlignment="1">
      <alignment horizontal="left" indent="1"/>
    </xf>
    <xf numFmtId="165" fontId="8" fillId="2" borderId="7" xfId="0" applyNumberFormat="1" applyFont="1" applyFill="1" applyBorder="1" applyAlignment="1">
      <alignment horizontal="center" vertical="center"/>
    </xf>
    <xf numFmtId="165" fontId="9" fillId="2" borderId="7" xfId="0" applyNumberFormat="1" applyFont="1" applyFill="1" applyBorder="1" applyAlignment="1">
      <alignment horizontal="center" vertical="center"/>
    </xf>
    <xf numFmtId="0" fontId="9" fillId="2" borderId="0" xfId="0" applyFont="1" applyFill="1"/>
    <xf numFmtId="164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indent="1"/>
    </xf>
    <xf numFmtId="0" fontId="0" fillId="0" borderId="7" xfId="0" applyBorder="1" applyAlignment="1">
      <alignment horizontal="left" indent="1"/>
    </xf>
    <xf numFmtId="164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0" fillId="2" borderId="6" xfId="0" applyNumberFormat="1" applyFill="1" applyBorder="1"/>
    <xf numFmtId="44" fontId="0" fillId="2" borderId="6" xfId="0" applyNumberFormat="1" applyFill="1" applyBorder="1"/>
    <xf numFmtId="44" fontId="5" fillId="2" borderId="6" xfId="0" applyNumberFormat="1" applyFont="1" applyFill="1" applyBorder="1"/>
    <xf numFmtId="44" fontId="5" fillId="2" borderId="7" xfId="1" applyFont="1" applyFill="1" applyBorder="1" applyAlignment="1">
      <alignment horizontal="center" vertical="center"/>
    </xf>
    <xf numFmtId="44" fontId="10" fillId="2" borderId="7" xfId="1" applyFont="1" applyFill="1" applyBorder="1" applyAlignment="1">
      <alignment horizontal="center" vertical="center"/>
    </xf>
    <xf numFmtId="44" fontId="9" fillId="2" borderId="7" xfId="1" applyFont="1" applyFill="1" applyBorder="1" applyAlignment="1">
      <alignment horizontal="center" vertical="center"/>
    </xf>
    <xf numFmtId="44" fontId="8" fillId="2" borderId="7" xfId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166" fontId="0" fillId="2" borderId="0" xfId="0" applyNumberFormat="1" applyFill="1" applyAlignment="1">
      <alignment horizontal="left"/>
    </xf>
    <xf numFmtId="44" fontId="0" fillId="2" borderId="0" xfId="0" applyNumberFormat="1" applyFill="1" applyAlignment="1">
      <alignment horizontal="left"/>
    </xf>
    <xf numFmtId="0" fontId="11" fillId="2" borderId="0" xfId="0" applyFont="1" applyFill="1" applyAlignment="1">
      <alignment horizontal="left"/>
    </xf>
    <xf numFmtId="0" fontId="14" fillId="2" borderId="0" xfId="0" applyFont="1" applyFill="1"/>
    <xf numFmtId="15" fontId="0" fillId="2" borderId="0" xfId="0" applyNumberFormat="1" applyFill="1"/>
    <xf numFmtId="0" fontId="16" fillId="3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167" fontId="17" fillId="2" borderId="15" xfId="0" applyNumberFormat="1" applyFont="1" applyFill="1" applyBorder="1" applyAlignment="1">
      <alignment horizontal="center" vertical="center"/>
    </xf>
    <xf numFmtId="167" fontId="17" fillId="2" borderId="16" xfId="0" applyNumberFormat="1" applyFont="1" applyFill="1" applyBorder="1" applyAlignment="1">
      <alignment horizontal="center" vertical="center"/>
    </xf>
    <xf numFmtId="0" fontId="14" fillId="2" borderId="4" xfId="0" applyFont="1" applyFill="1" applyBorder="1"/>
    <xf numFmtId="0" fontId="0" fillId="2" borderId="4" xfId="0" applyFill="1" applyBorder="1" applyAlignment="1">
      <alignment horizontal="right"/>
    </xf>
    <xf numFmtId="0" fontId="14" fillId="2" borderId="10" xfId="0" applyFont="1" applyFill="1" applyBorder="1"/>
    <xf numFmtId="0" fontId="0" fillId="2" borderId="10" xfId="0" applyFill="1" applyBorder="1" applyAlignment="1">
      <alignment horizontal="right" vertical="center"/>
    </xf>
    <xf numFmtId="166" fontId="14" fillId="2" borderId="0" xfId="0" applyNumberFormat="1" applyFont="1" applyFill="1" applyAlignment="1">
      <alignment horizontal="left"/>
    </xf>
    <xf numFmtId="168" fontId="0" fillId="2" borderId="0" xfId="0" applyNumberFormat="1" applyFill="1" applyAlignment="1">
      <alignment horizontal="right"/>
    </xf>
    <xf numFmtId="0" fontId="18" fillId="9" borderId="1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169" fontId="0" fillId="2" borderId="0" xfId="0" applyNumberFormat="1" applyFill="1"/>
    <xf numFmtId="169" fontId="0" fillId="2" borderId="2" xfId="0" applyNumberFormat="1" applyFill="1" applyBorder="1"/>
    <xf numFmtId="0" fontId="18" fillId="9" borderId="12" xfId="0" applyFont="1" applyFill="1" applyBorder="1" applyAlignment="1">
      <alignment horizontal="center" vertical="center"/>
    </xf>
    <xf numFmtId="0" fontId="0" fillId="2" borderId="12" xfId="0" applyFill="1" applyBorder="1"/>
    <xf numFmtId="9" fontId="0" fillId="3" borderId="0" xfId="2" applyFont="1" applyFill="1"/>
    <xf numFmtId="9" fontId="0" fillId="2" borderId="0" xfId="2" applyFont="1" applyFill="1"/>
    <xf numFmtId="9" fontId="0" fillId="2" borderId="0" xfId="2" applyFont="1" applyFill="1" applyAlignment="1">
      <alignment horizontal="right"/>
    </xf>
    <xf numFmtId="0" fontId="0" fillId="3" borderId="0" xfId="0" applyFill="1" applyAlignment="1">
      <alignment horizontal="left"/>
    </xf>
    <xf numFmtId="9" fontId="0" fillId="2" borderId="0" xfId="2" applyFont="1" applyFill="1" applyAlignment="1">
      <alignment horizontal="center" vertical="center"/>
    </xf>
    <xf numFmtId="169" fontId="0" fillId="2" borderId="0" xfId="1" applyNumberFormat="1" applyFont="1" applyFill="1" applyAlignment="1">
      <alignment horizontal="center" vertical="center"/>
    </xf>
    <xf numFmtId="0" fontId="0" fillId="2" borderId="17" xfId="0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9" xfId="0" applyFill="1" applyBorder="1"/>
    <xf numFmtId="0" fontId="20" fillId="2" borderId="19" xfId="0" applyFont="1" applyFill="1" applyBorder="1"/>
    <xf numFmtId="0" fontId="5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9" fontId="0" fillId="2" borderId="21" xfId="1" applyNumberFormat="1" applyFont="1" applyFill="1" applyBorder="1" applyAlignment="1">
      <alignment horizontal="center" vertical="center"/>
    </xf>
    <xf numFmtId="169" fontId="5" fillId="2" borderId="0" xfId="1" applyNumberFormat="1" applyFont="1" applyFill="1" applyAlignment="1">
      <alignment horizontal="center" vertical="center"/>
    </xf>
    <xf numFmtId="169" fontId="0" fillId="2" borderId="0" xfId="1" applyNumberFormat="1" applyFont="1" applyFill="1"/>
    <xf numFmtId="169" fontId="5" fillId="2" borderId="22" xfId="1" applyNumberFormat="1" applyFont="1" applyFill="1" applyBorder="1"/>
    <xf numFmtId="0" fontId="0" fillId="2" borderId="0" xfId="0" applyFill="1" applyAlignment="1">
      <alignment horizontal="left" indent="2"/>
    </xf>
    <xf numFmtId="0" fontId="5" fillId="2" borderId="22" xfId="0" applyFont="1" applyFill="1" applyBorder="1" applyAlignment="1">
      <alignment horizontal="left" indent="2"/>
    </xf>
    <xf numFmtId="0" fontId="5" fillId="2" borderId="0" xfId="0" applyFont="1" applyFill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horizontal="center"/>
    </xf>
    <xf numFmtId="169" fontId="0" fillId="2" borderId="23" xfId="1" applyNumberFormat="1" applyFont="1" applyFill="1" applyBorder="1" applyAlignment="1">
      <alignment horizontal="center"/>
    </xf>
    <xf numFmtId="169" fontId="0" fillId="2" borderId="0" xfId="1" applyNumberFormat="1" applyFont="1" applyFill="1" applyBorder="1" applyAlignment="1">
      <alignment horizontal="center"/>
    </xf>
    <xf numFmtId="170" fontId="0" fillId="2" borderId="23" xfId="1" applyNumberFormat="1" applyFont="1" applyFill="1" applyBorder="1" applyAlignment="1">
      <alignment horizontal="center"/>
    </xf>
    <xf numFmtId="170" fontId="0" fillId="2" borderId="23" xfId="0" applyNumberFormat="1" applyFill="1" applyBorder="1" applyAlignment="1">
      <alignment horizontal="center"/>
    </xf>
    <xf numFmtId="170" fontId="0" fillId="2" borderId="0" xfId="1" applyNumberFormat="1" applyFont="1" applyFill="1" applyBorder="1" applyAlignment="1">
      <alignment horizontal="center"/>
    </xf>
    <xf numFmtId="170" fontId="0" fillId="2" borderId="0" xfId="0" applyNumberFormat="1" applyFill="1" applyAlignment="1">
      <alignment horizontal="center"/>
    </xf>
    <xf numFmtId="170" fontId="0" fillId="2" borderId="20" xfId="1" applyNumberFormat="1" applyFont="1" applyFill="1" applyBorder="1" applyAlignment="1">
      <alignment horizontal="center"/>
    </xf>
    <xf numFmtId="170" fontId="0" fillId="2" borderId="20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169" fontId="0" fillId="2" borderId="0" xfId="0" applyNumberFormat="1" applyFill="1" applyAlignment="1">
      <alignment horizontal="right" indent="1"/>
    </xf>
    <xf numFmtId="0" fontId="12" fillId="2" borderId="0" xfId="0" applyFont="1" applyFill="1"/>
    <xf numFmtId="49" fontId="0" fillId="4" borderId="0" xfId="0" applyNumberFormat="1" applyFill="1" applyAlignment="1">
      <alignment horizontal="center"/>
    </xf>
    <xf numFmtId="0" fontId="8" fillId="9" borderId="0" xfId="0" applyFont="1" applyFill="1" applyAlignment="1">
      <alignment horizontal="center"/>
    </xf>
    <xf numFmtId="171" fontId="0" fillId="2" borderId="0" xfId="2" applyNumberFormat="1" applyFont="1" applyFill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5" fontId="23" fillId="0" borderId="0" xfId="0" applyNumberFormat="1" applyFont="1" applyAlignment="1">
      <alignment horizontal="right" indent="1"/>
    </xf>
    <xf numFmtId="0" fontId="4" fillId="12" borderId="0" xfId="0" applyFont="1" applyFill="1" applyAlignment="1">
      <alignment horizontal="center" vertical="center"/>
    </xf>
    <xf numFmtId="9" fontId="4" fillId="12" borderId="0" xfId="2" applyFont="1" applyFill="1" applyAlignment="1">
      <alignment horizontal="center" vertical="center"/>
    </xf>
    <xf numFmtId="0" fontId="5" fillId="2" borderId="32" xfId="0" applyFont="1" applyFill="1" applyBorder="1" applyAlignment="1">
      <alignment horizontal="left"/>
    </xf>
    <xf numFmtId="169" fontId="5" fillId="2" borderId="23" xfId="0" applyNumberFormat="1" applyFont="1" applyFill="1" applyBorder="1"/>
    <xf numFmtId="169" fontId="5" fillId="2" borderId="23" xfId="2" applyNumberFormat="1" applyFont="1" applyFill="1" applyBorder="1" applyAlignment="1">
      <alignment horizontal="right"/>
    </xf>
    <xf numFmtId="0" fontId="5" fillId="2" borderId="23" xfId="0" applyFont="1" applyFill="1" applyBorder="1"/>
    <xf numFmtId="9" fontId="5" fillId="2" borderId="23" xfId="2" applyFont="1" applyFill="1" applyBorder="1" applyAlignment="1">
      <alignment horizontal="right"/>
    </xf>
    <xf numFmtId="165" fontId="0" fillId="2" borderId="0" xfId="0" applyNumberFormat="1" applyFill="1"/>
    <xf numFmtId="14" fontId="0" fillId="2" borderId="0" xfId="0" applyNumberFormat="1" applyFill="1"/>
    <xf numFmtId="172" fontId="5" fillId="2" borderId="23" xfId="0" applyNumberFormat="1" applyFont="1" applyFill="1" applyBorder="1"/>
    <xf numFmtId="165" fontId="24" fillId="2" borderId="0" xfId="0" applyNumberFormat="1" applyFont="1" applyFill="1" applyAlignment="1">
      <alignment horizontal="center" vertical="center"/>
    </xf>
    <xf numFmtId="0" fontId="23" fillId="0" borderId="0" xfId="0" applyFont="1"/>
    <xf numFmtId="44" fontId="0" fillId="0" borderId="0" xfId="0" applyNumberFormat="1" applyAlignment="1">
      <alignment horizontal="left" indent="1"/>
    </xf>
    <xf numFmtId="44" fontId="0" fillId="0" borderId="0" xfId="1" applyFont="1" applyFill="1" applyBorder="1" applyAlignment="1">
      <alignment horizontal="left" indent="2"/>
    </xf>
    <xf numFmtId="44" fontId="0" fillId="0" borderId="0" xfId="1" applyFont="1" applyFill="1" applyBorder="1"/>
    <xf numFmtId="44" fontId="0" fillId="0" borderId="0" xfId="0" applyNumberFormat="1"/>
    <xf numFmtId="0" fontId="2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right" indent="2"/>
    </xf>
    <xf numFmtId="167" fontId="14" fillId="10" borderId="10" xfId="0" applyNumberFormat="1" applyFont="1" applyFill="1" applyBorder="1" applyAlignment="1">
      <alignment horizontal="center"/>
    </xf>
    <xf numFmtId="164" fontId="0" fillId="2" borderId="23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0" fontId="13" fillId="5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</cellXfs>
  <cellStyles count="3">
    <cellStyle name="Κανονικό" xfId="0" builtinId="0"/>
    <cellStyle name="Νομισματική μονάδα" xfId="1" builtinId="4"/>
    <cellStyle name="Ποσοστό" xfId="2" builtinId="5"/>
  </cellStyles>
  <dxfs count="81">
    <dxf>
      <fill>
        <patternFill>
          <bgColor theme="9" tint="0.39994506668294322"/>
        </patternFill>
      </fill>
    </dxf>
    <dxf>
      <fill>
        <patternFill>
          <bgColor rgb="FFFF3300"/>
        </patternFill>
      </fill>
    </dxf>
    <dxf>
      <fill>
        <patternFill>
          <bgColor theme="0" tint="-4.9989318521683403E-2"/>
        </patternFill>
      </fill>
    </dxf>
    <dxf>
      <fill>
        <patternFill>
          <bgColor rgb="FF66CCFF"/>
        </patternFill>
      </fill>
    </dxf>
    <dxf>
      <fill>
        <patternFill>
          <bgColor rgb="FF3399FF"/>
        </patternFill>
      </fill>
    </dxf>
    <dxf>
      <fill>
        <patternFill>
          <bgColor rgb="FF0066FF"/>
        </patternFill>
      </fill>
    </dxf>
    <dxf>
      <fill>
        <patternFill>
          <bgColor rgb="FF0000FF"/>
        </patternFill>
      </fill>
    </dxf>
    <dxf>
      <fill>
        <patternFill>
          <bgColor rgb="FF0000CC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rgb="FFFF99FF"/>
        </patternFill>
      </fill>
    </dxf>
    <dxf>
      <fill>
        <patternFill>
          <bgColor rgb="FFFF66FF"/>
        </patternFill>
      </fill>
    </dxf>
    <dxf>
      <fill>
        <patternFill>
          <bgColor rgb="FFFF00FF"/>
        </patternFill>
      </fill>
    </dxf>
    <dxf>
      <fill>
        <patternFill>
          <bgColor rgb="FFCC00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FFCC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33CC33"/>
        </patternFill>
      </fill>
    </dxf>
    <dxf>
      <fill>
        <patternFill>
          <bgColor rgb="FF008000"/>
        </patternFill>
      </fill>
    </dxf>
    <dxf>
      <fill>
        <patternFill>
          <bgColor theme="4" tint="0.39994506668294322"/>
        </patternFill>
      </fill>
    </dxf>
    <dxf>
      <fill>
        <patternFill>
          <bgColor rgb="FFFA7EF1"/>
        </patternFill>
      </fill>
    </dxf>
    <dxf>
      <fill>
        <patternFill>
          <bgColor rgb="FF79E58B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rgb="FF33CC33"/>
        </patternFill>
      </fill>
    </dxf>
    <dxf>
      <font>
        <b/>
        <i val="0"/>
        <color theme="0"/>
      </font>
      <fill>
        <patternFill>
          <bgColor rgb="FFFF6699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color theme="1"/>
      </font>
      <numFmt numFmtId="20" formatCode="d\-mmm\-yy"/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color rgb="FF00B050"/>
      </font>
    </dxf>
    <dxf>
      <font>
        <color rgb="FF00B0F0"/>
      </font>
    </dxf>
    <dxf>
      <font>
        <color rgb="FFFF0000"/>
      </font>
    </dxf>
    <dxf>
      <font>
        <color rgb="FF00B050"/>
      </font>
    </dxf>
    <dxf>
      <font>
        <color rgb="FF00B0F0"/>
      </font>
    </dxf>
    <dxf>
      <font>
        <color rgb="FFFF0000"/>
      </font>
    </dxf>
    <dxf>
      <font>
        <b/>
        <i val="0"/>
        <color rgb="FFFF0000"/>
      </font>
      <fill>
        <patternFill>
          <bgColor theme="0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FCC0F6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FCC0F6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FCC0F6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FCC0F6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FCC0F6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FCC0F6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FF0000"/>
      </font>
    </dxf>
    <dxf>
      <font>
        <color rgb="FF00B050"/>
      </font>
    </dxf>
    <dxf>
      <font>
        <color theme="0" tint="-0.34998626667073579"/>
      </font>
    </dxf>
    <dxf>
      <font>
        <color theme="1"/>
      </font>
      <fill>
        <patternFill>
          <bgColor rgb="FFFCC0F6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FF0000"/>
      </font>
    </dxf>
    <dxf>
      <font>
        <color rgb="FF00B050"/>
      </font>
    </dxf>
    <dxf>
      <font>
        <color theme="0" tint="-0.34998626667073579"/>
      </font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charset val="161"/>
        <scheme val="minor"/>
      </font>
    </dxf>
    <dxf>
      <numFmt numFmtId="34" formatCode="_-* #,##0.00\ &quot;€&quot;_-;\-* #,##0.00\ &quot;€&quot;_-;_-* &quot;-&quot;??\ &quot;€&quot;_-;_-@_-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charset val="161"/>
        <scheme val="minor"/>
      </font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charset val="161"/>
        <scheme val="minor"/>
      </font>
    </dxf>
    <dxf>
      <font>
        <b/>
        <i val="0"/>
        <color theme="0"/>
      </font>
      <fill>
        <patternFill patternType="solid">
          <bgColor rgb="FF00B05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bgColor theme="3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 patternType="solid">
          <bgColor rgb="FF0070C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 patternType="solid">
          <bgColor rgb="FFEA166C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racking table style  " defaultPivotStyle="PivotStyleLight16">
    <tableStyle name="Expenses style" pivot="0" count="2" xr9:uid="{FCDCA72F-D238-4345-BE1D-74F9CA296281}">
      <tableStyleElement type="wholeTable" dxfId="80"/>
      <tableStyleElement type="headerRow" dxfId="79"/>
    </tableStyle>
    <tableStyle name="Savings style " pivot="0" count="2" xr9:uid="{D6A33369-8F49-4A4F-86D3-0F7572BC0671}">
      <tableStyleElement type="wholeTable" dxfId="78"/>
      <tableStyleElement type="headerRow" dxfId="77"/>
    </tableStyle>
    <tableStyle name="Tracking table style  " pivot="0" count="4" xr9:uid="{4DD32F08-39EC-4548-962E-782694DBB41D}">
      <tableStyleElement type="wholeTable" dxfId="76"/>
      <tableStyleElement type="headerRow" dxfId="75"/>
      <tableStyleElement type="firstRowStripe" dxfId="74"/>
      <tableStyleElement type="secondRowStripe" dxfId="73"/>
    </tableStyle>
    <tableStyle name="Στυλ πίνακα 1" pivot="0" count="2" xr9:uid="{5B31883D-C11B-4785-81D9-8BBAB241386A}">
      <tableStyleElement type="wholeTable" dxfId="72"/>
      <tableStyleElement type="headerRow" dxfId="71"/>
    </tableStyle>
  </tableStyles>
  <colors>
    <mruColors>
      <color rgb="FF0066FF"/>
      <color rgb="FF3399FF"/>
      <color rgb="FF0000FF"/>
      <color rgb="FF66CCFF"/>
      <color rgb="FF0000CC"/>
      <color rgb="FF00ADEA"/>
      <color rgb="FFD2FEE7"/>
      <color rgb="FF00729A"/>
      <color rgb="FF5DD5FF"/>
      <color rgb="FFFF5B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8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77-4045-9047-97D8A80341C5}"/>
              </c:ext>
            </c:extLst>
          </c:dPt>
          <c:dPt>
            <c:idx val="1"/>
            <c:bubble3D val="0"/>
            <c:spPr>
              <a:solidFill>
                <a:srgbClr val="33CC3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77-4045-9047-97D8A80341C5}"/>
              </c:ext>
            </c:extLst>
          </c:dPt>
          <c:dPt>
            <c:idx val="2"/>
            <c:bubble3D val="0"/>
            <c:spPr>
              <a:solidFill>
                <a:srgbClr val="66FF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77-4045-9047-97D8A80341C5}"/>
              </c:ext>
            </c:extLst>
          </c:dPt>
          <c:dPt>
            <c:idx val="3"/>
            <c:bubble3D val="0"/>
            <c:spPr>
              <a:solidFill>
                <a:srgbClr val="99FF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77-4045-9047-97D8A80341C5}"/>
              </c:ext>
            </c:extLst>
          </c:dPt>
          <c:dPt>
            <c:idx val="4"/>
            <c:bubble3D val="0"/>
            <c:spPr>
              <a:solidFill>
                <a:srgbClr val="CC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77-4045-9047-97D8A80341C5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877-4045-9047-97D8A80341C5}"/>
              </c:ext>
            </c:extLst>
          </c:dPt>
          <c:cat>
            <c:strRef>
              <c:f>CALCULATIONS!$E$35:$E$40</c:f>
              <c:strCache>
                <c:ptCount val="6"/>
                <c:pt idx="0">
                  <c:v>Μισθός</c:v>
                </c:pt>
                <c:pt idx="5">
                  <c:v>Other</c:v>
                </c:pt>
              </c:strCache>
            </c:strRef>
          </c:cat>
          <c:val>
            <c:numRef>
              <c:f>CALCULATIONS!$F$35:$F$40</c:f>
              <c:numCache>
                <c:formatCode>_-* #,##0\ "€"_-;\-* #,##0\ "€"_-;_-* "-"??\ "€"_-;_-@_-</c:formatCode>
                <c:ptCount val="6"/>
                <c:pt idx="0">
                  <c:v>1167.1400000000001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877-4045-9047-97D8A803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C00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65-4346-9DB6-521A5E54C71B}"/>
              </c:ext>
            </c:extLst>
          </c:dPt>
          <c:dPt>
            <c:idx val="1"/>
            <c:bubble3D val="0"/>
            <c:spPr>
              <a:solidFill>
                <a:srgbClr val="FF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65-4346-9DB6-521A5E54C71B}"/>
              </c:ext>
            </c:extLst>
          </c:dPt>
          <c:dPt>
            <c:idx val="2"/>
            <c:bubble3D val="0"/>
            <c:spPr>
              <a:solidFill>
                <a:srgbClr val="FF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65-4346-9DB6-521A5E54C71B}"/>
              </c:ext>
            </c:extLst>
          </c:dPt>
          <c:dPt>
            <c:idx val="3"/>
            <c:bubble3D val="0"/>
            <c:spPr>
              <a:solidFill>
                <a:srgbClr val="FF99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65-4346-9DB6-521A5E54C71B}"/>
              </c:ext>
            </c:extLst>
          </c:dPt>
          <c:dPt>
            <c:idx val="4"/>
            <c:bubble3D val="0"/>
            <c:spPr>
              <a:solidFill>
                <a:srgbClr val="FF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465-4346-9DB6-521A5E54C71B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465-4346-9DB6-521A5E54C71B}"/>
              </c:ext>
            </c:extLst>
          </c:dPt>
          <c:cat>
            <c:strRef>
              <c:f>CALCULATIONS!$I$35:$I$40</c:f>
              <c:strCache>
                <c:ptCount val="6"/>
                <c:pt idx="0">
                  <c:v>Ενοίκιο</c:v>
                </c:pt>
                <c:pt idx="1">
                  <c:v>Έξοδος</c:v>
                </c:pt>
                <c:pt idx="2">
                  <c:v>Λοιπά</c:v>
                </c:pt>
                <c:pt idx="3">
                  <c:v>Μάρκετ </c:v>
                </c:pt>
                <c:pt idx="4">
                  <c:v>Μονάδες Κινητό</c:v>
                </c:pt>
                <c:pt idx="5">
                  <c:v>Other</c:v>
                </c:pt>
              </c:strCache>
            </c:strRef>
          </c:cat>
          <c:val>
            <c:numRef>
              <c:f>CALCULATIONS!$J$35:$J$40</c:f>
              <c:numCache>
                <c:formatCode>_-* #,##0\ "€"_-;\-* #,##0\ "€"_-;_-* "-"??\ "€"_-;_-@_-</c:formatCode>
                <c:ptCount val="6"/>
                <c:pt idx="0">
                  <c:v>400</c:v>
                </c:pt>
                <c:pt idx="1">
                  <c:v>128.1</c:v>
                </c:pt>
                <c:pt idx="2">
                  <c:v>56.91</c:v>
                </c:pt>
                <c:pt idx="3">
                  <c:v>38.659999999999997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65-4346-9DB6-521A5E54C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EFA7E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9F-48D5-A7CE-FAD737FB2FD0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9F-48D5-A7CE-FAD737FB2FD0}"/>
              </c:ext>
            </c:extLst>
          </c:dPt>
          <c:dPt>
            <c:idx val="5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9F-48D5-A7CE-FAD737FB2FD0}"/>
              </c:ext>
            </c:extLst>
          </c:dPt>
          <c:dPt>
            <c:idx val="6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49F-48D5-A7CE-FAD737FB2FD0}"/>
              </c:ext>
            </c:extLst>
          </c:dPt>
          <c:dPt>
            <c:idx val="9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49F-48D5-A7CE-FAD737FB2FD0}"/>
              </c:ext>
            </c:extLst>
          </c:dPt>
          <c:dPt>
            <c:idx val="10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49F-48D5-A7CE-FAD737FB2FD0}"/>
              </c:ext>
            </c:extLst>
          </c:dPt>
          <c:dPt>
            <c:idx val="13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49F-48D5-A7CE-FAD737FB2FD0}"/>
              </c:ext>
            </c:extLst>
          </c:dPt>
          <c:dPt>
            <c:idx val="14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49F-48D5-A7CE-FAD737FB2FD0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49F-48D5-A7CE-FAD737FB2FD0}"/>
              </c:ext>
            </c:extLst>
          </c:dPt>
          <c:dPt>
            <c:idx val="18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49F-48D5-A7CE-FAD737FB2FD0}"/>
              </c:ext>
            </c:extLst>
          </c:dPt>
          <c:dPt>
            <c:idx val="21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49F-48D5-A7CE-FAD737FB2FD0}"/>
              </c:ext>
            </c:extLst>
          </c:dPt>
          <c:dPt>
            <c:idx val="22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49F-48D5-A7CE-FAD737FB2FD0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49F-48D5-A7CE-FAD737FB2FD0}"/>
              </c:ext>
            </c:extLst>
          </c:dPt>
          <c:dPt>
            <c:idx val="26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49F-48D5-A7CE-FAD737FB2FD0}"/>
              </c:ext>
            </c:extLst>
          </c:dPt>
          <c:dPt>
            <c:idx val="29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49F-48D5-A7CE-FAD737FB2FD0}"/>
              </c:ext>
            </c:extLst>
          </c:dPt>
          <c:dPt>
            <c:idx val="30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749F-48D5-A7CE-FAD737FB2FD0}"/>
              </c:ext>
            </c:extLst>
          </c:dPt>
          <c:dPt>
            <c:idx val="33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749F-48D5-A7CE-FAD737FB2FD0}"/>
              </c:ext>
            </c:extLst>
          </c:dPt>
          <c:dPt>
            <c:idx val="34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749F-48D5-A7CE-FAD737FB2FD0}"/>
              </c:ext>
            </c:extLst>
          </c:dPt>
          <c:dPt>
            <c:idx val="37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749F-48D5-A7CE-FAD737FB2FD0}"/>
              </c:ext>
            </c:extLst>
          </c:dPt>
          <c:dPt>
            <c:idx val="38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749F-48D5-A7CE-FAD737FB2FD0}"/>
              </c:ext>
            </c:extLst>
          </c:dPt>
          <c:dPt>
            <c:idx val="41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749F-48D5-A7CE-FAD737FB2FD0}"/>
              </c:ext>
            </c:extLst>
          </c:dPt>
          <c:dPt>
            <c:idx val="42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749F-48D5-A7CE-FAD737FB2FD0}"/>
              </c:ext>
            </c:extLst>
          </c:dPt>
          <c:dPt>
            <c:idx val="45"/>
            <c:invertIfNegative val="0"/>
            <c:bubble3D val="0"/>
            <c:spPr>
              <a:solidFill>
                <a:srgbClr val="FF00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749F-48D5-A7CE-FAD737FB2FD0}"/>
              </c:ext>
            </c:extLst>
          </c:dPt>
          <c:dPt>
            <c:idx val="46"/>
            <c:invertIfNegative val="0"/>
            <c:bubble3D val="0"/>
            <c:spPr>
              <a:solidFill>
                <a:srgbClr val="00AD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749F-48D5-A7CE-FAD737FB2FD0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45658</c:v>
                </c:pt>
                <c:pt idx="4">
                  <c:v>45689</c:v>
                </c:pt>
                <c:pt idx="8">
                  <c:v>45717</c:v>
                </c:pt>
                <c:pt idx="12">
                  <c:v>45748</c:v>
                </c:pt>
                <c:pt idx="16">
                  <c:v>45778</c:v>
                </c:pt>
                <c:pt idx="20">
                  <c:v>45809</c:v>
                </c:pt>
                <c:pt idx="24">
                  <c:v>45839</c:v>
                </c:pt>
                <c:pt idx="28">
                  <c:v>45870</c:v>
                </c:pt>
                <c:pt idx="32">
                  <c:v>45901</c:v>
                </c:pt>
                <c:pt idx="36">
                  <c:v>45931</c:v>
                </c:pt>
                <c:pt idx="40">
                  <c:v>45962</c:v>
                </c:pt>
                <c:pt idx="44">
                  <c:v>45992</c:v>
                </c:pt>
              </c:numCache>
            </c:numRef>
          </c:cat>
          <c:val>
            <c:numRef>
              <c:f>CALCULATIONS!$M$55:$M$102</c:f>
              <c:numCache>
                <c:formatCode>_-* #,##0\ "€"_-;\-* #,##0\ "€"_-;_-* "-"??\ "€"_-;_-@_-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49F-48D5-A7CE-FAD737FB2FD0}"/>
            </c:ext>
          </c:extLst>
        </c:ser>
        <c:ser>
          <c:idx val="1"/>
          <c:order val="1"/>
          <c:spPr>
            <a:solidFill>
              <a:srgbClr val="7CFCB9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749F-48D5-A7CE-FAD737FB2FD0}"/>
              </c:ext>
            </c:extLst>
          </c:dPt>
          <c:dPt>
            <c:idx val="2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749F-48D5-A7CE-FAD737FB2FD0}"/>
              </c:ext>
            </c:extLst>
          </c:dPt>
          <c:dPt>
            <c:idx val="5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749F-48D5-A7CE-FAD737FB2FD0}"/>
              </c:ext>
            </c:extLst>
          </c:dPt>
          <c:dPt>
            <c:idx val="6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749F-48D5-A7CE-FAD737FB2FD0}"/>
              </c:ext>
            </c:extLst>
          </c:dPt>
          <c:dPt>
            <c:idx val="9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749F-48D5-A7CE-FAD737FB2FD0}"/>
              </c:ext>
            </c:extLst>
          </c:dPt>
          <c:dPt>
            <c:idx val="10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749F-48D5-A7CE-FAD737FB2FD0}"/>
              </c:ext>
            </c:extLst>
          </c:dPt>
          <c:dPt>
            <c:idx val="13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749F-48D5-A7CE-FAD737FB2FD0}"/>
              </c:ext>
            </c:extLst>
          </c:dPt>
          <c:dPt>
            <c:idx val="14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749F-48D5-A7CE-FAD737FB2FD0}"/>
              </c:ext>
            </c:extLst>
          </c:dPt>
          <c:dPt>
            <c:idx val="17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749F-48D5-A7CE-FAD737FB2FD0}"/>
              </c:ext>
            </c:extLst>
          </c:dPt>
          <c:dPt>
            <c:idx val="18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749F-48D5-A7CE-FAD737FB2FD0}"/>
              </c:ext>
            </c:extLst>
          </c:dPt>
          <c:dPt>
            <c:idx val="21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749F-48D5-A7CE-FAD737FB2FD0}"/>
              </c:ext>
            </c:extLst>
          </c:dPt>
          <c:dPt>
            <c:idx val="22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749F-48D5-A7CE-FAD737FB2FD0}"/>
              </c:ext>
            </c:extLst>
          </c:dPt>
          <c:dPt>
            <c:idx val="25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749F-48D5-A7CE-FAD737FB2FD0}"/>
              </c:ext>
            </c:extLst>
          </c:dPt>
          <c:dPt>
            <c:idx val="26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749F-48D5-A7CE-FAD737FB2FD0}"/>
              </c:ext>
            </c:extLst>
          </c:dPt>
          <c:dPt>
            <c:idx val="29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749F-48D5-A7CE-FAD737FB2FD0}"/>
              </c:ext>
            </c:extLst>
          </c:dPt>
          <c:dPt>
            <c:idx val="30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749F-48D5-A7CE-FAD737FB2FD0}"/>
              </c:ext>
            </c:extLst>
          </c:dPt>
          <c:dPt>
            <c:idx val="33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749F-48D5-A7CE-FAD737FB2FD0}"/>
              </c:ext>
            </c:extLst>
          </c:dPt>
          <c:dPt>
            <c:idx val="34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749F-48D5-A7CE-FAD737FB2FD0}"/>
              </c:ext>
            </c:extLst>
          </c:dPt>
          <c:dPt>
            <c:idx val="37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749F-48D5-A7CE-FAD737FB2FD0}"/>
              </c:ext>
            </c:extLst>
          </c:dPt>
          <c:dPt>
            <c:idx val="38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749F-48D5-A7CE-FAD737FB2FD0}"/>
              </c:ext>
            </c:extLst>
          </c:dPt>
          <c:dPt>
            <c:idx val="41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749F-48D5-A7CE-FAD737FB2FD0}"/>
              </c:ext>
            </c:extLst>
          </c:dPt>
          <c:dPt>
            <c:idx val="42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749F-48D5-A7CE-FAD737FB2FD0}"/>
              </c:ext>
            </c:extLst>
          </c:dPt>
          <c:dPt>
            <c:idx val="45"/>
            <c:invertIfNegative val="0"/>
            <c:bubble3D val="0"/>
            <c:spPr>
              <a:solidFill>
                <a:srgbClr val="FF5B9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749F-48D5-A7CE-FAD737FB2FD0}"/>
              </c:ext>
            </c:extLst>
          </c:dPt>
          <c:dPt>
            <c:idx val="46"/>
            <c:invertIfNegative val="0"/>
            <c:bubble3D val="0"/>
            <c:spPr>
              <a:solidFill>
                <a:srgbClr val="5DD5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749F-48D5-A7CE-FAD737FB2FD0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45658</c:v>
                </c:pt>
                <c:pt idx="4">
                  <c:v>45689</c:v>
                </c:pt>
                <c:pt idx="8">
                  <c:v>45717</c:v>
                </c:pt>
                <c:pt idx="12">
                  <c:v>45748</c:v>
                </c:pt>
                <c:pt idx="16">
                  <c:v>45778</c:v>
                </c:pt>
                <c:pt idx="20">
                  <c:v>45809</c:v>
                </c:pt>
                <c:pt idx="24">
                  <c:v>45839</c:v>
                </c:pt>
                <c:pt idx="28">
                  <c:v>45870</c:v>
                </c:pt>
                <c:pt idx="32">
                  <c:v>45901</c:v>
                </c:pt>
                <c:pt idx="36">
                  <c:v>45931</c:v>
                </c:pt>
                <c:pt idx="40">
                  <c:v>45962</c:v>
                </c:pt>
                <c:pt idx="44">
                  <c:v>45992</c:v>
                </c:pt>
              </c:numCache>
            </c:numRef>
          </c:cat>
          <c:val>
            <c:numRef>
              <c:f>CALCULATIONS!$N$55:$N$102</c:f>
              <c:numCache>
                <c:formatCode>_-* #,##0\ "€"_-;\-* #,##0\ "€"_-;_-* "-"??\ "€"_-;_-@_-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749F-48D5-A7CE-FAD737FB2FD0}"/>
            </c:ext>
          </c:extLst>
        </c:ser>
        <c:ser>
          <c:idx val="2"/>
          <c:order val="2"/>
          <c:spPr>
            <a:solidFill>
              <a:srgbClr val="04C45F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749F-48D5-A7CE-FAD737FB2FD0}"/>
              </c:ext>
            </c:extLst>
          </c:dPt>
          <c:dPt>
            <c:idx val="2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749F-48D5-A7CE-FAD737FB2FD0}"/>
              </c:ext>
            </c:extLst>
          </c:dPt>
          <c:dPt>
            <c:idx val="5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749F-48D5-A7CE-FAD737FB2FD0}"/>
              </c:ext>
            </c:extLst>
          </c:dPt>
          <c:dPt>
            <c:idx val="6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749F-48D5-A7CE-FAD737FB2FD0}"/>
              </c:ext>
            </c:extLst>
          </c:dPt>
          <c:dPt>
            <c:idx val="9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749F-48D5-A7CE-FAD737FB2FD0}"/>
              </c:ext>
            </c:extLst>
          </c:dPt>
          <c:dPt>
            <c:idx val="10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749F-48D5-A7CE-FAD737FB2FD0}"/>
              </c:ext>
            </c:extLst>
          </c:dPt>
          <c:dPt>
            <c:idx val="13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749F-48D5-A7CE-FAD737FB2FD0}"/>
              </c:ext>
            </c:extLst>
          </c:dPt>
          <c:dPt>
            <c:idx val="14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749F-48D5-A7CE-FAD737FB2FD0}"/>
              </c:ext>
            </c:extLst>
          </c:dPt>
          <c:dPt>
            <c:idx val="17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749F-48D5-A7CE-FAD737FB2FD0}"/>
              </c:ext>
            </c:extLst>
          </c:dPt>
          <c:dPt>
            <c:idx val="18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749F-48D5-A7CE-FAD737FB2FD0}"/>
              </c:ext>
            </c:extLst>
          </c:dPt>
          <c:dPt>
            <c:idx val="21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749F-48D5-A7CE-FAD737FB2FD0}"/>
              </c:ext>
            </c:extLst>
          </c:dPt>
          <c:dPt>
            <c:idx val="22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749F-48D5-A7CE-FAD737FB2FD0}"/>
              </c:ext>
            </c:extLst>
          </c:dPt>
          <c:dPt>
            <c:idx val="25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749F-48D5-A7CE-FAD737FB2FD0}"/>
              </c:ext>
            </c:extLst>
          </c:dPt>
          <c:dPt>
            <c:idx val="26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749F-48D5-A7CE-FAD737FB2FD0}"/>
              </c:ext>
            </c:extLst>
          </c:dPt>
          <c:dPt>
            <c:idx val="29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749F-48D5-A7CE-FAD737FB2FD0}"/>
              </c:ext>
            </c:extLst>
          </c:dPt>
          <c:dPt>
            <c:idx val="30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749F-48D5-A7CE-FAD737FB2FD0}"/>
              </c:ext>
            </c:extLst>
          </c:dPt>
          <c:dPt>
            <c:idx val="33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749F-48D5-A7CE-FAD737FB2FD0}"/>
              </c:ext>
            </c:extLst>
          </c:dPt>
          <c:dPt>
            <c:idx val="34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749F-48D5-A7CE-FAD737FB2FD0}"/>
              </c:ext>
            </c:extLst>
          </c:dPt>
          <c:dPt>
            <c:idx val="37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749F-48D5-A7CE-FAD737FB2FD0}"/>
              </c:ext>
            </c:extLst>
          </c:dPt>
          <c:dPt>
            <c:idx val="38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749F-48D5-A7CE-FAD737FB2FD0}"/>
              </c:ext>
            </c:extLst>
          </c:dPt>
          <c:dPt>
            <c:idx val="41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749F-48D5-A7CE-FAD737FB2FD0}"/>
              </c:ext>
            </c:extLst>
          </c:dPt>
          <c:dPt>
            <c:idx val="42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749F-48D5-A7CE-FAD737FB2FD0}"/>
              </c:ext>
            </c:extLst>
          </c:dPt>
          <c:dPt>
            <c:idx val="45"/>
            <c:invertIfNegative val="0"/>
            <c:bubble3D val="0"/>
            <c:spPr>
              <a:solidFill>
                <a:srgbClr val="D002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749F-48D5-A7CE-FAD737FB2FD0}"/>
              </c:ext>
            </c:extLst>
          </c:dPt>
          <c:dPt>
            <c:idx val="46"/>
            <c:invertIfNegative val="0"/>
            <c:bubble3D val="0"/>
            <c:spPr>
              <a:solidFill>
                <a:srgbClr val="0072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749F-48D5-A7CE-FAD737FB2FD0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45658</c:v>
                </c:pt>
                <c:pt idx="4">
                  <c:v>45689</c:v>
                </c:pt>
                <c:pt idx="8">
                  <c:v>45717</c:v>
                </c:pt>
                <c:pt idx="12">
                  <c:v>45748</c:v>
                </c:pt>
                <c:pt idx="16">
                  <c:v>45778</c:v>
                </c:pt>
                <c:pt idx="20">
                  <c:v>45809</c:v>
                </c:pt>
                <c:pt idx="24">
                  <c:v>45839</c:v>
                </c:pt>
                <c:pt idx="28">
                  <c:v>45870</c:v>
                </c:pt>
                <c:pt idx="32">
                  <c:v>45901</c:v>
                </c:pt>
                <c:pt idx="36">
                  <c:v>45931</c:v>
                </c:pt>
                <c:pt idx="40">
                  <c:v>45962</c:v>
                </c:pt>
                <c:pt idx="44">
                  <c:v>45992</c:v>
                </c:pt>
              </c:numCache>
            </c:numRef>
          </c:cat>
          <c:val>
            <c:numRef>
              <c:f>CALCULATIONS!$O$55:$O$102</c:f>
              <c:numCache>
                <c:formatCode>_-* #,##0\ "€"_-;\-* #,##0\ "€"_-;_-* "-"??\ "€"_-;_-@_-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1167.1400000000001</c:v>
                </c:pt>
                <c:pt idx="29">
                  <c:v>636.66999999999996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749F-48D5-A7CE-FAD737FB2FD0}"/>
            </c:ext>
          </c:extLst>
        </c:ser>
        <c:ser>
          <c:idx val="3"/>
          <c:order val="3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45658</c:v>
                </c:pt>
                <c:pt idx="4">
                  <c:v>45689</c:v>
                </c:pt>
                <c:pt idx="8">
                  <c:v>45717</c:v>
                </c:pt>
                <c:pt idx="12">
                  <c:v>45748</c:v>
                </c:pt>
                <c:pt idx="16">
                  <c:v>45778</c:v>
                </c:pt>
                <c:pt idx="20">
                  <c:v>45809</c:v>
                </c:pt>
                <c:pt idx="24">
                  <c:v>45839</c:v>
                </c:pt>
                <c:pt idx="28">
                  <c:v>45870</c:v>
                </c:pt>
                <c:pt idx="32">
                  <c:v>45901</c:v>
                </c:pt>
                <c:pt idx="36">
                  <c:v>45931</c:v>
                </c:pt>
                <c:pt idx="40">
                  <c:v>45962</c:v>
                </c:pt>
                <c:pt idx="44">
                  <c:v>45992</c:v>
                </c:pt>
              </c:numCache>
            </c:numRef>
          </c:cat>
          <c:val>
            <c:numRef>
              <c:f>CALCULATIONS!$P$55:$P$102</c:f>
              <c:numCache>
                <c:formatCode>_-* #,##0\ "€"_-;\-* #,##0\ "€"_-;_-* "-"??\ "€"_-;_-@_-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749F-48D5-A7CE-FAD737FB2FD0}"/>
            </c:ext>
          </c:extLst>
        </c:ser>
        <c:ser>
          <c:idx val="4"/>
          <c:order val="4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45658</c:v>
                </c:pt>
                <c:pt idx="4">
                  <c:v>45689</c:v>
                </c:pt>
                <c:pt idx="8">
                  <c:v>45717</c:v>
                </c:pt>
                <c:pt idx="12">
                  <c:v>45748</c:v>
                </c:pt>
                <c:pt idx="16">
                  <c:v>45778</c:v>
                </c:pt>
                <c:pt idx="20">
                  <c:v>45809</c:v>
                </c:pt>
                <c:pt idx="24">
                  <c:v>45839</c:v>
                </c:pt>
                <c:pt idx="28">
                  <c:v>45870</c:v>
                </c:pt>
                <c:pt idx="32">
                  <c:v>45901</c:v>
                </c:pt>
                <c:pt idx="36">
                  <c:v>45931</c:v>
                </c:pt>
                <c:pt idx="40">
                  <c:v>45962</c:v>
                </c:pt>
                <c:pt idx="44">
                  <c:v>45992</c:v>
                </c:pt>
              </c:numCache>
            </c:numRef>
          </c:cat>
          <c:val>
            <c:numRef>
              <c:f>CALCULATIONS!$Q$55:$Q$102</c:f>
              <c:numCache>
                <c:formatCode>_-* #,##0\ "€"_-;\-* #,##0\ "€"_-;_-* "-"??\ "€"_-;_-@_-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749F-48D5-A7CE-FAD737FB2FD0}"/>
            </c:ext>
          </c:extLst>
        </c:ser>
        <c:ser>
          <c:idx val="5"/>
          <c:order val="5"/>
          <c:spPr>
            <a:solidFill>
              <a:srgbClr val="B6B6BA">
                <a:alpha val="84706"/>
              </a:srgbClr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45658</c:v>
                </c:pt>
                <c:pt idx="4">
                  <c:v>45689</c:v>
                </c:pt>
                <c:pt idx="8">
                  <c:v>45717</c:v>
                </c:pt>
                <c:pt idx="12">
                  <c:v>45748</c:v>
                </c:pt>
                <c:pt idx="16">
                  <c:v>45778</c:v>
                </c:pt>
                <c:pt idx="20">
                  <c:v>45809</c:v>
                </c:pt>
                <c:pt idx="24">
                  <c:v>45839</c:v>
                </c:pt>
                <c:pt idx="28">
                  <c:v>45870</c:v>
                </c:pt>
                <c:pt idx="32">
                  <c:v>45901</c:v>
                </c:pt>
                <c:pt idx="36">
                  <c:v>45931</c:v>
                </c:pt>
                <c:pt idx="40">
                  <c:v>45962</c:v>
                </c:pt>
                <c:pt idx="44">
                  <c:v>45992</c:v>
                </c:pt>
              </c:numCache>
            </c:numRef>
          </c:cat>
          <c:val>
            <c:numRef>
              <c:f>CALCULATIONS!$R$55:$R$102</c:f>
              <c:numCache>
                <c:formatCode>_-* #,##0\ "€"_-;\-* #,##0\ "€"_-;_-* "-"??\ "€"_-;_-@_-</c:formatCode>
                <c:ptCount val="48"/>
                <c:pt idx="0">
                  <c:v>1151.6099999999999</c:v>
                </c:pt>
                <c:pt idx="1">
                  <c:v>1061.3400000000001</c:v>
                </c:pt>
                <c:pt idx="2">
                  <c:v>0</c:v>
                </c:pt>
                <c:pt idx="4">
                  <c:v>1151.6099999999999</c:v>
                </c:pt>
                <c:pt idx="5">
                  <c:v>888.37</c:v>
                </c:pt>
                <c:pt idx="6">
                  <c:v>0</c:v>
                </c:pt>
                <c:pt idx="8">
                  <c:v>1175.77</c:v>
                </c:pt>
                <c:pt idx="9">
                  <c:v>1006.12</c:v>
                </c:pt>
                <c:pt idx="10">
                  <c:v>0</c:v>
                </c:pt>
                <c:pt idx="12">
                  <c:v>1155.77</c:v>
                </c:pt>
                <c:pt idx="13">
                  <c:v>904.97999999999979</c:v>
                </c:pt>
                <c:pt idx="14">
                  <c:v>0</c:v>
                </c:pt>
                <c:pt idx="16">
                  <c:v>1180.8499999999999</c:v>
                </c:pt>
                <c:pt idx="17">
                  <c:v>1672.9799999999998</c:v>
                </c:pt>
                <c:pt idx="18">
                  <c:v>0</c:v>
                </c:pt>
                <c:pt idx="20">
                  <c:v>1174.26</c:v>
                </c:pt>
                <c:pt idx="21">
                  <c:v>981.74</c:v>
                </c:pt>
                <c:pt idx="22">
                  <c:v>0</c:v>
                </c:pt>
                <c:pt idx="24">
                  <c:v>1237.1400000000001</c:v>
                </c:pt>
                <c:pt idx="25">
                  <c:v>1235.3600000000001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749F-48D5-A7CE-FAD737FB2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781053200"/>
        <c:axId val="781061480"/>
      </c:barChart>
      <c:catAx>
        <c:axId val="781053200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81061480"/>
        <c:crosses val="autoZero"/>
        <c:auto val="0"/>
        <c:lblAlgn val="ctr"/>
        <c:lblOffset val="100"/>
        <c:noMultiLvlLbl val="0"/>
      </c:catAx>
      <c:valAx>
        <c:axId val="781061480"/>
        <c:scaling>
          <c:orientation val="minMax"/>
        </c:scaling>
        <c:delete val="0"/>
        <c:axPos val="l"/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810532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00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8C-458C-BB27-2803B913D094}"/>
              </c:ext>
            </c:extLst>
          </c:dPt>
          <c:dPt>
            <c:idx val="1"/>
            <c:bubble3D val="0"/>
            <c:spPr>
              <a:solidFill>
                <a:srgbClr val="00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8C-458C-BB27-2803B913D094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8C-458C-BB27-2803B913D094}"/>
              </c:ext>
            </c:extLst>
          </c:dPt>
          <c:dPt>
            <c:idx val="3"/>
            <c:bubble3D val="0"/>
            <c:spPr>
              <a:solidFill>
                <a:srgbClr val="3399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8C-458C-BB27-2803B913D094}"/>
              </c:ext>
            </c:extLst>
          </c:dPt>
          <c:dPt>
            <c:idx val="4"/>
            <c:bubble3D val="0"/>
            <c:spPr>
              <a:solidFill>
                <a:srgbClr val="66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8C-458C-BB27-2803B913D094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8C-458C-BB27-2803B913D094}"/>
              </c:ext>
            </c:extLst>
          </c:dPt>
          <c:cat>
            <c:strRef>
              <c:f>CALCULATIONS!$M$35:$M$40</c:f>
              <c:strCache>
                <c:ptCount val="6"/>
                <c:pt idx="5">
                  <c:v>Other</c:v>
                </c:pt>
              </c:strCache>
            </c:strRef>
          </c:cat>
          <c:val>
            <c:numRef>
              <c:f>CALCULATIONS!$N$35:$N$40</c:f>
              <c:numCache>
                <c:formatCode>_-* #,##0\ "€"_-;\-* #,##0\ "€"_-;_-* "-"??\ "€"_-;_-@_-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8C-458C-BB27-2803B913D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CALCULATIONS!$D$24</c:f>
              <c:numCache>
                <c:formatCode>0.0%</c:formatCode>
                <c:ptCount val="1"/>
                <c:pt idx="0">
                  <c:v>0.4838709677419355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A-4361-9212-DCF5F82D9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75536680"/>
        <c:axId val="775527320"/>
      </c:barChart>
      <c:catAx>
        <c:axId val="775536680"/>
        <c:scaling>
          <c:orientation val="minMax"/>
        </c:scaling>
        <c:delete val="1"/>
        <c:axPos val="l"/>
        <c:majorTickMark val="none"/>
        <c:minorTickMark val="none"/>
        <c:tickLblPos val="nextTo"/>
        <c:crossAx val="775527320"/>
        <c:crosses val="autoZero"/>
        <c:auto val="1"/>
        <c:lblAlgn val="ctr"/>
        <c:lblOffset val="100"/>
        <c:noMultiLvlLbl val="0"/>
      </c:catAx>
      <c:valAx>
        <c:axId val="775527320"/>
        <c:scaling>
          <c:orientation val="minMax"/>
          <c:max val="1"/>
        </c:scaling>
        <c:delete val="1"/>
        <c:axPos val="b"/>
        <c:numFmt formatCode="0.0%" sourceLinked="1"/>
        <c:majorTickMark val="none"/>
        <c:minorTickMark val="none"/>
        <c:tickLblPos val="nextTo"/>
        <c:crossAx val="77553668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checked="Checked" fmlaLink="CALCULATIONS!$E$49" lockText="1" noThreeD="1"/>
</file>

<file path=xl/ctrlProps/ctrlProp2.xml><?xml version="1.0" encoding="utf-8"?>
<formControlPr xmlns="http://schemas.microsoft.com/office/spreadsheetml/2009/9/main" objectType="CheckBox" checked="Checked" fmlaLink="CALCULATIONS!$E$50" lockText="1" noThreeD="1"/>
</file>

<file path=xl/ctrlProps/ctrlProp3.xml><?xml version="1.0" encoding="utf-8"?>
<formControlPr xmlns="http://schemas.microsoft.com/office/spreadsheetml/2009/9/main" objectType="CheckBox" checked="Checked" fmlaLink="CALCULATIONS!$E$51" lockText="1" noThreeD="1"/>
</file>

<file path=xl/ctrlProps/ctrlProp4.xml><?xml version="1.0" encoding="utf-8"?>
<formControlPr xmlns="http://schemas.microsoft.com/office/spreadsheetml/2009/9/main" objectType="CheckBox" checked="Checked" fmlaLink="CALCULATIONS!$E$52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598714</xdr:colOff>
      <xdr:row>4</xdr:row>
      <xdr:rowOff>152400</xdr:rowOff>
    </xdr:from>
    <xdr:to>
      <xdr:col>3</xdr:col>
      <xdr:colOff>428501</xdr:colOff>
      <xdr:row>9</xdr:row>
      <xdr:rowOff>87087</xdr:rowOff>
    </xdr:to>
    <xdr:grpSp>
      <xdr:nvGrpSpPr>
        <xdr:cNvPr id="17" name="Ομάδα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1208314" y="1025236"/>
          <a:ext cx="1492332" cy="835233"/>
          <a:chOff x="1208314" y="1034143"/>
          <a:chExt cx="1502228" cy="859973"/>
        </a:xfrm>
      </xdr:grpSpPr>
      <xdr:sp macro="" textlink="">
        <xdr:nvSpPr>
          <xdr:cNvPr id="2" name="Ορθογώνιο: Στρογγύλεμα γωνιών 1" descr="21a68483-b6a4-4c8a-ab40-94a6bfbc3509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/>
        </xdr:nvSpPr>
        <xdr:spPr>
          <a:xfrm>
            <a:off x="1208314" y="1034143"/>
            <a:ext cx="1502228" cy="85997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 b="1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 txBox="1"/>
        </xdr:nvSpPr>
        <xdr:spPr>
          <a:xfrm>
            <a:off x="1262742" y="1088571"/>
            <a:ext cx="1197429" cy="359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1"/>
              <a:t>Date</a:t>
            </a:r>
            <a:r>
              <a:rPr lang="en-US" sz="1100" b="1" baseline="0"/>
              <a:t> of </a:t>
            </a:r>
            <a:r>
              <a:rPr lang="en-US" sz="1200" b="1" baseline="0"/>
              <a:t>Today</a:t>
            </a:r>
            <a:endParaRPr lang="en-US" sz="1100" b="1" baseline="0"/>
          </a:p>
          <a:p>
            <a:pPr algn="l"/>
            <a:endParaRPr lang="el-GR" sz="1100" b="1"/>
          </a:p>
        </xdr:txBody>
      </xdr:sp>
      <xdr:sp macro="" textlink="CALCULATIONS!D8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262742" y="1447800"/>
            <a:ext cx="1197429" cy="359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337E595C-8FFC-400D-8B08-D72F8CD9FC02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15-Αυγ-25</a:t>
            </a:fld>
            <a:endParaRPr lang="el-GR" sz="1200" b="1"/>
          </a:p>
        </xdr:txBody>
      </xdr:sp>
    </xdr:grpSp>
    <xdr:clientData/>
  </xdr:twoCellAnchor>
  <xdr:twoCellAnchor editAs="absolute">
    <xdr:from>
      <xdr:col>3</xdr:col>
      <xdr:colOff>755072</xdr:colOff>
      <xdr:row>4</xdr:row>
      <xdr:rowOff>152400</xdr:rowOff>
    </xdr:from>
    <xdr:to>
      <xdr:col>4</xdr:col>
      <xdr:colOff>2338450</xdr:colOff>
      <xdr:row>9</xdr:row>
      <xdr:rowOff>87087</xdr:rowOff>
    </xdr:to>
    <xdr:grpSp>
      <xdr:nvGrpSpPr>
        <xdr:cNvPr id="18" name="Ομάδα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3027217" y="1025236"/>
          <a:ext cx="2567051" cy="835233"/>
          <a:chOff x="3037113" y="1034143"/>
          <a:chExt cx="2558144" cy="859973"/>
        </a:xfrm>
      </xdr:grpSpPr>
      <xdr:sp macro="" textlink="">
        <xdr:nvSpPr>
          <xdr:cNvPr id="6" name="Ορθογώνιο: Στρογγύλεμα γωνιών 5" descr="20eda695-dc4c-4f0e-86aa-7be751fcddd8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3037113" y="1034143"/>
            <a:ext cx="2558144" cy="85997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 b="1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3091542" y="1088571"/>
            <a:ext cx="1371601" cy="359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1"/>
              <a:t>Date</a:t>
            </a:r>
            <a:r>
              <a:rPr lang="en-US" sz="1100" b="1" baseline="0"/>
              <a:t> of Last </a:t>
            </a:r>
            <a:r>
              <a:rPr lang="en-US" sz="1200" b="1" baseline="0"/>
              <a:t>Record</a:t>
            </a:r>
            <a:endParaRPr lang="en-US" sz="1100" b="1" baseline="0"/>
          </a:p>
          <a:p>
            <a:pPr algn="l"/>
            <a:endParaRPr lang="el-GR" sz="1100" b="1"/>
          </a:p>
        </xdr:txBody>
      </xdr:sp>
      <xdr:sp macro="" textlink="CALCULATIONS!D9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3091542" y="1447800"/>
            <a:ext cx="1197429" cy="359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791A8C1E-8C23-4A31-A3A0-DF2D8FC71378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15-Αυγ-25</a:t>
            </a:fld>
            <a:endParaRPr lang="el-GR" sz="1200" b="1"/>
          </a:p>
        </xdr:txBody>
      </xdr:sp>
      <xdr:sp macro="" textlink="CALCULATIONS!D10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3755571" y="1447800"/>
            <a:ext cx="1404258" cy="359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BD0E6BD8-6732-494D-A470-2FC240BD85EC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(Πριν 0 ημέρες)</a:t>
            </a:fld>
            <a:endParaRPr lang="el-GR" sz="1100" b="1"/>
          </a:p>
        </xdr:txBody>
      </xdr:sp>
    </xdr:grpSp>
    <xdr:clientData/>
  </xdr:twoCellAnchor>
  <xdr:twoCellAnchor editAs="absolute">
    <xdr:from>
      <xdr:col>5</xdr:col>
      <xdr:colOff>221672</xdr:colOff>
      <xdr:row>4</xdr:row>
      <xdr:rowOff>152400</xdr:rowOff>
    </xdr:from>
    <xdr:to>
      <xdr:col>6</xdr:col>
      <xdr:colOff>1255816</xdr:colOff>
      <xdr:row>9</xdr:row>
      <xdr:rowOff>87087</xdr:rowOff>
    </xdr:to>
    <xdr:grpSp>
      <xdr:nvGrpSpPr>
        <xdr:cNvPr id="19" name="Ομάδα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pSpPr/>
      </xdr:nvGrpSpPr>
      <xdr:grpSpPr>
        <a:xfrm>
          <a:off x="5888181" y="1025236"/>
          <a:ext cx="1865417" cy="835233"/>
          <a:chOff x="5889170" y="1034143"/>
          <a:chExt cx="1861459" cy="859973"/>
        </a:xfrm>
      </xdr:grpSpPr>
      <xdr:sp macro="" textlink="">
        <xdr:nvSpPr>
          <xdr:cNvPr id="10" name="Ορθογώνιο: Στρογγύλεμα γωνιών 9" descr="cf5b1cda-2cfd-4381-bf58-df50fa0412dc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5889170" y="1034143"/>
            <a:ext cx="1796144" cy="85997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 b="1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/>
        </xdr:nvSpPr>
        <xdr:spPr>
          <a:xfrm>
            <a:off x="5943599" y="1088571"/>
            <a:ext cx="1807030" cy="359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/>
              <a:t># of Tracked  Records</a:t>
            </a:r>
            <a:endParaRPr lang="en-US" sz="1200" b="1" baseline="0"/>
          </a:p>
          <a:p>
            <a:pPr algn="l"/>
            <a:endParaRPr lang="el-GR" sz="1200" b="1"/>
          </a:p>
        </xdr:txBody>
      </xdr:sp>
      <xdr:sp macro="" textlink="CALCULATIONS!D11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 txBox="1"/>
        </xdr:nvSpPr>
        <xdr:spPr>
          <a:xfrm>
            <a:off x="5943599" y="1447800"/>
            <a:ext cx="533401" cy="359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49FB0E09-D6B4-40DC-9E9A-67EB0F100B1B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778</a:t>
            </a:fld>
            <a:endParaRPr lang="el-GR" sz="1400" b="1"/>
          </a:p>
        </xdr:txBody>
      </xdr:sp>
      <xdr:sp macro="" textlink="CALCULATIONS!D12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/>
        </xdr:nvSpPr>
        <xdr:spPr>
          <a:xfrm>
            <a:off x="6302828" y="1447800"/>
            <a:ext cx="1404258" cy="3592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67031752-AEFE-492E-A3E9-277AC09E28C5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(231 φέτος)</a:t>
            </a:fld>
            <a:endParaRPr lang="el-GR" sz="1100" b="1"/>
          </a:p>
        </xdr:txBody>
      </xdr:sp>
    </xdr:grpSp>
    <xdr:clientData/>
  </xdr:twoCellAnchor>
  <xdr:twoCellAnchor>
    <xdr:from>
      <xdr:col>6</xdr:col>
      <xdr:colOff>1533895</xdr:colOff>
      <xdr:row>4</xdr:row>
      <xdr:rowOff>152400</xdr:rowOff>
    </xdr:from>
    <xdr:to>
      <xdr:col>8</xdr:col>
      <xdr:colOff>163285</xdr:colOff>
      <xdr:row>9</xdr:row>
      <xdr:rowOff>87087</xdr:rowOff>
    </xdr:to>
    <xdr:grpSp>
      <xdr:nvGrpSpPr>
        <xdr:cNvPr id="27" name="Ομάδα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8031677" y="1025236"/>
          <a:ext cx="4115790" cy="835233"/>
          <a:chOff x="7948550" y="1025236"/>
          <a:chExt cx="4115790" cy="835233"/>
        </a:xfrm>
      </xdr:grpSpPr>
      <xdr:sp macro="" textlink="">
        <xdr:nvSpPr>
          <xdr:cNvPr id="5" name="Ορθογώνιο: Στρογγύλεμα γωνιών 4" descr="cf5b1cda-2cfd-4381-bf58-df50fa0412dc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7949538" y="1025236"/>
            <a:ext cx="4114802" cy="8352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 b="1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 txBox="1"/>
        </xdr:nvSpPr>
        <xdr:spPr>
          <a:xfrm>
            <a:off x="8003968" y="1078098"/>
            <a:ext cx="1807030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/>
              <a:t>Total Tracking Balance</a:t>
            </a:r>
            <a:endParaRPr lang="en-US" sz="1200" b="1" baseline="0"/>
          </a:p>
          <a:p>
            <a:pPr algn="l"/>
            <a:endParaRPr lang="el-GR" sz="1200" b="1"/>
          </a:p>
        </xdr:txBody>
      </xdr:sp>
      <xdr:sp macro="" textlink="CALCULATIONS!D13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7948550" y="1399309"/>
            <a:ext cx="849087" cy="3325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E4887C8-99CC-4DC0-BCAD-C52C44136DC2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 4.469 € </a:t>
            </a:fld>
            <a:endParaRPr lang="el-GR" sz="1800" b="1"/>
          </a:p>
        </xdr:txBody>
      </xdr:sp>
      <xdr:sp macro="" textlink="CALCULATIONS!D14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8809511" y="1426994"/>
            <a:ext cx="3091543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1710093B-D6BA-428E-BAAF-357BC7223FD4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income to be allocated</a:t>
            </a:fld>
            <a:endParaRPr lang="el-GR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83126</xdr:colOff>
      <xdr:row>12</xdr:row>
      <xdr:rowOff>81151</xdr:rowOff>
    </xdr:from>
    <xdr:to>
      <xdr:col>33</xdr:col>
      <xdr:colOff>96981</xdr:colOff>
      <xdr:row>14</xdr:row>
      <xdr:rowOff>39587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810497" y="2443351"/>
          <a:ext cx="2256312" cy="328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B050"/>
              </a:solidFill>
            </a:rPr>
            <a:t>Income</a:t>
          </a:r>
          <a:r>
            <a:rPr lang="en-US" sz="1100" b="1"/>
            <a:t> Categories (Tracked)</a:t>
          </a:r>
          <a:endParaRPr lang="el-GR" sz="1100" b="1"/>
        </a:p>
      </xdr:txBody>
    </xdr:sp>
    <xdr:clientData/>
  </xdr:twoCellAnchor>
  <xdr:twoCellAnchor editAs="oneCell">
    <xdr:from>
      <xdr:col>30</xdr:col>
      <xdr:colOff>250372</xdr:colOff>
      <xdr:row>13</xdr:row>
      <xdr:rowOff>69273</xdr:rowOff>
    </xdr:from>
    <xdr:to>
      <xdr:col>32</xdr:col>
      <xdr:colOff>1497280</xdr:colOff>
      <xdr:row>23</xdr:row>
      <xdr:rowOff>41565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31</xdr:col>
      <xdr:colOff>83126</xdr:colOff>
      <xdr:row>25</xdr:row>
      <xdr:rowOff>96984</xdr:rowOff>
    </xdr:from>
    <xdr:ext cx="2258291" cy="31865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6802581" y="2410693"/>
          <a:ext cx="2258291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FF"/>
              </a:solidFill>
            </a:rPr>
            <a:t>Expenses</a:t>
          </a:r>
          <a:r>
            <a:rPr lang="en-US" sz="1100" b="1" baseline="0">
              <a:solidFill>
                <a:srgbClr val="00B050"/>
              </a:solidFill>
            </a:rPr>
            <a:t> </a:t>
          </a:r>
          <a:r>
            <a:rPr lang="en-US" sz="1100" b="1"/>
            <a:t>Categories (Tracked)</a:t>
          </a:r>
          <a:endParaRPr lang="el-GR" sz="1100" b="1"/>
        </a:p>
      </xdr:txBody>
    </xdr:sp>
    <xdr:clientData/>
  </xdr:oneCellAnchor>
  <xdr:oneCellAnchor>
    <xdr:from>
      <xdr:col>31</xdr:col>
      <xdr:colOff>65315</xdr:colOff>
      <xdr:row>26</xdr:row>
      <xdr:rowOff>148441</xdr:rowOff>
    </xdr:from>
    <xdr:ext cx="2133599" cy="1773383"/>
    <xdr:graphicFrame macro="">
      <xdr:nvGraphicFramePr>
        <xdr:cNvPr id="11" name="Γράφημα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38</xdr:col>
      <xdr:colOff>83126</xdr:colOff>
      <xdr:row>25</xdr:row>
      <xdr:rowOff>96984</xdr:rowOff>
    </xdr:from>
    <xdr:ext cx="2258291" cy="318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6802581" y="4752111"/>
          <a:ext cx="2258291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accent1"/>
              </a:solidFill>
            </a:rPr>
            <a:t>Savings</a:t>
          </a:r>
          <a:r>
            <a:rPr lang="en-US" sz="1100" b="1" baseline="0">
              <a:solidFill>
                <a:srgbClr val="00B050"/>
              </a:solidFill>
            </a:rPr>
            <a:t> </a:t>
          </a:r>
          <a:r>
            <a:rPr lang="en-US" sz="1100" b="1"/>
            <a:t>Categories (Tracked)</a:t>
          </a:r>
          <a:endParaRPr lang="el-GR" sz="1100" b="1"/>
        </a:p>
      </xdr:txBody>
    </xdr:sp>
    <xdr:clientData/>
  </xdr:oneCellAnchor>
  <xdr:twoCellAnchor editAs="oneCell">
    <xdr:from>
      <xdr:col>38</xdr:col>
      <xdr:colOff>118752</xdr:colOff>
      <xdr:row>12</xdr:row>
      <xdr:rowOff>71255</xdr:rowOff>
    </xdr:from>
    <xdr:to>
      <xdr:col>41</xdr:col>
      <xdr:colOff>297873</xdr:colOff>
      <xdr:row>14</xdr:row>
      <xdr:rowOff>24743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2093038" y="2433455"/>
          <a:ext cx="2258292" cy="323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ysClr val="windowText" lastClr="000000"/>
              </a:solidFill>
            </a:rPr>
            <a:t>Tracked (v.s Budget)</a:t>
          </a:r>
          <a:endParaRPr lang="el-GR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2969</xdr:colOff>
      <xdr:row>13</xdr:row>
      <xdr:rowOff>65314</xdr:rowOff>
    </xdr:from>
    <xdr:to>
      <xdr:col>44</xdr:col>
      <xdr:colOff>108856</xdr:colOff>
      <xdr:row>23</xdr:row>
      <xdr:rowOff>118753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38</xdr:col>
      <xdr:colOff>32657</xdr:colOff>
      <xdr:row>26</xdr:row>
      <xdr:rowOff>134587</xdr:rowOff>
    </xdr:from>
    <xdr:to>
      <xdr:col>41</xdr:col>
      <xdr:colOff>93022</xdr:colOff>
      <xdr:row>36</xdr:row>
      <xdr:rowOff>106880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228600</xdr:colOff>
      <xdr:row>26</xdr:row>
      <xdr:rowOff>76198</xdr:rowOff>
    </xdr:from>
    <xdr:to>
      <xdr:col>41</xdr:col>
      <xdr:colOff>32658</xdr:colOff>
      <xdr:row>35</xdr:row>
      <xdr:rowOff>152399</xdr:rowOff>
    </xdr:to>
    <xdr:graphicFrame macro="">
      <xdr:nvGraphicFramePr>
        <xdr:cNvPr id="14" name="Γράφημα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502920</xdr:colOff>
          <xdr:row>12</xdr:row>
          <xdr:rowOff>144780</xdr:rowOff>
        </xdr:from>
        <xdr:to>
          <xdr:col>45</xdr:col>
          <xdr:colOff>45720</xdr:colOff>
          <xdr:row>14</xdr:row>
          <xdr:rowOff>30480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l-G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Income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495300</xdr:colOff>
          <xdr:row>14</xdr:row>
          <xdr:rowOff>15240</xdr:rowOff>
        </xdr:from>
        <xdr:to>
          <xdr:col>44</xdr:col>
          <xdr:colOff>525780</xdr:colOff>
          <xdr:row>15</xdr:row>
          <xdr:rowOff>45720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l-G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Expenses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510540</xdr:colOff>
          <xdr:row>15</xdr:row>
          <xdr:rowOff>76200</xdr:rowOff>
        </xdr:from>
        <xdr:to>
          <xdr:col>44</xdr:col>
          <xdr:colOff>541020</xdr:colOff>
          <xdr:row>16</xdr:row>
          <xdr:rowOff>129540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l-G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Savings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571500</xdr:colOff>
          <xdr:row>12</xdr:row>
          <xdr:rowOff>144780</xdr:rowOff>
        </xdr:from>
        <xdr:to>
          <xdr:col>45</xdr:col>
          <xdr:colOff>525780</xdr:colOff>
          <xdr:row>14</xdr:row>
          <xdr:rowOff>30480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l-G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0</xdr:colOff>
      <xdr:row>4</xdr:row>
      <xdr:rowOff>43542</xdr:rowOff>
    </xdr:from>
    <xdr:to>
      <xdr:col>26</xdr:col>
      <xdr:colOff>283027</xdr:colOff>
      <xdr:row>8</xdr:row>
      <xdr:rowOff>138547</xdr:rowOff>
    </xdr:to>
    <xdr:grpSp>
      <xdr:nvGrpSpPr>
        <xdr:cNvPr id="21" name="Ομάδα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pSpPr/>
      </xdr:nvGrpSpPr>
      <xdr:grpSpPr>
        <a:xfrm>
          <a:off x="1219200" y="925285"/>
          <a:ext cx="1132113" cy="835233"/>
          <a:chOff x="1240970" y="925285"/>
          <a:chExt cx="2253343" cy="835233"/>
        </a:xfrm>
      </xdr:grpSpPr>
      <xdr:sp macro="" textlink="">
        <xdr:nvSpPr>
          <xdr:cNvPr id="7" name="Ορθογώνιο: Στρογγύλεμα γωνιών 6" descr="21a68483-b6a4-4c8a-ab40-94a6bfbc3509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1240970" y="925285"/>
            <a:ext cx="2253343" cy="8352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 b="1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 txBox="1"/>
        </xdr:nvSpPr>
        <xdr:spPr>
          <a:xfrm>
            <a:off x="1295040" y="978147"/>
            <a:ext cx="1818274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1"/>
              <a:t>Selected Year &amp;</a:t>
            </a:r>
            <a:r>
              <a:rPr lang="en-US" sz="1100" b="1" baseline="0"/>
              <a:t> Period</a:t>
            </a:r>
          </a:p>
          <a:p>
            <a:pPr algn="l"/>
            <a:endParaRPr lang="el-GR" sz="1100" b="1"/>
          </a:p>
        </xdr:txBody>
      </xdr:sp>
      <xdr:sp macro="" textlink="selected_year">
        <xdr:nvSpPr>
          <xdr:cNvPr id="18" name="Διάγραμμα ροής: Στοιχείο τερματισμού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1360714" y="1273628"/>
            <a:ext cx="772886" cy="272141"/>
          </a:xfrm>
          <a:prstGeom prst="flowChartTerminator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fld id="{1AC0D73C-85F5-4F9A-8E6F-92C1288ACB74}" type="TxLink">
              <a:rPr lang="en-US" sz="9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2025</a:t>
            </a:fld>
            <a:endParaRPr lang="el-GR" sz="600" b="1"/>
          </a:p>
        </xdr:txBody>
      </xdr:sp>
      <xdr:sp macro="" textlink="selected_period_display">
        <xdr:nvSpPr>
          <xdr:cNvPr id="19" name="Διάγραμμα ροής: Στοιχείο τερματισμού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2188028" y="1251858"/>
            <a:ext cx="1023258" cy="304800"/>
          </a:xfrm>
          <a:prstGeom prst="flowChartTerminator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fld id="{3615D9D7-6E1A-4AA8-9F56-C56B8DDC5C71}" type="TxLink">
              <a:rPr lang="en-US" sz="9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Αυγούστου</a:t>
            </a:fld>
            <a:endParaRPr lang="el-GR" sz="900" b="1"/>
          </a:p>
        </xdr:txBody>
      </xdr:sp>
    </xdr:grpSp>
    <xdr:clientData/>
  </xdr:twoCellAnchor>
  <xdr:twoCellAnchor>
    <xdr:from>
      <xdr:col>26</xdr:col>
      <xdr:colOff>424542</xdr:colOff>
      <xdr:row>3</xdr:row>
      <xdr:rowOff>65316</xdr:rowOff>
    </xdr:from>
    <xdr:to>
      <xdr:col>28</xdr:col>
      <xdr:colOff>511628</xdr:colOff>
      <xdr:row>10</xdr:row>
      <xdr:rowOff>108858</xdr:rowOff>
    </xdr:to>
    <xdr:grpSp>
      <xdr:nvGrpSpPr>
        <xdr:cNvPr id="30" name="Ομάδα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pSpPr/>
      </xdr:nvGrpSpPr>
      <xdr:grpSpPr>
        <a:xfrm>
          <a:off x="2492828" y="762002"/>
          <a:ext cx="1502229" cy="1338942"/>
          <a:chOff x="5094513" y="772887"/>
          <a:chExt cx="1502229" cy="1338942"/>
        </a:xfrm>
      </xdr:grpSpPr>
      <xdr:grpSp>
        <xdr:nvGrpSpPr>
          <xdr:cNvPr id="29" name="Ομάδα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5094513" y="772887"/>
            <a:ext cx="1502229" cy="1338942"/>
            <a:chOff x="3755570" y="740230"/>
            <a:chExt cx="1502229" cy="1338942"/>
          </a:xfrm>
        </xdr:grpSpPr>
        <xdr:sp macro="" textlink="">
          <xdr:nvSpPr>
            <xdr:cNvPr id="23" name="Ορθογώνιο: Στρογγύλεμα γωνιών 22" descr="21a68483-b6a4-4c8a-ab40-94a6bfbc3509">
              <a:extLst>
                <a:ext uri="{FF2B5EF4-FFF2-40B4-BE49-F238E27FC236}">
                  <a16:creationId xmlns:a16="http://schemas.microsoft.com/office/drawing/2014/main" id="{00000000-0008-0000-0300-000017000000}"/>
                </a:ext>
              </a:extLst>
            </xdr:cNvPr>
            <xdr:cNvSpPr/>
          </xdr:nvSpPr>
          <xdr:spPr>
            <a:xfrm>
              <a:off x="3766456" y="925285"/>
              <a:ext cx="1491343" cy="835233"/>
            </a:xfrm>
            <a:prstGeom prst="roundRect">
              <a:avLst/>
            </a:prstGeom>
            <a:solidFill>
              <a:schemeClr val="bg1"/>
            </a:solidFill>
            <a:ln w="6350">
              <a:solidFill>
                <a:schemeClr val="bg1">
                  <a:lumMod val="75000"/>
                </a:schemeClr>
              </a:solidFill>
            </a:ln>
            <a:effectLst>
              <a:outerShdw blurRad="825500" dist="127000" dir="5400000" sx="102000" sy="102000" algn="ctr" rotWithShape="0">
                <a:prstClr val="black">
                  <a:alpha val="15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l-GR" sz="1100" b="1"/>
            </a:p>
          </xdr:txBody>
        </xdr:sp>
        <xdr:graphicFrame macro="">
          <xdr:nvGraphicFramePr>
            <xdr:cNvPr id="27" name="Γράφημα 26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GraphicFramePr>
              <a:graphicFrameLocks/>
            </xdr:cNvGraphicFramePr>
          </xdr:nvGraphicFramePr>
          <xdr:xfrm>
            <a:off x="3755570" y="740230"/>
            <a:ext cx="1480458" cy="133894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CALCULATIONS!D24">
          <xdr:nvSpPr>
            <xdr:cNvPr id="26" name="Διάγραμμα ροής: Στοιχείο τερματισμού 25">
              <a:extLst>
                <a:ext uri="{FF2B5EF4-FFF2-40B4-BE49-F238E27FC236}">
                  <a16:creationId xmlns:a16="http://schemas.microsoft.com/office/drawing/2014/main" id="{00000000-0008-0000-0300-00001A000000}"/>
                </a:ext>
              </a:extLst>
            </xdr:cNvPr>
            <xdr:cNvSpPr/>
          </xdr:nvSpPr>
          <xdr:spPr>
            <a:xfrm>
              <a:off x="4201886" y="1251858"/>
              <a:ext cx="674914" cy="293914"/>
            </a:xfrm>
            <a:prstGeom prst="flowChartTerminator">
              <a:avLst/>
            </a:prstGeom>
            <a:noFill/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fld id="{486BBE73-4035-440F-927E-22C607619FC0}" type="TxLink">
                <a:rPr lang="en-US" sz="12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pPr algn="ctr"/>
                <a:t>48,4%</a:t>
              </a:fld>
              <a:endParaRPr lang="el-GR" sz="1000" b="1"/>
            </a:p>
          </xdr:txBody>
        </xdr:sp>
      </xdr:grp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 txBox="1"/>
        </xdr:nvSpPr>
        <xdr:spPr>
          <a:xfrm>
            <a:off x="5257440" y="989033"/>
            <a:ext cx="1317531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1" baseline="0"/>
              <a:t>Period Completed</a:t>
            </a:r>
          </a:p>
          <a:p>
            <a:pPr algn="l"/>
            <a:endParaRPr lang="el-GR" sz="1100" b="1"/>
          </a:p>
        </xdr:txBody>
      </xdr:sp>
    </xdr:grpSp>
    <xdr:clientData/>
  </xdr:twoCellAnchor>
  <xdr:twoCellAnchor>
    <xdr:from>
      <xdr:col>28</xdr:col>
      <xdr:colOff>816429</xdr:colOff>
      <xdr:row>4</xdr:row>
      <xdr:rowOff>65315</xdr:rowOff>
    </xdr:from>
    <xdr:to>
      <xdr:col>34</xdr:col>
      <xdr:colOff>425534</xdr:colOff>
      <xdr:row>8</xdr:row>
      <xdr:rowOff>160320</xdr:rowOff>
    </xdr:to>
    <xdr:grpSp>
      <xdr:nvGrpSpPr>
        <xdr:cNvPr id="2068" name="Ομάδα 2067">
          <a:extLst>
            <a:ext uri="{FF2B5EF4-FFF2-40B4-BE49-F238E27FC236}">
              <a16:creationId xmlns:a16="http://schemas.microsoft.com/office/drawing/2014/main" id="{00000000-0008-0000-0300-000014080000}"/>
            </a:ext>
          </a:extLst>
        </xdr:cNvPr>
        <xdr:cNvGrpSpPr/>
      </xdr:nvGrpSpPr>
      <xdr:grpSpPr>
        <a:xfrm>
          <a:off x="4299858" y="947058"/>
          <a:ext cx="4115790" cy="835233"/>
          <a:chOff x="5442858" y="947058"/>
          <a:chExt cx="4115790" cy="835233"/>
        </a:xfrm>
      </xdr:grpSpPr>
      <xdr:sp macro="" textlink="">
        <xdr:nvSpPr>
          <xdr:cNvPr id="2058" name="Ορθογώνιο: Στρογγύλεμα γωνιών 2057" descr="cf5b1cda-2cfd-4381-bf58-df50fa0412dc">
            <a:extLst>
              <a:ext uri="{FF2B5EF4-FFF2-40B4-BE49-F238E27FC236}">
                <a16:creationId xmlns:a16="http://schemas.microsoft.com/office/drawing/2014/main" id="{00000000-0008-0000-0300-00000A080000}"/>
              </a:ext>
            </a:extLst>
          </xdr:cNvPr>
          <xdr:cNvSpPr/>
        </xdr:nvSpPr>
        <xdr:spPr>
          <a:xfrm>
            <a:off x="5443846" y="947058"/>
            <a:ext cx="4114802" cy="8352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 b="1"/>
          </a:p>
        </xdr:txBody>
      </xdr:sp>
      <xdr:sp macro="" textlink="">
        <xdr:nvSpPr>
          <xdr:cNvPr id="2059" name="TextBox 2058">
            <a:extLst>
              <a:ext uri="{FF2B5EF4-FFF2-40B4-BE49-F238E27FC236}">
                <a16:creationId xmlns:a16="http://schemas.microsoft.com/office/drawing/2014/main" id="{00000000-0008-0000-0300-00000B080000}"/>
              </a:ext>
            </a:extLst>
          </xdr:cNvPr>
          <xdr:cNvSpPr txBox="1"/>
        </xdr:nvSpPr>
        <xdr:spPr>
          <a:xfrm>
            <a:off x="5498276" y="999920"/>
            <a:ext cx="1807030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/>
              <a:t>Total Tracking Balance</a:t>
            </a:r>
            <a:endParaRPr lang="en-US" sz="1200" b="1" baseline="0"/>
          </a:p>
          <a:p>
            <a:pPr algn="l"/>
            <a:endParaRPr lang="el-GR" sz="1200" b="1"/>
          </a:p>
        </xdr:txBody>
      </xdr:sp>
      <xdr:sp macro="" textlink="CALCULATIONS!D25">
        <xdr:nvSpPr>
          <xdr:cNvPr id="2060" name="TextBox 2059">
            <a:extLst>
              <a:ext uri="{FF2B5EF4-FFF2-40B4-BE49-F238E27FC236}">
                <a16:creationId xmlns:a16="http://schemas.microsoft.com/office/drawing/2014/main" id="{00000000-0008-0000-0300-00000C080000}"/>
              </a:ext>
            </a:extLst>
          </xdr:cNvPr>
          <xdr:cNvSpPr txBox="1"/>
        </xdr:nvSpPr>
        <xdr:spPr>
          <a:xfrm>
            <a:off x="5442858" y="1321131"/>
            <a:ext cx="849087" cy="3325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51F1C2B-6565-4B87-9EC4-98393453FFBD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 530 € </a:t>
            </a:fld>
            <a:endParaRPr lang="el-GR" sz="2000" b="1"/>
          </a:p>
        </xdr:txBody>
      </xdr:sp>
      <xdr:sp macro="" textlink="CALCULATIONS!D14">
        <xdr:nvSpPr>
          <xdr:cNvPr id="2061" name="TextBox 2060">
            <a:extLst>
              <a:ext uri="{FF2B5EF4-FFF2-40B4-BE49-F238E27FC236}">
                <a16:creationId xmlns:a16="http://schemas.microsoft.com/office/drawing/2014/main" id="{00000000-0008-0000-0300-00000D080000}"/>
              </a:ext>
            </a:extLst>
          </xdr:cNvPr>
          <xdr:cNvSpPr txBox="1"/>
        </xdr:nvSpPr>
        <xdr:spPr>
          <a:xfrm>
            <a:off x="6303819" y="1348816"/>
            <a:ext cx="3091543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of tracked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 </a:t>
            </a:r>
            <a:fld id="{1710093B-D6BA-428E-BAAF-357BC7223FD4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income to be allocated</a:t>
            </a:fld>
            <a:endParaRPr lang="el-GR" sz="1100" b="1"/>
          </a:p>
        </xdr:txBody>
      </xdr:sp>
    </xdr:grpSp>
    <xdr:clientData/>
  </xdr:twoCellAnchor>
  <xdr:twoCellAnchor>
    <xdr:from>
      <xdr:col>34</xdr:col>
      <xdr:colOff>599703</xdr:colOff>
      <xdr:row>4</xdr:row>
      <xdr:rowOff>65315</xdr:rowOff>
    </xdr:from>
    <xdr:to>
      <xdr:col>39</xdr:col>
      <xdr:colOff>1263733</xdr:colOff>
      <xdr:row>8</xdr:row>
      <xdr:rowOff>160320</xdr:rowOff>
    </xdr:to>
    <xdr:grpSp>
      <xdr:nvGrpSpPr>
        <xdr:cNvPr id="2069" name="Ομάδα 2068">
          <a:extLst>
            <a:ext uri="{FF2B5EF4-FFF2-40B4-BE49-F238E27FC236}">
              <a16:creationId xmlns:a16="http://schemas.microsoft.com/office/drawing/2014/main" id="{00000000-0008-0000-0300-000015080000}"/>
            </a:ext>
          </a:extLst>
        </xdr:cNvPr>
        <xdr:cNvGrpSpPr/>
      </xdr:nvGrpSpPr>
      <xdr:grpSpPr>
        <a:xfrm>
          <a:off x="8589817" y="947058"/>
          <a:ext cx="4114802" cy="835233"/>
          <a:chOff x="5443846" y="947058"/>
          <a:chExt cx="4114802" cy="835233"/>
        </a:xfrm>
      </xdr:grpSpPr>
      <xdr:sp macro="" textlink="">
        <xdr:nvSpPr>
          <xdr:cNvPr id="2070" name="Ορθογώνιο: Στρογγύλεμα γωνιών 2069" descr="cf5b1cda-2cfd-4381-bf58-df50fa0412dc">
            <a:extLst>
              <a:ext uri="{FF2B5EF4-FFF2-40B4-BE49-F238E27FC236}">
                <a16:creationId xmlns:a16="http://schemas.microsoft.com/office/drawing/2014/main" id="{00000000-0008-0000-0300-000016080000}"/>
              </a:ext>
            </a:extLst>
          </xdr:cNvPr>
          <xdr:cNvSpPr/>
        </xdr:nvSpPr>
        <xdr:spPr>
          <a:xfrm>
            <a:off x="5443846" y="947058"/>
            <a:ext cx="4114802" cy="8352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75000"/>
              </a:schemeClr>
            </a:solidFill>
          </a:ln>
          <a:effectLst>
            <a:outerShdw blurRad="825500" dist="127000" dir="5400000" sx="102000" sy="102000" algn="ctr" rotWithShape="0">
              <a:prstClr val="black">
                <a:alpha val="15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l-GR" sz="1100" b="1"/>
          </a:p>
        </xdr:txBody>
      </xdr:sp>
      <xdr:sp macro="" textlink="">
        <xdr:nvSpPr>
          <xdr:cNvPr id="2071" name="TextBox 2070">
            <a:extLst>
              <a:ext uri="{FF2B5EF4-FFF2-40B4-BE49-F238E27FC236}">
                <a16:creationId xmlns:a16="http://schemas.microsoft.com/office/drawing/2014/main" id="{00000000-0008-0000-0300-000017080000}"/>
              </a:ext>
            </a:extLst>
          </xdr:cNvPr>
          <xdr:cNvSpPr txBox="1"/>
        </xdr:nvSpPr>
        <xdr:spPr>
          <a:xfrm>
            <a:off x="5498276" y="999920"/>
            <a:ext cx="1807030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200" b="1" baseline="0"/>
              <a:t>Period Savings Rate</a:t>
            </a:r>
          </a:p>
          <a:p>
            <a:pPr algn="l"/>
            <a:endParaRPr lang="el-GR" sz="1200" b="1"/>
          </a:p>
        </xdr:txBody>
      </xdr:sp>
      <xdr:sp macro="" textlink="CALCULATIONS!D27">
        <xdr:nvSpPr>
          <xdr:cNvPr id="2072" name="TextBox 2071">
            <a:extLst>
              <a:ext uri="{FF2B5EF4-FFF2-40B4-BE49-F238E27FC236}">
                <a16:creationId xmlns:a16="http://schemas.microsoft.com/office/drawing/2014/main" id="{00000000-0008-0000-0300-000018080000}"/>
              </a:ext>
            </a:extLst>
          </xdr:cNvPr>
          <xdr:cNvSpPr txBox="1"/>
        </xdr:nvSpPr>
        <xdr:spPr>
          <a:xfrm>
            <a:off x="6509658" y="1288474"/>
            <a:ext cx="849087" cy="3325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B9B8676-6620-4FDC-978F-D2AD4BC84E10}" type="TxLink">
              <a:rPr lang="en-US" sz="1200" b="1" i="0" u="none" strike="noStrike">
                <a:solidFill>
                  <a:srgbClr val="0000FF"/>
                </a:solidFill>
                <a:latin typeface="Calibri"/>
                <a:ea typeface="Calibri"/>
                <a:cs typeface="Calibri"/>
              </a:rPr>
              <a:pPr algn="ctr"/>
              <a:t>45,5%</a:t>
            </a:fld>
            <a:endParaRPr lang="el-GR" sz="2400" b="1">
              <a:solidFill>
                <a:srgbClr val="0000FF"/>
              </a:solidFill>
            </a:endParaRPr>
          </a:p>
        </xdr:txBody>
      </xdr:sp>
      <xdr:sp macro="" textlink="CALCULATIONS!D14">
        <xdr:nvSpPr>
          <xdr:cNvPr id="2073" name="TextBox 2072">
            <a:extLst>
              <a:ext uri="{FF2B5EF4-FFF2-40B4-BE49-F238E27FC236}">
                <a16:creationId xmlns:a16="http://schemas.microsoft.com/office/drawing/2014/main" id="{00000000-0008-0000-0300-000019080000}"/>
              </a:ext>
            </a:extLst>
          </xdr:cNvPr>
          <xdr:cNvSpPr txBox="1"/>
        </xdr:nvSpPr>
        <xdr:spPr>
          <a:xfrm>
            <a:off x="5530933" y="1327044"/>
            <a:ext cx="1098467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You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 are saving </a:t>
            </a:r>
            <a:r>
              <a:rPr lang="el-GR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:</a:t>
            </a:r>
            <a:endParaRPr lang="el-GR" sz="1100" b="1"/>
          </a:p>
        </xdr:txBody>
      </xdr:sp>
      <xdr:sp macro="" textlink="CALCULATIONS!D14">
        <xdr:nvSpPr>
          <xdr:cNvPr id="2074" name="TextBox 2073">
            <a:extLst>
              <a:ext uri="{FF2B5EF4-FFF2-40B4-BE49-F238E27FC236}">
                <a16:creationId xmlns:a16="http://schemas.microsoft.com/office/drawing/2014/main" id="{00000000-0008-0000-0300-00001A080000}"/>
              </a:ext>
            </a:extLst>
          </xdr:cNvPr>
          <xdr:cNvSpPr txBox="1"/>
        </xdr:nvSpPr>
        <xdr:spPr>
          <a:xfrm>
            <a:off x="7120248" y="1327044"/>
            <a:ext cx="793667" cy="348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of income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96E923-55C8-4E2A-9B61-6098B5A3BC4C}" name="Income" displayName="Income" ref="C9:C10" totalsRowShown="0" dataDxfId="70">
  <autoFilter ref="C9:C10" xr:uid="{E796E923-55C8-4E2A-9B61-6098B5A3BC4C}">
    <filterColumn colId="0" hiddenButton="1"/>
  </autoFilter>
  <tableColumns count="1">
    <tableColumn id="1" xr3:uid="{185F34B0-6061-4C02-AD62-BD170EF7A2B0}" name="Income" dataDxfId="69"/>
  </tableColumns>
  <tableStyleInfo name="Στυλ πίνακα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0DE352-5CC1-4580-AEFB-982F2AFF8B2C}" name="Expenses" displayName="Expenses" ref="C23:C36" totalsRowShown="0">
  <autoFilter ref="C23:C36" xr:uid="{FD0DE352-5CC1-4580-AEFB-982F2AFF8B2C}">
    <filterColumn colId="0" hiddenButton="1"/>
  </autoFilter>
  <tableColumns count="1">
    <tableColumn id="1" xr3:uid="{F92FC1F2-75A3-4FA9-B0C7-4A64BC010F60}" name="Expenses"/>
  </tableColumns>
  <tableStyleInfo name="Expenses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6F37A7-7806-4720-9339-322E0A012072}" name="Savings" displayName="Savings" ref="C39:C40" totalsRowShown="0">
  <autoFilter ref="C39:C40" xr:uid="{E06F37A7-7806-4720-9339-322E0A012072}"/>
  <tableColumns count="1">
    <tableColumn id="1" xr3:uid="{37AF615B-4736-4D49-99B0-80BEB3D21221}" name="Savings"/>
  </tableColumns>
  <tableStyleInfo name="Savings style 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974D9-2C3D-4E0B-B461-2D48CCB27015}" name="Tracking" displayName="Tracking" ref="C12:I846" totalsRowShown="0">
  <autoFilter ref="C12:I846" xr:uid="{E14974D9-2C3D-4E0B-B461-2D48CCB27015}"/>
  <sortState xmlns:xlrd2="http://schemas.microsoft.com/office/spreadsheetml/2017/richdata2" ref="C13:I471">
    <sortCondition ref="C12:C471"/>
  </sortState>
  <tableColumns count="7">
    <tableColumn id="1" xr3:uid="{5DBD5DF2-36C8-4C8F-9D0C-1C946CBD0B20}" name="Date "/>
    <tableColumn id="2" xr3:uid="{959841C8-F84E-47CA-A5A8-10971EFA15E5}" name="Type "/>
    <tableColumn id="3" xr3:uid="{5785662C-F345-438D-91DB-18E5994DACAB}" name="Category "/>
    <tableColumn id="4" xr3:uid="{FB57A7C6-F560-4A80-A2CF-B4EFC93C64C6}" name="Amount"/>
    <tableColumn id="5" xr3:uid="{B0BAB0FA-0D4C-48C2-90FE-23B0B8314B8B}" name="Details"/>
    <tableColumn id="6" xr3:uid="{AE7843F7-3299-4E07-A1EA-A433A1DBA00A}" name="Balance" dataDxfId="68">
      <calculatedColumnFormula array="1">SUMPRODUCT(Tracking[Amount], -- (Tracking[[Date ]]&lt;= Tracking[[#This Row],[Date ]]), (Tracking[[Type ]]&lt;&gt;"Income")*(-1) + (Tracking[[Type ]]="Income"))</calculatedColumnFormula>
    </tableColumn>
    <tableColumn id="7" xr3:uid="{1DB9D96A-862D-4374-9D28-8CF8BCCFC835}" name="Effective Date" dataDxfId="67">
      <calculatedColumnFormula>IF(AND(Tracking[[#This Row],[Type ]]="Income",shift_late_income_status="Active",DAY(Tracking[[#This Row],[Date ]])&gt;=shift_late_income_starting_date),DATE(YEAR(Tracking[[#This Row],[Date ]]),MONTH(Tracking[[#This Row],[Date ]])+1,1),Tracking[[#This Row],[Date ]])</calculatedColumnFormula>
    </tableColumn>
  </tableColumns>
  <tableStyleInfo name="Tracking table style  " showFirstColumn="0" showLastColumn="0" showRowStripes="1" showColumnStripes="0"/>
</table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E757-229E-4B3F-B0D0-33B743C0FABB}">
  <sheetPr codeName="Φύλλο1"/>
  <dimension ref="A1:H24"/>
  <sheetViews>
    <sheetView topLeftCell="A2" zoomScale="70" zoomScaleNormal="70" workbookViewId="0">
      <selection activeCell="D22" sqref="D22"/>
    </sheetView>
  </sheetViews>
  <sheetFormatPr defaultRowHeight="14.4" x14ac:dyDescent="0.3"/>
  <cols>
    <col min="1" max="2" width="8.88671875" style="1"/>
    <col min="3" max="3" width="3.21875" style="1" customWidth="1"/>
    <col min="4" max="4" width="26" style="1" bestFit="1" customWidth="1"/>
    <col min="5" max="5" width="28.5546875" style="1" customWidth="1"/>
    <col min="6" max="6" width="2.6640625" style="1" customWidth="1"/>
    <col min="7" max="7" width="50.33203125" style="1" customWidth="1"/>
    <col min="8" max="8" width="3.6640625" style="1" customWidth="1"/>
    <col min="9" max="16384" width="8.88671875" style="1"/>
  </cols>
  <sheetData>
    <row r="1" spans="1:8" s="2" customFormat="1" x14ac:dyDescent="0.3">
      <c r="C1" s="2" t="s">
        <v>2</v>
      </c>
    </row>
    <row r="2" spans="1:8" s="2" customFormat="1" ht="25.8" x14ac:dyDescent="0.5">
      <c r="A2" s="3" t="s">
        <v>1</v>
      </c>
    </row>
    <row r="3" spans="1:8" s="2" customFormat="1" x14ac:dyDescent="0.3"/>
    <row r="6" spans="1:8" x14ac:dyDescent="0.3">
      <c r="A6" s="1">
        <v>3985.62</v>
      </c>
      <c r="C6" s="132" t="s">
        <v>3</v>
      </c>
      <c r="D6" s="132"/>
      <c r="E6" s="132"/>
      <c r="F6" s="132"/>
      <c r="G6" s="132"/>
      <c r="H6" s="132"/>
    </row>
    <row r="7" spans="1:8" x14ac:dyDescent="0.3">
      <c r="C7" s="4"/>
      <c r="H7" s="5"/>
    </row>
    <row r="8" spans="1:8" x14ac:dyDescent="0.3">
      <c r="C8" s="4"/>
      <c r="D8" s="9" t="s">
        <v>4</v>
      </c>
      <c r="E8" s="10">
        <v>2023</v>
      </c>
      <c r="G8" s="11" t="s">
        <v>5</v>
      </c>
      <c r="H8" s="5"/>
    </row>
    <row r="9" spans="1:8" x14ac:dyDescent="0.3">
      <c r="C9" s="6"/>
      <c r="D9" s="7"/>
      <c r="E9" s="7"/>
      <c r="F9" s="7"/>
      <c r="G9" s="7"/>
      <c r="H9" s="8"/>
    </row>
    <row r="12" spans="1:8" x14ac:dyDescent="0.3">
      <c r="C12" s="132" t="s">
        <v>30</v>
      </c>
      <c r="D12" s="132"/>
      <c r="E12" s="132"/>
      <c r="F12" s="132"/>
      <c r="G12" s="132"/>
      <c r="H12" s="132"/>
    </row>
    <row r="13" spans="1:8" ht="12.6" customHeight="1" x14ac:dyDescent="0.3">
      <c r="C13" s="99"/>
      <c r="D13" s="100"/>
      <c r="E13" s="100"/>
      <c r="F13" s="100"/>
      <c r="G13" s="100"/>
      <c r="H13" s="101"/>
    </row>
    <row r="14" spans="1:8" ht="12.6" customHeight="1" x14ac:dyDescent="0.3">
      <c r="C14" s="102"/>
      <c r="D14" s="108" t="s">
        <v>33</v>
      </c>
      <c r="H14" s="103"/>
    </row>
    <row r="15" spans="1:8" ht="12.6" customHeight="1" x14ac:dyDescent="0.3">
      <c r="C15" s="102"/>
      <c r="H15" s="103"/>
    </row>
    <row r="16" spans="1:8" x14ac:dyDescent="0.3">
      <c r="C16" s="102"/>
      <c r="D16" s="9" t="s">
        <v>31</v>
      </c>
      <c r="E16" s="109" t="s">
        <v>32</v>
      </c>
      <c r="G16" s="133" t="s">
        <v>35</v>
      </c>
      <c r="H16" s="103"/>
    </row>
    <row r="17" spans="3:8" x14ac:dyDescent="0.3">
      <c r="C17" s="102"/>
      <c r="D17" s="9"/>
      <c r="G17" s="133"/>
      <c r="H17" s="103"/>
    </row>
    <row r="18" spans="3:8" x14ac:dyDescent="0.3">
      <c r="C18" s="102"/>
      <c r="D18" s="9" t="s">
        <v>34</v>
      </c>
      <c r="E18" s="110">
        <v>20</v>
      </c>
      <c r="G18" s="133"/>
      <c r="H18" s="103"/>
    </row>
    <row r="19" spans="3:8" x14ac:dyDescent="0.3">
      <c r="C19" s="102"/>
      <c r="D19" s="9"/>
      <c r="G19" s="11"/>
      <c r="H19" s="103"/>
    </row>
    <row r="20" spans="3:8" x14ac:dyDescent="0.3">
      <c r="C20" s="102"/>
      <c r="D20" s="108" t="s">
        <v>112</v>
      </c>
      <c r="G20" s="11"/>
      <c r="H20" s="103"/>
    </row>
    <row r="21" spans="3:8" x14ac:dyDescent="0.3">
      <c r="C21" s="102"/>
      <c r="D21" s="9"/>
      <c r="G21" s="133" t="s">
        <v>115</v>
      </c>
      <c r="H21" s="103"/>
    </row>
    <row r="22" spans="3:8" ht="14.4" customHeight="1" x14ac:dyDescent="0.3">
      <c r="C22" s="102"/>
      <c r="D22" s="9" t="s">
        <v>113</v>
      </c>
      <c r="E22" s="109" t="s">
        <v>114</v>
      </c>
      <c r="G22" s="133"/>
      <c r="H22" s="103"/>
    </row>
    <row r="23" spans="3:8" x14ac:dyDescent="0.3">
      <c r="C23" s="102"/>
      <c r="G23" s="133"/>
      <c r="H23" s="103"/>
    </row>
    <row r="24" spans="3:8" x14ac:dyDescent="0.3">
      <c r="C24" s="104"/>
      <c r="D24" s="105"/>
      <c r="E24" s="105"/>
      <c r="F24" s="105"/>
      <c r="G24" s="105"/>
      <c r="H24" s="106"/>
    </row>
  </sheetData>
  <mergeCells count="4">
    <mergeCell ref="C6:H6"/>
    <mergeCell ref="C12:H12"/>
    <mergeCell ref="G16:G18"/>
    <mergeCell ref="G21:G23"/>
  </mergeCells>
  <conditionalFormatting sqref="E18">
    <cfRule type="expression" dxfId="66" priority="1">
      <formula>shift_late_income_status="Active"</formula>
    </cfRule>
  </conditionalFormatting>
  <dataValidations count="2">
    <dataValidation type="list" allowBlank="1" showInputMessage="1" showErrorMessage="1" sqref="E16" xr:uid="{C1E6FF12-E421-4D46-B887-303E982BC964}">
      <formula1>"Active, Inactive "</formula1>
    </dataValidation>
    <dataValidation type="list" allowBlank="1" showInputMessage="1" showErrorMessage="1" sqref="E22" xr:uid="{913CA52A-19DF-4FB7-B2FE-639C986CB094}">
      <formula1>"% allocated to Savings, % not allocated to Expenses"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DCAA-CDA2-4896-8520-523E913FC351}">
  <sheetPr codeName="Φύλλο2"/>
  <dimension ref="A1:DK51"/>
  <sheetViews>
    <sheetView zoomScale="55" zoomScaleNormal="55" workbookViewId="0">
      <pane xSplit="4" topLeftCell="E1" activePane="topRight" state="frozen"/>
      <selection pane="topRight" activeCell="BG31" sqref="BG31"/>
    </sheetView>
  </sheetViews>
  <sheetFormatPr defaultRowHeight="14.4" outlineLevelCol="1" x14ac:dyDescent="0.3"/>
  <cols>
    <col min="1" max="2" width="8.88671875" style="1"/>
    <col min="3" max="3" width="24.88671875" style="1" customWidth="1"/>
    <col min="4" max="4" width="2.6640625" style="1" customWidth="1"/>
    <col min="5" max="16" width="11.21875" style="1" hidden="1" customWidth="1" outlineLevel="1"/>
    <col min="17" max="17" width="12.21875" style="1" bestFit="1" customWidth="1" collapsed="1"/>
    <col min="18" max="18" width="3.21875" style="1" customWidth="1"/>
    <col min="19" max="21" width="8.88671875" style="1" hidden="1" customWidth="1" outlineLevel="1"/>
    <col min="22" max="22" width="10.44140625" style="1" hidden="1" customWidth="1" outlineLevel="1"/>
    <col min="23" max="27" width="8.88671875" style="1" hidden="1" customWidth="1" outlineLevel="1"/>
    <col min="28" max="30" width="10" style="1" hidden="1" customWidth="1" outlineLevel="1"/>
    <col min="31" max="31" width="10" style="1" bestFit="1" customWidth="1" collapsed="1"/>
    <col min="32" max="32" width="3.21875" style="1" customWidth="1"/>
    <col min="33" max="35" width="8.88671875" style="1" hidden="1" customWidth="1" outlineLevel="1"/>
    <col min="36" max="36" width="10.44140625" style="1" hidden="1" customWidth="1" outlineLevel="1"/>
    <col min="37" max="41" width="8.88671875" style="1" hidden="1" customWidth="1" outlineLevel="1"/>
    <col min="42" max="44" width="10" style="1" hidden="1" customWidth="1" outlineLevel="1"/>
    <col min="45" max="45" width="10" style="1" bestFit="1" customWidth="1" collapsed="1"/>
    <col min="46" max="46" width="3" style="1" customWidth="1"/>
    <col min="47" max="49" width="8.88671875" style="1" hidden="1" customWidth="1" outlineLevel="1"/>
    <col min="50" max="50" width="10.44140625" style="1" hidden="1" customWidth="1" outlineLevel="1"/>
    <col min="51" max="55" width="8.88671875" style="1" hidden="1" customWidth="1" outlineLevel="1"/>
    <col min="56" max="58" width="10" style="1" hidden="1" customWidth="1" outlineLevel="1"/>
    <col min="59" max="59" width="10" style="1" bestFit="1" customWidth="1" collapsed="1"/>
    <col min="60" max="60" width="3.21875" style="1" customWidth="1"/>
    <col min="61" max="63" width="8.88671875" style="1" hidden="1" customWidth="1" outlineLevel="1"/>
    <col min="64" max="64" width="10.44140625" style="1" hidden="1" customWidth="1" outlineLevel="1"/>
    <col min="65" max="69" width="8.88671875" style="1" hidden="1" customWidth="1" outlineLevel="1"/>
    <col min="70" max="72" width="10" style="1" hidden="1" customWidth="1" outlineLevel="1"/>
    <col min="73" max="73" width="10" style="1" bestFit="1" customWidth="1" collapsed="1"/>
    <col min="74" max="74" width="2.44140625" style="1" customWidth="1"/>
    <col min="75" max="77" width="8.88671875" style="1" hidden="1" customWidth="1" outlineLevel="1"/>
    <col min="78" max="78" width="10.44140625" style="1" hidden="1" customWidth="1" outlineLevel="1"/>
    <col min="79" max="83" width="8.88671875" style="1" hidden="1" customWidth="1" outlineLevel="1"/>
    <col min="84" max="86" width="10" style="1" hidden="1" customWidth="1" outlineLevel="1"/>
    <col min="87" max="87" width="10" style="1" bestFit="1" customWidth="1" collapsed="1"/>
    <col min="88" max="88" width="2" style="1" customWidth="1"/>
    <col min="89" max="91" width="8.88671875" style="1" hidden="1" customWidth="1" outlineLevel="1"/>
    <col min="92" max="92" width="10.44140625" style="1" hidden="1" customWidth="1" outlineLevel="1"/>
    <col min="93" max="97" width="8.88671875" style="1" hidden="1" customWidth="1" outlineLevel="1"/>
    <col min="98" max="100" width="10" style="1" hidden="1" customWidth="1" outlineLevel="1"/>
    <col min="101" max="101" width="10" style="1" bestFit="1" customWidth="1" collapsed="1"/>
    <col min="102" max="102" width="1.77734375" style="1" customWidth="1"/>
    <col min="103" max="105" width="8.88671875" style="1" hidden="1" customWidth="1" outlineLevel="1"/>
    <col min="106" max="106" width="10.44140625" style="1" hidden="1" customWidth="1" outlineLevel="1"/>
    <col min="107" max="111" width="8.88671875" style="1" hidden="1" customWidth="1" outlineLevel="1"/>
    <col min="112" max="114" width="10" style="1" hidden="1" customWidth="1" outlineLevel="1"/>
    <col min="115" max="115" width="10" style="1" bestFit="1" customWidth="1" collapsed="1"/>
    <col min="116" max="16384" width="8.88671875" style="1"/>
  </cols>
  <sheetData>
    <row r="1" spans="1:115" s="2" customFormat="1" x14ac:dyDescent="0.3">
      <c r="F1" s="2" t="s">
        <v>2</v>
      </c>
      <c r="T1" s="2" t="s">
        <v>2</v>
      </c>
      <c r="AH1" s="2" t="s">
        <v>2</v>
      </c>
      <c r="AV1" s="2" t="s">
        <v>2</v>
      </c>
      <c r="BJ1" s="2" t="s">
        <v>2</v>
      </c>
      <c r="BX1" s="2" t="s">
        <v>2</v>
      </c>
      <c r="CL1" s="2" t="s">
        <v>2</v>
      </c>
      <c r="CZ1" s="2" t="s">
        <v>2</v>
      </c>
    </row>
    <row r="2" spans="1:115" s="2" customFormat="1" ht="25.8" x14ac:dyDescent="0.5">
      <c r="A2" s="25" t="s">
        <v>0</v>
      </c>
    </row>
    <row r="3" spans="1:115" s="2" customFormat="1" x14ac:dyDescent="0.3"/>
    <row r="5" spans="1:115" ht="30.6" customHeight="1" x14ac:dyDescent="0.3">
      <c r="E5" s="134">
        <f>starting_year</f>
        <v>2023</v>
      </c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S5" s="134">
        <f>E5+1</f>
        <v>2024</v>
      </c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G5" s="134">
        <f>S5+1</f>
        <v>2025</v>
      </c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U5" s="134">
        <f>AG5+1</f>
        <v>2026</v>
      </c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I5" s="134">
        <f>AU5+1</f>
        <v>2027</v>
      </c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W5" s="134">
        <f>BI5+1</f>
        <v>2028</v>
      </c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K5" s="134">
        <f>BW5+1</f>
        <v>2029</v>
      </c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Y5" s="134">
        <f>CK5+1</f>
        <v>2030</v>
      </c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</row>
    <row r="6" spans="1:115" x14ac:dyDescent="0.3">
      <c r="E6" s="29">
        <f ca="1">IF(E7=0, E9 )</f>
        <v>44927</v>
      </c>
      <c r="F6" s="29">
        <f t="shared" ref="F6:J6" ca="1" si="0">IF(F7=0, F9)</f>
        <v>44958</v>
      </c>
      <c r="G6" s="29">
        <f t="shared" ca="1" si="0"/>
        <v>44986</v>
      </c>
      <c r="H6" s="29">
        <f t="shared" ca="1" si="0"/>
        <v>45017</v>
      </c>
      <c r="I6" s="29">
        <f t="shared" ca="1" si="0"/>
        <v>45047</v>
      </c>
      <c r="J6" s="29">
        <f t="shared" ca="1" si="0"/>
        <v>45078</v>
      </c>
      <c r="K6" s="29">
        <f ca="1">IF(K7=0, K9)</f>
        <v>45108</v>
      </c>
      <c r="L6" s="29">
        <f t="shared" ref="L6" ca="1" si="1">IF(L7=0, L9)</f>
        <v>45139</v>
      </c>
      <c r="M6" s="29">
        <f t="shared" ref="M6" ca="1" si="2">IF(M7=0, M9)</f>
        <v>45170</v>
      </c>
      <c r="N6" s="29">
        <f t="shared" ref="N6" ca="1" si="3">IF(N7=0, N9)</f>
        <v>45200</v>
      </c>
      <c r="O6" s="29">
        <f t="shared" ref="O6" ca="1" si="4">IF(O7=0, O9)</f>
        <v>45231</v>
      </c>
      <c r="P6" s="29">
        <f t="shared" ref="P6" ca="1" si="5">IF(P7=0, P9)</f>
        <v>45261</v>
      </c>
      <c r="Q6" s="12"/>
      <c r="S6" s="29">
        <f ca="1">IF(S7=0, S9 )</f>
        <v>45292</v>
      </c>
      <c r="T6" s="29">
        <f t="shared" ref="T6" ca="1" si="6">IF(T7=0, T9)</f>
        <v>45323</v>
      </c>
      <c r="U6" s="29">
        <f t="shared" ref="U6" ca="1" si="7">IF(U7=0, U9)</f>
        <v>45352</v>
      </c>
      <c r="V6" s="29">
        <f t="shared" ref="V6" ca="1" si="8">IF(V7=0, V9)</f>
        <v>45383</v>
      </c>
      <c r="W6" s="29">
        <f t="shared" ref="W6" ca="1" si="9">IF(W7=0, W9)</f>
        <v>45413</v>
      </c>
      <c r="X6" s="29">
        <f t="shared" ref="X6" ca="1" si="10">IF(X7=0, X9)</f>
        <v>45444</v>
      </c>
      <c r="Y6" s="29">
        <f ca="1">IF(Y7=0, Y9)</f>
        <v>45474</v>
      </c>
      <c r="Z6" s="29">
        <f t="shared" ref="Z6" ca="1" si="11">IF(Z7=0, Z9)</f>
        <v>45505</v>
      </c>
      <c r="AA6" s="29">
        <f t="shared" ref="AA6" ca="1" si="12">IF(AA7=0, AA9)</f>
        <v>45536</v>
      </c>
      <c r="AB6" s="29">
        <f t="shared" ref="AB6" ca="1" si="13">IF(AB7=0, AB9)</f>
        <v>45566</v>
      </c>
      <c r="AC6" s="29">
        <f t="shared" ref="AC6" ca="1" si="14">IF(AC7=0, AC9)</f>
        <v>45597</v>
      </c>
      <c r="AD6" s="29">
        <f t="shared" ref="AD6" ca="1" si="15">IF(AD7=0, AD9)</f>
        <v>45627</v>
      </c>
      <c r="AE6" s="12"/>
      <c r="AG6" s="29">
        <f ca="1">IF(AG7=0, AG9 )</f>
        <v>45658</v>
      </c>
      <c r="AH6" s="29">
        <f t="shared" ref="AH6:AL6" ca="1" si="16">IF(AH7=0, AH9)</f>
        <v>45689</v>
      </c>
      <c r="AI6" s="29">
        <f t="shared" ca="1" si="16"/>
        <v>45717</v>
      </c>
      <c r="AJ6" s="29">
        <f t="shared" ca="1" si="16"/>
        <v>45748</v>
      </c>
      <c r="AK6" s="29">
        <f t="shared" ca="1" si="16"/>
        <v>45778</v>
      </c>
      <c r="AL6" s="29">
        <f t="shared" ca="1" si="16"/>
        <v>45809</v>
      </c>
      <c r="AM6" s="29">
        <f ca="1">IF(AM7=0, AM9)</f>
        <v>45839</v>
      </c>
      <c r="AN6" s="29">
        <f t="shared" ref="AN6:AR6" ca="1" si="17">IF(AN7=0, AN9)</f>
        <v>45870</v>
      </c>
      <c r="AO6" s="29">
        <f t="shared" ca="1" si="17"/>
        <v>45901</v>
      </c>
      <c r="AP6" s="29">
        <f t="shared" ca="1" si="17"/>
        <v>45931</v>
      </c>
      <c r="AQ6" s="29">
        <f t="shared" ca="1" si="17"/>
        <v>45962</v>
      </c>
      <c r="AR6" s="29">
        <f t="shared" ca="1" si="17"/>
        <v>45992</v>
      </c>
      <c r="AS6" s="12"/>
      <c r="AU6" s="29">
        <f ca="1">IF(AU7=0, AU9 )</f>
        <v>46023</v>
      </c>
      <c r="AV6" s="29">
        <f t="shared" ref="AV6:AZ6" ca="1" si="18">IF(AV7=0, AV9)</f>
        <v>46054</v>
      </c>
      <c r="AW6" s="29">
        <f t="shared" ca="1" si="18"/>
        <v>46082</v>
      </c>
      <c r="AX6" s="29">
        <f t="shared" ca="1" si="18"/>
        <v>46113</v>
      </c>
      <c r="AY6" s="29">
        <f t="shared" ca="1" si="18"/>
        <v>46143</v>
      </c>
      <c r="AZ6" s="29">
        <f t="shared" ca="1" si="18"/>
        <v>46174</v>
      </c>
      <c r="BA6" s="29">
        <f ca="1">IF(BA7=0, BA9)</f>
        <v>46204</v>
      </c>
      <c r="BB6" s="29">
        <f t="shared" ref="BB6:BF6" ca="1" si="19">IF(BB7=0, BB9)</f>
        <v>46235</v>
      </c>
      <c r="BC6" s="29">
        <f t="shared" ca="1" si="19"/>
        <v>46266</v>
      </c>
      <c r="BD6" s="29">
        <f t="shared" ca="1" si="19"/>
        <v>46296</v>
      </c>
      <c r="BE6" s="29">
        <f t="shared" ca="1" si="19"/>
        <v>46327</v>
      </c>
      <c r="BF6" s="29">
        <f t="shared" ca="1" si="19"/>
        <v>46357</v>
      </c>
      <c r="BG6" s="12"/>
      <c r="BI6" s="29">
        <f ca="1">IF(BI7=0, BI9 )</f>
        <v>46388</v>
      </c>
      <c r="BJ6" s="29">
        <f t="shared" ref="BJ6:BN6" ca="1" si="20">IF(BJ7=0, BJ9)</f>
        <v>46419</v>
      </c>
      <c r="BK6" s="29">
        <f t="shared" ca="1" si="20"/>
        <v>46447</v>
      </c>
      <c r="BL6" s="29">
        <f t="shared" ca="1" si="20"/>
        <v>46478</v>
      </c>
      <c r="BM6" s="29">
        <f t="shared" ca="1" si="20"/>
        <v>46508</v>
      </c>
      <c r="BN6" s="29">
        <f t="shared" ca="1" si="20"/>
        <v>46539</v>
      </c>
      <c r="BO6" s="29">
        <f ca="1">IF(BO7=0, BO9)</f>
        <v>46569</v>
      </c>
      <c r="BP6" s="29">
        <f t="shared" ref="BP6:BT6" ca="1" si="21">IF(BP7=0, BP9)</f>
        <v>46600</v>
      </c>
      <c r="BQ6" s="29">
        <f t="shared" ca="1" si="21"/>
        <v>46631</v>
      </c>
      <c r="BR6" s="29">
        <f t="shared" ca="1" si="21"/>
        <v>46661</v>
      </c>
      <c r="BS6" s="29">
        <f t="shared" ca="1" si="21"/>
        <v>46692</v>
      </c>
      <c r="BT6" s="29">
        <f t="shared" ca="1" si="21"/>
        <v>46722</v>
      </c>
      <c r="BU6" s="12"/>
      <c r="BW6" s="29">
        <f ca="1">IF(BW7=0, BW9 )</f>
        <v>46753</v>
      </c>
      <c r="BX6" s="29">
        <f t="shared" ref="BX6:CB6" ca="1" si="22">IF(BX7=0, BX9)</f>
        <v>46784</v>
      </c>
      <c r="BY6" s="29">
        <f t="shared" ca="1" si="22"/>
        <v>46813</v>
      </c>
      <c r="BZ6" s="29">
        <f t="shared" ca="1" si="22"/>
        <v>46844</v>
      </c>
      <c r="CA6" s="29">
        <f t="shared" ca="1" si="22"/>
        <v>46874</v>
      </c>
      <c r="CB6" s="29">
        <f t="shared" ca="1" si="22"/>
        <v>46905</v>
      </c>
      <c r="CC6" s="29">
        <f ca="1">IF(CC7=0, CC9)</f>
        <v>46935</v>
      </c>
      <c r="CD6" s="29">
        <f t="shared" ref="CD6:CH6" ca="1" si="23">IF(CD7=0, CD9)</f>
        <v>46966</v>
      </c>
      <c r="CE6" s="29">
        <f t="shared" ca="1" si="23"/>
        <v>46997</v>
      </c>
      <c r="CF6" s="29">
        <f t="shared" ca="1" si="23"/>
        <v>47027</v>
      </c>
      <c r="CG6" s="29">
        <f t="shared" ca="1" si="23"/>
        <v>47058</v>
      </c>
      <c r="CH6" s="29">
        <f t="shared" ca="1" si="23"/>
        <v>47088</v>
      </c>
      <c r="CI6" s="12"/>
      <c r="CK6" s="29">
        <f ca="1">IF(CK7=0, CK9 )</f>
        <v>47119</v>
      </c>
      <c r="CL6" s="29">
        <f t="shared" ref="CL6:CP6" ca="1" si="24">IF(CL7=0, CL9)</f>
        <v>47150</v>
      </c>
      <c r="CM6" s="29">
        <f t="shared" ca="1" si="24"/>
        <v>47178</v>
      </c>
      <c r="CN6" s="29">
        <f t="shared" ca="1" si="24"/>
        <v>47209</v>
      </c>
      <c r="CO6" s="29">
        <f t="shared" ca="1" si="24"/>
        <v>47239</v>
      </c>
      <c r="CP6" s="29">
        <f t="shared" ca="1" si="24"/>
        <v>47270</v>
      </c>
      <c r="CQ6" s="29">
        <f ca="1">IF(CQ7=0, CQ9)</f>
        <v>47300</v>
      </c>
      <c r="CR6" s="29">
        <f t="shared" ref="CR6:CV6" ca="1" si="25">IF(CR7=0, CR9)</f>
        <v>47331</v>
      </c>
      <c r="CS6" s="29">
        <f t="shared" ca="1" si="25"/>
        <v>47362</v>
      </c>
      <c r="CT6" s="29">
        <f t="shared" ca="1" si="25"/>
        <v>47392</v>
      </c>
      <c r="CU6" s="29">
        <f t="shared" ca="1" si="25"/>
        <v>47423</v>
      </c>
      <c r="CV6" s="29">
        <f t="shared" ca="1" si="25"/>
        <v>47453</v>
      </c>
      <c r="CW6" s="12"/>
      <c r="CY6" s="29">
        <f ca="1">IF(CY7=0, CY9 )</f>
        <v>47484</v>
      </c>
      <c r="CZ6" s="29">
        <f t="shared" ref="CZ6:DD6" ca="1" si="26">IF(CZ7=0, CZ9)</f>
        <v>47515</v>
      </c>
      <c r="DA6" s="29">
        <f t="shared" ca="1" si="26"/>
        <v>47543</v>
      </c>
      <c r="DB6" s="29">
        <f t="shared" ca="1" si="26"/>
        <v>47574</v>
      </c>
      <c r="DC6" s="29">
        <f t="shared" ca="1" si="26"/>
        <v>47604</v>
      </c>
      <c r="DD6" s="29">
        <f t="shared" ca="1" si="26"/>
        <v>47635</v>
      </c>
      <c r="DE6" s="29">
        <f ca="1">IF(DE7=0, DE9)</f>
        <v>47665</v>
      </c>
      <c r="DF6" s="29">
        <f t="shared" ref="DF6:DJ6" ca="1" si="27">IF(DF7=0, DF9)</f>
        <v>47696</v>
      </c>
      <c r="DG6" s="29">
        <f t="shared" ca="1" si="27"/>
        <v>47727</v>
      </c>
      <c r="DH6" s="29">
        <f t="shared" ca="1" si="27"/>
        <v>47757</v>
      </c>
      <c r="DI6" s="29">
        <f t="shared" ca="1" si="27"/>
        <v>47788</v>
      </c>
      <c r="DJ6" s="29">
        <f t="shared" ca="1" si="27"/>
        <v>47818</v>
      </c>
      <c r="DK6" s="12"/>
    </row>
    <row r="7" spans="1:115" x14ac:dyDescent="0.3">
      <c r="C7" s="9" t="s">
        <v>12</v>
      </c>
      <c r="E7" s="30">
        <f t="shared" ref="E7:Q7" ca="1" si="28">E21-(E37+E51)</f>
        <v>0</v>
      </c>
      <c r="F7" s="30">
        <f t="shared" ca="1" si="28"/>
        <v>0</v>
      </c>
      <c r="G7" s="30">
        <f t="shared" ca="1" si="28"/>
        <v>0</v>
      </c>
      <c r="H7" s="30">
        <f t="shared" ca="1" si="28"/>
        <v>0</v>
      </c>
      <c r="I7" s="30">
        <f t="shared" ca="1" si="28"/>
        <v>0</v>
      </c>
      <c r="J7" s="30">
        <f t="shared" ca="1" si="28"/>
        <v>0</v>
      </c>
      <c r="K7" s="30">
        <f t="shared" ca="1" si="28"/>
        <v>0</v>
      </c>
      <c r="L7" s="30">
        <f t="shared" ca="1" si="28"/>
        <v>0</v>
      </c>
      <c r="M7" s="30">
        <f t="shared" ca="1" si="28"/>
        <v>0</v>
      </c>
      <c r="N7" s="30">
        <f t="shared" ca="1" si="28"/>
        <v>0</v>
      </c>
      <c r="O7" s="30">
        <f t="shared" ca="1" si="28"/>
        <v>0</v>
      </c>
      <c r="P7" s="30">
        <f t="shared" ca="1" si="28"/>
        <v>0</v>
      </c>
      <c r="Q7" s="31">
        <f t="shared" ca="1" si="28"/>
        <v>0</v>
      </c>
      <c r="S7" s="30">
        <f t="shared" ref="S7:AE7" ca="1" si="29">S21-(S37+S51)</f>
        <v>0</v>
      </c>
      <c r="T7" s="30">
        <f t="shared" ca="1" si="29"/>
        <v>0</v>
      </c>
      <c r="U7" s="30">
        <f t="shared" ca="1" si="29"/>
        <v>0</v>
      </c>
      <c r="V7" s="30">
        <f t="shared" ca="1" si="29"/>
        <v>0</v>
      </c>
      <c r="W7" s="30">
        <f t="shared" ca="1" si="29"/>
        <v>0</v>
      </c>
      <c r="X7" s="30">
        <f t="shared" ca="1" si="29"/>
        <v>0</v>
      </c>
      <c r="Y7" s="30">
        <f t="shared" ca="1" si="29"/>
        <v>0</v>
      </c>
      <c r="Z7" s="30">
        <f t="shared" ca="1" si="29"/>
        <v>0</v>
      </c>
      <c r="AA7" s="30">
        <f t="shared" ca="1" si="29"/>
        <v>0</v>
      </c>
      <c r="AB7" s="30">
        <f t="shared" ca="1" si="29"/>
        <v>0</v>
      </c>
      <c r="AC7" s="30">
        <f t="shared" ca="1" si="29"/>
        <v>0</v>
      </c>
      <c r="AD7" s="30">
        <f t="shared" ca="1" si="29"/>
        <v>0</v>
      </c>
      <c r="AE7" s="31">
        <f t="shared" ca="1" si="29"/>
        <v>0</v>
      </c>
      <c r="AG7" s="30">
        <f t="shared" ref="AG7:AS7" ca="1" si="30">AG21-(AG37+AG51)</f>
        <v>0</v>
      </c>
      <c r="AH7" s="30">
        <f t="shared" ca="1" si="30"/>
        <v>0</v>
      </c>
      <c r="AI7" s="30">
        <f t="shared" ca="1" si="30"/>
        <v>0</v>
      </c>
      <c r="AJ7" s="30">
        <f t="shared" ca="1" si="30"/>
        <v>0</v>
      </c>
      <c r="AK7" s="30">
        <f t="shared" ca="1" si="30"/>
        <v>0</v>
      </c>
      <c r="AL7" s="30">
        <f t="shared" ca="1" si="30"/>
        <v>0</v>
      </c>
      <c r="AM7" s="30">
        <f t="shared" ca="1" si="30"/>
        <v>0</v>
      </c>
      <c r="AN7" s="30">
        <f t="shared" ca="1" si="30"/>
        <v>0</v>
      </c>
      <c r="AO7" s="30">
        <f t="shared" ca="1" si="30"/>
        <v>0</v>
      </c>
      <c r="AP7" s="30">
        <f t="shared" ca="1" si="30"/>
        <v>0</v>
      </c>
      <c r="AQ7" s="30">
        <f t="shared" ca="1" si="30"/>
        <v>0</v>
      </c>
      <c r="AR7" s="30">
        <f t="shared" ca="1" si="30"/>
        <v>0</v>
      </c>
      <c r="AS7" s="31">
        <f t="shared" ca="1" si="30"/>
        <v>0</v>
      </c>
      <c r="AU7" s="30">
        <f t="shared" ref="AU7:BG7" ca="1" si="31">AU21-(AU37+AU51)</f>
        <v>0</v>
      </c>
      <c r="AV7" s="30">
        <f t="shared" ca="1" si="31"/>
        <v>0</v>
      </c>
      <c r="AW7" s="30">
        <f t="shared" ca="1" si="31"/>
        <v>0</v>
      </c>
      <c r="AX7" s="30">
        <f t="shared" ca="1" si="31"/>
        <v>0</v>
      </c>
      <c r="AY7" s="30">
        <f t="shared" ca="1" si="31"/>
        <v>0</v>
      </c>
      <c r="AZ7" s="30">
        <f t="shared" ca="1" si="31"/>
        <v>0</v>
      </c>
      <c r="BA7" s="30">
        <f t="shared" ca="1" si="31"/>
        <v>0</v>
      </c>
      <c r="BB7" s="30">
        <f t="shared" ca="1" si="31"/>
        <v>0</v>
      </c>
      <c r="BC7" s="30">
        <f t="shared" ca="1" si="31"/>
        <v>0</v>
      </c>
      <c r="BD7" s="30">
        <f t="shared" ca="1" si="31"/>
        <v>0</v>
      </c>
      <c r="BE7" s="30">
        <f t="shared" ca="1" si="31"/>
        <v>0</v>
      </c>
      <c r="BF7" s="30">
        <f t="shared" ca="1" si="31"/>
        <v>0</v>
      </c>
      <c r="BG7" s="31">
        <f t="shared" ca="1" si="31"/>
        <v>0</v>
      </c>
      <c r="BI7" s="30">
        <f t="shared" ref="BI7:BU7" ca="1" si="32">BI21-(BI37+BI51)</f>
        <v>0</v>
      </c>
      <c r="BJ7" s="30">
        <f t="shared" ca="1" si="32"/>
        <v>0</v>
      </c>
      <c r="BK7" s="30">
        <f t="shared" ca="1" si="32"/>
        <v>0</v>
      </c>
      <c r="BL7" s="30">
        <f t="shared" ca="1" si="32"/>
        <v>0</v>
      </c>
      <c r="BM7" s="30">
        <f t="shared" ca="1" si="32"/>
        <v>0</v>
      </c>
      <c r="BN7" s="30">
        <f t="shared" ca="1" si="32"/>
        <v>0</v>
      </c>
      <c r="BO7" s="30">
        <f t="shared" ca="1" si="32"/>
        <v>0</v>
      </c>
      <c r="BP7" s="30">
        <f t="shared" ca="1" si="32"/>
        <v>0</v>
      </c>
      <c r="BQ7" s="30">
        <f t="shared" ca="1" si="32"/>
        <v>0</v>
      </c>
      <c r="BR7" s="30">
        <f t="shared" ca="1" si="32"/>
        <v>0</v>
      </c>
      <c r="BS7" s="30">
        <f t="shared" ca="1" si="32"/>
        <v>0</v>
      </c>
      <c r="BT7" s="30">
        <f t="shared" ca="1" si="32"/>
        <v>0</v>
      </c>
      <c r="BU7" s="31">
        <f t="shared" ca="1" si="32"/>
        <v>0</v>
      </c>
      <c r="BW7" s="30">
        <f t="shared" ref="BW7:CI7" ca="1" si="33">BW21-(BW37+BW51)</f>
        <v>0</v>
      </c>
      <c r="BX7" s="30">
        <f t="shared" ca="1" si="33"/>
        <v>0</v>
      </c>
      <c r="BY7" s="30">
        <f t="shared" ca="1" si="33"/>
        <v>0</v>
      </c>
      <c r="BZ7" s="30">
        <f t="shared" ca="1" si="33"/>
        <v>0</v>
      </c>
      <c r="CA7" s="30">
        <f t="shared" ca="1" si="33"/>
        <v>0</v>
      </c>
      <c r="CB7" s="30">
        <f t="shared" ca="1" si="33"/>
        <v>0</v>
      </c>
      <c r="CC7" s="30">
        <f t="shared" ca="1" si="33"/>
        <v>0</v>
      </c>
      <c r="CD7" s="30">
        <f t="shared" ca="1" si="33"/>
        <v>0</v>
      </c>
      <c r="CE7" s="30">
        <f t="shared" ca="1" si="33"/>
        <v>0</v>
      </c>
      <c r="CF7" s="30">
        <f t="shared" ca="1" si="33"/>
        <v>0</v>
      </c>
      <c r="CG7" s="30">
        <f t="shared" ca="1" si="33"/>
        <v>0</v>
      </c>
      <c r="CH7" s="30">
        <f t="shared" ca="1" si="33"/>
        <v>0</v>
      </c>
      <c r="CI7" s="31">
        <f t="shared" ca="1" si="33"/>
        <v>0</v>
      </c>
      <c r="CK7" s="30">
        <f t="shared" ref="CK7:CW7" ca="1" si="34">CK21-(CK37+CK51)</f>
        <v>0</v>
      </c>
      <c r="CL7" s="30">
        <f t="shared" ca="1" si="34"/>
        <v>0</v>
      </c>
      <c r="CM7" s="30">
        <f t="shared" ca="1" si="34"/>
        <v>0</v>
      </c>
      <c r="CN7" s="30">
        <f t="shared" ca="1" si="34"/>
        <v>0</v>
      </c>
      <c r="CO7" s="30">
        <f t="shared" ca="1" si="34"/>
        <v>0</v>
      </c>
      <c r="CP7" s="30">
        <f t="shared" ca="1" si="34"/>
        <v>0</v>
      </c>
      <c r="CQ7" s="30">
        <f t="shared" ca="1" si="34"/>
        <v>0</v>
      </c>
      <c r="CR7" s="30">
        <f t="shared" ca="1" si="34"/>
        <v>0</v>
      </c>
      <c r="CS7" s="30">
        <f t="shared" ca="1" si="34"/>
        <v>0</v>
      </c>
      <c r="CT7" s="30">
        <f t="shared" ca="1" si="34"/>
        <v>0</v>
      </c>
      <c r="CU7" s="30">
        <f t="shared" ca="1" si="34"/>
        <v>0</v>
      </c>
      <c r="CV7" s="30">
        <f t="shared" ca="1" si="34"/>
        <v>0</v>
      </c>
      <c r="CW7" s="31">
        <f t="shared" ca="1" si="34"/>
        <v>0</v>
      </c>
      <c r="CY7" s="30">
        <f t="shared" ref="CY7:DK7" ca="1" si="35">CY21-(CY37+CY51)</f>
        <v>0</v>
      </c>
      <c r="CZ7" s="30">
        <f t="shared" ca="1" si="35"/>
        <v>0</v>
      </c>
      <c r="DA7" s="30">
        <f t="shared" ca="1" si="35"/>
        <v>0</v>
      </c>
      <c r="DB7" s="30">
        <f t="shared" ca="1" si="35"/>
        <v>0</v>
      </c>
      <c r="DC7" s="30">
        <f t="shared" ca="1" si="35"/>
        <v>0</v>
      </c>
      <c r="DD7" s="30">
        <f t="shared" ca="1" si="35"/>
        <v>0</v>
      </c>
      <c r="DE7" s="30">
        <f t="shared" ca="1" si="35"/>
        <v>0</v>
      </c>
      <c r="DF7" s="30">
        <f t="shared" ca="1" si="35"/>
        <v>0</v>
      </c>
      <c r="DG7" s="30">
        <f t="shared" ca="1" si="35"/>
        <v>0</v>
      </c>
      <c r="DH7" s="30">
        <f t="shared" ca="1" si="35"/>
        <v>0</v>
      </c>
      <c r="DI7" s="30">
        <f t="shared" ca="1" si="35"/>
        <v>0</v>
      </c>
      <c r="DJ7" s="30">
        <f t="shared" ca="1" si="35"/>
        <v>0</v>
      </c>
      <c r="DK7" s="31">
        <f t="shared" ca="1" si="35"/>
        <v>0</v>
      </c>
    </row>
    <row r="9" spans="1:115" x14ac:dyDescent="0.3">
      <c r="C9" s="13" t="s">
        <v>6</v>
      </c>
      <c r="E9" s="16">
        <f>DATE(E$5,1,1)</f>
        <v>44927</v>
      </c>
      <c r="F9" s="16">
        <f>DATE(E$5,2,1)</f>
        <v>44958</v>
      </c>
      <c r="G9" s="16">
        <f>DATE(E$5,3,1)</f>
        <v>44986</v>
      </c>
      <c r="H9" s="16">
        <f>DATE(E$5,4,1)</f>
        <v>45017</v>
      </c>
      <c r="I9" s="16">
        <f>DATE(E$5,5,1)</f>
        <v>45047</v>
      </c>
      <c r="J9" s="16">
        <f>DATE(E$5,6,1)</f>
        <v>45078</v>
      </c>
      <c r="K9" s="16">
        <f>DATE(E$5,7,1)</f>
        <v>45108</v>
      </c>
      <c r="L9" s="16">
        <f>DATE(E$5,8,1)</f>
        <v>45139</v>
      </c>
      <c r="M9" s="16">
        <f>DATE(E$5,9,1)</f>
        <v>45170</v>
      </c>
      <c r="N9" s="16">
        <f>DATE(E$5,10,1)</f>
        <v>45200</v>
      </c>
      <c r="O9" s="16">
        <f>DATE(E$5,11,1)</f>
        <v>45231</v>
      </c>
      <c r="P9" s="16">
        <f>DATE(E$5,12,1)</f>
        <v>45261</v>
      </c>
      <c r="Q9" s="15">
        <f>E$5</f>
        <v>2023</v>
      </c>
      <c r="S9" s="16">
        <f>DATE(S$5,1,1)</f>
        <v>45292</v>
      </c>
      <c r="T9" s="16">
        <f>DATE(S$5,2,1)</f>
        <v>45323</v>
      </c>
      <c r="U9" s="16">
        <f>DATE(S$5,3,1)</f>
        <v>45352</v>
      </c>
      <c r="V9" s="16">
        <f>DATE(S$5,4,1)</f>
        <v>45383</v>
      </c>
      <c r="W9" s="16">
        <f>DATE(S$5,5,1)</f>
        <v>45413</v>
      </c>
      <c r="X9" s="16">
        <f>DATE(S$5,6,1)</f>
        <v>45444</v>
      </c>
      <c r="Y9" s="16">
        <f>DATE(S$5,7,1)</f>
        <v>45474</v>
      </c>
      <c r="Z9" s="16">
        <f>DATE(S$5,8,1)</f>
        <v>45505</v>
      </c>
      <c r="AA9" s="16">
        <f>DATE(S$5,9,1)</f>
        <v>45536</v>
      </c>
      <c r="AB9" s="16">
        <f>DATE(S$5,10,1)</f>
        <v>45566</v>
      </c>
      <c r="AC9" s="16">
        <f>DATE(S$5,11,1)</f>
        <v>45597</v>
      </c>
      <c r="AD9" s="16">
        <f>DATE(S$5,12,1)</f>
        <v>45627</v>
      </c>
      <c r="AE9" s="15">
        <f>S$5</f>
        <v>2024</v>
      </c>
      <c r="AG9" s="16">
        <f>DATE(AG$5,1,1)</f>
        <v>45658</v>
      </c>
      <c r="AH9" s="16">
        <f>DATE(AG$5,2,1)</f>
        <v>45689</v>
      </c>
      <c r="AI9" s="16">
        <f>DATE(AG$5,3,1)</f>
        <v>45717</v>
      </c>
      <c r="AJ9" s="16">
        <f>DATE(AG$5,4,1)</f>
        <v>45748</v>
      </c>
      <c r="AK9" s="16">
        <f>DATE(AG$5,5,1)</f>
        <v>45778</v>
      </c>
      <c r="AL9" s="16">
        <f>DATE(AG$5,6,1)</f>
        <v>45809</v>
      </c>
      <c r="AM9" s="16">
        <f>DATE(AG$5,7,1)</f>
        <v>45839</v>
      </c>
      <c r="AN9" s="16">
        <f>DATE(AG$5,8,1)</f>
        <v>45870</v>
      </c>
      <c r="AO9" s="16">
        <f>DATE(AG$5,9,1)</f>
        <v>45901</v>
      </c>
      <c r="AP9" s="16">
        <f>DATE(AG$5,10,1)</f>
        <v>45931</v>
      </c>
      <c r="AQ9" s="16">
        <f>DATE(AG$5,11,1)</f>
        <v>45962</v>
      </c>
      <c r="AR9" s="16">
        <f>DATE(AG$5,12,1)</f>
        <v>45992</v>
      </c>
      <c r="AS9" s="15">
        <f>AG$5</f>
        <v>2025</v>
      </c>
      <c r="AU9" s="16">
        <f>DATE(AU$5,1,1)</f>
        <v>46023</v>
      </c>
      <c r="AV9" s="16">
        <f>DATE(AU$5,2,1)</f>
        <v>46054</v>
      </c>
      <c r="AW9" s="16">
        <f>DATE(AU$5,3,1)</f>
        <v>46082</v>
      </c>
      <c r="AX9" s="16">
        <f>DATE(AU$5,4,1)</f>
        <v>46113</v>
      </c>
      <c r="AY9" s="16">
        <f>DATE(AU$5,5,1)</f>
        <v>46143</v>
      </c>
      <c r="AZ9" s="16">
        <f>DATE(AU$5,6,1)</f>
        <v>46174</v>
      </c>
      <c r="BA9" s="16">
        <f>DATE(AU$5,7,1)</f>
        <v>46204</v>
      </c>
      <c r="BB9" s="16">
        <f>DATE(AU$5,8,1)</f>
        <v>46235</v>
      </c>
      <c r="BC9" s="16">
        <f>DATE(AU$5,9,1)</f>
        <v>46266</v>
      </c>
      <c r="BD9" s="16">
        <f>DATE(AU$5,10,1)</f>
        <v>46296</v>
      </c>
      <c r="BE9" s="16">
        <f>DATE(AU$5,11,1)</f>
        <v>46327</v>
      </c>
      <c r="BF9" s="16">
        <f>DATE(AU$5,12,1)</f>
        <v>46357</v>
      </c>
      <c r="BG9" s="15">
        <f>AU$5</f>
        <v>2026</v>
      </c>
      <c r="BI9" s="16">
        <f>DATE(BI$5,1,1)</f>
        <v>46388</v>
      </c>
      <c r="BJ9" s="16">
        <f>DATE(BI$5,2,1)</f>
        <v>46419</v>
      </c>
      <c r="BK9" s="16">
        <f>DATE(BI$5,3,1)</f>
        <v>46447</v>
      </c>
      <c r="BL9" s="16">
        <f>DATE(BI$5,4,1)</f>
        <v>46478</v>
      </c>
      <c r="BM9" s="16">
        <f>DATE(BI$5,5,1)</f>
        <v>46508</v>
      </c>
      <c r="BN9" s="16">
        <f>DATE(BI$5,6,1)</f>
        <v>46539</v>
      </c>
      <c r="BO9" s="16">
        <f>DATE(BI$5,7,1)</f>
        <v>46569</v>
      </c>
      <c r="BP9" s="16">
        <f>DATE(BI$5,8,1)</f>
        <v>46600</v>
      </c>
      <c r="BQ9" s="16">
        <f>DATE(BI$5,9,1)</f>
        <v>46631</v>
      </c>
      <c r="BR9" s="16">
        <f>DATE(BI$5,10,1)</f>
        <v>46661</v>
      </c>
      <c r="BS9" s="16">
        <f>DATE(BI$5,11,1)</f>
        <v>46692</v>
      </c>
      <c r="BT9" s="16">
        <f>DATE(BI$5,12,1)</f>
        <v>46722</v>
      </c>
      <c r="BU9" s="15">
        <f>BI$5</f>
        <v>2027</v>
      </c>
      <c r="BW9" s="16">
        <f>DATE(BW$5,1,1)</f>
        <v>46753</v>
      </c>
      <c r="BX9" s="16">
        <f>DATE(BW$5,2,1)</f>
        <v>46784</v>
      </c>
      <c r="BY9" s="16">
        <f>DATE(BW$5,3,1)</f>
        <v>46813</v>
      </c>
      <c r="BZ9" s="16">
        <f>DATE(BW$5,4,1)</f>
        <v>46844</v>
      </c>
      <c r="CA9" s="16">
        <f>DATE(BW$5,5,1)</f>
        <v>46874</v>
      </c>
      <c r="CB9" s="16">
        <f>DATE(BW$5,6,1)</f>
        <v>46905</v>
      </c>
      <c r="CC9" s="16">
        <f>DATE(BW$5,7,1)</f>
        <v>46935</v>
      </c>
      <c r="CD9" s="16">
        <f>DATE(BW$5,8,1)</f>
        <v>46966</v>
      </c>
      <c r="CE9" s="16">
        <f>DATE(BW$5,9,1)</f>
        <v>46997</v>
      </c>
      <c r="CF9" s="16">
        <f>DATE(BW$5,10,1)</f>
        <v>47027</v>
      </c>
      <c r="CG9" s="16">
        <f>DATE(BW$5,11,1)</f>
        <v>47058</v>
      </c>
      <c r="CH9" s="16">
        <f>DATE(BW$5,12,1)</f>
        <v>47088</v>
      </c>
      <c r="CI9" s="15">
        <f>BW$5</f>
        <v>2028</v>
      </c>
      <c r="CK9" s="16">
        <f>DATE(CK$5,1,1)</f>
        <v>47119</v>
      </c>
      <c r="CL9" s="16">
        <f>DATE(CK$5,2,1)</f>
        <v>47150</v>
      </c>
      <c r="CM9" s="16">
        <f>DATE(CK$5,3,1)</f>
        <v>47178</v>
      </c>
      <c r="CN9" s="16">
        <f>DATE(CK$5,4,1)</f>
        <v>47209</v>
      </c>
      <c r="CO9" s="16">
        <f>DATE(CK$5,5,1)</f>
        <v>47239</v>
      </c>
      <c r="CP9" s="16">
        <f>DATE(CK$5,6,1)</f>
        <v>47270</v>
      </c>
      <c r="CQ9" s="16">
        <f>DATE(CK$5,7,1)</f>
        <v>47300</v>
      </c>
      <c r="CR9" s="16">
        <f>DATE(CK$5,8,1)</f>
        <v>47331</v>
      </c>
      <c r="CS9" s="16">
        <f>DATE(CK$5,9,1)</f>
        <v>47362</v>
      </c>
      <c r="CT9" s="16">
        <f>DATE(CK$5,10,1)</f>
        <v>47392</v>
      </c>
      <c r="CU9" s="16">
        <f>DATE(CK$5,11,1)</f>
        <v>47423</v>
      </c>
      <c r="CV9" s="16">
        <f>DATE(CK$5,12,1)</f>
        <v>47453</v>
      </c>
      <c r="CW9" s="15">
        <f>CK$5</f>
        <v>2029</v>
      </c>
      <c r="CY9" s="16">
        <f>DATE(CY$5,1,1)</f>
        <v>47484</v>
      </c>
      <c r="CZ9" s="16">
        <f>DATE(CY$5,2,1)</f>
        <v>47515</v>
      </c>
      <c r="DA9" s="16">
        <f>DATE(CY$5,3,1)</f>
        <v>47543</v>
      </c>
      <c r="DB9" s="16">
        <f>DATE(CY$5,4,1)</f>
        <v>47574</v>
      </c>
      <c r="DC9" s="16">
        <f>DATE(CY$5,5,1)</f>
        <v>47604</v>
      </c>
      <c r="DD9" s="16">
        <f>DATE(CY$5,6,1)</f>
        <v>47635</v>
      </c>
      <c r="DE9" s="16">
        <f>DATE(CY$5,7,1)</f>
        <v>47665</v>
      </c>
      <c r="DF9" s="16">
        <f>DATE(CY$5,8,1)</f>
        <v>47696</v>
      </c>
      <c r="DG9" s="16">
        <f>DATE(CY$5,9,1)</f>
        <v>47727</v>
      </c>
      <c r="DH9" s="16">
        <f>DATE(CY$5,10,1)</f>
        <v>47757</v>
      </c>
      <c r="DI9" s="16">
        <f>DATE(CY$5,11,1)</f>
        <v>47788</v>
      </c>
      <c r="DJ9" s="16">
        <f>DATE(CY$5,12,1)</f>
        <v>47818</v>
      </c>
      <c r="DK9" s="15">
        <f>CY$5</f>
        <v>2030</v>
      </c>
    </row>
    <row r="10" spans="1:115" x14ac:dyDescent="0.3">
      <c r="C10" s="19" t="s">
        <v>19</v>
      </c>
      <c r="D10" s="17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4">
        <f>SUM(E10:P10)</f>
        <v>0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4">
        <f>SUM(S10:AD10)</f>
        <v>0</v>
      </c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4">
        <f>SUM(AG10:AR10)</f>
        <v>0</v>
      </c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4">
        <f>SUM(AU10:BF10)</f>
        <v>0</v>
      </c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4">
        <f>SUM(BI10:BT10)</f>
        <v>0</v>
      </c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4">
        <f>SUM(BW10:CH10)</f>
        <v>0</v>
      </c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4">
        <f>SUM(CK10:CV10)</f>
        <v>0</v>
      </c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4">
        <f>SUM(CY10:DJ10)</f>
        <v>0</v>
      </c>
    </row>
    <row r="11" spans="1:115" x14ac:dyDescent="0.3">
      <c r="C11" s="19" t="s">
        <v>181</v>
      </c>
      <c r="D11" s="22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4">
        <f t="shared" ref="Q11:Q21" si="36">SUM(E11:P11)</f>
        <v>0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4">
        <f t="shared" ref="AE11:AE21" si="37">SUM(S11:AD11)</f>
        <v>0</v>
      </c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4">
        <f t="shared" ref="AS11:AS21" si="38">SUM(AG11:AR11)</f>
        <v>0</v>
      </c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4">
        <f t="shared" ref="BG11:BG21" si="39">SUM(AU11:BF11)</f>
        <v>0</v>
      </c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4">
        <f t="shared" ref="BU11:BU21" si="40">SUM(BI11:BT11)</f>
        <v>0</v>
      </c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4">
        <f t="shared" ref="CI11:CI21" si="41">SUM(BW11:CH11)</f>
        <v>0</v>
      </c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4">
        <f t="shared" ref="CW11:CW21" si="42">SUM(CK11:CV11)</f>
        <v>0</v>
      </c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4">
        <f t="shared" ref="DK11:DK21" si="43">SUM(CY11:DJ11)</f>
        <v>0</v>
      </c>
    </row>
    <row r="12" spans="1:115" x14ac:dyDescent="0.3">
      <c r="C12" s="19" t="s">
        <v>7</v>
      </c>
      <c r="D12" s="17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4">
        <f t="shared" si="36"/>
        <v>0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4">
        <f t="shared" si="37"/>
        <v>0</v>
      </c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4">
        <f t="shared" si="38"/>
        <v>0</v>
      </c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4">
        <f t="shared" si="39"/>
        <v>0</v>
      </c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4">
        <f t="shared" si="40"/>
        <v>0</v>
      </c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4">
        <f t="shared" si="41"/>
        <v>0</v>
      </c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4">
        <f t="shared" si="42"/>
        <v>0</v>
      </c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4">
        <f t="shared" si="43"/>
        <v>0</v>
      </c>
    </row>
    <row r="13" spans="1:115" x14ac:dyDescent="0.3">
      <c r="C13" s="19" t="s">
        <v>7</v>
      </c>
      <c r="D13" s="17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4">
        <f t="shared" si="36"/>
        <v>0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4">
        <f t="shared" si="37"/>
        <v>0</v>
      </c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4">
        <f t="shared" si="38"/>
        <v>0</v>
      </c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4">
        <f t="shared" si="39"/>
        <v>0</v>
      </c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4">
        <f t="shared" si="40"/>
        <v>0</v>
      </c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4">
        <f t="shared" si="41"/>
        <v>0</v>
      </c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4">
        <f t="shared" si="42"/>
        <v>0</v>
      </c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4">
        <f t="shared" si="43"/>
        <v>0</v>
      </c>
    </row>
    <row r="14" spans="1:115" x14ac:dyDescent="0.3">
      <c r="C14" s="18" t="s">
        <v>7</v>
      </c>
      <c r="D14" s="17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4">
        <f t="shared" si="36"/>
        <v>0</v>
      </c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4">
        <f t="shared" si="37"/>
        <v>0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4">
        <f t="shared" si="38"/>
        <v>0</v>
      </c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4">
        <f t="shared" si="39"/>
        <v>0</v>
      </c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4">
        <f t="shared" si="40"/>
        <v>0</v>
      </c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4">
        <f t="shared" si="41"/>
        <v>0</v>
      </c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4">
        <f t="shared" si="42"/>
        <v>0</v>
      </c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4">
        <f t="shared" si="43"/>
        <v>0</v>
      </c>
    </row>
    <row r="15" spans="1:115" hidden="1" x14ac:dyDescent="0.3">
      <c r="C15" s="18" t="s">
        <v>7</v>
      </c>
      <c r="D15" s="1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>
        <f t="shared" si="36"/>
        <v>0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1">
        <f t="shared" si="37"/>
        <v>0</v>
      </c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>
        <f t="shared" si="38"/>
        <v>0</v>
      </c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1">
        <f t="shared" si="39"/>
        <v>0</v>
      </c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1">
        <f t="shared" si="40"/>
        <v>0</v>
      </c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1">
        <f t="shared" si="41"/>
        <v>0</v>
      </c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1">
        <f t="shared" si="42"/>
        <v>0</v>
      </c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1">
        <f t="shared" si="43"/>
        <v>0</v>
      </c>
    </row>
    <row r="16" spans="1:115" hidden="1" x14ac:dyDescent="0.3">
      <c r="C16" s="18" t="s">
        <v>7</v>
      </c>
      <c r="D16" s="17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>
        <f t="shared" si="36"/>
        <v>0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1">
        <f t="shared" si="37"/>
        <v>0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>
        <f t="shared" si="38"/>
        <v>0</v>
      </c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1">
        <f t="shared" si="39"/>
        <v>0</v>
      </c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1">
        <f t="shared" si="40"/>
        <v>0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1">
        <f t="shared" si="41"/>
        <v>0</v>
      </c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1">
        <f t="shared" si="42"/>
        <v>0</v>
      </c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1">
        <f t="shared" si="43"/>
        <v>0</v>
      </c>
    </row>
    <row r="17" spans="3:115" hidden="1" x14ac:dyDescent="0.3">
      <c r="C17" s="18" t="s">
        <v>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>
        <f t="shared" si="36"/>
        <v>0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1">
        <f t="shared" si="37"/>
        <v>0</v>
      </c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>
        <f t="shared" si="38"/>
        <v>0</v>
      </c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1">
        <f t="shared" si="39"/>
        <v>0</v>
      </c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1">
        <f t="shared" si="40"/>
        <v>0</v>
      </c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1">
        <f t="shared" si="41"/>
        <v>0</v>
      </c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1">
        <f t="shared" si="42"/>
        <v>0</v>
      </c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1">
        <f t="shared" si="43"/>
        <v>0</v>
      </c>
    </row>
    <row r="18" spans="3:115" hidden="1" x14ac:dyDescent="0.3">
      <c r="C18" s="18" t="s">
        <v>7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>
        <f t="shared" si="36"/>
        <v>0</v>
      </c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1">
        <f t="shared" si="37"/>
        <v>0</v>
      </c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1">
        <f t="shared" si="38"/>
        <v>0</v>
      </c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1">
        <f t="shared" si="39"/>
        <v>0</v>
      </c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1">
        <f t="shared" si="40"/>
        <v>0</v>
      </c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1">
        <f t="shared" si="41"/>
        <v>0</v>
      </c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1">
        <f t="shared" si="42"/>
        <v>0</v>
      </c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1">
        <f t="shared" si="43"/>
        <v>0</v>
      </c>
    </row>
    <row r="19" spans="3:115" hidden="1" x14ac:dyDescent="0.3">
      <c r="C19" s="18" t="s">
        <v>7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>
        <f t="shared" si="36"/>
        <v>0</v>
      </c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1">
        <f t="shared" si="37"/>
        <v>0</v>
      </c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1">
        <f t="shared" si="38"/>
        <v>0</v>
      </c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1">
        <f t="shared" si="39"/>
        <v>0</v>
      </c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1">
        <f t="shared" si="40"/>
        <v>0</v>
      </c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1">
        <f t="shared" si="41"/>
        <v>0</v>
      </c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1">
        <f t="shared" si="42"/>
        <v>0</v>
      </c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1">
        <f t="shared" si="43"/>
        <v>0</v>
      </c>
    </row>
    <row r="20" spans="3:115" hidden="1" x14ac:dyDescent="0.3">
      <c r="C20" s="18" t="s">
        <v>7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>
        <f t="shared" si="36"/>
        <v>0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1">
        <f t="shared" si="37"/>
        <v>0</v>
      </c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1">
        <f t="shared" si="38"/>
        <v>0</v>
      </c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1">
        <f t="shared" si="39"/>
        <v>0</v>
      </c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1">
        <f t="shared" si="40"/>
        <v>0</v>
      </c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1">
        <f t="shared" si="41"/>
        <v>0</v>
      </c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1">
        <f t="shared" si="42"/>
        <v>0</v>
      </c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1">
        <f t="shared" si="43"/>
        <v>0</v>
      </c>
    </row>
    <row r="21" spans="3:115" x14ac:dyDescent="0.3">
      <c r="C21" s="14" t="s">
        <v>8</v>
      </c>
      <c r="E21" s="32" cm="1">
        <f t="array" aca="1" ref="E21" ca="1">SUM(INDIRECT(ADDRESS(income_min_row,COLUMN()) &amp; ":" &amp; ADDRESS(income_max_row,COLUMN())))</f>
        <v>0</v>
      </c>
      <c r="F21" s="32" cm="1">
        <f t="array" aca="1" ref="F21" ca="1">SUM(INDIRECT(ADDRESS(income_min_row,COLUMN()) &amp; ":" &amp; ADDRESS(income_max_row,COLUMN())))</f>
        <v>0</v>
      </c>
      <c r="G21" s="32" cm="1">
        <f t="array" aca="1" ref="G21" ca="1">SUM(INDIRECT(ADDRESS(income_min_row,COLUMN()) &amp; ":" &amp; ADDRESS(income_max_row,COLUMN())))</f>
        <v>0</v>
      </c>
      <c r="H21" s="32" cm="1">
        <f t="array" aca="1" ref="H21" ca="1">SUM(INDIRECT(ADDRESS(income_min_row,COLUMN()) &amp; ":" &amp; ADDRESS(income_max_row,COLUMN())))</f>
        <v>0</v>
      </c>
      <c r="I21" s="32" cm="1">
        <f t="array" aca="1" ref="I21" ca="1">SUM(INDIRECT(ADDRESS(income_min_row,COLUMN()) &amp; ":" &amp; ADDRESS(income_max_row,COLUMN())))</f>
        <v>0</v>
      </c>
      <c r="J21" s="32" cm="1">
        <f t="array" aca="1" ref="J21" ca="1">SUM(INDIRECT(ADDRESS(income_min_row,COLUMN()) &amp; ":" &amp; ADDRESS(income_max_row,COLUMN())))</f>
        <v>0</v>
      </c>
      <c r="K21" s="32" cm="1">
        <f t="array" aca="1" ref="K21" ca="1">SUM(INDIRECT(ADDRESS(income_min_row,COLUMN()) &amp; ":" &amp; ADDRESS(income_max_row,COLUMN())))</f>
        <v>0</v>
      </c>
      <c r="L21" s="32" cm="1">
        <f t="array" aca="1" ref="L21" ca="1">SUM(INDIRECT(ADDRESS(income_min_row,COLUMN()) &amp; ":" &amp; ADDRESS(income_max_row,COLUMN())))</f>
        <v>0</v>
      </c>
      <c r="M21" s="32" cm="1">
        <f t="array" aca="1" ref="M21" ca="1">SUM(INDIRECT(ADDRESS(income_min_row,COLUMN()) &amp; ":" &amp; ADDRESS(income_max_row,COLUMN())))</f>
        <v>0</v>
      </c>
      <c r="N21" s="32" cm="1">
        <f t="array" aca="1" ref="N21" ca="1">SUM(INDIRECT(ADDRESS(income_min_row,COLUMN()) &amp; ":" &amp; ADDRESS(income_max_row,COLUMN())))</f>
        <v>0</v>
      </c>
      <c r="O21" s="32" cm="1">
        <f t="array" aca="1" ref="O21" ca="1">SUM(INDIRECT(ADDRESS(income_min_row,COLUMN()) &amp; ":" &amp; ADDRESS(income_max_row,COLUMN())))</f>
        <v>0</v>
      </c>
      <c r="P21" s="32" cm="1">
        <f t="array" aca="1" ref="P21" ca="1">SUM(INDIRECT(ADDRESS(income_min_row,COLUMN()) &amp; ":" &amp; ADDRESS(income_max_row,COLUMN())))</f>
        <v>0</v>
      </c>
      <c r="Q21" s="33">
        <f t="shared" ca="1" si="36"/>
        <v>0</v>
      </c>
      <c r="S21" s="32" cm="1">
        <f t="array" aca="1" ref="S21" ca="1">SUM(INDIRECT(ADDRESS(income_min_row,COLUMN()) &amp; ":" &amp; ADDRESS(income_max_row,COLUMN())))</f>
        <v>0</v>
      </c>
      <c r="T21" s="32" cm="1">
        <f t="array" aca="1" ref="T21" ca="1">SUM(INDIRECT(ADDRESS(income_min_row,COLUMN()) &amp; ":" &amp; ADDRESS(income_max_row,COLUMN())))</f>
        <v>0</v>
      </c>
      <c r="U21" s="32" cm="1">
        <f t="array" aca="1" ref="U21" ca="1">SUM(INDIRECT(ADDRESS(income_min_row,COLUMN()) &amp; ":" &amp; ADDRESS(income_max_row,COLUMN())))</f>
        <v>0</v>
      </c>
      <c r="V21" s="32" cm="1">
        <f t="array" aca="1" ref="V21" ca="1">SUM(INDIRECT(ADDRESS(income_min_row,COLUMN()) &amp; ":" &amp; ADDRESS(income_max_row,COLUMN())))</f>
        <v>0</v>
      </c>
      <c r="W21" s="32" cm="1">
        <f t="array" aca="1" ref="W21" ca="1">SUM(INDIRECT(ADDRESS(income_min_row,COLUMN()) &amp; ":" &amp; ADDRESS(income_max_row,COLUMN())))</f>
        <v>0</v>
      </c>
      <c r="X21" s="32" cm="1">
        <f t="array" aca="1" ref="X21" ca="1">SUM(INDIRECT(ADDRESS(income_min_row,COLUMN()) &amp; ":" &amp; ADDRESS(income_max_row,COLUMN())))</f>
        <v>0</v>
      </c>
      <c r="Y21" s="32" cm="1">
        <f t="array" aca="1" ref="Y21" ca="1">SUM(INDIRECT(ADDRESS(income_min_row,COLUMN()) &amp; ":" &amp; ADDRESS(income_max_row,COLUMN())))</f>
        <v>0</v>
      </c>
      <c r="Z21" s="32" cm="1">
        <f t="array" aca="1" ref="Z21" ca="1">SUM(INDIRECT(ADDRESS(income_min_row,COLUMN()) &amp; ":" &amp; ADDRESS(income_max_row,COLUMN())))</f>
        <v>0</v>
      </c>
      <c r="AA21" s="32" cm="1">
        <f t="array" aca="1" ref="AA21" ca="1">SUM(INDIRECT(ADDRESS(income_min_row,COLUMN()) &amp; ":" &amp; ADDRESS(income_max_row,COLUMN())))</f>
        <v>0</v>
      </c>
      <c r="AB21" s="32" cm="1">
        <f t="array" aca="1" ref="AB21" ca="1">SUM(INDIRECT(ADDRESS(income_min_row,COLUMN()) &amp; ":" &amp; ADDRESS(income_max_row,COLUMN())))</f>
        <v>0</v>
      </c>
      <c r="AC21" s="32" cm="1">
        <f t="array" aca="1" ref="AC21" ca="1">SUM(INDIRECT(ADDRESS(income_min_row,COLUMN()) &amp; ":" &amp; ADDRESS(income_max_row,COLUMN())))</f>
        <v>0</v>
      </c>
      <c r="AD21" s="32" cm="1">
        <f t="array" aca="1" ref="AD21" ca="1">SUM(INDIRECT(ADDRESS(income_min_row,COLUMN()) &amp; ":" &amp; ADDRESS(income_max_row,COLUMN())))</f>
        <v>0</v>
      </c>
      <c r="AE21" s="33">
        <f t="shared" ca="1" si="37"/>
        <v>0</v>
      </c>
      <c r="AG21" s="32" cm="1">
        <f t="array" aca="1" ref="AG21" ca="1">SUM(INDIRECT(ADDRESS(income_min_row,COLUMN()) &amp; ":" &amp; ADDRESS(income_max_row,COLUMN())))</f>
        <v>0</v>
      </c>
      <c r="AH21" s="32" cm="1">
        <f t="array" aca="1" ref="AH21" ca="1">SUM(INDIRECT(ADDRESS(income_min_row,COLUMN()) &amp; ":" &amp; ADDRESS(income_max_row,COLUMN())))</f>
        <v>0</v>
      </c>
      <c r="AI21" s="32" cm="1">
        <f t="array" aca="1" ref="AI21" ca="1">SUM(INDIRECT(ADDRESS(income_min_row,COLUMN()) &amp; ":" &amp; ADDRESS(income_max_row,COLUMN())))</f>
        <v>0</v>
      </c>
      <c r="AJ21" s="32" cm="1">
        <f t="array" aca="1" ref="AJ21" ca="1">SUM(INDIRECT(ADDRESS(income_min_row,COLUMN()) &amp; ":" &amp; ADDRESS(income_max_row,COLUMN())))</f>
        <v>0</v>
      </c>
      <c r="AK21" s="32" cm="1">
        <f t="array" aca="1" ref="AK21" ca="1">SUM(INDIRECT(ADDRESS(income_min_row,COLUMN()) &amp; ":" &amp; ADDRESS(income_max_row,COLUMN())))</f>
        <v>0</v>
      </c>
      <c r="AL21" s="32" cm="1">
        <f t="array" aca="1" ref="AL21" ca="1">SUM(INDIRECT(ADDRESS(income_min_row,COLUMN()) &amp; ":" &amp; ADDRESS(income_max_row,COLUMN())))</f>
        <v>0</v>
      </c>
      <c r="AM21" s="32" cm="1">
        <f t="array" aca="1" ref="AM21" ca="1">SUM(INDIRECT(ADDRESS(income_min_row,COLUMN()) &amp; ":" &amp; ADDRESS(income_max_row,COLUMN())))</f>
        <v>0</v>
      </c>
      <c r="AN21" s="32" cm="1">
        <f t="array" aca="1" ref="AN21" ca="1">SUM(INDIRECT(ADDRESS(income_min_row,COLUMN()) &amp; ":" &amp; ADDRESS(income_max_row,COLUMN())))</f>
        <v>0</v>
      </c>
      <c r="AO21" s="32" cm="1">
        <f t="array" aca="1" ref="AO21" ca="1">SUM(INDIRECT(ADDRESS(income_min_row,COLUMN()) &amp; ":" &amp; ADDRESS(income_max_row,COLUMN())))</f>
        <v>0</v>
      </c>
      <c r="AP21" s="32" cm="1">
        <f t="array" aca="1" ref="AP21" ca="1">SUM(INDIRECT(ADDRESS(income_min_row,COLUMN()) &amp; ":" &amp; ADDRESS(income_max_row,COLUMN())))</f>
        <v>0</v>
      </c>
      <c r="AQ21" s="32" cm="1">
        <f t="array" aca="1" ref="AQ21" ca="1">SUM(INDIRECT(ADDRESS(income_min_row,COLUMN()) &amp; ":" &amp; ADDRESS(income_max_row,COLUMN())))</f>
        <v>0</v>
      </c>
      <c r="AR21" s="32" cm="1">
        <f t="array" aca="1" ref="AR21" ca="1">SUM(INDIRECT(ADDRESS(income_min_row,COLUMN()) &amp; ":" &amp; ADDRESS(income_max_row,COLUMN())))</f>
        <v>0</v>
      </c>
      <c r="AS21" s="33">
        <f t="shared" ca="1" si="38"/>
        <v>0</v>
      </c>
      <c r="AU21" s="32" cm="1">
        <f t="array" aca="1" ref="AU21" ca="1">SUM(INDIRECT(ADDRESS(income_min_row,COLUMN()) &amp; ":" &amp; ADDRESS(income_max_row,COLUMN())))</f>
        <v>0</v>
      </c>
      <c r="AV21" s="32" cm="1">
        <f t="array" aca="1" ref="AV21" ca="1">SUM(INDIRECT(ADDRESS(income_min_row,COLUMN()) &amp; ":" &amp; ADDRESS(income_max_row,COLUMN())))</f>
        <v>0</v>
      </c>
      <c r="AW21" s="32" cm="1">
        <f t="array" aca="1" ref="AW21" ca="1">SUM(INDIRECT(ADDRESS(income_min_row,COLUMN()) &amp; ":" &amp; ADDRESS(income_max_row,COLUMN())))</f>
        <v>0</v>
      </c>
      <c r="AX21" s="32" cm="1">
        <f t="array" aca="1" ref="AX21" ca="1">SUM(INDIRECT(ADDRESS(income_min_row,COLUMN()) &amp; ":" &amp; ADDRESS(income_max_row,COLUMN())))</f>
        <v>0</v>
      </c>
      <c r="AY21" s="32" cm="1">
        <f t="array" aca="1" ref="AY21" ca="1">SUM(INDIRECT(ADDRESS(income_min_row,COLUMN()) &amp; ":" &amp; ADDRESS(income_max_row,COLUMN())))</f>
        <v>0</v>
      </c>
      <c r="AZ21" s="32" cm="1">
        <f t="array" aca="1" ref="AZ21" ca="1">SUM(INDIRECT(ADDRESS(income_min_row,COLUMN()) &amp; ":" &amp; ADDRESS(income_max_row,COLUMN())))</f>
        <v>0</v>
      </c>
      <c r="BA21" s="32" cm="1">
        <f t="array" aca="1" ref="BA21" ca="1">SUM(INDIRECT(ADDRESS(income_min_row,COLUMN()) &amp; ":" &amp; ADDRESS(income_max_row,COLUMN())))</f>
        <v>0</v>
      </c>
      <c r="BB21" s="32" cm="1">
        <f t="array" aca="1" ref="BB21" ca="1">SUM(INDIRECT(ADDRESS(income_min_row,COLUMN()) &amp; ":" &amp; ADDRESS(income_max_row,COLUMN())))</f>
        <v>0</v>
      </c>
      <c r="BC21" s="32" cm="1">
        <f t="array" aca="1" ref="BC21" ca="1">SUM(INDIRECT(ADDRESS(income_min_row,COLUMN()) &amp; ":" &amp; ADDRESS(income_max_row,COLUMN())))</f>
        <v>0</v>
      </c>
      <c r="BD21" s="32" cm="1">
        <f t="array" aca="1" ref="BD21" ca="1">SUM(INDIRECT(ADDRESS(income_min_row,COLUMN()) &amp; ":" &amp; ADDRESS(income_max_row,COLUMN())))</f>
        <v>0</v>
      </c>
      <c r="BE21" s="32" cm="1">
        <f t="array" aca="1" ref="BE21" ca="1">SUM(INDIRECT(ADDRESS(income_min_row,COLUMN()) &amp; ":" &amp; ADDRESS(income_max_row,COLUMN())))</f>
        <v>0</v>
      </c>
      <c r="BF21" s="32" cm="1">
        <f t="array" aca="1" ref="BF21" ca="1">SUM(INDIRECT(ADDRESS(income_min_row,COLUMN()) &amp; ":" &amp; ADDRESS(income_max_row,COLUMN())))</f>
        <v>0</v>
      </c>
      <c r="BG21" s="33">
        <f t="shared" ca="1" si="39"/>
        <v>0</v>
      </c>
      <c r="BI21" s="32" cm="1">
        <f t="array" aca="1" ref="BI21" ca="1">SUM(INDIRECT(ADDRESS(income_min_row,COLUMN()) &amp; ":" &amp; ADDRESS(income_max_row,COLUMN())))</f>
        <v>0</v>
      </c>
      <c r="BJ21" s="32" cm="1">
        <f t="array" aca="1" ref="BJ21" ca="1">SUM(INDIRECT(ADDRESS(income_min_row,COLUMN()) &amp; ":" &amp; ADDRESS(income_max_row,COLUMN())))</f>
        <v>0</v>
      </c>
      <c r="BK21" s="32" cm="1">
        <f t="array" aca="1" ref="BK21" ca="1">SUM(INDIRECT(ADDRESS(income_min_row,COLUMN()) &amp; ":" &amp; ADDRESS(income_max_row,COLUMN())))</f>
        <v>0</v>
      </c>
      <c r="BL21" s="32" cm="1">
        <f t="array" aca="1" ref="BL21" ca="1">SUM(INDIRECT(ADDRESS(income_min_row,COLUMN()) &amp; ":" &amp; ADDRESS(income_max_row,COLUMN())))</f>
        <v>0</v>
      </c>
      <c r="BM21" s="32" cm="1">
        <f t="array" aca="1" ref="BM21" ca="1">SUM(INDIRECT(ADDRESS(income_min_row,COLUMN()) &amp; ":" &amp; ADDRESS(income_max_row,COLUMN())))</f>
        <v>0</v>
      </c>
      <c r="BN21" s="32" cm="1">
        <f t="array" aca="1" ref="BN21" ca="1">SUM(INDIRECT(ADDRESS(income_min_row,COLUMN()) &amp; ":" &amp; ADDRESS(income_max_row,COLUMN())))</f>
        <v>0</v>
      </c>
      <c r="BO21" s="32" cm="1">
        <f t="array" aca="1" ref="BO21" ca="1">SUM(INDIRECT(ADDRESS(income_min_row,COLUMN()) &amp; ":" &amp; ADDRESS(income_max_row,COLUMN())))</f>
        <v>0</v>
      </c>
      <c r="BP21" s="32" cm="1">
        <f t="array" aca="1" ref="BP21" ca="1">SUM(INDIRECT(ADDRESS(income_min_row,COLUMN()) &amp; ":" &amp; ADDRESS(income_max_row,COLUMN())))</f>
        <v>0</v>
      </c>
      <c r="BQ21" s="32" cm="1">
        <f t="array" aca="1" ref="BQ21" ca="1">SUM(INDIRECT(ADDRESS(income_min_row,COLUMN()) &amp; ":" &amp; ADDRESS(income_max_row,COLUMN())))</f>
        <v>0</v>
      </c>
      <c r="BR21" s="32" cm="1">
        <f t="array" aca="1" ref="BR21" ca="1">SUM(INDIRECT(ADDRESS(income_min_row,COLUMN()) &amp; ":" &amp; ADDRESS(income_max_row,COLUMN())))</f>
        <v>0</v>
      </c>
      <c r="BS21" s="32" cm="1">
        <f t="array" aca="1" ref="BS21" ca="1">SUM(INDIRECT(ADDRESS(income_min_row,COLUMN()) &amp; ":" &amp; ADDRESS(income_max_row,COLUMN())))</f>
        <v>0</v>
      </c>
      <c r="BT21" s="32" cm="1">
        <f t="array" aca="1" ref="BT21" ca="1">SUM(INDIRECT(ADDRESS(income_min_row,COLUMN()) &amp; ":" &amp; ADDRESS(income_max_row,COLUMN())))</f>
        <v>0</v>
      </c>
      <c r="BU21" s="33">
        <f t="shared" ca="1" si="40"/>
        <v>0</v>
      </c>
      <c r="BW21" s="32" cm="1">
        <f t="array" aca="1" ref="BW21" ca="1">SUM(INDIRECT(ADDRESS(income_min_row,COLUMN()) &amp; ":" &amp; ADDRESS(income_max_row,COLUMN())))</f>
        <v>0</v>
      </c>
      <c r="BX21" s="32" cm="1">
        <f t="array" aca="1" ref="BX21" ca="1">SUM(INDIRECT(ADDRESS(income_min_row,COLUMN()) &amp; ":" &amp; ADDRESS(income_max_row,COLUMN())))</f>
        <v>0</v>
      </c>
      <c r="BY21" s="32" cm="1">
        <f t="array" aca="1" ref="BY21" ca="1">SUM(INDIRECT(ADDRESS(income_min_row,COLUMN()) &amp; ":" &amp; ADDRESS(income_max_row,COLUMN())))</f>
        <v>0</v>
      </c>
      <c r="BZ21" s="32" cm="1">
        <f t="array" aca="1" ref="BZ21" ca="1">SUM(INDIRECT(ADDRESS(income_min_row,COLUMN()) &amp; ":" &amp; ADDRESS(income_max_row,COLUMN())))</f>
        <v>0</v>
      </c>
      <c r="CA21" s="32" cm="1">
        <f t="array" aca="1" ref="CA21" ca="1">SUM(INDIRECT(ADDRESS(income_min_row,COLUMN()) &amp; ":" &amp; ADDRESS(income_max_row,COLUMN())))</f>
        <v>0</v>
      </c>
      <c r="CB21" s="32" cm="1">
        <f t="array" aca="1" ref="CB21" ca="1">SUM(INDIRECT(ADDRESS(income_min_row,COLUMN()) &amp; ":" &amp; ADDRESS(income_max_row,COLUMN())))</f>
        <v>0</v>
      </c>
      <c r="CC21" s="32" cm="1">
        <f t="array" aca="1" ref="CC21" ca="1">SUM(INDIRECT(ADDRESS(income_min_row,COLUMN()) &amp; ":" &amp; ADDRESS(income_max_row,COLUMN())))</f>
        <v>0</v>
      </c>
      <c r="CD21" s="32" cm="1">
        <f t="array" aca="1" ref="CD21" ca="1">SUM(INDIRECT(ADDRESS(income_min_row,COLUMN()) &amp; ":" &amp; ADDRESS(income_max_row,COLUMN())))</f>
        <v>0</v>
      </c>
      <c r="CE21" s="32" cm="1">
        <f t="array" aca="1" ref="CE21" ca="1">SUM(INDIRECT(ADDRESS(income_min_row,COLUMN()) &amp; ":" &amp; ADDRESS(income_max_row,COLUMN())))</f>
        <v>0</v>
      </c>
      <c r="CF21" s="32" cm="1">
        <f t="array" aca="1" ref="CF21" ca="1">SUM(INDIRECT(ADDRESS(income_min_row,COLUMN()) &amp; ":" &amp; ADDRESS(income_max_row,COLUMN())))</f>
        <v>0</v>
      </c>
      <c r="CG21" s="32" cm="1">
        <f t="array" aca="1" ref="CG21" ca="1">SUM(INDIRECT(ADDRESS(income_min_row,COLUMN()) &amp; ":" &amp; ADDRESS(income_max_row,COLUMN())))</f>
        <v>0</v>
      </c>
      <c r="CH21" s="32" cm="1">
        <f t="array" aca="1" ref="CH21" ca="1">SUM(INDIRECT(ADDRESS(income_min_row,COLUMN()) &amp; ":" &amp; ADDRESS(income_max_row,COLUMN())))</f>
        <v>0</v>
      </c>
      <c r="CI21" s="33">
        <f t="shared" ca="1" si="41"/>
        <v>0</v>
      </c>
      <c r="CK21" s="32" cm="1">
        <f t="array" aca="1" ref="CK21" ca="1">SUM(INDIRECT(ADDRESS(income_min_row,COLUMN()) &amp; ":" &amp; ADDRESS(income_max_row,COLUMN())))</f>
        <v>0</v>
      </c>
      <c r="CL21" s="32" cm="1">
        <f t="array" aca="1" ref="CL21" ca="1">SUM(INDIRECT(ADDRESS(income_min_row,COLUMN()) &amp; ":" &amp; ADDRESS(income_max_row,COLUMN())))</f>
        <v>0</v>
      </c>
      <c r="CM21" s="32" cm="1">
        <f t="array" aca="1" ref="CM21" ca="1">SUM(INDIRECT(ADDRESS(income_min_row,COLUMN()) &amp; ":" &amp; ADDRESS(income_max_row,COLUMN())))</f>
        <v>0</v>
      </c>
      <c r="CN21" s="32" cm="1">
        <f t="array" aca="1" ref="CN21" ca="1">SUM(INDIRECT(ADDRESS(income_min_row,COLUMN()) &amp; ":" &amp; ADDRESS(income_max_row,COLUMN())))</f>
        <v>0</v>
      </c>
      <c r="CO21" s="32" cm="1">
        <f t="array" aca="1" ref="CO21" ca="1">SUM(INDIRECT(ADDRESS(income_min_row,COLUMN()) &amp; ":" &amp; ADDRESS(income_max_row,COLUMN())))</f>
        <v>0</v>
      </c>
      <c r="CP21" s="32" cm="1">
        <f t="array" aca="1" ref="CP21" ca="1">SUM(INDIRECT(ADDRESS(income_min_row,COLUMN()) &amp; ":" &amp; ADDRESS(income_max_row,COLUMN())))</f>
        <v>0</v>
      </c>
      <c r="CQ21" s="32" cm="1">
        <f t="array" aca="1" ref="CQ21" ca="1">SUM(INDIRECT(ADDRESS(income_min_row,COLUMN()) &amp; ":" &amp; ADDRESS(income_max_row,COLUMN())))</f>
        <v>0</v>
      </c>
      <c r="CR21" s="32" cm="1">
        <f t="array" aca="1" ref="CR21" ca="1">SUM(INDIRECT(ADDRESS(income_min_row,COLUMN()) &amp; ":" &amp; ADDRESS(income_max_row,COLUMN())))</f>
        <v>0</v>
      </c>
      <c r="CS21" s="32" cm="1">
        <f t="array" aca="1" ref="CS21" ca="1">SUM(INDIRECT(ADDRESS(income_min_row,COLUMN()) &amp; ":" &amp; ADDRESS(income_max_row,COLUMN())))</f>
        <v>0</v>
      </c>
      <c r="CT21" s="32" cm="1">
        <f t="array" aca="1" ref="CT21" ca="1">SUM(INDIRECT(ADDRESS(income_min_row,COLUMN()) &amp; ":" &amp; ADDRESS(income_max_row,COLUMN())))</f>
        <v>0</v>
      </c>
      <c r="CU21" s="32" cm="1">
        <f t="array" aca="1" ref="CU21" ca="1">SUM(INDIRECT(ADDRESS(income_min_row,COLUMN()) &amp; ":" &amp; ADDRESS(income_max_row,COLUMN())))</f>
        <v>0</v>
      </c>
      <c r="CV21" s="32" cm="1">
        <f t="array" aca="1" ref="CV21" ca="1">SUM(INDIRECT(ADDRESS(income_min_row,COLUMN()) &amp; ":" &amp; ADDRESS(income_max_row,COLUMN())))</f>
        <v>0</v>
      </c>
      <c r="CW21" s="33">
        <f t="shared" ca="1" si="42"/>
        <v>0</v>
      </c>
      <c r="CY21" s="32" cm="1">
        <f t="array" aca="1" ref="CY21" ca="1">SUM(INDIRECT(ADDRESS(income_min_row,COLUMN()) &amp; ":" &amp; ADDRESS(income_max_row,COLUMN())))</f>
        <v>0</v>
      </c>
      <c r="CZ21" s="32" cm="1">
        <f t="array" aca="1" ref="CZ21" ca="1">SUM(INDIRECT(ADDRESS(income_min_row,COLUMN()) &amp; ":" &amp; ADDRESS(income_max_row,COLUMN())))</f>
        <v>0</v>
      </c>
      <c r="DA21" s="32" cm="1">
        <f t="array" aca="1" ref="DA21" ca="1">SUM(INDIRECT(ADDRESS(income_min_row,COLUMN()) &amp; ":" &amp; ADDRESS(income_max_row,COLUMN())))</f>
        <v>0</v>
      </c>
      <c r="DB21" s="32" cm="1">
        <f t="array" aca="1" ref="DB21" ca="1">SUM(INDIRECT(ADDRESS(income_min_row,COLUMN()) &amp; ":" &amp; ADDRESS(income_max_row,COLUMN())))</f>
        <v>0</v>
      </c>
      <c r="DC21" s="32" cm="1">
        <f t="array" aca="1" ref="DC21" ca="1">SUM(INDIRECT(ADDRESS(income_min_row,COLUMN()) &amp; ":" &amp; ADDRESS(income_max_row,COLUMN())))</f>
        <v>0</v>
      </c>
      <c r="DD21" s="32" cm="1">
        <f t="array" aca="1" ref="DD21" ca="1">SUM(INDIRECT(ADDRESS(income_min_row,COLUMN()) &amp; ":" &amp; ADDRESS(income_max_row,COLUMN())))</f>
        <v>0</v>
      </c>
      <c r="DE21" s="32" cm="1">
        <f t="array" aca="1" ref="DE21" ca="1">SUM(INDIRECT(ADDRESS(income_min_row,COLUMN()) &amp; ":" &amp; ADDRESS(income_max_row,COLUMN())))</f>
        <v>0</v>
      </c>
      <c r="DF21" s="32" cm="1">
        <f t="array" aca="1" ref="DF21" ca="1">SUM(INDIRECT(ADDRESS(income_min_row,COLUMN()) &amp; ":" &amp; ADDRESS(income_max_row,COLUMN())))</f>
        <v>0</v>
      </c>
      <c r="DG21" s="32" cm="1">
        <f t="array" aca="1" ref="DG21" ca="1">SUM(INDIRECT(ADDRESS(income_min_row,COLUMN()) &amp; ":" &amp; ADDRESS(income_max_row,COLUMN())))</f>
        <v>0</v>
      </c>
      <c r="DH21" s="32" cm="1">
        <f t="array" aca="1" ref="DH21" ca="1">SUM(INDIRECT(ADDRESS(income_min_row,COLUMN()) &amp; ":" &amp; ADDRESS(income_max_row,COLUMN())))</f>
        <v>0</v>
      </c>
      <c r="DI21" s="32" cm="1">
        <f t="array" aca="1" ref="DI21" ca="1">SUM(INDIRECT(ADDRESS(income_min_row,COLUMN()) &amp; ":" &amp; ADDRESS(income_max_row,COLUMN())))</f>
        <v>0</v>
      </c>
      <c r="DJ21" s="32" cm="1">
        <f t="array" aca="1" ref="DJ21" ca="1">SUM(INDIRECT(ADDRESS(income_min_row,COLUMN()) &amp; ":" &amp; ADDRESS(income_max_row,COLUMN())))</f>
        <v>0</v>
      </c>
      <c r="DK21" s="33">
        <f t="shared" ca="1" si="43"/>
        <v>0</v>
      </c>
    </row>
    <row r="23" spans="3:115" x14ac:dyDescent="0.3">
      <c r="C23" s="13" t="s">
        <v>9</v>
      </c>
      <c r="D23"/>
      <c r="E23" s="23">
        <f>DATE(E$5,1,1)</f>
        <v>44927</v>
      </c>
      <c r="F23" s="23">
        <f>DATE(E$5,2,1)</f>
        <v>44958</v>
      </c>
      <c r="G23" s="23">
        <f>DATE(E$5,3,1)</f>
        <v>44986</v>
      </c>
      <c r="H23" s="23">
        <f>DATE(E$5,4,1)</f>
        <v>45017</v>
      </c>
      <c r="I23" s="23">
        <f>DATE(E$5,5,1)</f>
        <v>45047</v>
      </c>
      <c r="J23" s="23">
        <f>DATE(E$5,6,1)</f>
        <v>45078</v>
      </c>
      <c r="K23" s="23">
        <f>DATE(E$5,7,1)</f>
        <v>45108</v>
      </c>
      <c r="L23" s="23">
        <f>DATE(E$5,8,1)</f>
        <v>45139</v>
      </c>
      <c r="M23" s="23">
        <f>DATE(E$5,9,1)</f>
        <v>45170</v>
      </c>
      <c r="N23" s="23">
        <f>DATE(E$5,10,1)</f>
        <v>45200</v>
      </c>
      <c r="O23" s="23">
        <f>DATE(E$5,11,1)</f>
        <v>45231</v>
      </c>
      <c r="P23" s="23">
        <f>DATE(E$5,12,1)</f>
        <v>45261</v>
      </c>
      <c r="Q23" s="24">
        <f>E$5</f>
        <v>2023</v>
      </c>
      <c r="S23" s="23">
        <f>DATE(S$5,1,1)</f>
        <v>45292</v>
      </c>
      <c r="T23" s="23">
        <f>DATE(S$5,2,1)</f>
        <v>45323</v>
      </c>
      <c r="U23" s="23">
        <f>DATE(S$5,3,1)</f>
        <v>45352</v>
      </c>
      <c r="V23" s="23">
        <f>DATE(S$5,4,1)</f>
        <v>45383</v>
      </c>
      <c r="W23" s="23">
        <f>DATE(S$5,5,1)</f>
        <v>45413</v>
      </c>
      <c r="X23" s="23">
        <f>DATE(S$5,6,1)</f>
        <v>45444</v>
      </c>
      <c r="Y23" s="23">
        <f>DATE(S$5,7,1)</f>
        <v>45474</v>
      </c>
      <c r="Z23" s="23">
        <f>DATE(S$5,8,1)</f>
        <v>45505</v>
      </c>
      <c r="AA23" s="23">
        <f>DATE(S$5,9,1)</f>
        <v>45536</v>
      </c>
      <c r="AB23" s="23">
        <f>DATE(S$5,10,1)</f>
        <v>45566</v>
      </c>
      <c r="AC23" s="23">
        <f>DATE(S$5,11,1)</f>
        <v>45597</v>
      </c>
      <c r="AD23" s="23">
        <f>DATE(S$5,12,1)</f>
        <v>45627</v>
      </c>
      <c r="AE23" s="24">
        <f>S$5</f>
        <v>2024</v>
      </c>
      <c r="AG23" s="23">
        <f>DATE(AG$5,1,1)</f>
        <v>45658</v>
      </c>
      <c r="AH23" s="23">
        <f>DATE(AG$5,2,1)</f>
        <v>45689</v>
      </c>
      <c r="AI23" s="23">
        <f>DATE(AG$5,3,1)</f>
        <v>45717</v>
      </c>
      <c r="AJ23" s="23">
        <f>DATE(AG$5,4,1)</f>
        <v>45748</v>
      </c>
      <c r="AK23" s="23">
        <f>DATE(AG$5,5,1)</f>
        <v>45778</v>
      </c>
      <c r="AL23" s="23">
        <f>DATE(AG$5,6,1)</f>
        <v>45809</v>
      </c>
      <c r="AM23" s="23">
        <f>DATE(AG$5,7,1)</f>
        <v>45839</v>
      </c>
      <c r="AN23" s="23">
        <f>DATE(AG$5,8,1)</f>
        <v>45870</v>
      </c>
      <c r="AO23" s="23">
        <f>DATE(AG$5,9,1)</f>
        <v>45901</v>
      </c>
      <c r="AP23" s="23">
        <f>DATE(AG$5,10,1)</f>
        <v>45931</v>
      </c>
      <c r="AQ23" s="23">
        <f>DATE(AG$5,11,1)</f>
        <v>45962</v>
      </c>
      <c r="AR23" s="23">
        <f>DATE(AG$5,12,1)</f>
        <v>45992</v>
      </c>
      <c r="AS23" s="24">
        <f>AG$5</f>
        <v>2025</v>
      </c>
      <c r="AU23" s="23">
        <f>DATE(AU$5,1,1)</f>
        <v>46023</v>
      </c>
      <c r="AV23" s="23">
        <f>DATE(AU$5,2,1)</f>
        <v>46054</v>
      </c>
      <c r="AW23" s="23">
        <f>DATE(AU$5,3,1)</f>
        <v>46082</v>
      </c>
      <c r="AX23" s="23">
        <f>DATE(AU$5,4,1)</f>
        <v>46113</v>
      </c>
      <c r="AY23" s="23">
        <f>DATE(AU$5,5,1)</f>
        <v>46143</v>
      </c>
      <c r="AZ23" s="23">
        <f>DATE(AU$5,6,1)</f>
        <v>46174</v>
      </c>
      <c r="BA23" s="23">
        <f>DATE(AU$5,7,1)</f>
        <v>46204</v>
      </c>
      <c r="BB23" s="23">
        <f>DATE(AU$5,8,1)</f>
        <v>46235</v>
      </c>
      <c r="BC23" s="23">
        <f>DATE(AU$5,9,1)</f>
        <v>46266</v>
      </c>
      <c r="BD23" s="23">
        <f>DATE(AU$5,10,1)</f>
        <v>46296</v>
      </c>
      <c r="BE23" s="23">
        <f>DATE(AU$5,11,1)</f>
        <v>46327</v>
      </c>
      <c r="BF23" s="23">
        <f>DATE(AU$5,12,1)</f>
        <v>46357</v>
      </c>
      <c r="BG23" s="24">
        <f>AU$5</f>
        <v>2026</v>
      </c>
      <c r="BI23" s="23">
        <f>DATE(BI$5,1,1)</f>
        <v>46388</v>
      </c>
      <c r="BJ23" s="23">
        <f>DATE(BI$5,2,1)</f>
        <v>46419</v>
      </c>
      <c r="BK23" s="23">
        <f>DATE(BI$5,3,1)</f>
        <v>46447</v>
      </c>
      <c r="BL23" s="23">
        <f>DATE(BI$5,4,1)</f>
        <v>46478</v>
      </c>
      <c r="BM23" s="23">
        <f>DATE(BI$5,5,1)</f>
        <v>46508</v>
      </c>
      <c r="BN23" s="23">
        <f>DATE(BI$5,6,1)</f>
        <v>46539</v>
      </c>
      <c r="BO23" s="23">
        <f>DATE(BI$5,7,1)</f>
        <v>46569</v>
      </c>
      <c r="BP23" s="23">
        <f>DATE(BI$5,8,1)</f>
        <v>46600</v>
      </c>
      <c r="BQ23" s="23">
        <f>DATE(BI$5,9,1)</f>
        <v>46631</v>
      </c>
      <c r="BR23" s="23">
        <f>DATE(BI$5,10,1)</f>
        <v>46661</v>
      </c>
      <c r="BS23" s="23">
        <f>DATE(BI$5,11,1)</f>
        <v>46692</v>
      </c>
      <c r="BT23" s="23">
        <f>DATE(BI$5,12,1)</f>
        <v>46722</v>
      </c>
      <c r="BU23" s="24">
        <f>BI$5</f>
        <v>2027</v>
      </c>
      <c r="BW23" s="23">
        <f>DATE(BW$5,1,1)</f>
        <v>46753</v>
      </c>
      <c r="BX23" s="23">
        <f>DATE(BW$5,2,1)</f>
        <v>46784</v>
      </c>
      <c r="BY23" s="23">
        <f>DATE(BW$5,3,1)</f>
        <v>46813</v>
      </c>
      <c r="BZ23" s="23">
        <f>DATE(BW$5,4,1)</f>
        <v>46844</v>
      </c>
      <c r="CA23" s="23">
        <f>DATE(BW$5,5,1)</f>
        <v>46874</v>
      </c>
      <c r="CB23" s="23">
        <f>DATE(BW$5,6,1)</f>
        <v>46905</v>
      </c>
      <c r="CC23" s="23">
        <f>DATE(BW$5,7,1)</f>
        <v>46935</v>
      </c>
      <c r="CD23" s="23">
        <f>DATE(BW$5,8,1)</f>
        <v>46966</v>
      </c>
      <c r="CE23" s="23">
        <f>DATE(BW$5,9,1)</f>
        <v>46997</v>
      </c>
      <c r="CF23" s="23">
        <f>DATE(BW$5,10,1)</f>
        <v>47027</v>
      </c>
      <c r="CG23" s="23">
        <f>DATE(BW$5,11,1)</f>
        <v>47058</v>
      </c>
      <c r="CH23" s="23">
        <f>DATE(BW$5,12,1)</f>
        <v>47088</v>
      </c>
      <c r="CI23" s="24">
        <f>BW$5</f>
        <v>2028</v>
      </c>
      <c r="CK23" s="23">
        <f>DATE(CK$5,1,1)</f>
        <v>47119</v>
      </c>
      <c r="CL23" s="23">
        <f>DATE(CK$5,2,1)</f>
        <v>47150</v>
      </c>
      <c r="CM23" s="23">
        <f>DATE(CK$5,3,1)</f>
        <v>47178</v>
      </c>
      <c r="CN23" s="23">
        <f>DATE(CK$5,4,1)</f>
        <v>47209</v>
      </c>
      <c r="CO23" s="23">
        <f>DATE(CK$5,5,1)</f>
        <v>47239</v>
      </c>
      <c r="CP23" s="23">
        <f>DATE(CK$5,6,1)</f>
        <v>47270</v>
      </c>
      <c r="CQ23" s="23">
        <f>DATE(CK$5,7,1)</f>
        <v>47300</v>
      </c>
      <c r="CR23" s="23">
        <f>DATE(CK$5,8,1)</f>
        <v>47331</v>
      </c>
      <c r="CS23" s="23">
        <f>DATE(CK$5,9,1)</f>
        <v>47362</v>
      </c>
      <c r="CT23" s="23">
        <f>DATE(CK$5,10,1)</f>
        <v>47392</v>
      </c>
      <c r="CU23" s="23">
        <f>DATE(CK$5,11,1)</f>
        <v>47423</v>
      </c>
      <c r="CV23" s="23">
        <f>DATE(CK$5,12,1)</f>
        <v>47453</v>
      </c>
      <c r="CW23" s="24">
        <f>CK$5</f>
        <v>2029</v>
      </c>
      <c r="CY23" s="23">
        <f>DATE(CY$5,1,1)</f>
        <v>47484</v>
      </c>
      <c r="CZ23" s="23">
        <f>DATE(CY$5,2,1)</f>
        <v>47515</v>
      </c>
      <c r="DA23" s="23">
        <f>DATE(CY$5,3,1)</f>
        <v>47543</v>
      </c>
      <c r="DB23" s="23">
        <f>DATE(CY$5,4,1)</f>
        <v>47574</v>
      </c>
      <c r="DC23" s="23">
        <f>DATE(CY$5,5,1)</f>
        <v>47604</v>
      </c>
      <c r="DD23" s="23">
        <f>DATE(CY$5,6,1)</f>
        <v>47635</v>
      </c>
      <c r="DE23" s="23">
        <f>DATE(CY$5,7,1)</f>
        <v>47665</v>
      </c>
      <c r="DF23" s="23">
        <f>DATE(CY$5,8,1)</f>
        <v>47696</v>
      </c>
      <c r="DG23" s="23">
        <f>DATE(CY$5,9,1)</f>
        <v>47727</v>
      </c>
      <c r="DH23" s="23">
        <f>DATE(CY$5,10,1)</f>
        <v>47757</v>
      </c>
      <c r="DI23" s="23">
        <f>DATE(CY$5,11,1)</f>
        <v>47788</v>
      </c>
      <c r="DJ23" s="23">
        <f>DATE(CY$5,12,1)</f>
        <v>47818</v>
      </c>
      <c r="DK23" s="24">
        <f>CY$5</f>
        <v>2030</v>
      </c>
    </row>
    <row r="24" spans="3:115" x14ac:dyDescent="0.3">
      <c r="C24" s="13" t="s">
        <v>20</v>
      </c>
      <c r="D2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3">
        <f>SUM(E24:P24)</f>
        <v>0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3">
        <f>SUM(S24:AD24)</f>
        <v>0</v>
      </c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3">
        <f>SUM(AG24:AR24)</f>
        <v>0</v>
      </c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3">
        <f>SUM(AU24:BF24)</f>
        <v>0</v>
      </c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3">
        <f>SUM(BI24:BT24)</f>
        <v>0</v>
      </c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3">
        <f>SUM(BW24:CH24)</f>
        <v>0</v>
      </c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3">
        <f>SUM(CK24:CV24)</f>
        <v>0</v>
      </c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3">
        <f>SUM(CY24:DJ24)</f>
        <v>0</v>
      </c>
    </row>
    <row r="25" spans="3:115" x14ac:dyDescent="0.3">
      <c r="C25" s="13" t="s">
        <v>21</v>
      </c>
      <c r="D2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3">
        <f t="shared" ref="Q25:Q37" si="44">SUM(E25:P25)</f>
        <v>0</v>
      </c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3">
        <f t="shared" ref="AE25:AE37" si="45">SUM(S25:AD25)</f>
        <v>0</v>
      </c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3">
        <f t="shared" ref="AS25:AS37" si="46">SUM(AG25:AR25)</f>
        <v>0</v>
      </c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3">
        <f t="shared" ref="BG25:BG37" si="47">SUM(AU25:BF25)</f>
        <v>0</v>
      </c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3">
        <f t="shared" ref="BU25:BU37" si="48">SUM(BI25:BT25)</f>
        <v>0</v>
      </c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3">
        <f t="shared" ref="CI25:CI37" si="49">SUM(BW25:CH25)</f>
        <v>0</v>
      </c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3">
        <f t="shared" ref="CW25:CW37" si="50">SUM(CK25:CV25)</f>
        <v>0</v>
      </c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3">
        <f t="shared" ref="DK25:DK37" si="51">SUM(CY25:DJ25)</f>
        <v>0</v>
      </c>
    </row>
    <row r="26" spans="3:115" x14ac:dyDescent="0.3">
      <c r="C26" s="13" t="s">
        <v>22</v>
      </c>
      <c r="D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3">
        <f t="shared" si="44"/>
        <v>0</v>
      </c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3">
        <f t="shared" si="45"/>
        <v>0</v>
      </c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3">
        <f t="shared" si="46"/>
        <v>0</v>
      </c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3">
        <f t="shared" si="47"/>
        <v>0</v>
      </c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3">
        <f t="shared" si="48"/>
        <v>0</v>
      </c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3">
        <f t="shared" si="49"/>
        <v>0</v>
      </c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3">
        <f t="shared" si="50"/>
        <v>0</v>
      </c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3">
        <f t="shared" si="51"/>
        <v>0</v>
      </c>
    </row>
    <row r="27" spans="3:115" x14ac:dyDescent="0.3">
      <c r="C27" s="13" t="s">
        <v>23</v>
      </c>
      <c r="D27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3">
        <f t="shared" si="44"/>
        <v>0</v>
      </c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3">
        <f t="shared" si="45"/>
        <v>0</v>
      </c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3">
        <f t="shared" si="46"/>
        <v>0</v>
      </c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3">
        <f t="shared" si="47"/>
        <v>0</v>
      </c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3">
        <f t="shared" si="48"/>
        <v>0</v>
      </c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3">
        <f t="shared" si="49"/>
        <v>0</v>
      </c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3">
        <f t="shared" si="50"/>
        <v>0</v>
      </c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3">
        <f t="shared" si="51"/>
        <v>0</v>
      </c>
    </row>
    <row r="28" spans="3:115" x14ac:dyDescent="0.3">
      <c r="C28" s="13" t="s">
        <v>24</v>
      </c>
      <c r="D28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3">
        <f t="shared" si="44"/>
        <v>0</v>
      </c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3">
        <f t="shared" si="45"/>
        <v>0</v>
      </c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3">
        <f t="shared" si="46"/>
        <v>0</v>
      </c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3">
        <f t="shared" si="47"/>
        <v>0</v>
      </c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3">
        <f t="shared" si="48"/>
        <v>0</v>
      </c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3">
        <f t="shared" si="49"/>
        <v>0</v>
      </c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3">
        <f t="shared" si="50"/>
        <v>0</v>
      </c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3">
        <f t="shared" si="51"/>
        <v>0</v>
      </c>
    </row>
    <row r="29" spans="3:115" x14ac:dyDescent="0.3">
      <c r="C29" s="18" t="s">
        <v>25</v>
      </c>
      <c r="D29" s="17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3">
        <f t="shared" si="44"/>
        <v>0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3">
        <f t="shared" si="45"/>
        <v>0</v>
      </c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3">
        <f t="shared" si="46"/>
        <v>0</v>
      </c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3">
        <f t="shared" si="47"/>
        <v>0</v>
      </c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3">
        <f t="shared" si="48"/>
        <v>0</v>
      </c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3">
        <f t="shared" si="49"/>
        <v>0</v>
      </c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3">
        <f t="shared" si="50"/>
        <v>0</v>
      </c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3">
        <f t="shared" si="51"/>
        <v>0</v>
      </c>
    </row>
    <row r="30" spans="3:115" x14ac:dyDescent="0.3">
      <c r="C30" s="18" t="s">
        <v>26</v>
      </c>
      <c r="D30" s="17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3">
        <f t="shared" si="44"/>
        <v>0</v>
      </c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3">
        <f t="shared" si="45"/>
        <v>0</v>
      </c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3">
        <f t="shared" si="46"/>
        <v>0</v>
      </c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3">
        <f t="shared" si="47"/>
        <v>0</v>
      </c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3">
        <f t="shared" si="48"/>
        <v>0</v>
      </c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3">
        <f t="shared" si="49"/>
        <v>0</v>
      </c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3">
        <f t="shared" si="50"/>
        <v>0</v>
      </c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3">
        <f t="shared" si="51"/>
        <v>0</v>
      </c>
    </row>
    <row r="31" spans="3:115" x14ac:dyDescent="0.3">
      <c r="C31" s="18" t="s">
        <v>27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3">
        <f t="shared" si="44"/>
        <v>0</v>
      </c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3">
        <f t="shared" si="45"/>
        <v>0</v>
      </c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3">
        <f t="shared" si="46"/>
        <v>0</v>
      </c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3">
        <f t="shared" si="47"/>
        <v>0</v>
      </c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3">
        <f t="shared" si="48"/>
        <v>0</v>
      </c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3">
        <f t="shared" si="49"/>
        <v>0</v>
      </c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3">
        <f t="shared" si="50"/>
        <v>0</v>
      </c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3">
        <f t="shared" si="51"/>
        <v>0</v>
      </c>
    </row>
    <row r="32" spans="3:115" x14ac:dyDescent="0.3">
      <c r="C32" s="18" t="s">
        <v>121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3">
        <f t="shared" si="44"/>
        <v>0</v>
      </c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3">
        <f t="shared" si="45"/>
        <v>0</v>
      </c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3">
        <f t="shared" si="46"/>
        <v>0</v>
      </c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3">
        <f t="shared" si="47"/>
        <v>0</v>
      </c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3">
        <f t="shared" si="48"/>
        <v>0</v>
      </c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3">
        <f t="shared" si="49"/>
        <v>0</v>
      </c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3">
        <f t="shared" si="50"/>
        <v>0</v>
      </c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3">
        <f t="shared" si="51"/>
        <v>0</v>
      </c>
    </row>
    <row r="33" spans="3:115" x14ac:dyDescent="0.3">
      <c r="C33" s="18" t="s">
        <v>116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3">
        <f t="shared" si="44"/>
        <v>0</v>
      </c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3">
        <f t="shared" si="45"/>
        <v>0</v>
      </c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3">
        <f t="shared" si="46"/>
        <v>0</v>
      </c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3">
        <f t="shared" si="47"/>
        <v>0</v>
      </c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3">
        <f t="shared" si="48"/>
        <v>0</v>
      </c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3">
        <f t="shared" si="49"/>
        <v>0</v>
      </c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3">
        <f t="shared" si="50"/>
        <v>0</v>
      </c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3">
        <f t="shared" si="51"/>
        <v>0</v>
      </c>
    </row>
    <row r="34" spans="3:115" x14ac:dyDescent="0.3">
      <c r="C34" s="18" t="s">
        <v>131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3">
        <f t="shared" si="44"/>
        <v>0</v>
      </c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3">
        <f t="shared" si="45"/>
        <v>0</v>
      </c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3">
        <f t="shared" si="46"/>
        <v>0</v>
      </c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3">
        <f t="shared" si="47"/>
        <v>0</v>
      </c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3">
        <f t="shared" si="48"/>
        <v>0</v>
      </c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3">
        <f t="shared" si="49"/>
        <v>0</v>
      </c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3">
        <f t="shared" si="50"/>
        <v>0</v>
      </c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3">
        <f t="shared" si="51"/>
        <v>0</v>
      </c>
    </row>
    <row r="35" spans="3:115" x14ac:dyDescent="0.3">
      <c r="C35" s="18" t="s">
        <v>140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3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3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3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3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3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3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3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3"/>
    </row>
    <row r="36" spans="3:115" x14ac:dyDescent="0.3">
      <c r="C36" s="18" t="s">
        <v>143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3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3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3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3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3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3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3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3"/>
    </row>
    <row r="37" spans="3:115" x14ac:dyDescent="0.3">
      <c r="C37" s="14" t="s">
        <v>8</v>
      </c>
      <c r="E37" s="32" cm="1">
        <f t="array" aca="1" ref="E37" ca="1">SUM(INDIRECT(ADDRESS(expenses_min_row,COLUMN()) &amp; ":" &amp; ADDRESS(expenses_max_row,COLUMN())))</f>
        <v>0</v>
      </c>
      <c r="F37" s="32" cm="1">
        <f t="array" aca="1" ref="F37" ca="1">SUM(INDIRECT(ADDRESS(expenses_min_row,COLUMN()) &amp; ":" &amp; ADDRESS(expenses_max_row,COLUMN())))</f>
        <v>0</v>
      </c>
      <c r="G37" s="32" cm="1">
        <f t="array" aca="1" ref="G37" ca="1">SUM(INDIRECT(ADDRESS(expenses_min_row,COLUMN()) &amp; ":" &amp; ADDRESS(expenses_max_row,COLUMN())))</f>
        <v>0</v>
      </c>
      <c r="H37" s="32" cm="1">
        <f t="array" aca="1" ref="H37" ca="1">SUM(INDIRECT(ADDRESS(expenses_min_row,COLUMN()) &amp; ":" &amp; ADDRESS(expenses_max_row,COLUMN())))</f>
        <v>0</v>
      </c>
      <c r="I37" s="32" cm="1">
        <f t="array" aca="1" ref="I37" ca="1">SUM(INDIRECT(ADDRESS(expenses_min_row,COLUMN()) &amp; ":" &amp; ADDRESS(expenses_max_row,COLUMN())))</f>
        <v>0</v>
      </c>
      <c r="J37" s="32" cm="1">
        <f t="array" aca="1" ref="J37" ca="1">SUM(INDIRECT(ADDRESS(expenses_min_row,COLUMN()) &amp; ":" &amp; ADDRESS(expenses_max_row,COLUMN())))</f>
        <v>0</v>
      </c>
      <c r="K37" s="32" cm="1">
        <f t="array" aca="1" ref="K37" ca="1">SUM(INDIRECT(ADDRESS(expenses_min_row,COLUMN()) &amp; ":" &amp; ADDRESS(expenses_max_row,COLUMN())))</f>
        <v>0</v>
      </c>
      <c r="L37" s="32" cm="1">
        <f t="array" aca="1" ref="L37" ca="1">SUM(INDIRECT(ADDRESS(expenses_min_row,COLUMN()) &amp; ":" &amp; ADDRESS(expenses_max_row,COLUMN())))</f>
        <v>0</v>
      </c>
      <c r="M37" s="32" cm="1">
        <f t="array" aca="1" ref="M37" ca="1">SUM(INDIRECT(ADDRESS(expenses_min_row,COLUMN()) &amp; ":" &amp; ADDRESS(expenses_max_row,COLUMN())))</f>
        <v>0</v>
      </c>
      <c r="N37" s="32" cm="1">
        <f t="array" aca="1" ref="N37" ca="1">SUM(INDIRECT(ADDRESS(expenses_min_row,COLUMN()) &amp; ":" &amp; ADDRESS(expenses_max_row,COLUMN())))</f>
        <v>0</v>
      </c>
      <c r="O37" s="32" cm="1">
        <f t="array" aca="1" ref="O37" ca="1">SUM(INDIRECT(ADDRESS(expenses_min_row,COLUMN()) &amp; ":" &amp; ADDRESS(expenses_max_row,COLUMN())))</f>
        <v>0</v>
      </c>
      <c r="P37" s="32" cm="1">
        <f t="array" aca="1" ref="P37" ca="1">SUM(INDIRECT(ADDRESS(expenses_min_row,COLUMN()) &amp; ":" &amp; ADDRESS(expenses_max_row,COLUMN())))</f>
        <v>0</v>
      </c>
      <c r="Q37" s="33">
        <f t="shared" ca="1" si="44"/>
        <v>0</v>
      </c>
      <c r="S37" s="32" cm="1">
        <f t="array" aca="1" ref="S37" ca="1">SUM(INDIRECT(ADDRESS(expenses_min_row,COLUMN()) &amp; ":" &amp; ADDRESS(expenses_max_row,COLUMN())))</f>
        <v>0</v>
      </c>
      <c r="T37" s="32" cm="1">
        <f t="array" aca="1" ref="T37" ca="1">SUM(INDIRECT(ADDRESS(expenses_min_row,COLUMN()) &amp; ":" &amp; ADDRESS(expenses_max_row,COLUMN())))</f>
        <v>0</v>
      </c>
      <c r="U37" s="32" cm="1">
        <f t="array" aca="1" ref="U37" ca="1">SUM(INDIRECT(ADDRESS(expenses_min_row,COLUMN()) &amp; ":" &amp; ADDRESS(expenses_max_row,COLUMN())))</f>
        <v>0</v>
      </c>
      <c r="V37" s="32" cm="1">
        <f t="array" aca="1" ref="V37" ca="1">SUM(INDIRECT(ADDRESS(expenses_min_row,COLUMN()) &amp; ":" &amp; ADDRESS(expenses_max_row,COLUMN())))</f>
        <v>0</v>
      </c>
      <c r="W37" s="32" cm="1">
        <f t="array" aca="1" ref="W37" ca="1">SUM(INDIRECT(ADDRESS(expenses_min_row,COLUMN()) &amp; ":" &amp; ADDRESS(expenses_max_row,COLUMN())))</f>
        <v>0</v>
      </c>
      <c r="X37" s="32" cm="1">
        <f t="array" aca="1" ref="X37" ca="1">SUM(INDIRECT(ADDRESS(expenses_min_row,COLUMN()) &amp; ":" &amp; ADDRESS(expenses_max_row,COLUMN())))</f>
        <v>0</v>
      </c>
      <c r="Y37" s="32" cm="1">
        <f t="array" aca="1" ref="Y37" ca="1">SUM(INDIRECT(ADDRESS(expenses_min_row,COLUMN()) &amp; ":" &amp; ADDRESS(expenses_max_row,COLUMN())))</f>
        <v>0</v>
      </c>
      <c r="Z37" s="32" cm="1">
        <f t="array" aca="1" ref="Z37" ca="1">SUM(INDIRECT(ADDRESS(expenses_min_row,COLUMN()) &amp; ":" &amp; ADDRESS(expenses_max_row,COLUMN())))</f>
        <v>0</v>
      </c>
      <c r="AA37" s="32" cm="1">
        <f t="array" aca="1" ref="AA37" ca="1">SUM(INDIRECT(ADDRESS(expenses_min_row,COLUMN()) &amp; ":" &amp; ADDRESS(expenses_max_row,COLUMN())))</f>
        <v>0</v>
      </c>
      <c r="AB37" s="32" cm="1">
        <f t="array" aca="1" ref="AB37" ca="1">SUM(INDIRECT(ADDRESS(expenses_min_row,COLUMN()) &amp; ":" &amp; ADDRESS(expenses_max_row,COLUMN())))</f>
        <v>0</v>
      </c>
      <c r="AC37" s="32" cm="1">
        <f t="array" aca="1" ref="AC37" ca="1">SUM(INDIRECT(ADDRESS(expenses_min_row,COLUMN()) &amp; ":" &amp; ADDRESS(expenses_max_row,COLUMN())))</f>
        <v>0</v>
      </c>
      <c r="AD37" s="32" cm="1">
        <f t="array" aca="1" ref="AD37" ca="1">SUM(INDIRECT(ADDRESS(expenses_min_row,COLUMN()) &amp; ":" &amp; ADDRESS(expenses_max_row,COLUMN())))</f>
        <v>0</v>
      </c>
      <c r="AE37" s="33">
        <f t="shared" ca="1" si="45"/>
        <v>0</v>
      </c>
      <c r="AG37" s="32" cm="1">
        <f t="array" aca="1" ref="AG37" ca="1">SUM(INDIRECT(ADDRESS(expenses_min_row,COLUMN()) &amp; ":" &amp; ADDRESS(expenses_max_row,COLUMN())))</f>
        <v>0</v>
      </c>
      <c r="AH37" s="32" cm="1">
        <f t="array" aca="1" ref="AH37" ca="1">SUM(INDIRECT(ADDRESS(expenses_min_row,COLUMN()) &amp; ":" &amp; ADDRESS(expenses_max_row,COLUMN())))</f>
        <v>0</v>
      </c>
      <c r="AI37" s="32" cm="1">
        <f t="array" aca="1" ref="AI37" ca="1">SUM(INDIRECT(ADDRESS(expenses_min_row,COLUMN()) &amp; ":" &amp; ADDRESS(expenses_max_row,COLUMN())))</f>
        <v>0</v>
      </c>
      <c r="AJ37" s="32" cm="1">
        <f t="array" aca="1" ref="AJ37" ca="1">SUM(INDIRECT(ADDRESS(expenses_min_row,COLUMN()) &amp; ":" &amp; ADDRESS(expenses_max_row,COLUMN())))</f>
        <v>0</v>
      </c>
      <c r="AK37" s="32" cm="1">
        <f t="array" aca="1" ref="AK37" ca="1">SUM(INDIRECT(ADDRESS(expenses_min_row,COLUMN()) &amp; ":" &amp; ADDRESS(expenses_max_row,COLUMN())))</f>
        <v>0</v>
      </c>
      <c r="AL37" s="32" cm="1">
        <f t="array" aca="1" ref="AL37" ca="1">SUM(INDIRECT(ADDRESS(expenses_min_row,COLUMN()) &amp; ":" &amp; ADDRESS(expenses_max_row,COLUMN())))</f>
        <v>0</v>
      </c>
      <c r="AM37" s="32" cm="1">
        <f t="array" aca="1" ref="AM37" ca="1">SUM(INDIRECT(ADDRESS(expenses_min_row,COLUMN()) &amp; ":" &amp; ADDRESS(expenses_max_row,COLUMN())))</f>
        <v>0</v>
      </c>
      <c r="AN37" s="32" cm="1">
        <f t="array" aca="1" ref="AN37" ca="1">SUM(INDIRECT(ADDRESS(expenses_min_row,COLUMN()) &amp; ":" &amp; ADDRESS(expenses_max_row,COLUMN())))</f>
        <v>0</v>
      </c>
      <c r="AO37" s="32" cm="1">
        <f t="array" aca="1" ref="AO37" ca="1">SUM(INDIRECT(ADDRESS(expenses_min_row,COLUMN()) &amp; ":" &amp; ADDRESS(expenses_max_row,COLUMN())))</f>
        <v>0</v>
      </c>
      <c r="AP37" s="32" cm="1">
        <f t="array" aca="1" ref="AP37" ca="1">SUM(INDIRECT(ADDRESS(expenses_min_row,COLUMN()) &amp; ":" &amp; ADDRESS(expenses_max_row,COLUMN())))</f>
        <v>0</v>
      </c>
      <c r="AQ37" s="32" cm="1">
        <f t="array" aca="1" ref="AQ37" ca="1">SUM(INDIRECT(ADDRESS(expenses_min_row,COLUMN()) &amp; ":" &amp; ADDRESS(expenses_max_row,COLUMN())))</f>
        <v>0</v>
      </c>
      <c r="AR37" s="32" cm="1">
        <f t="array" aca="1" ref="AR37" ca="1">SUM(INDIRECT(ADDRESS(expenses_min_row,COLUMN()) &amp; ":" &amp; ADDRESS(expenses_max_row,COLUMN())))</f>
        <v>0</v>
      </c>
      <c r="AS37" s="33">
        <f t="shared" ca="1" si="46"/>
        <v>0</v>
      </c>
      <c r="AU37" s="32" cm="1">
        <f t="array" aca="1" ref="AU37" ca="1">SUM(INDIRECT(ADDRESS(expenses_min_row,COLUMN()) &amp; ":" &amp; ADDRESS(expenses_max_row,COLUMN())))</f>
        <v>0</v>
      </c>
      <c r="AV37" s="32" cm="1">
        <f t="array" aca="1" ref="AV37" ca="1">SUM(INDIRECT(ADDRESS(expenses_min_row,COLUMN()) &amp; ":" &amp; ADDRESS(expenses_max_row,COLUMN())))</f>
        <v>0</v>
      </c>
      <c r="AW37" s="32" cm="1">
        <f t="array" aca="1" ref="AW37" ca="1">SUM(INDIRECT(ADDRESS(expenses_min_row,COLUMN()) &amp; ":" &amp; ADDRESS(expenses_max_row,COLUMN())))</f>
        <v>0</v>
      </c>
      <c r="AX37" s="32" cm="1">
        <f t="array" aca="1" ref="AX37" ca="1">SUM(INDIRECT(ADDRESS(expenses_min_row,COLUMN()) &amp; ":" &amp; ADDRESS(expenses_max_row,COLUMN())))</f>
        <v>0</v>
      </c>
      <c r="AY37" s="32" cm="1">
        <f t="array" aca="1" ref="AY37" ca="1">SUM(INDIRECT(ADDRESS(expenses_min_row,COLUMN()) &amp; ":" &amp; ADDRESS(expenses_max_row,COLUMN())))</f>
        <v>0</v>
      </c>
      <c r="AZ37" s="32" cm="1">
        <f t="array" aca="1" ref="AZ37" ca="1">SUM(INDIRECT(ADDRESS(expenses_min_row,COLUMN()) &amp; ":" &amp; ADDRESS(expenses_max_row,COLUMN())))</f>
        <v>0</v>
      </c>
      <c r="BA37" s="32" cm="1">
        <f t="array" aca="1" ref="BA37" ca="1">SUM(INDIRECT(ADDRESS(expenses_min_row,COLUMN()) &amp; ":" &amp; ADDRESS(expenses_max_row,COLUMN())))</f>
        <v>0</v>
      </c>
      <c r="BB37" s="32" cm="1">
        <f t="array" aca="1" ref="BB37" ca="1">SUM(INDIRECT(ADDRESS(expenses_min_row,COLUMN()) &amp; ":" &amp; ADDRESS(expenses_max_row,COLUMN())))</f>
        <v>0</v>
      </c>
      <c r="BC37" s="32" cm="1">
        <f t="array" aca="1" ref="BC37" ca="1">SUM(INDIRECT(ADDRESS(expenses_min_row,COLUMN()) &amp; ":" &amp; ADDRESS(expenses_max_row,COLUMN())))</f>
        <v>0</v>
      </c>
      <c r="BD37" s="32" cm="1">
        <f t="array" aca="1" ref="BD37" ca="1">SUM(INDIRECT(ADDRESS(expenses_min_row,COLUMN()) &amp; ":" &amp; ADDRESS(expenses_max_row,COLUMN())))</f>
        <v>0</v>
      </c>
      <c r="BE37" s="32" cm="1">
        <f t="array" aca="1" ref="BE37" ca="1">SUM(INDIRECT(ADDRESS(expenses_min_row,COLUMN()) &amp; ":" &amp; ADDRESS(expenses_max_row,COLUMN())))</f>
        <v>0</v>
      </c>
      <c r="BF37" s="32" cm="1">
        <f t="array" aca="1" ref="BF37" ca="1">SUM(INDIRECT(ADDRESS(expenses_min_row,COLUMN()) &amp; ":" &amp; ADDRESS(expenses_max_row,COLUMN())))</f>
        <v>0</v>
      </c>
      <c r="BG37" s="33">
        <f t="shared" ca="1" si="47"/>
        <v>0</v>
      </c>
      <c r="BI37" s="32" cm="1">
        <f t="array" aca="1" ref="BI37" ca="1">SUM(INDIRECT(ADDRESS(expenses_min_row,COLUMN()) &amp; ":" &amp; ADDRESS(expenses_max_row,COLUMN())))</f>
        <v>0</v>
      </c>
      <c r="BJ37" s="32" cm="1">
        <f t="array" aca="1" ref="BJ37" ca="1">SUM(INDIRECT(ADDRESS(expenses_min_row,COLUMN()) &amp; ":" &amp; ADDRESS(expenses_max_row,COLUMN())))</f>
        <v>0</v>
      </c>
      <c r="BK37" s="32" cm="1">
        <f t="array" aca="1" ref="BK37" ca="1">SUM(INDIRECT(ADDRESS(expenses_min_row,COLUMN()) &amp; ":" &amp; ADDRESS(expenses_max_row,COLUMN())))</f>
        <v>0</v>
      </c>
      <c r="BL37" s="32" cm="1">
        <f t="array" aca="1" ref="BL37" ca="1">SUM(INDIRECT(ADDRESS(expenses_min_row,COLUMN()) &amp; ":" &amp; ADDRESS(expenses_max_row,COLUMN())))</f>
        <v>0</v>
      </c>
      <c r="BM37" s="32" cm="1">
        <f t="array" aca="1" ref="BM37" ca="1">SUM(INDIRECT(ADDRESS(expenses_min_row,COLUMN()) &amp; ":" &amp; ADDRESS(expenses_max_row,COLUMN())))</f>
        <v>0</v>
      </c>
      <c r="BN37" s="32" cm="1">
        <f t="array" aca="1" ref="BN37" ca="1">SUM(INDIRECT(ADDRESS(expenses_min_row,COLUMN()) &amp; ":" &amp; ADDRESS(expenses_max_row,COLUMN())))</f>
        <v>0</v>
      </c>
      <c r="BO37" s="32" cm="1">
        <f t="array" aca="1" ref="BO37" ca="1">SUM(INDIRECT(ADDRESS(expenses_min_row,COLUMN()) &amp; ":" &amp; ADDRESS(expenses_max_row,COLUMN())))</f>
        <v>0</v>
      </c>
      <c r="BP37" s="32" cm="1">
        <f t="array" aca="1" ref="BP37" ca="1">SUM(INDIRECT(ADDRESS(expenses_min_row,COLUMN()) &amp; ":" &amp; ADDRESS(expenses_max_row,COLUMN())))</f>
        <v>0</v>
      </c>
      <c r="BQ37" s="32" cm="1">
        <f t="array" aca="1" ref="BQ37" ca="1">SUM(INDIRECT(ADDRESS(expenses_min_row,COLUMN()) &amp; ":" &amp; ADDRESS(expenses_max_row,COLUMN())))</f>
        <v>0</v>
      </c>
      <c r="BR37" s="32" cm="1">
        <f t="array" aca="1" ref="BR37" ca="1">SUM(INDIRECT(ADDRESS(expenses_min_row,COLUMN()) &amp; ":" &amp; ADDRESS(expenses_max_row,COLUMN())))</f>
        <v>0</v>
      </c>
      <c r="BS37" s="32" cm="1">
        <f t="array" aca="1" ref="BS37" ca="1">SUM(INDIRECT(ADDRESS(expenses_min_row,COLUMN()) &amp; ":" &amp; ADDRESS(expenses_max_row,COLUMN())))</f>
        <v>0</v>
      </c>
      <c r="BT37" s="32" cm="1">
        <f t="array" aca="1" ref="BT37" ca="1">SUM(INDIRECT(ADDRESS(expenses_min_row,COLUMN()) &amp; ":" &amp; ADDRESS(expenses_max_row,COLUMN())))</f>
        <v>0</v>
      </c>
      <c r="BU37" s="33">
        <f t="shared" ca="1" si="48"/>
        <v>0</v>
      </c>
      <c r="BW37" s="32" cm="1">
        <f t="array" aca="1" ref="BW37" ca="1">SUM(INDIRECT(ADDRESS(expenses_min_row,COLUMN()) &amp; ":" &amp; ADDRESS(expenses_max_row,COLUMN())))</f>
        <v>0</v>
      </c>
      <c r="BX37" s="32" cm="1">
        <f t="array" aca="1" ref="BX37" ca="1">SUM(INDIRECT(ADDRESS(expenses_min_row,COLUMN()) &amp; ":" &amp; ADDRESS(expenses_max_row,COLUMN())))</f>
        <v>0</v>
      </c>
      <c r="BY37" s="32" cm="1">
        <f t="array" aca="1" ref="BY37" ca="1">SUM(INDIRECT(ADDRESS(expenses_min_row,COLUMN()) &amp; ":" &amp; ADDRESS(expenses_max_row,COLUMN())))</f>
        <v>0</v>
      </c>
      <c r="BZ37" s="32" cm="1">
        <f t="array" aca="1" ref="BZ37" ca="1">SUM(INDIRECT(ADDRESS(expenses_min_row,COLUMN()) &amp; ":" &amp; ADDRESS(expenses_max_row,COLUMN())))</f>
        <v>0</v>
      </c>
      <c r="CA37" s="32" cm="1">
        <f t="array" aca="1" ref="CA37" ca="1">SUM(INDIRECT(ADDRESS(expenses_min_row,COLUMN()) &amp; ":" &amp; ADDRESS(expenses_max_row,COLUMN())))</f>
        <v>0</v>
      </c>
      <c r="CB37" s="32" cm="1">
        <f t="array" aca="1" ref="CB37" ca="1">SUM(INDIRECT(ADDRESS(expenses_min_row,COLUMN()) &amp; ":" &amp; ADDRESS(expenses_max_row,COLUMN())))</f>
        <v>0</v>
      </c>
      <c r="CC37" s="32" cm="1">
        <f t="array" aca="1" ref="CC37" ca="1">SUM(INDIRECT(ADDRESS(expenses_min_row,COLUMN()) &amp; ":" &amp; ADDRESS(expenses_max_row,COLUMN())))</f>
        <v>0</v>
      </c>
      <c r="CD37" s="32" cm="1">
        <f t="array" aca="1" ref="CD37" ca="1">SUM(INDIRECT(ADDRESS(expenses_min_row,COLUMN()) &amp; ":" &amp; ADDRESS(expenses_max_row,COLUMN())))</f>
        <v>0</v>
      </c>
      <c r="CE37" s="32" cm="1">
        <f t="array" aca="1" ref="CE37" ca="1">SUM(INDIRECT(ADDRESS(expenses_min_row,COLUMN()) &amp; ":" &amp; ADDRESS(expenses_max_row,COLUMN())))</f>
        <v>0</v>
      </c>
      <c r="CF37" s="32" cm="1">
        <f t="array" aca="1" ref="CF37" ca="1">SUM(INDIRECT(ADDRESS(expenses_min_row,COLUMN()) &amp; ":" &amp; ADDRESS(expenses_max_row,COLUMN())))</f>
        <v>0</v>
      </c>
      <c r="CG37" s="32" cm="1">
        <f t="array" aca="1" ref="CG37" ca="1">SUM(INDIRECT(ADDRESS(expenses_min_row,COLUMN()) &amp; ":" &amp; ADDRESS(expenses_max_row,COLUMN())))</f>
        <v>0</v>
      </c>
      <c r="CH37" s="32" cm="1">
        <f t="array" aca="1" ref="CH37" ca="1">SUM(INDIRECT(ADDRESS(expenses_min_row,COLUMN()) &amp; ":" &amp; ADDRESS(expenses_max_row,COLUMN())))</f>
        <v>0</v>
      </c>
      <c r="CI37" s="33">
        <f t="shared" ca="1" si="49"/>
        <v>0</v>
      </c>
      <c r="CK37" s="32" cm="1">
        <f t="array" aca="1" ref="CK37" ca="1">SUM(INDIRECT(ADDRESS(expenses_min_row,COLUMN()) &amp; ":" &amp; ADDRESS(expenses_max_row,COLUMN())))</f>
        <v>0</v>
      </c>
      <c r="CL37" s="32" cm="1">
        <f t="array" aca="1" ref="CL37" ca="1">SUM(INDIRECT(ADDRESS(expenses_min_row,COLUMN()) &amp; ":" &amp; ADDRESS(expenses_max_row,COLUMN())))</f>
        <v>0</v>
      </c>
      <c r="CM37" s="32" cm="1">
        <f t="array" aca="1" ref="CM37" ca="1">SUM(INDIRECT(ADDRESS(expenses_min_row,COLUMN()) &amp; ":" &amp; ADDRESS(expenses_max_row,COLUMN())))</f>
        <v>0</v>
      </c>
      <c r="CN37" s="32" cm="1">
        <f t="array" aca="1" ref="CN37" ca="1">SUM(INDIRECT(ADDRESS(expenses_min_row,COLUMN()) &amp; ":" &amp; ADDRESS(expenses_max_row,COLUMN())))</f>
        <v>0</v>
      </c>
      <c r="CO37" s="32" cm="1">
        <f t="array" aca="1" ref="CO37" ca="1">SUM(INDIRECT(ADDRESS(expenses_min_row,COLUMN()) &amp; ":" &amp; ADDRESS(expenses_max_row,COLUMN())))</f>
        <v>0</v>
      </c>
      <c r="CP37" s="32" cm="1">
        <f t="array" aca="1" ref="CP37" ca="1">SUM(INDIRECT(ADDRESS(expenses_min_row,COLUMN()) &amp; ":" &amp; ADDRESS(expenses_max_row,COLUMN())))</f>
        <v>0</v>
      </c>
      <c r="CQ37" s="32" cm="1">
        <f t="array" aca="1" ref="CQ37" ca="1">SUM(INDIRECT(ADDRESS(expenses_min_row,COLUMN()) &amp; ":" &amp; ADDRESS(expenses_max_row,COLUMN())))</f>
        <v>0</v>
      </c>
      <c r="CR37" s="32" cm="1">
        <f t="array" aca="1" ref="CR37" ca="1">SUM(INDIRECT(ADDRESS(expenses_min_row,COLUMN()) &amp; ":" &amp; ADDRESS(expenses_max_row,COLUMN())))</f>
        <v>0</v>
      </c>
      <c r="CS37" s="32" cm="1">
        <f t="array" aca="1" ref="CS37" ca="1">SUM(INDIRECT(ADDRESS(expenses_min_row,COLUMN()) &amp; ":" &amp; ADDRESS(expenses_max_row,COLUMN())))</f>
        <v>0</v>
      </c>
      <c r="CT37" s="32" cm="1">
        <f t="array" aca="1" ref="CT37" ca="1">SUM(INDIRECT(ADDRESS(expenses_min_row,COLUMN()) &amp; ":" &amp; ADDRESS(expenses_max_row,COLUMN())))</f>
        <v>0</v>
      </c>
      <c r="CU37" s="32" cm="1">
        <f t="array" aca="1" ref="CU37" ca="1">SUM(INDIRECT(ADDRESS(expenses_min_row,COLUMN()) &amp; ":" &amp; ADDRESS(expenses_max_row,COLUMN())))</f>
        <v>0</v>
      </c>
      <c r="CV37" s="32" cm="1">
        <f t="array" aca="1" ref="CV37" ca="1">SUM(INDIRECT(ADDRESS(expenses_min_row,COLUMN()) &amp; ":" &amp; ADDRESS(expenses_max_row,COLUMN())))</f>
        <v>0</v>
      </c>
      <c r="CW37" s="33">
        <f t="shared" ca="1" si="50"/>
        <v>0</v>
      </c>
      <c r="CY37" s="32" cm="1">
        <f t="array" aca="1" ref="CY37" ca="1">SUM(INDIRECT(ADDRESS(expenses_min_row,COLUMN()) &amp; ":" &amp; ADDRESS(expenses_max_row,COLUMN())))</f>
        <v>0</v>
      </c>
      <c r="CZ37" s="32" cm="1">
        <f t="array" aca="1" ref="CZ37" ca="1">SUM(INDIRECT(ADDRESS(expenses_min_row,COLUMN()) &amp; ":" &amp; ADDRESS(expenses_max_row,COLUMN())))</f>
        <v>0</v>
      </c>
      <c r="DA37" s="32" cm="1">
        <f t="array" aca="1" ref="DA37" ca="1">SUM(INDIRECT(ADDRESS(expenses_min_row,COLUMN()) &amp; ":" &amp; ADDRESS(expenses_max_row,COLUMN())))</f>
        <v>0</v>
      </c>
      <c r="DB37" s="32" cm="1">
        <f t="array" aca="1" ref="DB37" ca="1">SUM(INDIRECT(ADDRESS(expenses_min_row,COLUMN()) &amp; ":" &amp; ADDRESS(expenses_max_row,COLUMN())))</f>
        <v>0</v>
      </c>
      <c r="DC37" s="32" cm="1">
        <f t="array" aca="1" ref="DC37" ca="1">SUM(INDIRECT(ADDRESS(expenses_min_row,COLUMN()) &amp; ":" &amp; ADDRESS(expenses_max_row,COLUMN())))</f>
        <v>0</v>
      </c>
      <c r="DD37" s="32" cm="1">
        <f t="array" aca="1" ref="DD37" ca="1">SUM(INDIRECT(ADDRESS(expenses_min_row,COLUMN()) &amp; ":" &amp; ADDRESS(expenses_max_row,COLUMN())))</f>
        <v>0</v>
      </c>
      <c r="DE37" s="32" cm="1">
        <f t="array" aca="1" ref="DE37" ca="1">SUM(INDIRECT(ADDRESS(expenses_min_row,COLUMN()) &amp; ":" &amp; ADDRESS(expenses_max_row,COLUMN())))</f>
        <v>0</v>
      </c>
      <c r="DF37" s="32" cm="1">
        <f t="array" aca="1" ref="DF37" ca="1">SUM(INDIRECT(ADDRESS(expenses_min_row,COLUMN()) &amp; ":" &amp; ADDRESS(expenses_max_row,COLUMN())))</f>
        <v>0</v>
      </c>
      <c r="DG37" s="32" cm="1">
        <f t="array" aca="1" ref="DG37" ca="1">SUM(INDIRECT(ADDRESS(expenses_min_row,COLUMN()) &amp; ":" &amp; ADDRESS(expenses_max_row,COLUMN())))</f>
        <v>0</v>
      </c>
      <c r="DH37" s="32" cm="1">
        <f t="array" aca="1" ref="DH37" ca="1">SUM(INDIRECT(ADDRESS(expenses_min_row,COLUMN()) &amp; ":" &amp; ADDRESS(expenses_max_row,COLUMN())))</f>
        <v>0</v>
      </c>
      <c r="DI37" s="32" cm="1">
        <f t="array" aca="1" ref="DI37" ca="1">SUM(INDIRECT(ADDRESS(expenses_min_row,COLUMN()) &amp; ":" &amp; ADDRESS(expenses_max_row,COLUMN())))</f>
        <v>0</v>
      </c>
      <c r="DJ37" s="32" cm="1">
        <f t="array" aca="1" ref="DJ37" ca="1">SUM(INDIRECT(ADDRESS(expenses_min_row,COLUMN()) &amp; ":" &amp; ADDRESS(expenses_max_row,COLUMN())))</f>
        <v>0</v>
      </c>
      <c r="DK37" s="33">
        <f t="shared" ca="1" si="51"/>
        <v>0</v>
      </c>
    </row>
    <row r="39" spans="3:115" x14ac:dyDescent="0.3">
      <c r="C39" s="13" t="s">
        <v>10</v>
      </c>
      <c r="D39"/>
      <c r="E39" s="27">
        <f>DATE(E$5,1,1)</f>
        <v>44927</v>
      </c>
      <c r="F39" s="27">
        <f>DATE(E$5,2,1)</f>
        <v>44958</v>
      </c>
      <c r="G39" s="27">
        <f>DATE(E$5,3,1)</f>
        <v>44986</v>
      </c>
      <c r="H39" s="27">
        <f>DATE(E$5,4,1)</f>
        <v>45017</v>
      </c>
      <c r="I39" s="27">
        <f>DATE(E$5,5,1)</f>
        <v>45047</v>
      </c>
      <c r="J39" s="27">
        <f>DATE(E$5,6,1)</f>
        <v>45078</v>
      </c>
      <c r="K39" s="27">
        <f>DATE(E$5,7,1)</f>
        <v>45108</v>
      </c>
      <c r="L39" s="27">
        <f>DATE(E$5,8,1)</f>
        <v>45139</v>
      </c>
      <c r="M39" s="27">
        <f>DATE(E$5,9,1)</f>
        <v>45170</v>
      </c>
      <c r="N39" s="27">
        <f>DATE(E$5,10,1)</f>
        <v>45200</v>
      </c>
      <c r="O39" s="27">
        <f>DATE(E$5,11,1)</f>
        <v>45231</v>
      </c>
      <c r="P39" s="27">
        <f>DATE(E$5,12,1)</f>
        <v>45261</v>
      </c>
      <c r="Q39" s="28">
        <f>E$5</f>
        <v>2023</v>
      </c>
      <c r="S39" s="27">
        <f>DATE(S$5,1,1)</f>
        <v>45292</v>
      </c>
      <c r="T39" s="27">
        <f>DATE(S$5,2,1)</f>
        <v>45323</v>
      </c>
      <c r="U39" s="27">
        <f>DATE(S$5,3,1)</f>
        <v>45352</v>
      </c>
      <c r="V39" s="27">
        <f>DATE(S$5,4,1)</f>
        <v>45383</v>
      </c>
      <c r="W39" s="27">
        <f>DATE(S$5,5,1)</f>
        <v>45413</v>
      </c>
      <c r="X39" s="27">
        <f>DATE(S$5,6,1)</f>
        <v>45444</v>
      </c>
      <c r="Y39" s="27">
        <f>DATE(S$5,7,1)</f>
        <v>45474</v>
      </c>
      <c r="Z39" s="27">
        <f>DATE(S$5,8,1)</f>
        <v>45505</v>
      </c>
      <c r="AA39" s="27">
        <f>DATE(S$5,9,1)</f>
        <v>45536</v>
      </c>
      <c r="AB39" s="27">
        <f>DATE(S$5,10,1)</f>
        <v>45566</v>
      </c>
      <c r="AC39" s="27">
        <f>DATE(S$5,11,1)</f>
        <v>45597</v>
      </c>
      <c r="AD39" s="27">
        <f>DATE(S$5,12,1)</f>
        <v>45627</v>
      </c>
      <c r="AE39" s="28">
        <f>S$5</f>
        <v>2024</v>
      </c>
      <c r="AG39" s="27">
        <f>DATE(AG$5,1,1)</f>
        <v>45658</v>
      </c>
      <c r="AH39" s="27">
        <f>DATE(AG$5,2,1)</f>
        <v>45689</v>
      </c>
      <c r="AI39" s="27">
        <f>DATE(AG$5,3,1)</f>
        <v>45717</v>
      </c>
      <c r="AJ39" s="27">
        <f>DATE(AG$5,4,1)</f>
        <v>45748</v>
      </c>
      <c r="AK39" s="27">
        <f>DATE(AG$5,5,1)</f>
        <v>45778</v>
      </c>
      <c r="AL39" s="27">
        <f>DATE(AG$5,6,1)</f>
        <v>45809</v>
      </c>
      <c r="AM39" s="27">
        <f>DATE(AG$5,7,1)</f>
        <v>45839</v>
      </c>
      <c r="AN39" s="27">
        <f>DATE(AG$5,8,1)</f>
        <v>45870</v>
      </c>
      <c r="AO39" s="27">
        <f>DATE(AG$5,9,1)</f>
        <v>45901</v>
      </c>
      <c r="AP39" s="27">
        <f>DATE(AG$5,10,1)</f>
        <v>45931</v>
      </c>
      <c r="AQ39" s="27">
        <f>DATE(AG$5,11,1)</f>
        <v>45962</v>
      </c>
      <c r="AR39" s="27">
        <f>DATE(AG$5,12,1)</f>
        <v>45992</v>
      </c>
      <c r="AS39" s="28">
        <f>AG$5</f>
        <v>2025</v>
      </c>
      <c r="AU39" s="27">
        <f>DATE(AU$5,1,1)</f>
        <v>46023</v>
      </c>
      <c r="AV39" s="27">
        <f>DATE(AU$5,2,1)</f>
        <v>46054</v>
      </c>
      <c r="AW39" s="27">
        <f>DATE(AU$5,3,1)</f>
        <v>46082</v>
      </c>
      <c r="AX39" s="27">
        <f>DATE(AU$5,4,1)</f>
        <v>46113</v>
      </c>
      <c r="AY39" s="27">
        <f>DATE(AU$5,5,1)</f>
        <v>46143</v>
      </c>
      <c r="AZ39" s="27">
        <f>DATE(AU$5,6,1)</f>
        <v>46174</v>
      </c>
      <c r="BA39" s="27">
        <f>DATE(AU$5,7,1)</f>
        <v>46204</v>
      </c>
      <c r="BB39" s="27">
        <f>DATE(AU$5,8,1)</f>
        <v>46235</v>
      </c>
      <c r="BC39" s="27">
        <f>DATE(AU$5,9,1)</f>
        <v>46266</v>
      </c>
      <c r="BD39" s="27">
        <f>DATE(AU$5,10,1)</f>
        <v>46296</v>
      </c>
      <c r="BE39" s="27">
        <f>DATE(AU$5,11,1)</f>
        <v>46327</v>
      </c>
      <c r="BF39" s="27">
        <f>DATE(AU$5,12,1)</f>
        <v>46357</v>
      </c>
      <c r="BG39" s="28">
        <f>AU$5</f>
        <v>2026</v>
      </c>
      <c r="BI39" s="27">
        <f>DATE(BI$5,1,1)</f>
        <v>46388</v>
      </c>
      <c r="BJ39" s="27">
        <f>DATE(BI$5,2,1)</f>
        <v>46419</v>
      </c>
      <c r="BK39" s="27">
        <f>DATE(BI$5,3,1)</f>
        <v>46447</v>
      </c>
      <c r="BL39" s="27">
        <f>DATE(BI$5,4,1)</f>
        <v>46478</v>
      </c>
      <c r="BM39" s="27">
        <f>DATE(BI$5,5,1)</f>
        <v>46508</v>
      </c>
      <c r="BN39" s="27">
        <f>DATE(BI$5,6,1)</f>
        <v>46539</v>
      </c>
      <c r="BO39" s="27">
        <f>DATE(BI$5,7,1)</f>
        <v>46569</v>
      </c>
      <c r="BP39" s="27">
        <f>DATE(BI$5,8,1)</f>
        <v>46600</v>
      </c>
      <c r="BQ39" s="27">
        <f>DATE(BI$5,9,1)</f>
        <v>46631</v>
      </c>
      <c r="BR39" s="27">
        <f>DATE(BI$5,10,1)</f>
        <v>46661</v>
      </c>
      <c r="BS39" s="27">
        <f>DATE(BI$5,11,1)</f>
        <v>46692</v>
      </c>
      <c r="BT39" s="27">
        <f>DATE(BI$5,12,1)</f>
        <v>46722</v>
      </c>
      <c r="BU39" s="28">
        <f>BI$5</f>
        <v>2027</v>
      </c>
      <c r="BW39" s="27">
        <f>DATE(BW$5,1,1)</f>
        <v>46753</v>
      </c>
      <c r="BX39" s="27">
        <f>DATE(BW$5,2,1)</f>
        <v>46784</v>
      </c>
      <c r="BY39" s="27">
        <f>DATE(BW$5,3,1)</f>
        <v>46813</v>
      </c>
      <c r="BZ39" s="27">
        <f>DATE(BW$5,4,1)</f>
        <v>46844</v>
      </c>
      <c r="CA39" s="27">
        <f>DATE(BW$5,5,1)</f>
        <v>46874</v>
      </c>
      <c r="CB39" s="27">
        <f>DATE(BW$5,6,1)</f>
        <v>46905</v>
      </c>
      <c r="CC39" s="27">
        <f>DATE(BW$5,7,1)</f>
        <v>46935</v>
      </c>
      <c r="CD39" s="27">
        <f>DATE(BW$5,8,1)</f>
        <v>46966</v>
      </c>
      <c r="CE39" s="27">
        <f>DATE(BW$5,9,1)</f>
        <v>46997</v>
      </c>
      <c r="CF39" s="27">
        <f>DATE(BW$5,10,1)</f>
        <v>47027</v>
      </c>
      <c r="CG39" s="27">
        <f>DATE(BW$5,11,1)</f>
        <v>47058</v>
      </c>
      <c r="CH39" s="27">
        <f>DATE(BW$5,12,1)</f>
        <v>47088</v>
      </c>
      <c r="CI39" s="28">
        <f>BW$5</f>
        <v>2028</v>
      </c>
      <c r="CK39" s="27">
        <f>DATE(CK$5,1,1)</f>
        <v>47119</v>
      </c>
      <c r="CL39" s="27">
        <f>DATE(CK$5,2,1)</f>
        <v>47150</v>
      </c>
      <c r="CM39" s="27">
        <f>DATE(CK$5,3,1)</f>
        <v>47178</v>
      </c>
      <c r="CN39" s="27">
        <f>DATE(CK$5,4,1)</f>
        <v>47209</v>
      </c>
      <c r="CO39" s="27">
        <f>DATE(CK$5,5,1)</f>
        <v>47239</v>
      </c>
      <c r="CP39" s="27">
        <f>DATE(CK$5,6,1)</f>
        <v>47270</v>
      </c>
      <c r="CQ39" s="27">
        <f>DATE(CK$5,7,1)</f>
        <v>47300</v>
      </c>
      <c r="CR39" s="27">
        <f>DATE(CK$5,8,1)</f>
        <v>47331</v>
      </c>
      <c r="CS39" s="27">
        <f>DATE(CK$5,9,1)</f>
        <v>47362</v>
      </c>
      <c r="CT39" s="27">
        <f>DATE(CK$5,10,1)</f>
        <v>47392</v>
      </c>
      <c r="CU39" s="27">
        <f>DATE(CK$5,11,1)</f>
        <v>47423</v>
      </c>
      <c r="CV39" s="27">
        <f>DATE(CK$5,12,1)</f>
        <v>47453</v>
      </c>
      <c r="CW39" s="28">
        <f>CK$5</f>
        <v>2029</v>
      </c>
      <c r="CY39" s="27">
        <f>DATE(CY$5,1,1)</f>
        <v>47484</v>
      </c>
      <c r="CZ39" s="27">
        <f>DATE(CY$5,2,1)</f>
        <v>47515</v>
      </c>
      <c r="DA39" s="27">
        <f>DATE(CY$5,3,1)</f>
        <v>47543</v>
      </c>
      <c r="DB39" s="27">
        <f>DATE(CY$5,4,1)</f>
        <v>47574</v>
      </c>
      <c r="DC39" s="27">
        <f>DATE(CY$5,5,1)</f>
        <v>47604</v>
      </c>
      <c r="DD39" s="27">
        <f>DATE(CY$5,6,1)</f>
        <v>47635</v>
      </c>
      <c r="DE39" s="27">
        <f>DATE(CY$5,7,1)</f>
        <v>47665</v>
      </c>
      <c r="DF39" s="27">
        <f>DATE(CY$5,8,1)</f>
        <v>47696</v>
      </c>
      <c r="DG39" s="27">
        <f>DATE(CY$5,9,1)</f>
        <v>47727</v>
      </c>
      <c r="DH39" s="27">
        <f>DATE(CY$5,10,1)</f>
        <v>47757</v>
      </c>
      <c r="DI39" s="27">
        <f>DATE(CY$5,11,1)</f>
        <v>47788</v>
      </c>
      <c r="DJ39" s="27">
        <f>DATE(CY$5,12,1)</f>
        <v>47818</v>
      </c>
      <c r="DK39" s="28">
        <f>CY$5</f>
        <v>2030</v>
      </c>
    </row>
    <row r="40" spans="3:115" x14ac:dyDescent="0.3">
      <c r="C40" s="13" t="s">
        <v>70</v>
      </c>
      <c r="D40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3">
        <f>SUM(E40:P40)</f>
        <v>0</v>
      </c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3">
        <f>SUM(S40:AD40)</f>
        <v>0</v>
      </c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3">
        <f>SUM(AG40:AR40)</f>
        <v>0</v>
      </c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3">
        <f>SUM(AU40:BF40)</f>
        <v>0</v>
      </c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3">
        <f>SUM(BI40:BT40)</f>
        <v>0</v>
      </c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3">
        <f>SUM(BW40:CH40)</f>
        <v>0</v>
      </c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3">
        <f>SUM(CK40:CV40)</f>
        <v>0</v>
      </c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3">
        <f>SUM(CY40:DJ40)</f>
        <v>0</v>
      </c>
    </row>
    <row r="41" spans="3:115" x14ac:dyDescent="0.3">
      <c r="C41" s="19" t="s">
        <v>7</v>
      </c>
      <c r="D41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3">
        <f t="shared" ref="Q41:Q51" si="52">SUM(E41:P41)</f>
        <v>0</v>
      </c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3">
        <f t="shared" ref="AE41:AE51" si="53">SUM(S41:AD41)</f>
        <v>0</v>
      </c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3">
        <f t="shared" ref="AS41:AS51" si="54">SUM(AG41:AR41)</f>
        <v>0</v>
      </c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3">
        <f t="shared" ref="BG41:BG51" si="55">SUM(AU41:BF41)</f>
        <v>0</v>
      </c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3">
        <f t="shared" ref="BU41:BU51" si="56">SUM(BI41:BT41)</f>
        <v>0</v>
      </c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3">
        <f t="shared" ref="CI41:CI51" si="57">SUM(BW41:CH41)</f>
        <v>0</v>
      </c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3">
        <f t="shared" ref="CW41:CW51" si="58">SUM(CK41:CV41)</f>
        <v>0</v>
      </c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3">
        <f t="shared" ref="DK41:DK51" si="59">SUM(CY41:DJ41)</f>
        <v>0</v>
      </c>
    </row>
    <row r="42" spans="3:115" x14ac:dyDescent="0.3">
      <c r="C42" s="19" t="s">
        <v>7</v>
      </c>
      <c r="D42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3">
        <f t="shared" si="52"/>
        <v>0</v>
      </c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3">
        <f t="shared" si="53"/>
        <v>0</v>
      </c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3">
        <f t="shared" si="54"/>
        <v>0</v>
      </c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3">
        <f t="shared" si="55"/>
        <v>0</v>
      </c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3">
        <f t="shared" si="56"/>
        <v>0</v>
      </c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3">
        <f t="shared" si="57"/>
        <v>0</v>
      </c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3">
        <f t="shared" si="58"/>
        <v>0</v>
      </c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3">
        <f t="shared" si="59"/>
        <v>0</v>
      </c>
    </row>
    <row r="43" spans="3:115" x14ac:dyDescent="0.3">
      <c r="C43" s="19" t="s">
        <v>7</v>
      </c>
      <c r="D43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3">
        <f t="shared" si="52"/>
        <v>0</v>
      </c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3">
        <f t="shared" si="53"/>
        <v>0</v>
      </c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3">
        <f t="shared" si="54"/>
        <v>0</v>
      </c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3">
        <f t="shared" si="55"/>
        <v>0</v>
      </c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3">
        <f t="shared" si="56"/>
        <v>0</v>
      </c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3">
        <f t="shared" si="57"/>
        <v>0</v>
      </c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3">
        <f t="shared" si="58"/>
        <v>0</v>
      </c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3">
        <f t="shared" si="59"/>
        <v>0</v>
      </c>
    </row>
    <row r="44" spans="3:115" x14ac:dyDescent="0.3">
      <c r="C44" s="19" t="s">
        <v>7</v>
      </c>
      <c r="D4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3">
        <f t="shared" si="52"/>
        <v>0</v>
      </c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3">
        <f t="shared" si="53"/>
        <v>0</v>
      </c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3">
        <f t="shared" si="54"/>
        <v>0</v>
      </c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3">
        <f t="shared" si="55"/>
        <v>0</v>
      </c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3">
        <f t="shared" si="56"/>
        <v>0</v>
      </c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3">
        <f t="shared" si="57"/>
        <v>0</v>
      </c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3">
        <f t="shared" si="58"/>
        <v>0</v>
      </c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3">
        <f t="shared" si="59"/>
        <v>0</v>
      </c>
    </row>
    <row r="45" spans="3:115" hidden="1" x14ac:dyDescent="0.3">
      <c r="C45" s="26" t="s">
        <v>11</v>
      </c>
      <c r="D45" s="17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3">
        <f t="shared" si="52"/>
        <v>0</v>
      </c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3">
        <f t="shared" si="53"/>
        <v>0</v>
      </c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3">
        <f t="shared" si="54"/>
        <v>0</v>
      </c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3">
        <f t="shared" si="55"/>
        <v>0</v>
      </c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3">
        <f t="shared" si="56"/>
        <v>0</v>
      </c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3">
        <f t="shared" si="57"/>
        <v>0</v>
      </c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3">
        <f t="shared" si="58"/>
        <v>0</v>
      </c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3">
        <f t="shared" si="59"/>
        <v>0</v>
      </c>
    </row>
    <row r="46" spans="3:115" hidden="1" x14ac:dyDescent="0.3">
      <c r="C46" s="26" t="s">
        <v>11</v>
      </c>
      <c r="D46" s="17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3">
        <f t="shared" si="52"/>
        <v>0</v>
      </c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3">
        <f t="shared" si="53"/>
        <v>0</v>
      </c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3">
        <f t="shared" si="54"/>
        <v>0</v>
      </c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3">
        <f t="shared" si="55"/>
        <v>0</v>
      </c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3">
        <f t="shared" si="56"/>
        <v>0</v>
      </c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3">
        <f t="shared" si="57"/>
        <v>0</v>
      </c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3">
        <f t="shared" si="58"/>
        <v>0</v>
      </c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3">
        <f t="shared" si="59"/>
        <v>0</v>
      </c>
    </row>
    <row r="47" spans="3:115" hidden="1" x14ac:dyDescent="0.3">
      <c r="C47" s="26" t="s">
        <v>11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3">
        <f t="shared" si="52"/>
        <v>0</v>
      </c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3">
        <f t="shared" si="53"/>
        <v>0</v>
      </c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3">
        <f t="shared" si="54"/>
        <v>0</v>
      </c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3">
        <f t="shared" si="55"/>
        <v>0</v>
      </c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3">
        <f t="shared" si="56"/>
        <v>0</v>
      </c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3">
        <f t="shared" si="57"/>
        <v>0</v>
      </c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3">
        <f t="shared" si="58"/>
        <v>0</v>
      </c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3">
        <f t="shared" si="59"/>
        <v>0</v>
      </c>
    </row>
    <row r="48" spans="3:115" hidden="1" x14ac:dyDescent="0.3">
      <c r="C48" s="26" t="s">
        <v>11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3">
        <f t="shared" si="52"/>
        <v>0</v>
      </c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3">
        <f t="shared" si="53"/>
        <v>0</v>
      </c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3">
        <f t="shared" si="54"/>
        <v>0</v>
      </c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3">
        <f t="shared" si="55"/>
        <v>0</v>
      </c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3">
        <f t="shared" si="56"/>
        <v>0</v>
      </c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3">
        <f t="shared" si="57"/>
        <v>0</v>
      </c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3">
        <f t="shared" si="58"/>
        <v>0</v>
      </c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3">
        <f t="shared" si="59"/>
        <v>0</v>
      </c>
    </row>
    <row r="49" spans="3:115" hidden="1" x14ac:dyDescent="0.3">
      <c r="C49" s="26" t="s">
        <v>11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3">
        <f t="shared" si="52"/>
        <v>0</v>
      </c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3">
        <f t="shared" si="53"/>
        <v>0</v>
      </c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3">
        <f t="shared" si="54"/>
        <v>0</v>
      </c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3">
        <f t="shared" si="55"/>
        <v>0</v>
      </c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3">
        <f t="shared" si="56"/>
        <v>0</v>
      </c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3">
        <f t="shared" si="57"/>
        <v>0</v>
      </c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3">
        <f t="shared" si="58"/>
        <v>0</v>
      </c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3">
        <f t="shared" si="59"/>
        <v>0</v>
      </c>
    </row>
    <row r="50" spans="3:115" hidden="1" x14ac:dyDescent="0.3">
      <c r="C50" s="26" t="s">
        <v>11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3">
        <f t="shared" si="52"/>
        <v>0</v>
      </c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3">
        <f t="shared" si="53"/>
        <v>0</v>
      </c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3">
        <f t="shared" si="54"/>
        <v>0</v>
      </c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3">
        <f t="shared" si="55"/>
        <v>0</v>
      </c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3">
        <f t="shared" si="56"/>
        <v>0</v>
      </c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3">
        <f t="shared" si="57"/>
        <v>0</v>
      </c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3">
        <f t="shared" si="58"/>
        <v>0</v>
      </c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3">
        <f t="shared" si="59"/>
        <v>0</v>
      </c>
    </row>
    <row r="51" spans="3:115" x14ac:dyDescent="0.3">
      <c r="C51" s="14" t="s">
        <v>8</v>
      </c>
      <c r="E51" s="32" cm="1">
        <f t="array" aca="1" ref="E51" ca="1">SUM(INDIRECT(ADDRESS(savings_min_row,COLUMN()) &amp; ":" &amp; ADDRESS(savings_max_row,COLUMN())))</f>
        <v>0</v>
      </c>
      <c r="F51" s="32" cm="1">
        <f t="array" aca="1" ref="F51" ca="1">SUM(INDIRECT(ADDRESS(expenses_min_row,COLUMN()) &amp; ":" &amp; ADDRESS(expenses_max_row,COLUMN())))</f>
        <v>0</v>
      </c>
      <c r="G51" s="32" cm="1">
        <f t="array" aca="1" ref="G51" ca="1">SUM(INDIRECT(ADDRESS(expenses_min_row,COLUMN()) &amp; ":" &amp; ADDRESS(expenses_max_row,COLUMN())))</f>
        <v>0</v>
      </c>
      <c r="H51" s="32" cm="1">
        <f t="array" aca="1" ref="H51" ca="1">SUM(INDIRECT(ADDRESS(expenses_min_row,COLUMN()) &amp; ":" &amp; ADDRESS(expenses_max_row,COLUMN())))</f>
        <v>0</v>
      </c>
      <c r="I51" s="32" cm="1">
        <f t="array" aca="1" ref="I51" ca="1">SUM(INDIRECT(ADDRESS(expenses_min_row,COLUMN()) &amp; ":" &amp; ADDRESS(expenses_max_row,COLUMN())))</f>
        <v>0</v>
      </c>
      <c r="J51" s="32" cm="1">
        <f t="array" aca="1" ref="J51" ca="1">SUM(INDIRECT(ADDRESS(expenses_min_row,COLUMN()) &amp; ":" &amp; ADDRESS(expenses_max_row,COLUMN())))</f>
        <v>0</v>
      </c>
      <c r="K51" s="32" cm="1">
        <f t="array" aca="1" ref="K51" ca="1">SUM(INDIRECT(ADDRESS(expenses_min_row,COLUMN()) &amp; ":" &amp; ADDRESS(expenses_max_row,COLUMN())))</f>
        <v>0</v>
      </c>
      <c r="L51" s="32" cm="1">
        <f t="array" aca="1" ref="L51" ca="1">SUM(INDIRECT(ADDRESS(expenses_min_row,COLUMN()) &amp; ":" &amp; ADDRESS(expenses_max_row,COLUMN())))</f>
        <v>0</v>
      </c>
      <c r="M51" s="32" cm="1">
        <f t="array" aca="1" ref="M51" ca="1">SUM(INDIRECT(ADDRESS(expenses_min_row,COLUMN()) &amp; ":" &amp; ADDRESS(expenses_max_row,COLUMN())))</f>
        <v>0</v>
      </c>
      <c r="N51" s="32" cm="1">
        <f t="array" aca="1" ref="N51" ca="1">SUM(INDIRECT(ADDRESS(expenses_min_row,COLUMN()) &amp; ":" &amp; ADDRESS(expenses_max_row,COLUMN())))</f>
        <v>0</v>
      </c>
      <c r="O51" s="32" cm="1">
        <f t="array" aca="1" ref="O51" ca="1">SUM(INDIRECT(ADDRESS(expenses_min_row,COLUMN()) &amp; ":" &amp; ADDRESS(expenses_max_row,COLUMN())))</f>
        <v>0</v>
      </c>
      <c r="P51" s="32" cm="1">
        <f t="array" aca="1" ref="P51" ca="1">SUM(INDIRECT(ADDRESS(expenses_min_row,COLUMN()) &amp; ":" &amp; ADDRESS(expenses_max_row,COLUMN())))</f>
        <v>0</v>
      </c>
      <c r="Q51" s="33">
        <f t="shared" ca="1" si="52"/>
        <v>0</v>
      </c>
      <c r="S51" s="32" cm="1">
        <f t="array" aca="1" ref="S51" ca="1">SUM(INDIRECT(ADDRESS(savings_min_row,COLUMN()) &amp; ":" &amp; ADDRESS(savings_max_row,COLUMN())))</f>
        <v>0</v>
      </c>
      <c r="T51" s="32" cm="1">
        <f t="array" aca="1" ref="T51" ca="1">SUM(INDIRECT(ADDRESS(expenses_min_row,COLUMN()) &amp; ":" &amp; ADDRESS(expenses_max_row,COLUMN())))</f>
        <v>0</v>
      </c>
      <c r="U51" s="32" cm="1">
        <f t="array" aca="1" ref="U51" ca="1">SUM(INDIRECT(ADDRESS(expenses_min_row,COLUMN()) &amp; ":" &amp; ADDRESS(expenses_max_row,COLUMN())))</f>
        <v>0</v>
      </c>
      <c r="V51" s="32" cm="1">
        <f t="array" aca="1" ref="V51" ca="1">SUM(INDIRECT(ADDRESS(expenses_min_row,COLUMN()) &amp; ":" &amp; ADDRESS(expenses_max_row,COLUMN())))</f>
        <v>0</v>
      </c>
      <c r="W51" s="32" cm="1">
        <f t="array" aca="1" ref="W51" ca="1">SUM(INDIRECT(ADDRESS(expenses_min_row,COLUMN()) &amp; ":" &amp; ADDRESS(expenses_max_row,COLUMN())))</f>
        <v>0</v>
      </c>
      <c r="X51" s="32" cm="1">
        <f t="array" aca="1" ref="X51" ca="1">SUM(INDIRECT(ADDRESS(expenses_min_row,COLUMN()) &amp; ":" &amp; ADDRESS(expenses_max_row,COLUMN())))</f>
        <v>0</v>
      </c>
      <c r="Y51" s="32" cm="1">
        <f t="array" aca="1" ref="Y51" ca="1">SUM(INDIRECT(ADDRESS(expenses_min_row,COLUMN()) &amp; ":" &amp; ADDRESS(expenses_max_row,COLUMN())))</f>
        <v>0</v>
      </c>
      <c r="Z51" s="32" cm="1">
        <f t="array" aca="1" ref="Z51" ca="1">SUM(INDIRECT(ADDRESS(expenses_min_row,COLUMN()) &amp; ":" &amp; ADDRESS(expenses_max_row,COLUMN())))</f>
        <v>0</v>
      </c>
      <c r="AA51" s="32" cm="1">
        <f t="array" aca="1" ref="AA51" ca="1">SUM(INDIRECT(ADDRESS(expenses_min_row,COLUMN()) &amp; ":" &amp; ADDRESS(expenses_max_row,COLUMN())))</f>
        <v>0</v>
      </c>
      <c r="AB51" s="32" cm="1">
        <f t="array" aca="1" ref="AB51" ca="1">SUM(INDIRECT(ADDRESS(expenses_min_row,COLUMN()) &amp; ":" &amp; ADDRESS(expenses_max_row,COLUMN())))</f>
        <v>0</v>
      </c>
      <c r="AC51" s="32" cm="1">
        <f t="array" aca="1" ref="AC51" ca="1">SUM(INDIRECT(ADDRESS(expenses_min_row,COLUMN()) &amp; ":" &amp; ADDRESS(expenses_max_row,COLUMN())))</f>
        <v>0</v>
      </c>
      <c r="AD51" s="32" cm="1">
        <f t="array" aca="1" ref="AD51" ca="1">SUM(INDIRECT(ADDRESS(expenses_min_row,COLUMN()) &amp; ":" &amp; ADDRESS(expenses_max_row,COLUMN())))</f>
        <v>0</v>
      </c>
      <c r="AE51" s="33">
        <f t="shared" ca="1" si="53"/>
        <v>0</v>
      </c>
      <c r="AG51" s="32" cm="1">
        <f t="array" aca="1" ref="AG51" ca="1">SUM(INDIRECT(ADDRESS(savings_min_row,COLUMN()) &amp; ":" &amp; ADDRESS(savings_max_row,COLUMN())))</f>
        <v>0</v>
      </c>
      <c r="AH51" s="32" cm="1">
        <f t="array" aca="1" ref="AH51" ca="1">SUM(INDIRECT(ADDRESS(expenses_min_row,COLUMN()) &amp; ":" &amp; ADDRESS(expenses_max_row,COLUMN())))</f>
        <v>0</v>
      </c>
      <c r="AI51" s="32" cm="1">
        <f t="array" aca="1" ref="AI51" ca="1">SUM(INDIRECT(ADDRESS(expenses_min_row,COLUMN()) &amp; ":" &amp; ADDRESS(expenses_max_row,COLUMN())))</f>
        <v>0</v>
      </c>
      <c r="AJ51" s="32" cm="1">
        <f t="array" aca="1" ref="AJ51" ca="1">SUM(INDIRECT(ADDRESS(expenses_min_row,COLUMN()) &amp; ":" &amp; ADDRESS(expenses_max_row,COLUMN())))</f>
        <v>0</v>
      </c>
      <c r="AK51" s="32" cm="1">
        <f t="array" aca="1" ref="AK51" ca="1">SUM(INDIRECT(ADDRESS(expenses_min_row,COLUMN()) &amp; ":" &amp; ADDRESS(expenses_max_row,COLUMN())))</f>
        <v>0</v>
      </c>
      <c r="AL51" s="32" cm="1">
        <f t="array" aca="1" ref="AL51" ca="1">SUM(INDIRECT(ADDRESS(expenses_min_row,COLUMN()) &amp; ":" &amp; ADDRESS(expenses_max_row,COLUMN())))</f>
        <v>0</v>
      </c>
      <c r="AM51" s="32" cm="1">
        <f t="array" aca="1" ref="AM51" ca="1">SUM(INDIRECT(ADDRESS(expenses_min_row,COLUMN()) &amp; ":" &amp; ADDRESS(expenses_max_row,COLUMN())))</f>
        <v>0</v>
      </c>
      <c r="AN51" s="32" cm="1">
        <f t="array" aca="1" ref="AN51" ca="1">SUM(INDIRECT(ADDRESS(expenses_min_row,COLUMN()) &amp; ":" &amp; ADDRESS(expenses_max_row,COLUMN())))</f>
        <v>0</v>
      </c>
      <c r="AO51" s="32" cm="1">
        <f t="array" aca="1" ref="AO51" ca="1">SUM(INDIRECT(ADDRESS(expenses_min_row,COLUMN()) &amp; ":" &amp; ADDRESS(expenses_max_row,COLUMN())))</f>
        <v>0</v>
      </c>
      <c r="AP51" s="32" cm="1">
        <f t="array" aca="1" ref="AP51" ca="1">SUM(INDIRECT(ADDRESS(expenses_min_row,COLUMN()) &amp; ":" &amp; ADDRESS(expenses_max_row,COLUMN())))</f>
        <v>0</v>
      </c>
      <c r="AQ51" s="32" cm="1">
        <f t="array" aca="1" ref="AQ51" ca="1">SUM(INDIRECT(ADDRESS(expenses_min_row,COLUMN()) &amp; ":" &amp; ADDRESS(expenses_max_row,COLUMN())))</f>
        <v>0</v>
      </c>
      <c r="AR51" s="32" cm="1">
        <f t="array" aca="1" ref="AR51" ca="1">SUM(INDIRECT(ADDRESS(expenses_min_row,COLUMN()) &amp; ":" &amp; ADDRESS(expenses_max_row,COLUMN())))</f>
        <v>0</v>
      </c>
      <c r="AS51" s="33">
        <f t="shared" ca="1" si="54"/>
        <v>0</v>
      </c>
      <c r="AU51" s="32" cm="1">
        <f t="array" aca="1" ref="AU51" ca="1">SUM(INDIRECT(ADDRESS(savings_min_row,COLUMN()) &amp; ":" &amp; ADDRESS(savings_max_row,COLUMN())))</f>
        <v>0</v>
      </c>
      <c r="AV51" s="32" cm="1">
        <f t="array" aca="1" ref="AV51" ca="1">SUM(INDIRECT(ADDRESS(expenses_min_row,COLUMN()) &amp; ":" &amp; ADDRESS(expenses_max_row,COLUMN())))</f>
        <v>0</v>
      </c>
      <c r="AW51" s="32" cm="1">
        <f t="array" aca="1" ref="AW51" ca="1">SUM(INDIRECT(ADDRESS(expenses_min_row,COLUMN()) &amp; ":" &amp; ADDRESS(expenses_max_row,COLUMN())))</f>
        <v>0</v>
      </c>
      <c r="AX51" s="32" cm="1">
        <f t="array" aca="1" ref="AX51" ca="1">SUM(INDIRECT(ADDRESS(expenses_min_row,COLUMN()) &amp; ":" &amp; ADDRESS(expenses_max_row,COLUMN())))</f>
        <v>0</v>
      </c>
      <c r="AY51" s="32" cm="1">
        <f t="array" aca="1" ref="AY51" ca="1">SUM(INDIRECT(ADDRESS(expenses_min_row,COLUMN()) &amp; ":" &amp; ADDRESS(expenses_max_row,COLUMN())))</f>
        <v>0</v>
      </c>
      <c r="AZ51" s="32" cm="1">
        <f t="array" aca="1" ref="AZ51" ca="1">SUM(INDIRECT(ADDRESS(expenses_min_row,COLUMN()) &amp; ":" &amp; ADDRESS(expenses_max_row,COLUMN())))</f>
        <v>0</v>
      </c>
      <c r="BA51" s="32" cm="1">
        <f t="array" aca="1" ref="BA51" ca="1">SUM(INDIRECT(ADDRESS(expenses_min_row,COLUMN()) &amp; ":" &amp; ADDRESS(expenses_max_row,COLUMN())))</f>
        <v>0</v>
      </c>
      <c r="BB51" s="32" cm="1">
        <f t="array" aca="1" ref="BB51" ca="1">SUM(INDIRECT(ADDRESS(expenses_min_row,COLUMN()) &amp; ":" &amp; ADDRESS(expenses_max_row,COLUMN())))</f>
        <v>0</v>
      </c>
      <c r="BC51" s="32" cm="1">
        <f t="array" aca="1" ref="BC51" ca="1">SUM(INDIRECT(ADDRESS(expenses_min_row,COLUMN()) &amp; ":" &amp; ADDRESS(expenses_max_row,COLUMN())))</f>
        <v>0</v>
      </c>
      <c r="BD51" s="32" cm="1">
        <f t="array" aca="1" ref="BD51" ca="1">SUM(INDIRECT(ADDRESS(expenses_min_row,COLUMN()) &amp; ":" &amp; ADDRESS(expenses_max_row,COLUMN())))</f>
        <v>0</v>
      </c>
      <c r="BE51" s="32" cm="1">
        <f t="array" aca="1" ref="BE51" ca="1">SUM(INDIRECT(ADDRESS(expenses_min_row,COLUMN()) &amp; ":" &amp; ADDRESS(expenses_max_row,COLUMN())))</f>
        <v>0</v>
      </c>
      <c r="BF51" s="32" cm="1">
        <f t="array" aca="1" ref="BF51" ca="1">SUM(INDIRECT(ADDRESS(expenses_min_row,COLUMN()) &amp; ":" &amp; ADDRESS(expenses_max_row,COLUMN())))</f>
        <v>0</v>
      </c>
      <c r="BG51" s="33">
        <f t="shared" ca="1" si="55"/>
        <v>0</v>
      </c>
      <c r="BI51" s="32" cm="1">
        <f t="array" aca="1" ref="BI51" ca="1">SUM(INDIRECT(ADDRESS(savings_min_row,COLUMN()) &amp; ":" &amp; ADDRESS(savings_max_row,COLUMN())))</f>
        <v>0</v>
      </c>
      <c r="BJ51" s="32" cm="1">
        <f t="array" aca="1" ref="BJ51" ca="1">SUM(INDIRECT(ADDRESS(expenses_min_row,COLUMN()) &amp; ":" &amp; ADDRESS(expenses_max_row,COLUMN())))</f>
        <v>0</v>
      </c>
      <c r="BK51" s="32" cm="1">
        <f t="array" aca="1" ref="BK51" ca="1">SUM(INDIRECT(ADDRESS(expenses_min_row,COLUMN()) &amp; ":" &amp; ADDRESS(expenses_max_row,COLUMN())))</f>
        <v>0</v>
      </c>
      <c r="BL51" s="32" cm="1">
        <f t="array" aca="1" ref="BL51" ca="1">SUM(INDIRECT(ADDRESS(expenses_min_row,COLUMN()) &amp; ":" &amp; ADDRESS(expenses_max_row,COLUMN())))</f>
        <v>0</v>
      </c>
      <c r="BM51" s="32" cm="1">
        <f t="array" aca="1" ref="BM51" ca="1">SUM(INDIRECT(ADDRESS(expenses_min_row,COLUMN()) &amp; ":" &amp; ADDRESS(expenses_max_row,COLUMN())))</f>
        <v>0</v>
      </c>
      <c r="BN51" s="32" cm="1">
        <f t="array" aca="1" ref="BN51" ca="1">SUM(INDIRECT(ADDRESS(expenses_min_row,COLUMN()) &amp; ":" &amp; ADDRESS(expenses_max_row,COLUMN())))</f>
        <v>0</v>
      </c>
      <c r="BO51" s="32" cm="1">
        <f t="array" aca="1" ref="BO51" ca="1">SUM(INDIRECT(ADDRESS(expenses_min_row,COLUMN()) &amp; ":" &amp; ADDRESS(expenses_max_row,COLUMN())))</f>
        <v>0</v>
      </c>
      <c r="BP51" s="32" cm="1">
        <f t="array" aca="1" ref="BP51" ca="1">SUM(INDIRECT(ADDRESS(expenses_min_row,COLUMN()) &amp; ":" &amp; ADDRESS(expenses_max_row,COLUMN())))</f>
        <v>0</v>
      </c>
      <c r="BQ51" s="32" cm="1">
        <f t="array" aca="1" ref="BQ51" ca="1">SUM(INDIRECT(ADDRESS(expenses_min_row,COLUMN()) &amp; ":" &amp; ADDRESS(expenses_max_row,COLUMN())))</f>
        <v>0</v>
      </c>
      <c r="BR51" s="32" cm="1">
        <f t="array" aca="1" ref="BR51" ca="1">SUM(INDIRECT(ADDRESS(expenses_min_row,COLUMN()) &amp; ":" &amp; ADDRESS(expenses_max_row,COLUMN())))</f>
        <v>0</v>
      </c>
      <c r="BS51" s="32" cm="1">
        <f t="array" aca="1" ref="BS51" ca="1">SUM(INDIRECT(ADDRESS(expenses_min_row,COLUMN()) &amp; ":" &amp; ADDRESS(expenses_max_row,COLUMN())))</f>
        <v>0</v>
      </c>
      <c r="BT51" s="32" cm="1">
        <f t="array" aca="1" ref="BT51" ca="1">SUM(INDIRECT(ADDRESS(expenses_min_row,COLUMN()) &amp; ":" &amp; ADDRESS(expenses_max_row,COLUMN())))</f>
        <v>0</v>
      </c>
      <c r="BU51" s="33">
        <f t="shared" ca="1" si="56"/>
        <v>0</v>
      </c>
      <c r="BW51" s="32" cm="1">
        <f t="array" aca="1" ref="BW51" ca="1">SUM(INDIRECT(ADDRESS(savings_min_row,COLUMN()) &amp; ":" &amp; ADDRESS(savings_max_row,COLUMN())))</f>
        <v>0</v>
      </c>
      <c r="BX51" s="32" cm="1">
        <f t="array" aca="1" ref="BX51" ca="1">SUM(INDIRECT(ADDRESS(expenses_min_row,COLUMN()) &amp; ":" &amp; ADDRESS(expenses_max_row,COLUMN())))</f>
        <v>0</v>
      </c>
      <c r="BY51" s="32" cm="1">
        <f t="array" aca="1" ref="BY51" ca="1">SUM(INDIRECT(ADDRESS(expenses_min_row,COLUMN()) &amp; ":" &amp; ADDRESS(expenses_max_row,COLUMN())))</f>
        <v>0</v>
      </c>
      <c r="BZ51" s="32" cm="1">
        <f t="array" aca="1" ref="BZ51" ca="1">SUM(INDIRECT(ADDRESS(expenses_min_row,COLUMN()) &amp; ":" &amp; ADDRESS(expenses_max_row,COLUMN())))</f>
        <v>0</v>
      </c>
      <c r="CA51" s="32" cm="1">
        <f t="array" aca="1" ref="CA51" ca="1">SUM(INDIRECT(ADDRESS(expenses_min_row,COLUMN()) &amp; ":" &amp; ADDRESS(expenses_max_row,COLUMN())))</f>
        <v>0</v>
      </c>
      <c r="CB51" s="32" cm="1">
        <f t="array" aca="1" ref="CB51" ca="1">SUM(INDIRECT(ADDRESS(expenses_min_row,COLUMN()) &amp; ":" &amp; ADDRESS(expenses_max_row,COLUMN())))</f>
        <v>0</v>
      </c>
      <c r="CC51" s="32" cm="1">
        <f t="array" aca="1" ref="CC51" ca="1">SUM(INDIRECT(ADDRESS(expenses_min_row,COLUMN()) &amp; ":" &amp; ADDRESS(expenses_max_row,COLUMN())))</f>
        <v>0</v>
      </c>
      <c r="CD51" s="32" cm="1">
        <f t="array" aca="1" ref="CD51" ca="1">SUM(INDIRECT(ADDRESS(expenses_min_row,COLUMN()) &amp; ":" &amp; ADDRESS(expenses_max_row,COLUMN())))</f>
        <v>0</v>
      </c>
      <c r="CE51" s="32" cm="1">
        <f t="array" aca="1" ref="CE51" ca="1">SUM(INDIRECT(ADDRESS(expenses_min_row,COLUMN()) &amp; ":" &amp; ADDRESS(expenses_max_row,COLUMN())))</f>
        <v>0</v>
      </c>
      <c r="CF51" s="32" cm="1">
        <f t="array" aca="1" ref="CF51" ca="1">SUM(INDIRECT(ADDRESS(expenses_min_row,COLUMN()) &amp; ":" &amp; ADDRESS(expenses_max_row,COLUMN())))</f>
        <v>0</v>
      </c>
      <c r="CG51" s="32" cm="1">
        <f t="array" aca="1" ref="CG51" ca="1">SUM(INDIRECT(ADDRESS(expenses_min_row,COLUMN()) &amp; ":" &amp; ADDRESS(expenses_max_row,COLUMN())))</f>
        <v>0</v>
      </c>
      <c r="CH51" s="32" cm="1">
        <f t="array" aca="1" ref="CH51" ca="1">SUM(INDIRECT(ADDRESS(expenses_min_row,COLUMN()) &amp; ":" &amp; ADDRESS(expenses_max_row,COLUMN())))</f>
        <v>0</v>
      </c>
      <c r="CI51" s="33">
        <f t="shared" ca="1" si="57"/>
        <v>0</v>
      </c>
      <c r="CK51" s="32" cm="1">
        <f t="array" aca="1" ref="CK51" ca="1">SUM(INDIRECT(ADDRESS(savings_min_row,COLUMN()) &amp; ":" &amp; ADDRESS(savings_max_row,COLUMN())))</f>
        <v>0</v>
      </c>
      <c r="CL51" s="32" cm="1">
        <f t="array" aca="1" ref="CL51" ca="1">SUM(INDIRECT(ADDRESS(expenses_min_row,COLUMN()) &amp; ":" &amp; ADDRESS(expenses_max_row,COLUMN())))</f>
        <v>0</v>
      </c>
      <c r="CM51" s="32" cm="1">
        <f t="array" aca="1" ref="CM51" ca="1">SUM(INDIRECT(ADDRESS(expenses_min_row,COLUMN()) &amp; ":" &amp; ADDRESS(expenses_max_row,COLUMN())))</f>
        <v>0</v>
      </c>
      <c r="CN51" s="32" cm="1">
        <f t="array" aca="1" ref="CN51" ca="1">SUM(INDIRECT(ADDRESS(expenses_min_row,COLUMN()) &amp; ":" &amp; ADDRESS(expenses_max_row,COLUMN())))</f>
        <v>0</v>
      </c>
      <c r="CO51" s="32" cm="1">
        <f t="array" aca="1" ref="CO51" ca="1">SUM(INDIRECT(ADDRESS(expenses_min_row,COLUMN()) &amp; ":" &amp; ADDRESS(expenses_max_row,COLUMN())))</f>
        <v>0</v>
      </c>
      <c r="CP51" s="32" cm="1">
        <f t="array" aca="1" ref="CP51" ca="1">SUM(INDIRECT(ADDRESS(expenses_min_row,COLUMN()) &amp; ":" &amp; ADDRESS(expenses_max_row,COLUMN())))</f>
        <v>0</v>
      </c>
      <c r="CQ51" s="32" cm="1">
        <f t="array" aca="1" ref="CQ51" ca="1">SUM(INDIRECT(ADDRESS(expenses_min_row,COLUMN()) &amp; ":" &amp; ADDRESS(expenses_max_row,COLUMN())))</f>
        <v>0</v>
      </c>
      <c r="CR51" s="32" cm="1">
        <f t="array" aca="1" ref="CR51" ca="1">SUM(INDIRECT(ADDRESS(expenses_min_row,COLUMN()) &amp; ":" &amp; ADDRESS(expenses_max_row,COLUMN())))</f>
        <v>0</v>
      </c>
      <c r="CS51" s="32" cm="1">
        <f t="array" aca="1" ref="CS51" ca="1">SUM(INDIRECT(ADDRESS(expenses_min_row,COLUMN()) &amp; ":" &amp; ADDRESS(expenses_max_row,COLUMN())))</f>
        <v>0</v>
      </c>
      <c r="CT51" s="32" cm="1">
        <f t="array" aca="1" ref="CT51" ca="1">SUM(INDIRECT(ADDRESS(expenses_min_row,COLUMN()) &amp; ":" &amp; ADDRESS(expenses_max_row,COLUMN())))</f>
        <v>0</v>
      </c>
      <c r="CU51" s="32" cm="1">
        <f t="array" aca="1" ref="CU51" ca="1">SUM(INDIRECT(ADDRESS(expenses_min_row,COLUMN()) &amp; ":" &amp; ADDRESS(expenses_max_row,COLUMN())))</f>
        <v>0</v>
      </c>
      <c r="CV51" s="32" cm="1">
        <f t="array" aca="1" ref="CV51" ca="1">SUM(INDIRECT(ADDRESS(expenses_min_row,COLUMN()) &amp; ":" &amp; ADDRESS(expenses_max_row,COLUMN())))</f>
        <v>0</v>
      </c>
      <c r="CW51" s="33">
        <f t="shared" ca="1" si="58"/>
        <v>0</v>
      </c>
      <c r="CY51" s="32" cm="1">
        <f t="array" aca="1" ref="CY51" ca="1">SUM(INDIRECT(ADDRESS(savings_min_row,COLUMN()) &amp; ":" &amp; ADDRESS(savings_max_row,COLUMN())))</f>
        <v>0</v>
      </c>
      <c r="CZ51" s="32" cm="1">
        <f t="array" aca="1" ref="CZ51" ca="1">SUM(INDIRECT(ADDRESS(expenses_min_row,COLUMN()) &amp; ":" &amp; ADDRESS(expenses_max_row,COLUMN())))</f>
        <v>0</v>
      </c>
      <c r="DA51" s="32" cm="1">
        <f t="array" aca="1" ref="DA51" ca="1">SUM(INDIRECT(ADDRESS(expenses_min_row,COLUMN()) &amp; ":" &amp; ADDRESS(expenses_max_row,COLUMN())))</f>
        <v>0</v>
      </c>
      <c r="DB51" s="32" cm="1">
        <f t="array" aca="1" ref="DB51" ca="1">SUM(INDIRECT(ADDRESS(expenses_min_row,COLUMN()) &amp; ":" &amp; ADDRESS(expenses_max_row,COLUMN())))</f>
        <v>0</v>
      </c>
      <c r="DC51" s="32" cm="1">
        <f t="array" aca="1" ref="DC51" ca="1">SUM(INDIRECT(ADDRESS(expenses_min_row,COLUMN()) &amp; ":" &amp; ADDRESS(expenses_max_row,COLUMN())))</f>
        <v>0</v>
      </c>
      <c r="DD51" s="32" cm="1">
        <f t="array" aca="1" ref="DD51" ca="1">SUM(INDIRECT(ADDRESS(expenses_min_row,COLUMN()) &amp; ":" &amp; ADDRESS(expenses_max_row,COLUMN())))</f>
        <v>0</v>
      </c>
      <c r="DE51" s="32" cm="1">
        <f t="array" aca="1" ref="DE51" ca="1">SUM(INDIRECT(ADDRESS(expenses_min_row,COLUMN()) &amp; ":" &amp; ADDRESS(expenses_max_row,COLUMN())))</f>
        <v>0</v>
      </c>
      <c r="DF51" s="32" cm="1">
        <f t="array" aca="1" ref="DF51" ca="1">SUM(INDIRECT(ADDRESS(expenses_min_row,COLUMN()) &amp; ":" &amp; ADDRESS(expenses_max_row,COLUMN())))</f>
        <v>0</v>
      </c>
      <c r="DG51" s="32" cm="1">
        <f t="array" aca="1" ref="DG51" ca="1">SUM(INDIRECT(ADDRESS(expenses_min_row,COLUMN()) &amp; ":" &amp; ADDRESS(expenses_max_row,COLUMN())))</f>
        <v>0</v>
      </c>
      <c r="DH51" s="32" cm="1">
        <f t="array" aca="1" ref="DH51" ca="1">SUM(INDIRECT(ADDRESS(expenses_min_row,COLUMN()) &amp; ":" &amp; ADDRESS(expenses_max_row,COLUMN())))</f>
        <v>0</v>
      </c>
      <c r="DI51" s="32" cm="1">
        <f t="array" aca="1" ref="DI51" ca="1">SUM(INDIRECT(ADDRESS(expenses_min_row,COLUMN()) &amp; ":" &amp; ADDRESS(expenses_max_row,COLUMN())))</f>
        <v>0</v>
      </c>
      <c r="DJ51" s="32" cm="1">
        <f t="array" aca="1" ref="DJ51" ca="1">SUM(INDIRECT(ADDRESS(expenses_min_row,COLUMN()) &amp; ":" &amp; ADDRESS(expenses_max_row,COLUMN())))</f>
        <v>0</v>
      </c>
      <c r="DK51" s="33">
        <f t="shared" ca="1" si="59"/>
        <v>0</v>
      </c>
    </row>
  </sheetData>
  <dataConsolidate/>
  <mergeCells count="8">
    <mergeCell ref="BI5:BU5"/>
    <mergeCell ref="BW5:CI5"/>
    <mergeCell ref="CK5:CW5"/>
    <mergeCell ref="CY5:DK5"/>
    <mergeCell ref="E5:Q5"/>
    <mergeCell ref="S5:AE5"/>
    <mergeCell ref="AG5:AS5"/>
    <mergeCell ref="AU5:BG5"/>
  </mergeCells>
  <conditionalFormatting sqref="C40 E40:Q40 S40:AE40 E41:P50 S41:AD50 Q41:Q51 AE41:AE51 C45:C50">
    <cfRule type="expression" dxfId="65" priority="41">
      <formula>ROW(A40) &lt;= savings_max_row</formula>
    </cfRule>
  </conditionalFormatting>
  <conditionalFormatting sqref="C41:C44">
    <cfRule type="expression" dxfId="64" priority="1">
      <formula>ROW(A41) &lt;= income_max_row</formula>
    </cfRule>
  </conditionalFormatting>
  <conditionalFormatting sqref="E6:Q7 S6:AE7">
    <cfRule type="expression" dxfId="63" priority="53" stopIfTrue="1">
      <formula>AND(E21=0,E37=0,E51=0)</formula>
    </cfRule>
    <cfRule type="expression" dxfId="62" priority="54" stopIfTrue="1">
      <formula>E7=0</formula>
    </cfRule>
    <cfRule type="expression" dxfId="61" priority="55">
      <formula>E7&lt;&gt;0</formula>
    </cfRule>
  </conditionalFormatting>
  <conditionalFormatting sqref="E10:Q10 S10:AE10 C10:C20 E11:P20 S11:AD20 Q11:Q21 AE11:AE21">
    <cfRule type="expression" dxfId="60" priority="43">
      <formula>ROW(A10) &lt;= income_max_row</formula>
    </cfRule>
  </conditionalFormatting>
  <conditionalFormatting sqref="S24:AE24 C24:C36 E24:P36 Q24:Q37 S25:AD36 AE25:AE37">
    <cfRule type="expression" dxfId="59" priority="42">
      <formula>ROW(A24) &lt;= expenses_max_row</formula>
    </cfRule>
  </conditionalFormatting>
  <conditionalFormatting sqref="AG6:AS7 AU6:BG7 BI6:BU7 BW6:CI7 CK6:CW7 CY6:DK7">
    <cfRule type="expression" dxfId="58" priority="59" stopIfTrue="1">
      <formula>AND(AG21=0,AG37=0,AG51=0)</formula>
    </cfRule>
    <cfRule type="expression" dxfId="57" priority="60" stopIfTrue="1">
      <formula>AG7=0</formula>
    </cfRule>
    <cfRule type="expression" dxfId="56" priority="61">
      <formula>AG7&lt;0</formula>
    </cfRule>
  </conditionalFormatting>
  <conditionalFormatting sqref="AG10:AS10 AG11:AR20 AS11:AS21">
    <cfRule type="expression" dxfId="55" priority="37">
      <formula>ROW(AE10) &lt;= income_max_row</formula>
    </cfRule>
  </conditionalFormatting>
  <conditionalFormatting sqref="AG24:AS24 AG25:AR36 AS25:AS37">
    <cfRule type="expression" dxfId="54" priority="36">
      <formula>ROW(AE24) &lt;= expenses_max_row</formula>
    </cfRule>
  </conditionalFormatting>
  <conditionalFormatting sqref="AG40:AS40 AG41:AR50 AS41:AS51">
    <cfRule type="expression" dxfId="53" priority="35">
      <formula>ROW(AE40) &lt;= savings_max_row</formula>
    </cfRule>
  </conditionalFormatting>
  <conditionalFormatting sqref="AU10:BG10 AU11:BF20 BG11:BG21">
    <cfRule type="expression" dxfId="52" priority="31">
      <formula>ROW(AS10) &lt;= income_max_row</formula>
    </cfRule>
  </conditionalFormatting>
  <conditionalFormatting sqref="AU24:BG24 AU25:BF36 BG25:BG37">
    <cfRule type="expression" dxfId="51" priority="30">
      <formula>ROW(AS24) &lt;= expenses_max_row</formula>
    </cfRule>
  </conditionalFormatting>
  <conditionalFormatting sqref="AU40:BG40 AU41:BF50 BG41:BG51">
    <cfRule type="expression" dxfId="50" priority="29">
      <formula>ROW(AS40) &lt;= savings_max_row</formula>
    </cfRule>
  </conditionalFormatting>
  <conditionalFormatting sqref="BI10:BU10 BI11:BT20 BU11:BU21">
    <cfRule type="expression" dxfId="49" priority="25">
      <formula>ROW(BG10) &lt;= income_max_row</formula>
    </cfRule>
  </conditionalFormatting>
  <conditionalFormatting sqref="BI24:BU24 BI25:BT36 BU25:BU37">
    <cfRule type="expression" dxfId="48" priority="24">
      <formula>ROW(BG24) &lt;= expenses_max_row</formula>
    </cfRule>
  </conditionalFormatting>
  <conditionalFormatting sqref="BI40:BU40 BI41:BT50 BU41:BU51">
    <cfRule type="expression" dxfId="47" priority="23">
      <formula>ROW(BG40) &lt;= savings_max_row</formula>
    </cfRule>
  </conditionalFormatting>
  <conditionalFormatting sqref="BW10:CI10 BW11:CH20 CI11:CI21">
    <cfRule type="expression" dxfId="46" priority="19">
      <formula>ROW(BU10) &lt;= income_max_row</formula>
    </cfRule>
  </conditionalFormatting>
  <conditionalFormatting sqref="BW24:CI24 BW25:CH36 CI25:CI37">
    <cfRule type="expression" dxfId="45" priority="18">
      <formula>ROW(BU24) &lt;= expenses_max_row</formula>
    </cfRule>
  </conditionalFormatting>
  <conditionalFormatting sqref="BW40:CI40 BW41:CH50 CI41:CI51">
    <cfRule type="expression" dxfId="44" priority="17">
      <formula>ROW(BU40) &lt;= savings_max_row</formula>
    </cfRule>
  </conditionalFormatting>
  <conditionalFormatting sqref="CK10:CW10 CK11:CV20 CW11:CW21">
    <cfRule type="expression" dxfId="43" priority="13">
      <formula>ROW(CI10) &lt;= income_max_row</formula>
    </cfRule>
  </conditionalFormatting>
  <conditionalFormatting sqref="CK24:CW24 CK25:CV36 CW25:CW37">
    <cfRule type="expression" dxfId="42" priority="12">
      <formula>ROW(CI24) &lt;= expenses_max_row</formula>
    </cfRule>
  </conditionalFormatting>
  <conditionalFormatting sqref="CK40:CW40 CK41:CV50 CW41:CW51">
    <cfRule type="expression" dxfId="41" priority="11">
      <formula>ROW(CI40) &lt;= savings_max_row</formula>
    </cfRule>
  </conditionalFormatting>
  <conditionalFormatting sqref="CY10:DK10 CY11:DJ20 DK11:DK21">
    <cfRule type="expression" dxfId="40" priority="7">
      <formula>ROW(CW10) &lt;= income_max_row</formula>
    </cfRule>
  </conditionalFormatting>
  <conditionalFormatting sqref="CY24:DK24 CY25:DJ36 DK25:DK37">
    <cfRule type="expression" dxfId="39" priority="6">
      <formula>ROW(CW24) &lt;= expenses_max_row</formula>
    </cfRule>
  </conditionalFormatting>
  <conditionalFormatting sqref="CY40:DK40 CY41:DJ50 DK41:DK51">
    <cfRule type="expression" dxfId="38" priority="5">
      <formula>ROW(CW40) &lt;= savings_max_row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EB82-79BD-44AA-AFFE-94EFA9E98B34}">
  <sheetPr codeName="Φύλλο3"/>
  <dimension ref="A1:T846"/>
  <sheetViews>
    <sheetView zoomScale="55" zoomScaleNormal="55" workbookViewId="0">
      <pane ySplit="12" topLeftCell="A772" activePane="bottomLeft" state="frozen"/>
      <selection pane="bottomLeft" activeCell="F790" sqref="F790"/>
    </sheetView>
  </sheetViews>
  <sheetFormatPr defaultRowHeight="14.4" x14ac:dyDescent="0.3"/>
  <cols>
    <col min="1" max="1" width="8.88671875" style="1"/>
    <col min="2" max="2" width="10" style="1" bestFit="1" customWidth="1"/>
    <col min="3" max="3" width="14.21875" style="1" customWidth="1"/>
    <col min="4" max="4" width="14.33203125" style="1" customWidth="1"/>
    <col min="5" max="5" width="35.109375" style="1" customWidth="1"/>
    <col min="6" max="6" width="12.109375" style="1" bestFit="1" customWidth="1"/>
    <col min="7" max="7" width="59.88671875" style="1" customWidth="1"/>
    <col min="8" max="8" width="20.109375" style="1" customWidth="1"/>
    <col min="9" max="9" width="23.33203125" style="1" customWidth="1"/>
    <col min="10" max="12" width="8.88671875" style="1"/>
    <col min="13" max="13" width="11" style="1" bestFit="1" customWidth="1"/>
    <col min="14" max="14" width="8.88671875" style="1"/>
    <col min="15" max="15" width="10.44140625" style="1" bestFit="1" customWidth="1"/>
    <col min="16" max="16384" width="8.88671875" style="1"/>
  </cols>
  <sheetData>
    <row r="1" spans="1:20" s="2" customFormat="1" x14ac:dyDescent="0.3">
      <c r="F1" s="2" t="s">
        <v>2</v>
      </c>
      <c r="T1" s="2" t="s">
        <v>2</v>
      </c>
    </row>
    <row r="2" spans="1:20" s="2" customFormat="1" ht="25.8" x14ac:dyDescent="0.5">
      <c r="A2" s="25" t="s">
        <v>13</v>
      </c>
    </row>
    <row r="3" spans="1:20" s="2" customFormat="1" x14ac:dyDescent="0.3"/>
    <row r="7" spans="1:20" x14ac:dyDescent="0.3">
      <c r="G7" s="1" t="s">
        <v>2</v>
      </c>
      <c r="J7" s="1" t="s">
        <v>2</v>
      </c>
    </row>
    <row r="12" spans="1:20" x14ac:dyDescent="0.3">
      <c r="C12" s="13" t="s">
        <v>14</v>
      </c>
      <c r="D12" s="13" t="s">
        <v>15</v>
      </c>
      <c r="E12" s="13" t="s">
        <v>16</v>
      </c>
      <c r="F12" s="13" t="s">
        <v>17</v>
      </c>
      <c r="G12" s="13" t="s">
        <v>18</v>
      </c>
      <c r="H12" s="128" t="s">
        <v>28</v>
      </c>
      <c r="I12" t="s">
        <v>29</v>
      </c>
    </row>
    <row r="13" spans="1:20" x14ac:dyDescent="0.3">
      <c r="C13" s="112">
        <v>45227</v>
      </c>
      <c r="D13" s="113" t="s">
        <v>6</v>
      </c>
      <c r="E13" s="113" t="s">
        <v>19</v>
      </c>
      <c r="F13" s="114">
        <v>143.84</v>
      </c>
      <c r="G13" s="113"/>
      <c r="H13" s="129" cm="1">
        <f t="array" ref="H13">SUMPRODUCT(Tracking[Amount], -- (Tracking[[Date ]]&lt;= Tracking[[#This Row],[Date ]]), (Tracking[[Type ]]&lt;&gt;"Income")*(-1) + (Tracking[[Type ]]="Income"))</f>
        <v>143.84</v>
      </c>
      <c r="I1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45231</v>
      </c>
    </row>
    <row r="14" spans="1:20" x14ac:dyDescent="0.3">
      <c r="C14" s="112">
        <v>45228</v>
      </c>
      <c r="D14" s="113" t="s">
        <v>9</v>
      </c>
      <c r="E14" s="113" t="s">
        <v>121</v>
      </c>
      <c r="F14" s="114">
        <v>7</v>
      </c>
      <c r="G14" s="113"/>
      <c r="H14" s="129" cm="1">
        <f t="array" ref="H14">SUMPRODUCT(Tracking[Amount], -- (Tracking[[Date ]]&lt;= Tracking[[#This Row],[Date ]]), (Tracking[[Type ]]&lt;&gt;"Income")*(-1) + (Tracking[[Type ]]="Income"))</f>
        <v>136.84</v>
      </c>
      <c r="I1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45228</v>
      </c>
    </row>
    <row r="15" spans="1:20" x14ac:dyDescent="0.3">
      <c r="C15" s="112">
        <v>45229</v>
      </c>
      <c r="D15" s="113" t="s">
        <v>9</v>
      </c>
      <c r="E15" s="113" t="s">
        <v>20</v>
      </c>
      <c r="F15" s="114">
        <v>32</v>
      </c>
      <c r="G15" s="113"/>
      <c r="H15" s="129" cm="1">
        <f t="array" ref="H15">SUMPRODUCT(Tracking[Amount], -- (Tracking[[Date ]]&lt;= Tracking[[#This Row],[Date ]]), (Tracking[[Type ]]&lt;&gt;"Income")*(-1) + (Tracking[[Type ]]="Income"))</f>
        <v>104.84</v>
      </c>
      <c r="I1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45229</v>
      </c>
    </row>
    <row r="16" spans="1:20" x14ac:dyDescent="0.3">
      <c r="C16" s="112">
        <v>45230</v>
      </c>
      <c r="D16" s="113" t="s">
        <v>9</v>
      </c>
      <c r="E16" s="113" t="s">
        <v>121</v>
      </c>
      <c r="F16" s="114">
        <v>10.5</v>
      </c>
      <c r="G16" s="113"/>
      <c r="H16" s="129" cm="1">
        <f t="array" ref="H16">SUMPRODUCT(Tracking[Amount], -- (Tracking[[Date ]]&lt;= Tracking[[#This Row],[Date ]]), (Tracking[[Type ]]&lt;&gt;"Income")*(-1) + (Tracking[[Type ]]="Income"))</f>
        <v>80.84</v>
      </c>
      <c r="I1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45230</v>
      </c>
    </row>
    <row r="17" spans="3:9" x14ac:dyDescent="0.3">
      <c r="C17" s="112">
        <v>45230</v>
      </c>
      <c r="D17" s="113" t="s">
        <v>9</v>
      </c>
      <c r="E17" s="113" t="s">
        <v>116</v>
      </c>
      <c r="F17" s="114">
        <v>13.5</v>
      </c>
      <c r="G17" s="113" t="s">
        <v>117</v>
      </c>
      <c r="H17" s="129" cm="1">
        <f t="array" ref="H17">SUMPRODUCT(Tracking[Amount], -- (Tracking[[Date ]]&lt;= Tracking[[#This Row],[Date ]]), (Tracking[[Type ]]&lt;&gt;"Income")*(-1) + (Tracking[[Type ]]="Income"))</f>
        <v>80.84</v>
      </c>
      <c r="I1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45230</v>
      </c>
    </row>
    <row r="18" spans="3:9" x14ac:dyDescent="0.3">
      <c r="C18" s="112">
        <v>45231</v>
      </c>
      <c r="D18" s="113" t="s">
        <v>6</v>
      </c>
      <c r="E18" s="113" t="s">
        <v>19</v>
      </c>
      <c r="F18" s="114">
        <v>1000</v>
      </c>
      <c r="G18" s="113"/>
      <c r="H18" s="129" cm="1">
        <f t="array" ref="H18">SUMPRODUCT(Tracking[Amount], -- (Tracking[[Date ]]&lt;= Tracking[[#This Row],[Date ]]), (Tracking[[Type ]]&lt;&gt;"Income")*(-1) + (Tracking[[Type ]]="Income"))</f>
        <v>1071.8399999999999</v>
      </c>
      <c r="I1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45231</v>
      </c>
    </row>
    <row r="19" spans="3:9" x14ac:dyDescent="0.3">
      <c r="C19" s="112">
        <v>45231</v>
      </c>
      <c r="D19" s="113" t="s">
        <v>9</v>
      </c>
      <c r="E19" s="113" t="s">
        <v>121</v>
      </c>
      <c r="F19" s="114">
        <v>7.5</v>
      </c>
      <c r="G19" s="113"/>
      <c r="H19" s="129" cm="1">
        <f t="array" ref="H19">SUMPRODUCT(Tracking[Amount], -- (Tracking[[Date ]]&lt;= Tracking[[#This Row],[Date ]]), (Tracking[[Type ]]&lt;&gt;"Income")*(-1) + (Tracking[[Type ]]="Income"))</f>
        <v>1071.8399999999999</v>
      </c>
      <c r="I1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45231</v>
      </c>
    </row>
    <row r="20" spans="3:9" x14ac:dyDescent="0.3">
      <c r="C20" s="112">
        <v>45231</v>
      </c>
      <c r="D20" s="113" t="s">
        <v>9</v>
      </c>
      <c r="E20" s="113" t="s">
        <v>116</v>
      </c>
      <c r="F20" s="114">
        <v>1.5</v>
      </c>
      <c r="G20" s="113" t="s">
        <v>118</v>
      </c>
      <c r="H20" s="129" cm="1">
        <f t="array" ref="H20">SUMPRODUCT(Tracking[Amount], -- (Tracking[[Date ]]&lt;= Tracking[[#This Row],[Date ]]), (Tracking[[Type ]]&lt;&gt;"Income")*(-1) + (Tracking[[Type ]]="Income"))</f>
        <v>1071.8399999999999</v>
      </c>
      <c r="I2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45231</v>
      </c>
    </row>
    <row r="21" spans="3:9" x14ac:dyDescent="0.3">
      <c r="C21" s="112">
        <v>45232</v>
      </c>
      <c r="D21" s="113" t="s">
        <v>9</v>
      </c>
      <c r="E21" s="113" t="s">
        <v>20</v>
      </c>
      <c r="F21" s="114">
        <v>22.3</v>
      </c>
      <c r="G21" s="113"/>
      <c r="H21" s="129" cm="1">
        <f t="array" ref="H21">SUMPRODUCT(Tracking[Amount], -- (Tracking[[Date ]]&lt;= Tracking[[#This Row],[Date ]]), (Tracking[[Type ]]&lt;&gt;"Income")*(-1) + (Tracking[[Type ]]="Income"))</f>
        <v>1049.54</v>
      </c>
      <c r="I2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45232</v>
      </c>
    </row>
    <row r="22" spans="3:9" x14ac:dyDescent="0.3">
      <c r="C22" s="112">
        <v>45233</v>
      </c>
      <c r="D22" s="113" t="s">
        <v>9</v>
      </c>
      <c r="E22" s="113" t="s">
        <v>26</v>
      </c>
      <c r="F22" s="114">
        <v>3.5</v>
      </c>
      <c r="G22" s="113"/>
      <c r="H22" s="129" cm="1">
        <f t="array" ref="H22">SUMPRODUCT(Tracking[Amount], -- (Tracking[[Date ]]&lt;= Tracking[[#This Row],[Date ]]), (Tracking[[Type ]]&lt;&gt;"Income")*(-1) + (Tracking[[Type ]]="Income"))</f>
        <v>1046.04</v>
      </c>
      <c r="I2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45233</v>
      </c>
    </row>
    <row r="23" spans="3:9" x14ac:dyDescent="0.3">
      <c r="C23" s="112">
        <v>45234</v>
      </c>
      <c r="D23" s="113" t="s">
        <v>9</v>
      </c>
      <c r="E23" s="113" t="s">
        <v>121</v>
      </c>
      <c r="F23" s="114">
        <v>6</v>
      </c>
      <c r="G23" s="113"/>
      <c r="H23" s="129" cm="1">
        <f t="array" ref="H23">SUMPRODUCT(Tracking[Amount], -- (Tracking[[Date ]]&lt;= Tracking[[#This Row],[Date ]]), (Tracking[[Type ]]&lt;&gt;"Income")*(-1) + (Tracking[[Type ]]="Income"))</f>
        <v>1021.54</v>
      </c>
      <c r="I2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45234</v>
      </c>
    </row>
    <row r="24" spans="3:9" x14ac:dyDescent="0.3">
      <c r="C24" s="112">
        <v>45234</v>
      </c>
      <c r="D24" s="113" t="s">
        <v>9</v>
      </c>
      <c r="E24" s="113" t="s">
        <v>26</v>
      </c>
      <c r="F24" s="114">
        <v>12</v>
      </c>
      <c r="G24" s="113"/>
      <c r="H24" s="129" cm="1">
        <f t="array" ref="H24">SUMPRODUCT(Tracking[Amount], -- (Tracking[[Date ]]&lt;= Tracking[[#This Row],[Date ]]), (Tracking[[Type ]]&lt;&gt;"Income")*(-1) + (Tracking[[Type ]]="Income"))</f>
        <v>1021.54</v>
      </c>
      <c r="I2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45234</v>
      </c>
    </row>
    <row r="25" spans="3:9" x14ac:dyDescent="0.3">
      <c r="C25" s="112">
        <v>45234</v>
      </c>
      <c r="D25" s="113" t="s">
        <v>9</v>
      </c>
      <c r="E25" s="113" t="s">
        <v>116</v>
      </c>
      <c r="F25" s="114">
        <v>6.5</v>
      </c>
      <c r="G25" s="113" t="s">
        <v>119</v>
      </c>
      <c r="H25" s="129" cm="1">
        <f t="array" ref="H25">SUMPRODUCT(Tracking[Amount], -- (Tracking[[Date ]]&lt;= Tracking[[#This Row],[Date ]]), (Tracking[[Type ]]&lt;&gt;"Income")*(-1) + (Tracking[[Type ]]="Income"))</f>
        <v>1021.54</v>
      </c>
      <c r="I2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45234</v>
      </c>
    </row>
    <row r="26" spans="3:9" x14ac:dyDescent="0.3">
      <c r="C26" s="112">
        <v>45235</v>
      </c>
      <c r="D26" t="s">
        <v>9</v>
      </c>
      <c r="E26" t="s">
        <v>116</v>
      </c>
      <c r="F26" s="114">
        <v>13</v>
      </c>
      <c r="G26" t="s">
        <v>120</v>
      </c>
      <c r="H26" s="130" cm="1">
        <f t="array" ref="H26">SUMPRODUCT(Tracking[Amount], -- (Tracking[[Date ]]&lt;= Tracking[[#This Row],[Date ]]), (Tracking[[Type ]]&lt;&gt;"Income")*(-1) + (Tracking[[Type ]]="Income"))</f>
        <v>985.04</v>
      </c>
      <c r="I2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45235</v>
      </c>
    </row>
    <row r="27" spans="3:9" x14ac:dyDescent="0.3">
      <c r="C27" s="112">
        <v>45235</v>
      </c>
      <c r="D27" t="s">
        <v>9</v>
      </c>
      <c r="E27" t="s">
        <v>121</v>
      </c>
      <c r="F27" s="114">
        <v>8.5</v>
      </c>
      <c r="G27"/>
      <c r="H27" s="130" cm="1">
        <f t="array" ref="H27">SUMPRODUCT(Tracking[Amount], -- (Tracking[[Date ]]&lt;= Tracking[[#This Row],[Date ]]), (Tracking[[Type ]]&lt;&gt;"Income")*(-1) + (Tracking[[Type ]]="Income"))</f>
        <v>985.04</v>
      </c>
      <c r="I2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45235</v>
      </c>
    </row>
    <row r="28" spans="3:9" x14ac:dyDescent="0.3">
      <c r="C28" s="112">
        <v>45235</v>
      </c>
      <c r="D28" t="s">
        <v>9</v>
      </c>
      <c r="E28" t="s">
        <v>116</v>
      </c>
      <c r="F28" s="114">
        <v>15</v>
      </c>
      <c r="G28" t="s">
        <v>122</v>
      </c>
      <c r="H28" s="130" cm="1">
        <f t="array" ref="H28">SUMPRODUCT(Tracking[Amount], -- (Tracking[[Date ]]&lt;= Tracking[[#This Row],[Date ]]), (Tracking[[Type ]]&lt;&gt;"Income")*(-1) + (Tracking[[Type ]]="Income"))</f>
        <v>985.04</v>
      </c>
      <c r="I2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45235</v>
      </c>
    </row>
    <row r="29" spans="3:9" x14ac:dyDescent="0.3">
      <c r="C29" s="112">
        <v>45236</v>
      </c>
      <c r="D29" t="s">
        <v>9</v>
      </c>
      <c r="E29" t="s">
        <v>20</v>
      </c>
      <c r="F29" s="114">
        <v>16.899999999999999</v>
      </c>
      <c r="G29"/>
      <c r="H29" s="130" cm="1">
        <f t="array" ref="H29">SUMPRODUCT(Tracking[Amount], -- (Tracking[[Date ]]&lt;= Tracking[[#This Row],[Date ]]), (Tracking[[Type ]]&lt;&gt;"Income")*(-1) + (Tracking[[Type ]]="Income"))</f>
        <v>965.14</v>
      </c>
      <c r="I2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45236</v>
      </c>
    </row>
    <row r="30" spans="3:9" x14ac:dyDescent="0.3">
      <c r="C30" s="112">
        <v>45236</v>
      </c>
      <c r="D30" t="s">
        <v>9</v>
      </c>
      <c r="E30" t="s">
        <v>121</v>
      </c>
      <c r="F30" s="114">
        <v>3</v>
      </c>
      <c r="G30"/>
      <c r="H30" s="130" cm="1">
        <f t="array" ref="H30">SUMPRODUCT(Tracking[Amount], -- (Tracking[[Date ]]&lt;= Tracking[[#This Row],[Date ]]), (Tracking[[Type ]]&lt;&gt;"Income")*(-1) + (Tracking[[Type ]]="Income"))</f>
        <v>965.14</v>
      </c>
      <c r="I3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45236</v>
      </c>
    </row>
    <row r="31" spans="3:9" x14ac:dyDescent="0.3">
      <c r="C31" s="112">
        <v>45237</v>
      </c>
      <c r="D31" t="s">
        <v>9</v>
      </c>
      <c r="E31" t="s">
        <v>121</v>
      </c>
      <c r="F31" s="114">
        <v>3</v>
      </c>
      <c r="G31"/>
      <c r="H31" s="130" cm="1">
        <f t="array" ref="H31">SUMPRODUCT(Tracking[Amount], -- (Tracking[[Date ]]&lt;= Tracking[[#This Row],[Date ]]), (Tracking[[Type ]]&lt;&gt;"Income")*(-1) + (Tracking[[Type ]]="Income"))</f>
        <v>941.14</v>
      </c>
      <c r="I3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45237</v>
      </c>
    </row>
    <row r="32" spans="3:9" x14ac:dyDescent="0.3">
      <c r="C32" s="112">
        <v>45237</v>
      </c>
      <c r="D32" t="s">
        <v>9</v>
      </c>
      <c r="E32" t="s">
        <v>116</v>
      </c>
      <c r="F32" s="114">
        <v>21</v>
      </c>
      <c r="G32"/>
      <c r="H32" s="130" cm="1">
        <f t="array" ref="H32">SUMPRODUCT(Tracking[Amount], -- (Tracking[[Date ]]&lt;= Tracking[[#This Row],[Date ]]), (Tracking[[Type ]]&lt;&gt;"Income")*(-1) + (Tracking[[Type ]]="Income"))</f>
        <v>941.14</v>
      </c>
      <c r="I3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45237</v>
      </c>
    </row>
    <row r="33" spans="3:13" x14ac:dyDescent="0.3">
      <c r="C33" s="112">
        <v>45238</v>
      </c>
      <c r="D33" t="s">
        <v>9</v>
      </c>
      <c r="E33" t="s">
        <v>121</v>
      </c>
      <c r="F33" s="114">
        <v>3</v>
      </c>
      <c r="G33"/>
      <c r="H33" s="130" cm="1">
        <f t="array" ref="H33">SUMPRODUCT(Tracking[Amount], -- (Tracking[[Date ]]&lt;= Tracking[[#This Row],[Date ]]), (Tracking[[Type ]]&lt;&gt;"Income")*(-1) + (Tracking[[Type ]]="Income"))</f>
        <v>917.14</v>
      </c>
      <c r="I3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45238</v>
      </c>
    </row>
    <row r="34" spans="3:13" x14ac:dyDescent="0.3">
      <c r="C34" s="112">
        <v>45238</v>
      </c>
      <c r="D34" t="s">
        <v>9</v>
      </c>
      <c r="E34" t="s">
        <v>116</v>
      </c>
      <c r="F34" s="114">
        <v>21</v>
      </c>
      <c r="G34" t="s">
        <v>123</v>
      </c>
      <c r="H34" s="130" cm="1">
        <f t="array" ref="H34">SUMPRODUCT(Tracking[Amount], -- (Tracking[[Date ]]&lt;= Tracking[[#This Row],[Date ]]), (Tracking[[Type ]]&lt;&gt;"Income")*(-1) + (Tracking[[Type ]]="Income"))</f>
        <v>917.14</v>
      </c>
      <c r="I3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45238</v>
      </c>
    </row>
    <row r="35" spans="3:13" x14ac:dyDescent="0.3">
      <c r="C35" s="112">
        <v>45239</v>
      </c>
      <c r="D35" t="s">
        <v>9</v>
      </c>
      <c r="E35" t="s">
        <v>20</v>
      </c>
      <c r="F35" s="114">
        <v>9</v>
      </c>
      <c r="G35"/>
      <c r="H35" s="130" cm="1">
        <f t="array" ref="H35">SUMPRODUCT(Tracking[Amount], -- (Tracking[[Date ]]&lt;= Tracking[[#This Row],[Date ]]), (Tracking[[Type ]]&lt;&gt;"Income")*(-1) + (Tracking[[Type ]]="Income"))</f>
        <v>1691.6399999999999</v>
      </c>
      <c r="I3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45239</v>
      </c>
    </row>
    <row r="36" spans="3:13" x14ac:dyDescent="0.3">
      <c r="C36" s="112">
        <v>45239</v>
      </c>
      <c r="D36" t="s">
        <v>9</v>
      </c>
      <c r="E36" t="s">
        <v>121</v>
      </c>
      <c r="F36" s="114">
        <v>3</v>
      </c>
      <c r="G36"/>
      <c r="H36" s="130" cm="1">
        <f t="array" ref="H36">SUMPRODUCT(Tracking[Amount], -- (Tracking[[Date ]]&lt;= Tracking[[#This Row],[Date ]]), (Tracking[[Type ]]&lt;&gt;"Income")*(-1) + (Tracking[[Type ]]="Income"))</f>
        <v>1691.6399999999999</v>
      </c>
      <c r="I3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45239</v>
      </c>
    </row>
    <row r="37" spans="3:13" x14ac:dyDescent="0.3">
      <c r="C37" s="112">
        <v>45239</v>
      </c>
      <c r="D37" t="s">
        <v>9</v>
      </c>
      <c r="E37" t="s">
        <v>116</v>
      </c>
      <c r="F37" s="114">
        <v>7.5</v>
      </c>
      <c r="G37" t="s">
        <v>124</v>
      </c>
      <c r="H37" s="130" cm="1">
        <f t="array" ref="H37">SUMPRODUCT(Tracking[Amount], -- (Tracking[[Date ]]&lt;= Tracking[[#This Row],[Date ]]), (Tracking[[Type ]]&lt;&gt;"Income")*(-1) + (Tracking[[Type ]]="Income"))</f>
        <v>1691.6399999999999</v>
      </c>
      <c r="I3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45239</v>
      </c>
    </row>
    <row r="38" spans="3:13" x14ac:dyDescent="0.3">
      <c r="C38" s="112">
        <v>45239</v>
      </c>
      <c r="D38" t="s">
        <v>6</v>
      </c>
      <c r="E38" t="s">
        <v>19</v>
      </c>
      <c r="F38" s="114">
        <v>800</v>
      </c>
      <c r="G38"/>
      <c r="H38" s="130" cm="1">
        <f t="array" ref="H38">SUMPRODUCT(Tracking[Amount], -- (Tracking[[Date ]]&lt;= Tracking[[#This Row],[Date ]]), (Tracking[[Type ]]&lt;&gt;"Income")*(-1) + (Tracking[[Type ]]="Income"))</f>
        <v>1691.6399999999999</v>
      </c>
      <c r="I3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45239</v>
      </c>
      <c r="L38" s="1" t="s">
        <v>19</v>
      </c>
      <c r="M38" s="123">
        <v>1061</v>
      </c>
    </row>
    <row r="39" spans="3:13" x14ac:dyDescent="0.3">
      <c r="C39" s="112">
        <v>45239</v>
      </c>
      <c r="D39" t="s">
        <v>9</v>
      </c>
      <c r="E39" t="s">
        <v>121</v>
      </c>
      <c r="F39" s="114">
        <v>6</v>
      </c>
      <c r="G39"/>
      <c r="H39" s="130" cm="1">
        <f t="array" ref="H39">SUMPRODUCT(Tracking[Amount], -- (Tracking[[Date ]]&lt;= Tracking[[#This Row],[Date ]]), (Tracking[[Type ]]&lt;&gt;"Income")*(-1) + (Tracking[[Type ]]="Income"))</f>
        <v>1691.6399999999999</v>
      </c>
      <c r="I3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45239</v>
      </c>
      <c r="L39" s="1" t="s">
        <v>19</v>
      </c>
      <c r="M39" s="123">
        <v>1061</v>
      </c>
    </row>
    <row r="40" spans="3:13" x14ac:dyDescent="0.3">
      <c r="C40" s="112">
        <v>45240</v>
      </c>
      <c r="D40" t="s">
        <v>9</v>
      </c>
      <c r="E40" t="s">
        <v>121</v>
      </c>
      <c r="F40" s="114">
        <v>3</v>
      </c>
      <c r="G40"/>
      <c r="H40" s="130" cm="1">
        <f t="array" ref="H40">SUMPRODUCT(Tracking[Amount], -- (Tracking[[Date ]]&lt;= Tracking[[#This Row],[Date ]]), (Tracking[[Type ]]&lt;&gt;"Income")*(-1) + (Tracking[[Type ]]="Income"))</f>
        <v>1688.6399999999999</v>
      </c>
      <c r="I4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45240</v>
      </c>
      <c r="L40" s="1" t="s">
        <v>19</v>
      </c>
      <c r="M40" s="123">
        <v>1061</v>
      </c>
    </row>
    <row r="41" spans="3:13" x14ac:dyDescent="0.3">
      <c r="C41" s="112">
        <v>45241</v>
      </c>
      <c r="D41" t="s">
        <v>9</v>
      </c>
      <c r="E41" t="s">
        <v>121</v>
      </c>
      <c r="F41" s="114">
        <v>11</v>
      </c>
      <c r="G41"/>
      <c r="H41" s="130" cm="1">
        <f t="array" ref="H41">SUMPRODUCT(Tracking[Amount], -- (Tracking[[Date ]]&lt;= Tracking[[#This Row],[Date ]]), (Tracking[[Type ]]&lt;&gt;"Income")*(-1) + (Tracking[[Type ]]="Income"))</f>
        <v>1623.54</v>
      </c>
      <c r="I4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45241</v>
      </c>
      <c r="L41" s="1" t="s">
        <v>19</v>
      </c>
      <c r="M41" s="123">
        <v>1061</v>
      </c>
    </row>
    <row r="42" spans="3:13" x14ac:dyDescent="0.3">
      <c r="C42" s="112">
        <v>45241</v>
      </c>
      <c r="D42" t="s">
        <v>9</v>
      </c>
      <c r="E42" t="s">
        <v>27</v>
      </c>
      <c r="F42" s="114">
        <v>31.5</v>
      </c>
      <c r="G42"/>
      <c r="H42" s="130" cm="1">
        <f t="array" ref="H42">SUMPRODUCT(Tracking[Amount], -- (Tracking[[Date ]]&lt;= Tracking[[#This Row],[Date ]]), (Tracking[[Type ]]&lt;&gt;"Income")*(-1) + (Tracking[[Type ]]="Income"))</f>
        <v>1623.54</v>
      </c>
      <c r="I4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45241</v>
      </c>
      <c r="L42" s="1" t="s">
        <v>19</v>
      </c>
      <c r="M42" s="123">
        <v>1061</v>
      </c>
    </row>
    <row r="43" spans="3:13" x14ac:dyDescent="0.3">
      <c r="C43" s="112">
        <v>45241</v>
      </c>
      <c r="D43" t="s">
        <v>9</v>
      </c>
      <c r="E43" t="s">
        <v>116</v>
      </c>
      <c r="F43" s="114">
        <v>5.6</v>
      </c>
      <c r="G43" t="s">
        <v>125</v>
      </c>
      <c r="H43" s="130" cm="1">
        <f t="array" ref="H43">SUMPRODUCT(Tracking[Amount], -- (Tracking[[Date ]]&lt;= Tracking[[#This Row],[Date ]]), (Tracking[[Type ]]&lt;&gt;"Income")*(-1) + (Tracking[[Type ]]="Income"))</f>
        <v>1623.54</v>
      </c>
      <c r="I4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45241</v>
      </c>
      <c r="L43" s="1" t="s">
        <v>19</v>
      </c>
      <c r="M43" s="123">
        <v>1061</v>
      </c>
    </row>
    <row r="44" spans="3:13" x14ac:dyDescent="0.3">
      <c r="C44" s="112">
        <v>45241</v>
      </c>
      <c r="D44" t="s">
        <v>9</v>
      </c>
      <c r="E44" t="s">
        <v>26</v>
      </c>
      <c r="F44" s="114">
        <v>17</v>
      </c>
      <c r="G44"/>
      <c r="H44" s="130" cm="1">
        <f t="array" ref="H44">SUMPRODUCT(Tracking[Amount], -- (Tracking[[Date ]]&lt;= Tracking[[#This Row],[Date ]]), (Tracking[[Type ]]&lt;&gt;"Income")*(-1) + (Tracking[[Type ]]="Income"))</f>
        <v>1623.54</v>
      </c>
      <c r="I4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45241</v>
      </c>
      <c r="L44" s="1" t="s">
        <v>19</v>
      </c>
      <c r="M44" s="123">
        <v>1061</v>
      </c>
    </row>
    <row r="45" spans="3:13" x14ac:dyDescent="0.3">
      <c r="C45" s="112">
        <v>45242</v>
      </c>
      <c r="D45" t="s">
        <v>9</v>
      </c>
      <c r="E45" t="s">
        <v>121</v>
      </c>
      <c r="F45" s="114">
        <v>16.399999999999999</v>
      </c>
      <c r="G45"/>
      <c r="H45" s="130" cm="1">
        <f t="array" ref="H45">SUMPRODUCT(Tracking[Amount], -- (Tracking[[Date ]]&lt;= Tracking[[#This Row],[Date ]]), (Tracking[[Type ]]&lt;&gt;"Income")*(-1) + (Tracking[[Type ]]="Income"))</f>
        <v>1605.1399999999999</v>
      </c>
      <c r="I4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45242</v>
      </c>
      <c r="L45" s="1" t="s">
        <v>19</v>
      </c>
      <c r="M45" s="123">
        <v>120</v>
      </c>
    </row>
    <row r="46" spans="3:13" x14ac:dyDescent="0.3">
      <c r="C46" s="112">
        <v>45242</v>
      </c>
      <c r="D46" t="s">
        <v>9</v>
      </c>
      <c r="E46" t="s">
        <v>26</v>
      </c>
      <c r="F46" s="114">
        <v>2</v>
      </c>
      <c r="G46"/>
      <c r="H46" s="130" cm="1">
        <f t="array" ref="H46">SUMPRODUCT(Tracking[Amount], -- (Tracking[[Date ]]&lt;= Tracking[[#This Row],[Date ]]), (Tracking[[Type ]]&lt;&gt;"Income")*(-1) + (Tracking[[Type ]]="Income"))</f>
        <v>1605.1399999999999</v>
      </c>
      <c r="I4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45242</v>
      </c>
      <c r="L46" s="1" t="s">
        <v>19</v>
      </c>
      <c r="M46" s="123">
        <v>1061</v>
      </c>
    </row>
    <row r="47" spans="3:13" x14ac:dyDescent="0.3">
      <c r="C47" s="112">
        <v>45243</v>
      </c>
      <c r="D47" t="s">
        <v>9</v>
      </c>
      <c r="E47" t="s">
        <v>20</v>
      </c>
      <c r="F47" s="114">
        <v>17.5</v>
      </c>
      <c r="G47"/>
      <c r="H47" s="130" cm="1">
        <f t="array" ref="H47">SUMPRODUCT(Tracking[Amount], -- (Tracking[[Date ]]&lt;= Tracking[[#This Row],[Date ]]), (Tracking[[Type ]]&lt;&gt;"Income")*(-1) + (Tracking[[Type ]]="Income"))</f>
        <v>1587.6399999999999</v>
      </c>
      <c r="I4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45243</v>
      </c>
      <c r="L47" s="1" t="s">
        <v>19</v>
      </c>
      <c r="M47" s="123">
        <v>1151.6099999999999</v>
      </c>
    </row>
    <row r="48" spans="3:13" x14ac:dyDescent="0.3">
      <c r="C48" s="112">
        <v>45244</v>
      </c>
      <c r="D48" t="s">
        <v>9</v>
      </c>
      <c r="E48" t="s">
        <v>121</v>
      </c>
      <c r="F48" s="114">
        <v>8.1999999999999993</v>
      </c>
      <c r="G48"/>
      <c r="H48" s="130" cm="1">
        <f t="array" ref="H48">SUMPRODUCT(Tracking[Amount], -- (Tracking[[Date ]]&lt;= Tracking[[#This Row],[Date ]]), (Tracking[[Type ]]&lt;&gt;"Income")*(-1) + (Tracking[[Type ]]="Income"))</f>
        <v>1539.6399999999999</v>
      </c>
      <c r="I4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45244</v>
      </c>
      <c r="L48" s="1" t="s">
        <v>19</v>
      </c>
      <c r="M48" s="123">
        <v>1151.6099999999999</v>
      </c>
    </row>
    <row r="49" spans="3:13" x14ac:dyDescent="0.3">
      <c r="C49" s="112">
        <v>45244</v>
      </c>
      <c r="D49" t="s">
        <v>9</v>
      </c>
      <c r="E49" t="s">
        <v>116</v>
      </c>
      <c r="F49" s="114">
        <v>39.799999999999997</v>
      </c>
      <c r="G49" t="s">
        <v>126</v>
      </c>
      <c r="H49" s="130" cm="1">
        <f t="array" ref="H49">SUMPRODUCT(Tracking[Amount], -- (Tracking[[Date ]]&lt;= Tracking[[#This Row],[Date ]]), (Tracking[[Type ]]&lt;&gt;"Income")*(-1) + (Tracking[[Type ]]="Income"))</f>
        <v>1539.6399999999999</v>
      </c>
      <c r="I4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45244</v>
      </c>
      <c r="L49" s="1" t="s">
        <v>19</v>
      </c>
      <c r="M49" s="123">
        <v>1277.4100000000001</v>
      </c>
    </row>
    <row r="50" spans="3:13" x14ac:dyDescent="0.3">
      <c r="C50" s="112">
        <v>45245</v>
      </c>
      <c r="D50" t="s">
        <v>9</v>
      </c>
      <c r="E50" t="s">
        <v>121</v>
      </c>
      <c r="F50" s="114">
        <v>3</v>
      </c>
      <c r="G50"/>
      <c r="H50" s="130" cm="1">
        <f t="array" ref="H50">SUMPRODUCT(Tracking[Amount], -- (Tracking[[Date ]]&lt;= Tracking[[#This Row],[Date ]]), (Tracking[[Type ]]&lt;&gt;"Income")*(-1) + (Tracking[[Type ]]="Income"))</f>
        <v>1536.6399999999999</v>
      </c>
      <c r="I5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45245</v>
      </c>
      <c r="L50" s="1" t="s">
        <v>19</v>
      </c>
      <c r="M50" s="123">
        <v>1080.5999999999999</v>
      </c>
    </row>
    <row r="51" spans="3:13" x14ac:dyDescent="0.3">
      <c r="C51" s="112">
        <v>45246</v>
      </c>
      <c r="D51" t="s">
        <v>9</v>
      </c>
      <c r="E51" t="s">
        <v>121</v>
      </c>
      <c r="F51" s="114">
        <v>5.5</v>
      </c>
      <c r="G51"/>
      <c r="H51" s="130" cm="1">
        <f t="array" ref="H51">SUMPRODUCT(Tracking[Amount], -- (Tracking[[Date ]]&lt;= Tracking[[#This Row],[Date ]]), (Tracking[[Type ]]&lt;&gt;"Income")*(-1) + (Tracking[[Type ]]="Income"))</f>
        <v>1531.1399999999999</v>
      </c>
      <c r="I5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45246</v>
      </c>
      <c r="L51" s="1" t="s">
        <v>19</v>
      </c>
      <c r="M51" s="123">
        <v>70</v>
      </c>
    </row>
    <row r="52" spans="3:13" x14ac:dyDescent="0.3">
      <c r="C52" s="112">
        <v>45247</v>
      </c>
      <c r="D52" t="s">
        <v>9</v>
      </c>
      <c r="E52" t="s">
        <v>121</v>
      </c>
      <c r="F52" s="114">
        <v>3</v>
      </c>
      <c r="G52"/>
      <c r="H52" s="130" cm="1">
        <f t="array" ref="H52">SUMPRODUCT(Tracking[Amount], -- (Tracking[[Date ]]&lt;= Tracking[[#This Row],[Date ]]), (Tracking[[Type ]]&lt;&gt;"Income")*(-1) + (Tracking[[Type ]]="Income"))</f>
        <v>1528.1399999999999</v>
      </c>
      <c r="I5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45247</v>
      </c>
      <c r="L52" s="1" t="s">
        <v>19</v>
      </c>
      <c r="M52" s="123">
        <v>158.58000000000001</v>
      </c>
    </row>
    <row r="53" spans="3:13" x14ac:dyDescent="0.3">
      <c r="C53" s="112">
        <v>45248</v>
      </c>
      <c r="D53" t="s">
        <v>9</v>
      </c>
      <c r="E53" t="s">
        <v>121</v>
      </c>
      <c r="F53" s="114">
        <v>29</v>
      </c>
      <c r="G53"/>
      <c r="H53" s="130" cm="1">
        <f t="array" ref="H53">SUMPRODUCT(Tracking[Amount], -- (Tracking[[Date ]]&lt;= Tracking[[#This Row],[Date ]]), (Tracking[[Type ]]&lt;&gt;"Income")*(-1) + (Tracking[[Type ]]="Income"))</f>
        <v>1499.1399999999999</v>
      </c>
      <c r="I5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45248</v>
      </c>
    </row>
    <row r="54" spans="3:13" x14ac:dyDescent="0.3">
      <c r="C54" s="112">
        <v>45249</v>
      </c>
      <c r="D54" t="s">
        <v>9</v>
      </c>
      <c r="E54" t="s">
        <v>26</v>
      </c>
      <c r="F54" s="114">
        <v>47</v>
      </c>
      <c r="G54"/>
      <c r="H54" s="130" cm="1">
        <f t="array" ref="H54">SUMPRODUCT(Tracking[Amount], -- (Tracking[[Date ]]&lt;= Tracking[[#This Row],[Date ]]), (Tracking[[Type ]]&lt;&gt;"Income")*(-1) + (Tracking[[Type ]]="Income"))</f>
        <v>1452.1399999999999</v>
      </c>
      <c r="I5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45249</v>
      </c>
    </row>
    <row r="55" spans="3:13" x14ac:dyDescent="0.3">
      <c r="C55" s="112">
        <v>45250</v>
      </c>
      <c r="D55" t="s">
        <v>9</v>
      </c>
      <c r="E55" t="s">
        <v>116</v>
      </c>
      <c r="F55" s="114">
        <v>61.5</v>
      </c>
      <c r="G55" t="s">
        <v>127</v>
      </c>
      <c r="H55" s="130" cm="1">
        <f t="array" ref="H55">SUMPRODUCT(Tracking[Amount], -- (Tracking[[Date ]]&lt;= Tracking[[#This Row],[Date ]]), (Tracking[[Type ]]&lt;&gt;"Income")*(-1) + (Tracking[[Type ]]="Income"))</f>
        <v>1384.6399999999999</v>
      </c>
      <c r="I5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45250</v>
      </c>
    </row>
    <row r="56" spans="3:13" x14ac:dyDescent="0.3">
      <c r="C56" s="112">
        <v>45250</v>
      </c>
      <c r="D56" t="s">
        <v>9</v>
      </c>
      <c r="E56" t="s">
        <v>121</v>
      </c>
      <c r="F56" s="114">
        <v>6</v>
      </c>
      <c r="G56"/>
      <c r="H56" s="130" cm="1">
        <f t="array" ref="H56">SUMPRODUCT(Tracking[Amount], -- (Tracking[[Date ]]&lt;= Tracking[[#This Row],[Date ]]), (Tracking[[Type ]]&lt;&gt;"Income")*(-1) + (Tracking[[Type ]]="Income"))</f>
        <v>1384.6399999999999</v>
      </c>
      <c r="I5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45250</v>
      </c>
    </row>
    <row r="57" spans="3:13" x14ac:dyDescent="0.3">
      <c r="C57" s="112">
        <v>45251</v>
      </c>
      <c r="D57" t="s">
        <v>9</v>
      </c>
      <c r="E57" t="s">
        <v>121</v>
      </c>
      <c r="F57" s="114">
        <v>3</v>
      </c>
      <c r="G57"/>
      <c r="H57" s="130" cm="1">
        <f t="array" ref="H57">SUMPRODUCT(Tracking[Amount], -- (Tracking[[Date ]]&lt;= Tracking[[#This Row],[Date ]]), (Tracking[[Type ]]&lt;&gt;"Income")*(-1) + (Tracking[[Type ]]="Income"))</f>
        <v>1381.6399999999999</v>
      </c>
      <c r="I5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45251</v>
      </c>
    </row>
    <row r="58" spans="3:13" x14ac:dyDescent="0.3">
      <c r="C58" s="112">
        <v>45252</v>
      </c>
      <c r="D58" t="s">
        <v>9</v>
      </c>
      <c r="E58" t="s">
        <v>121</v>
      </c>
      <c r="F58" s="114">
        <v>18</v>
      </c>
      <c r="G58"/>
      <c r="H58" s="130" cm="1">
        <f t="array" ref="H58">SUMPRODUCT(Tracking[Amount], -- (Tracking[[Date ]]&lt;= Tracking[[#This Row],[Date ]]), (Tracking[[Type ]]&lt;&gt;"Income")*(-1) + (Tracking[[Type ]]="Income"))</f>
        <v>1351.1399999999999</v>
      </c>
      <c r="I5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45252</v>
      </c>
    </row>
    <row r="59" spans="3:13" x14ac:dyDescent="0.3">
      <c r="C59" s="112">
        <v>45252</v>
      </c>
      <c r="D59" t="s">
        <v>9</v>
      </c>
      <c r="E59" t="s">
        <v>20</v>
      </c>
      <c r="F59" s="114">
        <v>9</v>
      </c>
      <c r="G59"/>
      <c r="H59" s="130" cm="1">
        <f t="array" ref="H59">SUMPRODUCT(Tracking[Amount], -- (Tracking[[Date ]]&lt;= Tracking[[#This Row],[Date ]]), (Tracking[[Type ]]&lt;&gt;"Income")*(-1) + (Tracking[[Type ]]="Income"))</f>
        <v>1351.1399999999999</v>
      </c>
      <c r="I5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45252</v>
      </c>
    </row>
    <row r="60" spans="3:13" x14ac:dyDescent="0.3">
      <c r="C60" s="112">
        <v>45252</v>
      </c>
      <c r="D60" t="s">
        <v>9</v>
      </c>
      <c r="E60" t="s">
        <v>26</v>
      </c>
      <c r="F60" s="114">
        <v>3.5</v>
      </c>
      <c r="G60"/>
      <c r="H60" s="130" cm="1">
        <f t="array" ref="H60">SUMPRODUCT(Tracking[Amount], -- (Tracking[[Date ]]&lt;= Tracking[[#This Row],[Date ]]), (Tracking[[Type ]]&lt;&gt;"Income")*(-1) + (Tracking[[Type ]]="Income"))</f>
        <v>1351.1399999999999</v>
      </c>
      <c r="I6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45252</v>
      </c>
    </row>
    <row r="61" spans="3:13" x14ac:dyDescent="0.3">
      <c r="C61" s="112">
        <v>45253</v>
      </c>
      <c r="D61" t="s">
        <v>9</v>
      </c>
      <c r="E61" t="s">
        <v>121</v>
      </c>
      <c r="F61" s="114">
        <v>3</v>
      </c>
      <c r="G61"/>
      <c r="H61" s="130" cm="1">
        <f t="array" ref="H61">SUMPRODUCT(Tracking[Amount], -- (Tracking[[Date ]]&lt;= Tracking[[#This Row],[Date ]]), (Tracking[[Type ]]&lt;&gt;"Income")*(-1) + (Tracking[[Type ]]="Income"))</f>
        <v>1348.1399999999999</v>
      </c>
      <c r="I6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45253</v>
      </c>
    </row>
    <row r="62" spans="3:13" x14ac:dyDescent="0.3">
      <c r="C62" s="112">
        <v>45254</v>
      </c>
      <c r="D62" t="s">
        <v>9</v>
      </c>
      <c r="E62" t="s">
        <v>27</v>
      </c>
      <c r="F62" s="114">
        <v>88.5</v>
      </c>
      <c r="G62" t="s">
        <v>128</v>
      </c>
      <c r="H62" s="130" cm="1">
        <f t="array" ref="H62">SUMPRODUCT(Tracking[Amount], -- (Tracking[[Date ]]&lt;= Tracking[[#This Row],[Date ]]), (Tracking[[Type ]]&lt;&gt;"Income")*(-1) + (Tracking[[Type ]]="Income"))</f>
        <v>1256.6399999999999</v>
      </c>
      <c r="I6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45254</v>
      </c>
    </row>
    <row r="63" spans="3:13" x14ac:dyDescent="0.3">
      <c r="C63" s="112">
        <v>45254</v>
      </c>
      <c r="D63" t="s">
        <v>9</v>
      </c>
      <c r="E63" t="s">
        <v>121</v>
      </c>
      <c r="F63" s="114">
        <v>3</v>
      </c>
      <c r="G63"/>
      <c r="H63" s="130" cm="1">
        <f t="array" ref="H63">SUMPRODUCT(Tracking[Amount], -- (Tracking[[Date ]]&lt;= Tracking[[#This Row],[Date ]]), (Tracking[[Type ]]&lt;&gt;"Income")*(-1) + (Tracking[[Type ]]="Income"))</f>
        <v>1256.6399999999999</v>
      </c>
      <c r="I6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45254</v>
      </c>
    </row>
    <row r="64" spans="3:13" x14ac:dyDescent="0.3">
      <c r="C64" s="112">
        <v>45255</v>
      </c>
      <c r="D64" t="s">
        <v>9</v>
      </c>
      <c r="E64" t="s">
        <v>121</v>
      </c>
      <c r="F64" s="114">
        <v>3</v>
      </c>
      <c r="G64"/>
      <c r="H64" s="130" cm="1">
        <f t="array" ref="H64">SUMPRODUCT(Tracking[Amount], -- (Tracking[[Date ]]&lt;= Tracking[[#This Row],[Date ]]), (Tracking[[Type ]]&lt;&gt;"Income")*(-1) + (Tracking[[Type ]]="Income"))</f>
        <v>1228.6399999999999</v>
      </c>
      <c r="I6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45255</v>
      </c>
    </row>
    <row r="65" spans="3:9" x14ac:dyDescent="0.3">
      <c r="C65" s="112">
        <v>45255</v>
      </c>
      <c r="D65" t="s">
        <v>9</v>
      </c>
      <c r="E65" t="s">
        <v>26</v>
      </c>
      <c r="F65" s="114">
        <v>25</v>
      </c>
      <c r="G65"/>
      <c r="H65" s="130" cm="1">
        <f t="array" ref="H65">SUMPRODUCT(Tracking[Amount], -- (Tracking[[Date ]]&lt;= Tracking[[#This Row],[Date ]]), (Tracking[[Type ]]&lt;&gt;"Income")*(-1) + (Tracking[[Type ]]="Income"))</f>
        <v>1228.6399999999999</v>
      </c>
      <c r="I6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45255</v>
      </c>
    </row>
    <row r="66" spans="3:9" x14ac:dyDescent="0.3">
      <c r="C66" s="112">
        <v>45256</v>
      </c>
      <c r="D66" t="s">
        <v>9</v>
      </c>
      <c r="E66" t="s">
        <v>26</v>
      </c>
      <c r="F66" s="114">
        <v>20</v>
      </c>
      <c r="G66"/>
      <c r="H66" s="130" cm="1">
        <f t="array" ref="H66">SUMPRODUCT(Tracking[Amount], -- (Tracking[[Date ]]&lt;= Tracking[[#This Row],[Date ]]), (Tracking[[Type ]]&lt;&gt;"Income")*(-1) + (Tracking[[Type ]]="Income"))</f>
        <v>1208.6399999999999</v>
      </c>
      <c r="I6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45256</v>
      </c>
    </row>
    <row r="67" spans="3:9" x14ac:dyDescent="0.3">
      <c r="C67" s="112">
        <v>45257</v>
      </c>
      <c r="D67" t="s">
        <v>9</v>
      </c>
      <c r="E67" t="s">
        <v>121</v>
      </c>
      <c r="F67" s="114">
        <v>3</v>
      </c>
      <c r="G67"/>
      <c r="H67" s="130" cm="1">
        <f t="array" ref="H67">SUMPRODUCT(Tracking[Amount], -- (Tracking[[Date ]]&lt;= Tracking[[#This Row],[Date ]]), (Tracking[[Type ]]&lt;&gt;"Income")*(-1) + (Tracking[[Type ]]="Income"))</f>
        <v>1193.1399999999999</v>
      </c>
      <c r="I6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45257</v>
      </c>
    </row>
    <row r="68" spans="3:9" x14ac:dyDescent="0.3">
      <c r="C68" s="112">
        <v>45257</v>
      </c>
      <c r="D68" t="s">
        <v>9</v>
      </c>
      <c r="E68" t="s">
        <v>20</v>
      </c>
      <c r="F68" s="114">
        <v>12.5</v>
      </c>
      <c r="G68"/>
      <c r="H68" s="130" cm="1">
        <f t="array" ref="H68">SUMPRODUCT(Tracking[Amount], -- (Tracking[[Date ]]&lt;= Tracking[[#This Row],[Date ]]), (Tracking[[Type ]]&lt;&gt;"Income")*(-1) + (Tracking[[Type ]]="Income"))</f>
        <v>1193.1399999999999</v>
      </c>
      <c r="I6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45257</v>
      </c>
    </row>
    <row r="69" spans="3:9" x14ac:dyDescent="0.3">
      <c r="C69" s="112">
        <v>45258</v>
      </c>
      <c r="D69" t="s">
        <v>9</v>
      </c>
      <c r="E69" t="s">
        <v>121</v>
      </c>
      <c r="F69" s="114">
        <v>3</v>
      </c>
      <c r="G69"/>
      <c r="H69" s="130" cm="1">
        <f t="array" ref="H69">SUMPRODUCT(Tracking[Amount], -- (Tracking[[Date ]]&lt;= Tracking[[#This Row],[Date ]]), (Tracking[[Type ]]&lt;&gt;"Income")*(-1) + (Tracking[[Type ]]="Income"))</f>
        <v>2284.14</v>
      </c>
      <c r="I6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45258</v>
      </c>
    </row>
    <row r="70" spans="3:9" x14ac:dyDescent="0.3">
      <c r="C70" s="112">
        <v>45258</v>
      </c>
      <c r="D70" t="s">
        <v>9</v>
      </c>
      <c r="E70" t="s">
        <v>116</v>
      </c>
      <c r="F70" s="114">
        <v>13</v>
      </c>
      <c r="G70" t="s">
        <v>129</v>
      </c>
      <c r="H70" s="130" cm="1">
        <f t="array" ref="H70">SUMPRODUCT(Tracking[Amount], -- (Tracking[[Date ]]&lt;= Tracking[[#This Row],[Date ]]), (Tracking[[Type ]]&lt;&gt;"Income")*(-1) + (Tracking[[Type ]]="Income"))</f>
        <v>2284.14</v>
      </c>
      <c r="I7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45258</v>
      </c>
    </row>
    <row r="71" spans="3:9" x14ac:dyDescent="0.3">
      <c r="C71" s="112">
        <v>45258</v>
      </c>
      <c r="D71" t="s">
        <v>6</v>
      </c>
      <c r="E71" t="s">
        <v>19</v>
      </c>
      <c r="F71" s="114">
        <v>1119</v>
      </c>
      <c r="G71"/>
      <c r="H71" s="130" cm="1">
        <f t="array" ref="H71">SUMPRODUCT(Tracking[Amount], -- (Tracking[[Date ]]&lt;= Tracking[[#This Row],[Date ]]), (Tracking[[Type ]]&lt;&gt;"Income")*(-1) + (Tracking[[Type ]]="Income"))</f>
        <v>2284.14</v>
      </c>
      <c r="I7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45261</v>
      </c>
    </row>
    <row r="72" spans="3:9" x14ac:dyDescent="0.3">
      <c r="C72" s="112">
        <v>45258</v>
      </c>
      <c r="D72" t="s">
        <v>9</v>
      </c>
      <c r="E72" t="s">
        <v>26</v>
      </c>
      <c r="F72" s="114">
        <v>12</v>
      </c>
      <c r="G72"/>
      <c r="H72" s="130" cm="1">
        <f t="array" ref="H72">SUMPRODUCT(Tracking[Amount], -- (Tracking[[Date ]]&lt;= Tracking[[#This Row],[Date ]]), (Tracking[[Type ]]&lt;&gt;"Income")*(-1) + (Tracking[[Type ]]="Income"))</f>
        <v>2284.14</v>
      </c>
      <c r="I7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45258</v>
      </c>
    </row>
    <row r="73" spans="3:9" x14ac:dyDescent="0.3">
      <c r="C73" s="112">
        <v>45259</v>
      </c>
      <c r="D73" t="s">
        <v>9</v>
      </c>
      <c r="E73" t="s">
        <v>121</v>
      </c>
      <c r="F73" s="114">
        <v>3</v>
      </c>
      <c r="G73"/>
      <c r="H73" s="130" cm="1">
        <f t="array" ref="H73">SUMPRODUCT(Tracking[Amount], -- (Tracking[[Date ]]&lt;= Tracking[[#This Row],[Date ]]), (Tracking[[Type ]]&lt;&gt;"Income")*(-1) + (Tracking[[Type ]]="Income"))</f>
        <v>2281.14</v>
      </c>
      <c r="I7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45259</v>
      </c>
    </row>
    <row r="74" spans="3:9" x14ac:dyDescent="0.3">
      <c r="C74" s="112">
        <v>45260</v>
      </c>
      <c r="D74" t="s">
        <v>9</v>
      </c>
      <c r="E74" t="s">
        <v>121</v>
      </c>
      <c r="F74" s="114">
        <v>10.5</v>
      </c>
      <c r="G74"/>
      <c r="H74" s="130" cm="1">
        <f t="array" ref="H74">SUMPRODUCT(Tracking[Amount], -- (Tracking[[Date ]]&lt;= Tracking[[#This Row],[Date ]]), (Tracking[[Type ]]&lt;&gt;"Income")*(-1) + (Tracking[[Type ]]="Income"))</f>
        <v>2253.64</v>
      </c>
      <c r="I7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45260</v>
      </c>
    </row>
    <row r="75" spans="3:9" x14ac:dyDescent="0.3">
      <c r="C75" s="112">
        <v>45260</v>
      </c>
      <c r="D75" t="s">
        <v>9</v>
      </c>
      <c r="E75" t="s">
        <v>116</v>
      </c>
      <c r="F75" s="114">
        <v>17</v>
      </c>
      <c r="G75" t="s">
        <v>130</v>
      </c>
      <c r="H75" s="130" cm="1">
        <f t="array" ref="H75">SUMPRODUCT(Tracking[Amount], -- (Tracking[[Date ]]&lt;= Tracking[[#This Row],[Date ]]), (Tracking[[Type ]]&lt;&gt;"Income")*(-1) + (Tracking[[Type ]]="Income"))</f>
        <v>2253.64</v>
      </c>
      <c r="I7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45260</v>
      </c>
    </row>
    <row r="76" spans="3:9" x14ac:dyDescent="0.3">
      <c r="C76" s="112">
        <v>45261</v>
      </c>
      <c r="D76" t="s">
        <v>9</v>
      </c>
      <c r="E76" t="s">
        <v>131</v>
      </c>
      <c r="F76" s="114">
        <v>45.9</v>
      </c>
      <c r="G76"/>
      <c r="H76" s="130" cm="1">
        <f t="array" ref="H76">SUMPRODUCT(Tracking[Amount], -- (Tracking[[Date ]]&lt;= Tracking[[#This Row],[Date ]]), (Tracking[[Type ]]&lt;&gt;"Income")*(-1) + (Tracking[[Type ]]="Income"))</f>
        <v>2204.7399999999998</v>
      </c>
      <c r="I7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45261</v>
      </c>
    </row>
    <row r="77" spans="3:9" x14ac:dyDescent="0.3">
      <c r="C77" s="112">
        <v>45261</v>
      </c>
      <c r="D77" t="s">
        <v>9</v>
      </c>
      <c r="E77" t="s">
        <v>121</v>
      </c>
      <c r="F77" s="114">
        <v>3</v>
      </c>
      <c r="G77"/>
      <c r="H77" s="130" cm="1">
        <f t="array" ref="H77">SUMPRODUCT(Tracking[Amount], -- (Tracking[[Date ]]&lt;= Tracking[[#This Row],[Date ]]), (Tracking[[Type ]]&lt;&gt;"Income")*(-1) + (Tracking[[Type ]]="Income"))</f>
        <v>2204.7399999999998</v>
      </c>
      <c r="I7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45261</v>
      </c>
    </row>
    <row r="78" spans="3:9" x14ac:dyDescent="0.3">
      <c r="C78" s="112">
        <v>45262</v>
      </c>
      <c r="D78" t="s">
        <v>9</v>
      </c>
      <c r="E78" t="s">
        <v>121</v>
      </c>
      <c r="F78" s="114">
        <v>3</v>
      </c>
      <c r="G78"/>
      <c r="H78" s="130" cm="1">
        <f t="array" ref="H78">SUMPRODUCT(Tracking[Amount], -- (Tracking[[Date ]]&lt;= Tracking[[#This Row],[Date ]]), (Tracking[[Type ]]&lt;&gt;"Income")*(-1) + (Tracking[[Type ]]="Income"))</f>
        <v>2199.2399999999998</v>
      </c>
      <c r="I7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45262</v>
      </c>
    </row>
    <row r="79" spans="3:9" x14ac:dyDescent="0.3">
      <c r="C79" s="112">
        <v>45262</v>
      </c>
      <c r="D79" t="s">
        <v>9</v>
      </c>
      <c r="E79" t="s">
        <v>20</v>
      </c>
      <c r="F79" s="114">
        <v>2.5</v>
      </c>
      <c r="G79"/>
      <c r="H79" s="130" cm="1">
        <f t="array" ref="H79">SUMPRODUCT(Tracking[Amount], -- (Tracking[[Date ]]&lt;= Tracking[[#This Row],[Date ]]), (Tracking[[Type ]]&lt;&gt;"Income")*(-1) + (Tracking[[Type ]]="Income"))</f>
        <v>2199.2399999999998</v>
      </c>
      <c r="I7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45262</v>
      </c>
    </row>
    <row r="80" spans="3:9" x14ac:dyDescent="0.3">
      <c r="C80" s="112">
        <v>45263</v>
      </c>
      <c r="D80" t="s">
        <v>9</v>
      </c>
      <c r="E80" t="s">
        <v>121</v>
      </c>
      <c r="F80" s="114">
        <v>17.5</v>
      </c>
      <c r="G80"/>
      <c r="H80" s="130" cm="1">
        <f t="array" ref="H80">SUMPRODUCT(Tracking[Amount], -- (Tracking[[Date ]]&lt;= Tracking[[#This Row],[Date ]]), (Tracking[[Type ]]&lt;&gt;"Income")*(-1) + (Tracking[[Type ]]="Income"))</f>
        <v>2181.7399999999998</v>
      </c>
      <c r="I8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45263</v>
      </c>
    </row>
    <row r="81" spans="3:9" x14ac:dyDescent="0.3">
      <c r="C81" s="112">
        <v>45264</v>
      </c>
      <c r="D81" t="s">
        <v>9</v>
      </c>
      <c r="E81" t="s">
        <v>121</v>
      </c>
      <c r="F81" s="114">
        <v>3</v>
      </c>
      <c r="G81"/>
      <c r="H81" s="130" cm="1">
        <f t="array" ref="H81">SUMPRODUCT(Tracking[Amount], -- (Tracking[[Date ]]&lt;= Tracking[[#This Row],[Date ]]), (Tracking[[Type ]]&lt;&gt;"Income")*(-1) + (Tracking[[Type ]]="Income"))</f>
        <v>2172.7399999999998</v>
      </c>
      <c r="I8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45264</v>
      </c>
    </row>
    <row r="82" spans="3:9" x14ac:dyDescent="0.3">
      <c r="C82" s="112">
        <v>45264</v>
      </c>
      <c r="D82" t="s">
        <v>9</v>
      </c>
      <c r="E82" t="s">
        <v>20</v>
      </c>
      <c r="F82" s="114">
        <v>6</v>
      </c>
      <c r="G82"/>
      <c r="H82" s="130" cm="1">
        <f t="array" ref="H82">SUMPRODUCT(Tracking[Amount], -- (Tracking[[Date ]]&lt;= Tracking[[#This Row],[Date ]]), (Tracking[[Type ]]&lt;&gt;"Income")*(-1) + (Tracking[[Type ]]="Income"))</f>
        <v>2172.7399999999998</v>
      </c>
      <c r="I8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45264</v>
      </c>
    </row>
    <row r="83" spans="3:9" x14ac:dyDescent="0.3">
      <c r="C83" s="112">
        <v>45265</v>
      </c>
      <c r="D83" t="s">
        <v>9</v>
      </c>
      <c r="E83" t="s">
        <v>121</v>
      </c>
      <c r="F83" s="114">
        <v>3</v>
      </c>
      <c r="G83"/>
      <c r="H83" s="130" cm="1">
        <f t="array" ref="H83">SUMPRODUCT(Tracking[Amount], -- (Tracking[[Date ]]&lt;= Tracking[[#This Row],[Date ]]), (Tracking[[Type ]]&lt;&gt;"Income")*(-1) + (Tracking[[Type ]]="Income"))</f>
        <v>2169.7399999999998</v>
      </c>
      <c r="I8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45265</v>
      </c>
    </row>
    <row r="84" spans="3:9" x14ac:dyDescent="0.3">
      <c r="C84" s="112">
        <v>45267</v>
      </c>
      <c r="D84" t="s">
        <v>9</v>
      </c>
      <c r="E84" t="s">
        <v>121</v>
      </c>
      <c r="F84" s="114">
        <v>13.5</v>
      </c>
      <c r="G84"/>
      <c r="H84" s="130" cm="1">
        <f t="array" ref="H84">SUMPRODUCT(Tracking[Amount], -- (Tracking[[Date ]]&lt;= Tracking[[#This Row],[Date ]]), (Tracking[[Type ]]&lt;&gt;"Income")*(-1) + (Tracking[[Type ]]="Income"))</f>
        <v>2156.2399999999998</v>
      </c>
      <c r="I8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45267</v>
      </c>
    </row>
    <row r="85" spans="3:9" x14ac:dyDescent="0.3">
      <c r="C85" s="112">
        <v>45268</v>
      </c>
      <c r="D85" t="s">
        <v>9</v>
      </c>
      <c r="E85" t="s">
        <v>121</v>
      </c>
      <c r="F85" s="114">
        <v>6</v>
      </c>
      <c r="G85"/>
      <c r="H85" s="130" cm="1">
        <f t="array" ref="H85">SUMPRODUCT(Tracking[Amount], -- (Tracking[[Date ]]&lt;= Tracking[[#This Row],[Date ]]), (Tracking[[Type ]]&lt;&gt;"Income")*(-1) + (Tracking[[Type ]]="Income"))</f>
        <v>2150.2399999999998</v>
      </c>
      <c r="I8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45268</v>
      </c>
    </row>
    <row r="86" spans="3:9" x14ac:dyDescent="0.3">
      <c r="C86" s="112">
        <v>45269</v>
      </c>
      <c r="D86" t="s">
        <v>9</v>
      </c>
      <c r="E86" t="s">
        <v>26</v>
      </c>
      <c r="F86" s="114">
        <v>18.5</v>
      </c>
      <c r="G86"/>
      <c r="H86" s="130" cm="1">
        <f t="array" ref="H86">SUMPRODUCT(Tracking[Amount], -- (Tracking[[Date ]]&lt;= Tracking[[#This Row],[Date ]]), (Tracking[[Type ]]&lt;&gt;"Income")*(-1) + (Tracking[[Type ]]="Income"))</f>
        <v>2131.7399999999998</v>
      </c>
      <c r="I8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45269</v>
      </c>
    </row>
    <row r="87" spans="3:9" x14ac:dyDescent="0.3">
      <c r="C87" s="112">
        <v>45270</v>
      </c>
      <c r="D87" t="s">
        <v>9</v>
      </c>
      <c r="E87" t="s">
        <v>26</v>
      </c>
      <c r="F87" s="114">
        <v>19</v>
      </c>
      <c r="G87"/>
      <c r="H87" s="130" cm="1">
        <f t="array" ref="H87">SUMPRODUCT(Tracking[Amount], -- (Tracking[[Date ]]&lt;= Tracking[[#This Row],[Date ]]), (Tracking[[Type ]]&lt;&gt;"Income")*(-1) + (Tracking[[Type ]]="Income"))</f>
        <v>2109.7399999999998</v>
      </c>
      <c r="I8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45270</v>
      </c>
    </row>
    <row r="88" spans="3:9" x14ac:dyDescent="0.3">
      <c r="C88" s="112">
        <v>45270</v>
      </c>
      <c r="D88" t="s">
        <v>9</v>
      </c>
      <c r="E88" t="s">
        <v>121</v>
      </c>
      <c r="F88" s="114">
        <v>3</v>
      </c>
      <c r="G88"/>
      <c r="H88" s="130" cm="1">
        <f t="array" ref="H88">SUMPRODUCT(Tracking[Amount], -- (Tracking[[Date ]]&lt;= Tracking[[#This Row],[Date ]]), (Tracking[[Type ]]&lt;&gt;"Income")*(-1) + (Tracking[[Type ]]="Income"))</f>
        <v>2109.7399999999998</v>
      </c>
      <c r="I8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45270</v>
      </c>
    </row>
    <row r="89" spans="3:9" x14ac:dyDescent="0.3">
      <c r="C89" s="112">
        <v>45271</v>
      </c>
      <c r="D89" t="s">
        <v>9</v>
      </c>
      <c r="E89" t="s">
        <v>20</v>
      </c>
      <c r="F89" s="114">
        <v>13</v>
      </c>
      <c r="G89"/>
      <c r="H89" s="130" cm="1">
        <f t="array" ref="H89">SUMPRODUCT(Tracking[Amount], -- (Tracking[[Date ]]&lt;= Tracking[[#This Row],[Date ]]), (Tracking[[Type ]]&lt;&gt;"Income")*(-1) + (Tracking[[Type ]]="Income"))</f>
        <v>2096.7399999999998</v>
      </c>
      <c r="I8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45271</v>
      </c>
    </row>
    <row r="90" spans="3:9" x14ac:dyDescent="0.3">
      <c r="C90" s="112">
        <v>45272</v>
      </c>
      <c r="D90" t="s">
        <v>9</v>
      </c>
      <c r="E90" t="s">
        <v>121</v>
      </c>
      <c r="F90" s="114">
        <v>6</v>
      </c>
      <c r="G90"/>
      <c r="H90" s="130" cm="1">
        <f t="array" ref="H90">SUMPRODUCT(Tracking[Amount], -- (Tracking[[Date ]]&lt;= Tracking[[#This Row],[Date ]]), (Tracking[[Type ]]&lt;&gt;"Income")*(-1) + (Tracking[[Type ]]="Income"))</f>
        <v>2089.2399999999998</v>
      </c>
      <c r="I9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45272</v>
      </c>
    </row>
    <row r="91" spans="3:9" x14ac:dyDescent="0.3">
      <c r="C91" s="112">
        <v>45272</v>
      </c>
      <c r="D91" t="s">
        <v>9</v>
      </c>
      <c r="E91" t="s">
        <v>20</v>
      </c>
      <c r="F91" s="114">
        <v>1.5</v>
      </c>
      <c r="G91"/>
      <c r="H91" s="130" cm="1">
        <f t="array" ref="H91">SUMPRODUCT(Tracking[Amount], -- (Tracking[[Date ]]&lt;= Tracking[[#This Row],[Date ]]), (Tracking[[Type ]]&lt;&gt;"Income")*(-1) + (Tracking[[Type ]]="Income"))</f>
        <v>2089.2399999999998</v>
      </c>
      <c r="I9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45272</v>
      </c>
    </row>
    <row r="92" spans="3:9" x14ac:dyDescent="0.3">
      <c r="C92" s="112">
        <v>45273</v>
      </c>
      <c r="D92" t="s">
        <v>9</v>
      </c>
      <c r="E92" t="s">
        <v>121</v>
      </c>
      <c r="F92" s="114">
        <v>20.5</v>
      </c>
      <c r="G92"/>
      <c r="H92" s="130" cm="1">
        <f t="array" ref="H92">SUMPRODUCT(Tracking[Amount], -- (Tracking[[Date ]]&lt;= Tracking[[#This Row],[Date ]]), (Tracking[[Type ]]&lt;&gt;"Income")*(-1) + (Tracking[[Type ]]="Income"))</f>
        <v>2393.7399999999998</v>
      </c>
      <c r="I9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45273</v>
      </c>
    </row>
    <row r="93" spans="3:9" x14ac:dyDescent="0.3">
      <c r="C93" s="112">
        <v>45273</v>
      </c>
      <c r="D93" t="s">
        <v>6</v>
      </c>
      <c r="E93" t="s">
        <v>19</v>
      </c>
      <c r="F93" s="114">
        <v>325</v>
      </c>
      <c r="G93"/>
      <c r="H93" s="130" cm="1">
        <f t="array" ref="H93">SUMPRODUCT(Tracking[Amount], -- (Tracking[[Date ]]&lt;= Tracking[[#This Row],[Date ]]), (Tracking[[Type ]]&lt;&gt;"Income")*(-1) + (Tracking[[Type ]]="Income"))</f>
        <v>2393.7399999999998</v>
      </c>
      <c r="I9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45273</v>
      </c>
    </row>
    <row r="94" spans="3:9" x14ac:dyDescent="0.3">
      <c r="C94" s="112">
        <v>45274</v>
      </c>
      <c r="D94" t="s">
        <v>9</v>
      </c>
      <c r="E94" t="s">
        <v>121</v>
      </c>
      <c r="F94" s="114">
        <v>8.5</v>
      </c>
      <c r="G94"/>
      <c r="H94" s="130" cm="1">
        <f t="array" ref="H94">SUMPRODUCT(Tracking[Amount], -- (Tracking[[Date ]]&lt;= Tracking[[#This Row],[Date ]]), (Tracking[[Type ]]&lt;&gt;"Income")*(-1) + (Tracking[[Type ]]="Income"))</f>
        <v>2385.2399999999998</v>
      </c>
      <c r="I9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45274</v>
      </c>
    </row>
    <row r="95" spans="3:9" x14ac:dyDescent="0.3">
      <c r="C95" s="112">
        <v>45275</v>
      </c>
      <c r="D95" t="s">
        <v>9</v>
      </c>
      <c r="E95" t="s">
        <v>121</v>
      </c>
      <c r="F95" s="114">
        <v>3.5</v>
      </c>
      <c r="G95"/>
      <c r="H95" s="130" cm="1">
        <f t="array" ref="H95">SUMPRODUCT(Tracking[Amount], -- (Tracking[[Date ]]&lt;= Tracking[[#This Row],[Date ]]), (Tracking[[Type ]]&lt;&gt;"Income")*(-1) + (Tracking[[Type ]]="Income"))</f>
        <v>2381.7399999999998</v>
      </c>
      <c r="I9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45275</v>
      </c>
    </row>
    <row r="96" spans="3:9" x14ac:dyDescent="0.3">
      <c r="C96" s="112">
        <v>45276</v>
      </c>
      <c r="D96" t="s">
        <v>9</v>
      </c>
      <c r="E96" t="s">
        <v>121</v>
      </c>
      <c r="F96" s="114">
        <v>6</v>
      </c>
      <c r="G96"/>
      <c r="H96" s="130" cm="1">
        <f t="array" ref="H96">SUMPRODUCT(Tracking[Amount], -- (Tracking[[Date ]]&lt;= Tracking[[#This Row],[Date ]]), (Tracking[[Type ]]&lt;&gt;"Income")*(-1) + (Tracking[[Type ]]="Income"))</f>
        <v>2363.7399999999998</v>
      </c>
      <c r="I9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45276</v>
      </c>
    </row>
    <row r="97" spans="3:9" x14ac:dyDescent="0.3">
      <c r="C97" s="112">
        <v>45276</v>
      </c>
      <c r="D97" t="s">
        <v>9</v>
      </c>
      <c r="E97" t="s">
        <v>26</v>
      </c>
      <c r="F97" s="114">
        <v>12</v>
      </c>
      <c r="G97"/>
      <c r="H97" s="130" cm="1">
        <f t="array" ref="H97">SUMPRODUCT(Tracking[Amount], -- (Tracking[[Date ]]&lt;= Tracking[[#This Row],[Date ]]), (Tracking[[Type ]]&lt;&gt;"Income")*(-1) + (Tracking[[Type ]]="Income"))</f>
        <v>2363.7399999999998</v>
      </c>
      <c r="I9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45276</v>
      </c>
    </row>
    <row r="98" spans="3:9" x14ac:dyDescent="0.3">
      <c r="C98" s="112">
        <v>45277</v>
      </c>
      <c r="D98" t="s">
        <v>9</v>
      </c>
      <c r="E98" t="s">
        <v>26</v>
      </c>
      <c r="F98" s="114">
        <v>28.5</v>
      </c>
      <c r="G98"/>
      <c r="H98" s="130" cm="1">
        <f t="array" ref="H98">SUMPRODUCT(Tracking[Amount], -- (Tracking[[Date ]]&lt;= Tracking[[#This Row],[Date ]]), (Tracking[[Type ]]&lt;&gt;"Income")*(-1) + (Tracking[[Type ]]="Income"))</f>
        <v>2335.2399999999998</v>
      </c>
      <c r="I9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45277</v>
      </c>
    </row>
    <row r="99" spans="3:9" x14ac:dyDescent="0.3">
      <c r="C99" s="112">
        <v>45278</v>
      </c>
      <c r="D99" t="s">
        <v>9</v>
      </c>
      <c r="E99" t="s">
        <v>20</v>
      </c>
      <c r="F99" s="114">
        <v>3</v>
      </c>
      <c r="G99"/>
      <c r="H99" s="130" cm="1">
        <f t="array" ref="H99">SUMPRODUCT(Tracking[Amount], -- (Tracking[[Date ]]&lt;= Tracking[[#This Row],[Date ]]), (Tracking[[Type ]]&lt;&gt;"Income")*(-1) + (Tracking[[Type ]]="Income"))</f>
        <v>2329.2399999999998</v>
      </c>
      <c r="I9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45278</v>
      </c>
    </row>
    <row r="100" spans="3:9" x14ac:dyDescent="0.3">
      <c r="C100" s="112">
        <v>45278</v>
      </c>
      <c r="D100" t="s">
        <v>9</v>
      </c>
      <c r="E100" t="s">
        <v>121</v>
      </c>
      <c r="F100" s="114">
        <v>3</v>
      </c>
      <c r="G100"/>
      <c r="H100" s="130" cm="1">
        <f t="array" ref="H100">SUMPRODUCT(Tracking[Amount], -- (Tracking[[Date ]]&lt;= Tracking[[#This Row],[Date ]]), (Tracking[[Type ]]&lt;&gt;"Income")*(-1) + (Tracking[[Type ]]="Income"))</f>
        <v>2329.2399999999998</v>
      </c>
      <c r="I10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45278</v>
      </c>
    </row>
    <row r="101" spans="3:9" x14ac:dyDescent="0.3">
      <c r="C101" s="112">
        <v>45279</v>
      </c>
      <c r="D101" t="s">
        <v>9</v>
      </c>
      <c r="E101" t="s">
        <v>121</v>
      </c>
      <c r="F101" s="114">
        <v>3</v>
      </c>
      <c r="G101"/>
      <c r="H101" s="130" cm="1">
        <f t="array" ref="H101">SUMPRODUCT(Tracking[Amount], -- (Tracking[[Date ]]&lt;= Tracking[[#This Row],[Date ]]), (Tracking[[Type ]]&lt;&gt;"Income")*(-1) + (Tracking[[Type ]]="Income"))</f>
        <v>2326.2399999999998</v>
      </c>
      <c r="I10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45279</v>
      </c>
    </row>
    <row r="102" spans="3:9" x14ac:dyDescent="0.3">
      <c r="C102" s="112">
        <v>45280</v>
      </c>
      <c r="D102" t="s">
        <v>9</v>
      </c>
      <c r="E102" t="s">
        <v>121</v>
      </c>
      <c r="F102" s="114">
        <v>8</v>
      </c>
      <c r="G102"/>
      <c r="H102" s="130" cm="1">
        <f t="array" ref="H102">SUMPRODUCT(Tracking[Amount], -- (Tracking[[Date ]]&lt;= Tracking[[#This Row],[Date ]]), (Tracking[[Type ]]&lt;&gt;"Income")*(-1) + (Tracking[[Type ]]="Income"))</f>
        <v>2318.2399999999998</v>
      </c>
      <c r="I10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45280</v>
      </c>
    </row>
    <row r="103" spans="3:9" x14ac:dyDescent="0.3">
      <c r="C103" s="112">
        <v>45281</v>
      </c>
      <c r="D103" t="s">
        <v>9</v>
      </c>
      <c r="E103" t="s">
        <v>121</v>
      </c>
      <c r="F103" s="114">
        <v>5.6</v>
      </c>
      <c r="G103"/>
      <c r="H103" s="130" cm="1">
        <f t="array" ref="H103">SUMPRODUCT(Tracking[Amount], -- (Tracking[[Date ]]&lt;= Tracking[[#This Row],[Date ]]), (Tracking[[Type ]]&lt;&gt;"Income")*(-1) + (Tracking[[Type ]]="Income"))</f>
        <v>2312.64</v>
      </c>
      <c r="I10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45281</v>
      </c>
    </row>
    <row r="104" spans="3:9" x14ac:dyDescent="0.3">
      <c r="C104" s="112">
        <v>45282</v>
      </c>
      <c r="D104" t="s">
        <v>9</v>
      </c>
      <c r="E104" t="s">
        <v>116</v>
      </c>
      <c r="F104" s="114">
        <v>8.3000000000000007</v>
      </c>
      <c r="G104" t="s">
        <v>132</v>
      </c>
      <c r="H104" s="130" cm="1">
        <f t="array" ref="H104">SUMPRODUCT(Tracking[Amount], -- (Tracking[[Date ]]&lt;= Tracking[[#This Row],[Date ]]), (Tracking[[Type ]]&lt;&gt;"Income")*(-1) + (Tracking[[Type ]]="Income"))</f>
        <v>3365.3399999999997</v>
      </c>
      <c r="I10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45282</v>
      </c>
    </row>
    <row r="105" spans="3:9" x14ac:dyDescent="0.3">
      <c r="C105" s="112">
        <v>45282</v>
      </c>
      <c r="D105" t="s">
        <v>6</v>
      </c>
      <c r="E105" t="s">
        <v>19</v>
      </c>
      <c r="F105" s="114">
        <v>1061</v>
      </c>
      <c r="G105"/>
      <c r="H105" s="130" cm="1">
        <f t="array" ref="H105">SUMPRODUCT(Tracking[Amount], -- (Tracking[[Date ]]&lt;= Tracking[[#This Row],[Date ]]), (Tracking[[Type ]]&lt;&gt;"Income")*(-1) + (Tracking[[Type ]]="Income"))</f>
        <v>3365.3399999999997</v>
      </c>
      <c r="I10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45292</v>
      </c>
    </row>
    <row r="106" spans="3:9" x14ac:dyDescent="0.3">
      <c r="C106" s="112">
        <v>45284</v>
      </c>
      <c r="D106" t="s">
        <v>9</v>
      </c>
      <c r="E106" t="s">
        <v>20</v>
      </c>
      <c r="F106" s="114">
        <v>18</v>
      </c>
      <c r="G106"/>
      <c r="H106" s="130" cm="1">
        <f t="array" ref="H106">SUMPRODUCT(Tracking[Amount], -- (Tracking[[Date ]]&lt;= Tracking[[#This Row],[Date ]]), (Tracking[[Type ]]&lt;&gt;"Income")*(-1) + (Tracking[[Type ]]="Income"))</f>
        <v>3347.3399999999997</v>
      </c>
      <c r="I10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45284</v>
      </c>
    </row>
    <row r="107" spans="3:9" x14ac:dyDescent="0.3">
      <c r="C107" s="112">
        <v>45285</v>
      </c>
      <c r="D107" t="s">
        <v>9</v>
      </c>
      <c r="E107" t="s">
        <v>116</v>
      </c>
      <c r="F107" s="114">
        <v>75</v>
      </c>
      <c r="G107" t="s">
        <v>133</v>
      </c>
      <c r="H107" s="130" cm="1">
        <f t="array" ref="H107">SUMPRODUCT(Tracking[Amount], -- (Tracking[[Date ]]&lt;= Tracking[[#This Row],[Date ]]), (Tracking[[Type ]]&lt;&gt;"Income")*(-1) + (Tracking[[Type ]]="Income"))</f>
        <v>3272.3399999999997</v>
      </c>
      <c r="I10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45285</v>
      </c>
    </row>
    <row r="108" spans="3:9" x14ac:dyDescent="0.3">
      <c r="C108" s="112">
        <v>45287</v>
      </c>
      <c r="D108" t="s">
        <v>9</v>
      </c>
      <c r="E108" t="s">
        <v>26</v>
      </c>
      <c r="F108" s="114">
        <v>5</v>
      </c>
      <c r="G108"/>
      <c r="H108" s="130" cm="1">
        <f t="array" ref="H108">SUMPRODUCT(Tracking[Amount], -- (Tracking[[Date ]]&lt;= Tracking[[#This Row],[Date ]]), (Tracking[[Type ]]&lt;&gt;"Income")*(-1) + (Tracking[[Type ]]="Income"))</f>
        <v>3258.8399999999997</v>
      </c>
      <c r="I10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45287</v>
      </c>
    </row>
    <row r="109" spans="3:9" x14ac:dyDescent="0.3">
      <c r="C109" s="112">
        <v>45287</v>
      </c>
      <c r="D109" t="s">
        <v>9</v>
      </c>
      <c r="E109" t="s">
        <v>121</v>
      </c>
      <c r="F109" s="114">
        <v>8.5</v>
      </c>
      <c r="G109"/>
      <c r="H109" s="130" cm="1">
        <f t="array" ref="H109">SUMPRODUCT(Tracking[Amount], -- (Tracking[[Date ]]&lt;= Tracking[[#This Row],[Date ]]), (Tracking[[Type ]]&lt;&gt;"Income")*(-1) + (Tracking[[Type ]]="Income"))</f>
        <v>3258.8399999999997</v>
      </c>
      <c r="I10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45287</v>
      </c>
    </row>
    <row r="110" spans="3:9" x14ac:dyDescent="0.3">
      <c r="C110" s="112">
        <v>45288</v>
      </c>
      <c r="D110" t="s">
        <v>9</v>
      </c>
      <c r="E110" t="s">
        <v>26</v>
      </c>
      <c r="F110" s="114">
        <v>24</v>
      </c>
      <c r="G110"/>
      <c r="H110" s="130" cm="1">
        <f t="array" ref="H110">SUMPRODUCT(Tracking[Amount], -- (Tracking[[Date ]]&lt;= Tracking[[#This Row],[Date ]]), (Tracking[[Type ]]&lt;&gt;"Income")*(-1) + (Tracking[[Type ]]="Income"))</f>
        <v>3211.8399999999997</v>
      </c>
      <c r="I11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45288</v>
      </c>
    </row>
    <row r="111" spans="3:9" x14ac:dyDescent="0.3">
      <c r="C111" s="112">
        <v>45288</v>
      </c>
      <c r="D111" t="s">
        <v>9</v>
      </c>
      <c r="E111" t="s">
        <v>116</v>
      </c>
      <c r="F111" s="114">
        <v>23</v>
      </c>
      <c r="G111" t="s">
        <v>134</v>
      </c>
      <c r="H111" s="130" cm="1">
        <f t="array" ref="H111">SUMPRODUCT(Tracking[Amount], -- (Tracking[[Date ]]&lt;= Tracking[[#This Row],[Date ]]), (Tracking[[Type ]]&lt;&gt;"Income")*(-1) + (Tracking[[Type ]]="Income"))</f>
        <v>3211.8399999999997</v>
      </c>
      <c r="I11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45288</v>
      </c>
    </row>
    <row r="112" spans="3:9" x14ac:dyDescent="0.3">
      <c r="C112" s="112">
        <v>45290</v>
      </c>
      <c r="D112" t="s">
        <v>9</v>
      </c>
      <c r="E112" t="s">
        <v>116</v>
      </c>
      <c r="F112" s="114">
        <v>13</v>
      </c>
      <c r="G112"/>
      <c r="H112" s="130" cm="1">
        <f t="array" ref="H112">SUMPRODUCT(Tracking[Amount], -- (Tracking[[Date ]]&lt;= Tracking[[#This Row],[Date ]]), (Tracking[[Type ]]&lt;&gt;"Income")*(-1) + (Tracking[[Type ]]="Income"))</f>
        <v>3198.8399999999997</v>
      </c>
      <c r="I11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45290</v>
      </c>
    </row>
    <row r="113" spans="3:9" x14ac:dyDescent="0.3">
      <c r="C113" s="112">
        <v>45291</v>
      </c>
      <c r="D113" t="s">
        <v>9</v>
      </c>
      <c r="E113" t="s">
        <v>26</v>
      </c>
      <c r="F113" s="114">
        <v>3.5</v>
      </c>
      <c r="G113"/>
      <c r="H113" s="130" cm="1">
        <f t="array" ref="H113">SUMPRODUCT(Tracking[Amount], -- (Tracking[[Date ]]&lt;= Tracking[[#This Row],[Date ]]), (Tracking[[Type ]]&lt;&gt;"Income")*(-1) + (Tracking[[Type ]]="Income"))</f>
        <v>3149.74</v>
      </c>
      <c r="I11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45291</v>
      </c>
    </row>
    <row r="114" spans="3:9" x14ac:dyDescent="0.3">
      <c r="C114" s="112">
        <v>45291</v>
      </c>
      <c r="D114" t="s">
        <v>9</v>
      </c>
      <c r="E114" t="s">
        <v>131</v>
      </c>
      <c r="F114" s="114">
        <v>45.6</v>
      </c>
      <c r="G114"/>
      <c r="H114" s="130" cm="1">
        <f t="array" ref="H114">SUMPRODUCT(Tracking[Amount], -- (Tracking[[Date ]]&lt;= Tracking[[#This Row],[Date ]]), (Tracking[[Type ]]&lt;&gt;"Income")*(-1) + (Tracking[[Type ]]="Income"))</f>
        <v>3149.74</v>
      </c>
      <c r="I11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45291</v>
      </c>
    </row>
    <row r="115" spans="3:9" x14ac:dyDescent="0.3">
      <c r="C115" s="112">
        <v>45293</v>
      </c>
      <c r="D115" t="s">
        <v>9</v>
      </c>
      <c r="E115" t="s">
        <v>116</v>
      </c>
      <c r="F115" s="114">
        <v>22.6</v>
      </c>
      <c r="G115" t="s">
        <v>135</v>
      </c>
      <c r="H115" s="130" cm="1">
        <f t="array" ref="H115">SUMPRODUCT(Tracking[Amount], -- (Tracking[[Date ]]&lt;= Tracking[[#This Row],[Date ]]), (Tracking[[Type ]]&lt;&gt;"Income")*(-1) + (Tracking[[Type ]]="Income"))</f>
        <v>3127.14</v>
      </c>
      <c r="I11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45293</v>
      </c>
    </row>
    <row r="116" spans="3:9" x14ac:dyDescent="0.3">
      <c r="C116" s="112">
        <v>45294</v>
      </c>
      <c r="D116" t="s">
        <v>9</v>
      </c>
      <c r="E116" t="s">
        <v>27</v>
      </c>
      <c r="F116" s="114">
        <v>30</v>
      </c>
      <c r="G116"/>
      <c r="H116" s="130" cm="1">
        <f t="array" ref="H116">SUMPRODUCT(Tracking[Amount], -- (Tracking[[Date ]]&lt;= Tracking[[#This Row],[Date ]]), (Tracking[[Type ]]&lt;&gt;"Income")*(-1) + (Tracking[[Type ]]="Income"))</f>
        <v>3066.14</v>
      </c>
      <c r="I11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45294</v>
      </c>
    </row>
    <row r="117" spans="3:9" x14ac:dyDescent="0.3">
      <c r="C117" s="112">
        <v>45294</v>
      </c>
      <c r="D117" t="s">
        <v>9</v>
      </c>
      <c r="E117" t="s">
        <v>26</v>
      </c>
      <c r="F117" s="114">
        <v>31</v>
      </c>
      <c r="G117"/>
      <c r="H117" s="130" cm="1">
        <f t="array" ref="H117">SUMPRODUCT(Tracking[Amount], -- (Tracking[[Date ]]&lt;= Tracking[[#This Row],[Date ]]), (Tracking[[Type ]]&lt;&gt;"Income")*(-1) + (Tracking[[Type ]]="Income"))</f>
        <v>3066.14</v>
      </c>
      <c r="I11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45294</v>
      </c>
    </row>
    <row r="118" spans="3:9" x14ac:dyDescent="0.3">
      <c r="C118" s="112">
        <v>45295</v>
      </c>
      <c r="D118" t="s">
        <v>9</v>
      </c>
      <c r="E118" t="s">
        <v>116</v>
      </c>
      <c r="F118" s="114">
        <v>40.5</v>
      </c>
      <c r="G118" t="s">
        <v>136</v>
      </c>
      <c r="H118" s="130" cm="1">
        <f t="array" ref="H118">SUMPRODUCT(Tracking[Amount], -- (Tracking[[Date ]]&lt;= Tracking[[#This Row],[Date ]]), (Tracking[[Type ]]&lt;&gt;"Income")*(-1) + (Tracking[[Type ]]="Income"))</f>
        <v>3025.64</v>
      </c>
      <c r="I11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45295</v>
      </c>
    </row>
    <row r="119" spans="3:9" x14ac:dyDescent="0.3">
      <c r="C119" s="112">
        <v>45296</v>
      </c>
      <c r="D119" t="s">
        <v>9</v>
      </c>
      <c r="E119" t="s">
        <v>27</v>
      </c>
      <c r="F119" s="114">
        <v>45</v>
      </c>
      <c r="G119"/>
      <c r="H119" s="130" cm="1">
        <f t="array" ref="H119">SUMPRODUCT(Tracking[Amount], -- (Tracking[[Date ]]&lt;= Tracking[[#This Row],[Date ]]), (Tracking[[Type ]]&lt;&gt;"Income")*(-1) + (Tracking[[Type ]]="Income"))</f>
        <v>2956.64</v>
      </c>
      <c r="I11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45296</v>
      </c>
    </row>
    <row r="120" spans="3:9" x14ac:dyDescent="0.3">
      <c r="C120" s="112">
        <v>45296</v>
      </c>
      <c r="D120" t="s">
        <v>9</v>
      </c>
      <c r="E120" t="s">
        <v>121</v>
      </c>
      <c r="F120" s="114">
        <v>15</v>
      </c>
      <c r="G120"/>
      <c r="H120" s="130" cm="1">
        <f t="array" ref="H120">SUMPRODUCT(Tracking[Amount], -- (Tracking[[Date ]]&lt;= Tracking[[#This Row],[Date ]]), (Tracking[[Type ]]&lt;&gt;"Income")*(-1) + (Tracking[[Type ]]="Income"))</f>
        <v>2956.64</v>
      </c>
      <c r="I12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45296</v>
      </c>
    </row>
    <row r="121" spans="3:9" x14ac:dyDescent="0.3">
      <c r="C121" s="112">
        <v>45296</v>
      </c>
      <c r="D121" t="s">
        <v>9</v>
      </c>
      <c r="E121" t="s">
        <v>26</v>
      </c>
      <c r="F121" s="114">
        <v>9</v>
      </c>
      <c r="G121"/>
      <c r="H121" s="130" cm="1">
        <f t="array" ref="H121">SUMPRODUCT(Tracking[Amount], -- (Tracking[[Date ]]&lt;= Tracking[[#This Row],[Date ]]), (Tracking[[Type ]]&lt;&gt;"Income")*(-1) + (Tracking[[Type ]]="Income"))</f>
        <v>2956.64</v>
      </c>
      <c r="I12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45296</v>
      </c>
    </row>
    <row r="122" spans="3:9" x14ac:dyDescent="0.3">
      <c r="C122" s="112">
        <v>45297</v>
      </c>
      <c r="D122" t="s">
        <v>9</v>
      </c>
      <c r="E122" t="s">
        <v>27</v>
      </c>
      <c r="F122" s="114">
        <v>34.479999999999997</v>
      </c>
      <c r="G122"/>
      <c r="H122" s="130" cm="1">
        <f t="array" ref="H122">SUMPRODUCT(Tracking[Amount], -- (Tracking[[Date ]]&lt;= Tracking[[#This Row],[Date ]]), (Tracking[[Type ]]&lt;&gt;"Income")*(-1) + (Tracking[[Type ]]="Income"))</f>
        <v>2922.16</v>
      </c>
      <c r="I12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45297</v>
      </c>
    </row>
    <row r="123" spans="3:9" x14ac:dyDescent="0.3">
      <c r="C123" s="112">
        <v>45298</v>
      </c>
      <c r="D123" t="s">
        <v>9</v>
      </c>
      <c r="E123" t="s">
        <v>121</v>
      </c>
      <c r="F123" s="114">
        <v>4.2</v>
      </c>
      <c r="G123"/>
      <c r="H123" s="130" cm="1">
        <f t="array" ref="H123">SUMPRODUCT(Tracking[Amount], -- (Tracking[[Date ]]&lt;= Tracking[[#This Row],[Date ]]), (Tracking[[Type ]]&lt;&gt;"Income")*(-1) + (Tracking[[Type ]]="Income"))</f>
        <v>2917.96</v>
      </c>
      <c r="I12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45298</v>
      </c>
    </row>
    <row r="124" spans="3:9" x14ac:dyDescent="0.3">
      <c r="C124" s="112">
        <v>45299</v>
      </c>
      <c r="D124" t="s">
        <v>9</v>
      </c>
      <c r="E124" t="s">
        <v>121</v>
      </c>
      <c r="F124" s="114">
        <v>3</v>
      </c>
      <c r="G124"/>
      <c r="H124" s="130" cm="1">
        <f t="array" ref="H124">SUMPRODUCT(Tracking[Amount], -- (Tracking[[Date ]]&lt;= Tracking[[#This Row],[Date ]]), (Tracking[[Type ]]&lt;&gt;"Income")*(-1) + (Tracking[[Type ]]="Income"))</f>
        <v>2884.3</v>
      </c>
      <c r="I12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45299</v>
      </c>
    </row>
    <row r="125" spans="3:9" x14ac:dyDescent="0.3">
      <c r="C125" s="112">
        <v>45299</v>
      </c>
      <c r="D125" t="s">
        <v>9</v>
      </c>
      <c r="E125" t="s">
        <v>20</v>
      </c>
      <c r="F125" s="114">
        <v>30.66</v>
      </c>
      <c r="G125"/>
      <c r="H125" s="130" cm="1">
        <f t="array" ref="H125">SUMPRODUCT(Tracking[Amount], -- (Tracking[[Date ]]&lt;= Tracking[[#This Row],[Date ]]), (Tracking[[Type ]]&lt;&gt;"Income")*(-1) + (Tracking[[Type ]]="Income"))</f>
        <v>2884.3</v>
      </c>
      <c r="I12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45299</v>
      </c>
    </row>
    <row r="126" spans="3:9" x14ac:dyDescent="0.3">
      <c r="C126" s="112">
        <v>45301</v>
      </c>
      <c r="D126" t="s">
        <v>9</v>
      </c>
      <c r="E126" t="s">
        <v>121</v>
      </c>
      <c r="F126" s="114">
        <v>6</v>
      </c>
      <c r="G126"/>
      <c r="H126" s="130" cm="1">
        <f t="array" ref="H126">SUMPRODUCT(Tracking[Amount], -- (Tracking[[Date ]]&lt;= Tracking[[#This Row],[Date ]]), (Tracking[[Type ]]&lt;&gt;"Income")*(-1) + (Tracking[[Type ]]="Income"))</f>
        <v>2878.3</v>
      </c>
      <c r="I12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45301</v>
      </c>
    </row>
    <row r="127" spans="3:9" x14ac:dyDescent="0.3">
      <c r="C127" s="112">
        <v>45302</v>
      </c>
      <c r="D127" t="s">
        <v>9</v>
      </c>
      <c r="E127" t="s">
        <v>121</v>
      </c>
      <c r="F127" s="114">
        <v>3</v>
      </c>
      <c r="G127"/>
      <c r="H127" s="130" cm="1">
        <f t="array" ref="H127">SUMPRODUCT(Tracking[Amount], -- (Tracking[[Date ]]&lt;= Tracking[[#This Row],[Date ]]), (Tracking[[Type ]]&lt;&gt;"Income")*(-1) + (Tracking[[Type ]]="Income"))</f>
        <v>2875.3</v>
      </c>
      <c r="I12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45302</v>
      </c>
    </row>
    <row r="128" spans="3:9" x14ac:dyDescent="0.3">
      <c r="C128" s="112">
        <v>45303</v>
      </c>
      <c r="D128" t="s">
        <v>9</v>
      </c>
      <c r="E128" t="s">
        <v>121</v>
      </c>
      <c r="F128" s="114">
        <v>3</v>
      </c>
      <c r="G128"/>
      <c r="H128" s="130" cm="1">
        <f t="array" ref="H128">SUMPRODUCT(Tracking[Amount], -- (Tracking[[Date ]]&lt;= Tracking[[#This Row],[Date ]]), (Tracking[[Type ]]&lt;&gt;"Income")*(-1) + (Tracking[[Type ]]="Income"))</f>
        <v>2872.3</v>
      </c>
      <c r="I12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45303</v>
      </c>
    </row>
    <row r="129" spans="3:9" x14ac:dyDescent="0.3">
      <c r="C129" s="112">
        <v>45304</v>
      </c>
      <c r="D129" t="s">
        <v>9</v>
      </c>
      <c r="E129" t="s">
        <v>121</v>
      </c>
      <c r="F129" s="114">
        <v>6</v>
      </c>
      <c r="G129"/>
      <c r="H129" s="130" cm="1">
        <f t="array" ref="H129">SUMPRODUCT(Tracking[Amount], -- (Tracking[[Date ]]&lt;= Tracking[[#This Row],[Date ]]), (Tracking[[Type ]]&lt;&gt;"Income")*(-1) + (Tracking[[Type ]]="Income"))</f>
        <v>2829.8</v>
      </c>
      <c r="I12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45304</v>
      </c>
    </row>
    <row r="130" spans="3:9" x14ac:dyDescent="0.3">
      <c r="C130" s="112">
        <v>45304</v>
      </c>
      <c r="D130" t="s">
        <v>9</v>
      </c>
      <c r="E130" t="s">
        <v>116</v>
      </c>
      <c r="F130" s="114">
        <v>13.5</v>
      </c>
      <c r="G130" t="s">
        <v>137</v>
      </c>
      <c r="H130" s="130" cm="1">
        <f t="array" ref="H130">SUMPRODUCT(Tracking[Amount], -- (Tracking[[Date ]]&lt;= Tracking[[#This Row],[Date ]]), (Tracking[[Type ]]&lt;&gt;"Income")*(-1) + (Tracking[[Type ]]="Income"))</f>
        <v>2829.8</v>
      </c>
      <c r="I13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45304</v>
      </c>
    </row>
    <row r="131" spans="3:9" x14ac:dyDescent="0.3">
      <c r="C131" s="112">
        <v>45304</v>
      </c>
      <c r="D131" t="s">
        <v>9</v>
      </c>
      <c r="E131" t="s">
        <v>20</v>
      </c>
      <c r="F131" s="114">
        <v>13</v>
      </c>
      <c r="G131"/>
      <c r="H131" s="130" cm="1">
        <f t="array" ref="H131">SUMPRODUCT(Tracking[Amount], -- (Tracking[[Date ]]&lt;= Tracking[[#This Row],[Date ]]), (Tracking[[Type ]]&lt;&gt;"Income")*(-1) + (Tracking[[Type ]]="Income"))</f>
        <v>2829.8</v>
      </c>
      <c r="I13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45304</v>
      </c>
    </row>
    <row r="132" spans="3:9" x14ac:dyDescent="0.3">
      <c r="C132" s="112">
        <v>45304</v>
      </c>
      <c r="D132" t="s">
        <v>9</v>
      </c>
      <c r="E132" t="s">
        <v>26</v>
      </c>
      <c r="F132" s="114">
        <v>10</v>
      </c>
      <c r="G132"/>
      <c r="H132" s="130" cm="1">
        <f t="array" ref="H132">SUMPRODUCT(Tracking[Amount], -- (Tracking[[Date ]]&lt;= Tracking[[#This Row],[Date ]]), (Tracking[[Type ]]&lt;&gt;"Income")*(-1) + (Tracking[[Type ]]="Income"))</f>
        <v>2829.8</v>
      </c>
      <c r="I13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45304</v>
      </c>
    </row>
    <row r="133" spans="3:9" x14ac:dyDescent="0.3">
      <c r="C133" s="112">
        <v>45305</v>
      </c>
      <c r="D133" t="s">
        <v>9</v>
      </c>
      <c r="E133" t="s">
        <v>26</v>
      </c>
      <c r="F133" s="114">
        <v>10.8</v>
      </c>
      <c r="G133"/>
      <c r="H133" s="130" cm="1">
        <f t="array" ref="H133">SUMPRODUCT(Tracking[Amount], -- (Tracking[[Date ]]&lt;= Tracking[[#This Row],[Date ]]), (Tracking[[Type ]]&lt;&gt;"Income")*(-1) + (Tracking[[Type ]]="Income"))</f>
        <v>2819</v>
      </c>
      <c r="I13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45305</v>
      </c>
    </row>
    <row r="134" spans="3:9" x14ac:dyDescent="0.3">
      <c r="C134" s="112">
        <v>45307</v>
      </c>
      <c r="D134" t="s">
        <v>9</v>
      </c>
      <c r="E134" t="s">
        <v>25</v>
      </c>
      <c r="F134" s="114">
        <v>13</v>
      </c>
      <c r="G134"/>
      <c r="H134" s="130" cm="1">
        <f t="array" ref="H134">SUMPRODUCT(Tracking[Amount], -- (Tracking[[Date ]]&lt;= Tracking[[#This Row],[Date ]]), (Tracking[[Type ]]&lt;&gt;"Income")*(-1) + (Tracking[[Type ]]="Income"))</f>
        <v>2806</v>
      </c>
      <c r="I13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45307</v>
      </c>
    </row>
    <row r="135" spans="3:9" x14ac:dyDescent="0.3">
      <c r="C135" s="112">
        <v>45308</v>
      </c>
      <c r="D135" t="s">
        <v>9</v>
      </c>
      <c r="E135" t="s">
        <v>121</v>
      </c>
      <c r="F135" s="114">
        <v>6</v>
      </c>
      <c r="G135"/>
      <c r="H135" s="130" cm="1">
        <f t="array" ref="H135">SUMPRODUCT(Tracking[Amount], -- (Tracking[[Date ]]&lt;= Tracking[[#This Row],[Date ]]), (Tracking[[Type ]]&lt;&gt;"Income")*(-1) + (Tracking[[Type ]]="Income"))</f>
        <v>2781.5</v>
      </c>
      <c r="I13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45308</v>
      </c>
    </row>
    <row r="136" spans="3:9" x14ac:dyDescent="0.3">
      <c r="C136" s="112">
        <v>45308</v>
      </c>
      <c r="D136" t="s">
        <v>9</v>
      </c>
      <c r="E136" t="s">
        <v>20</v>
      </c>
      <c r="F136" s="114">
        <v>13</v>
      </c>
      <c r="G136"/>
      <c r="H136" s="130" cm="1">
        <f t="array" ref="H136">SUMPRODUCT(Tracking[Amount], -- (Tracking[[Date ]]&lt;= Tracking[[#This Row],[Date ]]), (Tracking[[Type ]]&lt;&gt;"Income")*(-1) + (Tracking[[Type ]]="Income"))</f>
        <v>2781.5</v>
      </c>
      <c r="I13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45308</v>
      </c>
    </row>
    <row r="137" spans="3:9" x14ac:dyDescent="0.3">
      <c r="C137" s="112">
        <v>45310</v>
      </c>
      <c r="D137" t="s">
        <v>9</v>
      </c>
      <c r="E137" t="s">
        <v>121</v>
      </c>
      <c r="F137" s="114">
        <v>12</v>
      </c>
      <c r="G137"/>
      <c r="H137" s="130" cm="1">
        <f t="array" ref="H137">SUMPRODUCT(Tracking[Amount], -- (Tracking[[Date ]]&lt;= Tracking[[#This Row],[Date ]]), (Tracking[[Type ]]&lt;&gt;"Income")*(-1) + (Tracking[[Type ]]="Income"))</f>
        <v>2769.5</v>
      </c>
      <c r="I13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45310</v>
      </c>
    </row>
    <row r="138" spans="3:9" x14ac:dyDescent="0.3">
      <c r="C138" s="112">
        <v>45311</v>
      </c>
      <c r="D138" t="s">
        <v>9</v>
      </c>
      <c r="E138" t="s">
        <v>121</v>
      </c>
      <c r="F138" s="114">
        <v>3</v>
      </c>
      <c r="G138"/>
      <c r="H138" s="130" cm="1">
        <f t="array" ref="H138">SUMPRODUCT(Tracking[Amount], -- (Tracking[[Date ]]&lt;= Tracking[[#This Row],[Date ]]), (Tracking[[Type ]]&lt;&gt;"Income")*(-1) + (Tracking[[Type ]]="Income"))</f>
        <v>2746.5</v>
      </c>
      <c r="I13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45311</v>
      </c>
    </row>
    <row r="139" spans="3:9" x14ac:dyDescent="0.3">
      <c r="C139" s="112">
        <v>45311</v>
      </c>
      <c r="D139" t="s">
        <v>9</v>
      </c>
      <c r="E139" t="s">
        <v>26</v>
      </c>
      <c r="F139" s="114">
        <v>20</v>
      </c>
      <c r="G139"/>
      <c r="H139" s="130" cm="1">
        <f t="array" ref="H139">SUMPRODUCT(Tracking[Amount], -- (Tracking[[Date ]]&lt;= Tracking[[#This Row],[Date ]]), (Tracking[[Type ]]&lt;&gt;"Income")*(-1) + (Tracking[[Type ]]="Income"))</f>
        <v>2746.5</v>
      </c>
      <c r="I13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45311</v>
      </c>
    </row>
    <row r="140" spans="3:9" x14ac:dyDescent="0.3">
      <c r="C140" s="112">
        <v>45312</v>
      </c>
      <c r="D140" t="s">
        <v>9</v>
      </c>
      <c r="E140" t="s">
        <v>26</v>
      </c>
      <c r="F140" s="114">
        <v>24.1</v>
      </c>
      <c r="G140"/>
      <c r="H140" s="130" cm="1">
        <f t="array" ref="H140">SUMPRODUCT(Tracking[Amount], -- (Tracking[[Date ]]&lt;= Tracking[[#This Row],[Date ]]), (Tracking[[Type ]]&lt;&gt;"Income")*(-1) + (Tracking[[Type ]]="Income"))</f>
        <v>2722.4</v>
      </c>
      <c r="I14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45312</v>
      </c>
    </row>
    <row r="141" spans="3:9" x14ac:dyDescent="0.3">
      <c r="C141" s="112">
        <v>45313</v>
      </c>
      <c r="D141" t="s">
        <v>9</v>
      </c>
      <c r="E141" t="s">
        <v>121</v>
      </c>
      <c r="F141" s="114">
        <v>3</v>
      </c>
      <c r="G141"/>
      <c r="H141" s="130" cm="1">
        <f t="array" ref="H141">SUMPRODUCT(Tracking[Amount], -- (Tracking[[Date ]]&lt;= Tracking[[#This Row],[Date ]]), (Tracking[[Type ]]&lt;&gt;"Income")*(-1) + (Tracking[[Type ]]="Income"))</f>
        <v>2703.4</v>
      </c>
      <c r="I14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45313</v>
      </c>
    </row>
    <row r="142" spans="3:9" x14ac:dyDescent="0.3">
      <c r="C142" s="112">
        <v>45313</v>
      </c>
      <c r="D142" t="s">
        <v>9</v>
      </c>
      <c r="E142" t="s">
        <v>116</v>
      </c>
      <c r="F142" s="114">
        <v>16</v>
      </c>
      <c r="G142" t="s">
        <v>138</v>
      </c>
      <c r="H142" s="130" cm="1">
        <f t="array" ref="H142">SUMPRODUCT(Tracking[Amount], -- (Tracking[[Date ]]&lt;= Tracking[[#This Row],[Date ]]), (Tracking[[Type ]]&lt;&gt;"Income")*(-1) + (Tracking[[Type ]]="Income"))</f>
        <v>2703.4</v>
      </c>
      <c r="I14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45313</v>
      </c>
    </row>
    <row r="143" spans="3:9" x14ac:dyDescent="0.3">
      <c r="C143" s="112">
        <v>45314</v>
      </c>
      <c r="D143" t="s">
        <v>9</v>
      </c>
      <c r="E143" t="s">
        <v>121</v>
      </c>
      <c r="F143" s="114">
        <v>3</v>
      </c>
      <c r="G143"/>
      <c r="H143" s="130" cm="1">
        <f t="array" ref="H143">SUMPRODUCT(Tracking[Amount], -- (Tracking[[Date ]]&lt;= Tracking[[#This Row],[Date ]]), (Tracking[[Type ]]&lt;&gt;"Income")*(-1) + (Tracking[[Type ]]="Income"))</f>
        <v>2700.4</v>
      </c>
      <c r="I14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45314</v>
      </c>
    </row>
    <row r="144" spans="3:9" x14ac:dyDescent="0.3">
      <c r="C144" s="112">
        <v>45315</v>
      </c>
      <c r="D144" t="s">
        <v>9</v>
      </c>
      <c r="E144" t="s">
        <v>20</v>
      </c>
      <c r="F144" s="114">
        <v>13.8</v>
      </c>
      <c r="G144"/>
      <c r="H144" s="130" cm="1">
        <f t="array" ref="H144">SUMPRODUCT(Tracking[Amount], -- (Tracking[[Date ]]&lt;= Tracking[[#This Row],[Date ]]), (Tracking[[Type ]]&lt;&gt;"Income")*(-1) + (Tracking[[Type ]]="Income"))</f>
        <v>2683.6</v>
      </c>
      <c r="I14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45315</v>
      </c>
    </row>
    <row r="145" spans="3:9" x14ac:dyDescent="0.3">
      <c r="C145" s="112">
        <v>45315</v>
      </c>
      <c r="D145" t="s">
        <v>9</v>
      </c>
      <c r="E145" t="s">
        <v>121</v>
      </c>
      <c r="F145" s="114">
        <v>3</v>
      </c>
      <c r="G145"/>
      <c r="H145" s="130" cm="1">
        <f t="array" ref="H145">SUMPRODUCT(Tracking[Amount], -- (Tracking[[Date ]]&lt;= Tracking[[#This Row],[Date ]]), (Tracking[[Type ]]&lt;&gt;"Income")*(-1) + (Tracking[[Type ]]="Income"))</f>
        <v>2683.6</v>
      </c>
      <c r="I14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45315</v>
      </c>
    </row>
    <row r="146" spans="3:9" x14ac:dyDescent="0.3">
      <c r="C146" s="112">
        <v>45316</v>
      </c>
      <c r="D146" t="s">
        <v>9</v>
      </c>
      <c r="E146" t="s">
        <v>121</v>
      </c>
      <c r="F146" s="114">
        <v>3</v>
      </c>
      <c r="G146"/>
      <c r="H146" s="130" cm="1">
        <f t="array" ref="H146">SUMPRODUCT(Tracking[Amount], -- (Tracking[[Date ]]&lt;= Tracking[[#This Row],[Date ]]), (Tracking[[Type ]]&lt;&gt;"Income")*(-1) + (Tracking[[Type ]]="Income"))</f>
        <v>2680.6</v>
      </c>
      <c r="I14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45316</v>
      </c>
    </row>
    <row r="147" spans="3:9" x14ac:dyDescent="0.3">
      <c r="C147" s="112">
        <v>45317</v>
      </c>
      <c r="D147" t="s">
        <v>9</v>
      </c>
      <c r="E147" t="s">
        <v>121</v>
      </c>
      <c r="F147" s="114">
        <v>3</v>
      </c>
      <c r="G147"/>
      <c r="H147" s="130" cm="1">
        <f t="array" ref="H147">SUMPRODUCT(Tracking[Amount], -- (Tracking[[Date ]]&lt;= Tracking[[#This Row],[Date ]]), (Tracking[[Type ]]&lt;&gt;"Income")*(-1) + (Tracking[[Type ]]="Income"))</f>
        <v>2677.6</v>
      </c>
      <c r="I14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45317</v>
      </c>
    </row>
    <row r="148" spans="3:9" x14ac:dyDescent="0.3">
      <c r="C148" s="112">
        <v>45318</v>
      </c>
      <c r="D148" t="s">
        <v>9</v>
      </c>
      <c r="E148" t="s">
        <v>121</v>
      </c>
      <c r="F148" s="114">
        <v>3</v>
      </c>
      <c r="G148"/>
      <c r="H148" s="130" cm="1">
        <f t="array" ref="H148">SUMPRODUCT(Tracking[Amount], -- (Tracking[[Date ]]&lt;= Tracking[[#This Row],[Date ]]), (Tracking[[Type ]]&lt;&gt;"Income")*(-1) + (Tracking[[Type ]]="Income"))</f>
        <v>2659.6</v>
      </c>
      <c r="I14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45318</v>
      </c>
    </row>
    <row r="149" spans="3:9" x14ac:dyDescent="0.3">
      <c r="C149" s="112">
        <v>45318</v>
      </c>
      <c r="D149" t="s">
        <v>9</v>
      </c>
      <c r="E149" t="s">
        <v>26</v>
      </c>
      <c r="F149" s="114">
        <v>15</v>
      </c>
      <c r="G149"/>
      <c r="H149" s="130" cm="1">
        <f t="array" ref="H149">SUMPRODUCT(Tracking[Amount], -- (Tracking[[Date ]]&lt;= Tracking[[#This Row],[Date ]]), (Tracking[[Type ]]&lt;&gt;"Income")*(-1) + (Tracking[[Type ]]="Income"))</f>
        <v>2659.6</v>
      </c>
      <c r="I14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45318</v>
      </c>
    </row>
    <row r="150" spans="3:9" x14ac:dyDescent="0.3">
      <c r="C150" s="112">
        <v>45319</v>
      </c>
      <c r="D150" t="s">
        <v>9</v>
      </c>
      <c r="E150" t="s">
        <v>26</v>
      </c>
      <c r="F150" s="114">
        <v>30.3</v>
      </c>
      <c r="G150"/>
      <c r="H150" s="130" cm="1">
        <f t="array" ref="H150">SUMPRODUCT(Tracking[Amount], -- (Tracking[[Date ]]&lt;= Tracking[[#This Row],[Date ]]), (Tracking[[Type ]]&lt;&gt;"Income")*(-1) + (Tracking[[Type ]]="Income"))</f>
        <v>2629.2999999999997</v>
      </c>
      <c r="I15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45319</v>
      </c>
    </row>
    <row r="151" spans="3:9" x14ac:dyDescent="0.3">
      <c r="C151" s="112">
        <v>45320</v>
      </c>
      <c r="D151" t="s">
        <v>9</v>
      </c>
      <c r="E151" t="s">
        <v>20</v>
      </c>
      <c r="F151" s="114">
        <v>9</v>
      </c>
      <c r="G151"/>
      <c r="H151" s="130" cm="1">
        <f t="array" ref="H151">SUMPRODUCT(Tracking[Amount], -- (Tracking[[Date ]]&lt;= Tracking[[#This Row],[Date ]]), (Tracking[[Type ]]&lt;&gt;"Income")*(-1) + (Tracking[[Type ]]="Income"))</f>
        <v>2606.2999999999997</v>
      </c>
      <c r="I15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45320</v>
      </c>
    </row>
    <row r="152" spans="3:9" x14ac:dyDescent="0.3">
      <c r="C152" s="112">
        <v>45320</v>
      </c>
      <c r="D152" t="s">
        <v>9</v>
      </c>
      <c r="E152" t="s">
        <v>121</v>
      </c>
      <c r="F152" s="114">
        <v>3</v>
      </c>
      <c r="G152"/>
      <c r="H152" s="130" cm="1">
        <f t="array" ref="H152">SUMPRODUCT(Tracking[Amount], -- (Tracking[[Date ]]&lt;= Tracking[[#This Row],[Date ]]), (Tracking[[Type ]]&lt;&gt;"Income")*(-1) + (Tracking[[Type ]]="Income"))</f>
        <v>2606.2999999999997</v>
      </c>
      <c r="I15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45320</v>
      </c>
    </row>
    <row r="153" spans="3:9" x14ac:dyDescent="0.3">
      <c r="C153" s="112">
        <v>45320</v>
      </c>
      <c r="D153" t="s">
        <v>9</v>
      </c>
      <c r="E153" t="s">
        <v>116</v>
      </c>
      <c r="F153" s="114">
        <v>11</v>
      </c>
      <c r="G153" t="s">
        <v>139</v>
      </c>
      <c r="H153" s="130" cm="1">
        <f t="array" ref="H153">SUMPRODUCT(Tracking[Amount], -- (Tracking[[Date ]]&lt;= Tracking[[#This Row],[Date ]]), (Tracking[[Type ]]&lt;&gt;"Income")*(-1) + (Tracking[[Type ]]="Income"))</f>
        <v>2606.2999999999997</v>
      </c>
      <c r="I15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45320</v>
      </c>
    </row>
    <row r="154" spans="3:9" x14ac:dyDescent="0.3">
      <c r="C154" s="112">
        <v>45321</v>
      </c>
      <c r="D154" t="s">
        <v>9</v>
      </c>
      <c r="E154" t="s">
        <v>121</v>
      </c>
      <c r="F154" s="114">
        <v>3</v>
      </c>
      <c r="G154"/>
      <c r="H154" s="130" cm="1">
        <f t="array" ref="H154">SUMPRODUCT(Tracking[Amount], -- (Tracking[[Date ]]&lt;= Tracking[[#This Row],[Date ]]), (Tracking[[Type ]]&lt;&gt;"Income")*(-1) + (Tracking[[Type ]]="Income"))</f>
        <v>2603.2999999999997</v>
      </c>
      <c r="I15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45321</v>
      </c>
    </row>
    <row r="155" spans="3:9" x14ac:dyDescent="0.3">
      <c r="C155" s="112">
        <v>45322</v>
      </c>
      <c r="D155" t="s">
        <v>9</v>
      </c>
      <c r="E155" t="s">
        <v>121</v>
      </c>
      <c r="F155" s="114">
        <v>6</v>
      </c>
      <c r="G155"/>
      <c r="H155" s="130" cm="1">
        <f t="array" ref="H155">SUMPRODUCT(Tracking[Amount], -- (Tracking[[Date ]]&lt;= Tracking[[#This Row],[Date ]]), (Tracking[[Type ]]&lt;&gt;"Income")*(-1) + (Tracking[[Type ]]="Income"))</f>
        <v>2421</v>
      </c>
      <c r="I15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45322</v>
      </c>
    </row>
    <row r="156" spans="3:9" x14ac:dyDescent="0.3">
      <c r="C156" s="112">
        <v>45322</v>
      </c>
      <c r="D156" t="s">
        <v>9</v>
      </c>
      <c r="E156" t="s">
        <v>27</v>
      </c>
      <c r="F156" s="114">
        <v>107.6</v>
      </c>
      <c r="G156"/>
      <c r="H156" s="130" cm="1">
        <f t="array" ref="H156">SUMPRODUCT(Tracking[Amount], -- (Tracking[[Date ]]&lt;= Tracking[[#This Row],[Date ]]), (Tracking[[Type ]]&lt;&gt;"Income")*(-1) + (Tracking[[Type ]]="Income"))</f>
        <v>2421</v>
      </c>
      <c r="I15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45322</v>
      </c>
    </row>
    <row r="157" spans="3:9" x14ac:dyDescent="0.3">
      <c r="C157" s="112">
        <v>45322</v>
      </c>
      <c r="D157" t="s">
        <v>9</v>
      </c>
      <c r="E157" t="s">
        <v>121</v>
      </c>
      <c r="F157" s="114">
        <v>15.5</v>
      </c>
      <c r="G157"/>
      <c r="H157" s="130" cm="1">
        <f t="array" ref="H157">SUMPRODUCT(Tracking[Amount], -- (Tracking[[Date ]]&lt;= Tracking[[#This Row],[Date ]]), (Tracking[[Type ]]&lt;&gt;"Income")*(-1) + (Tracking[[Type ]]="Income"))</f>
        <v>2421</v>
      </c>
      <c r="I15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45322</v>
      </c>
    </row>
    <row r="158" spans="3:9" x14ac:dyDescent="0.3">
      <c r="C158" s="112">
        <v>45322</v>
      </c>
      <c r="D158" t="s">
        <v>9</v>
      </c>
      <c r="E158" t="s">
        <v>131</v>
      </c>
      <c r="F158" s="114">
        <v>46.5</v>
      </c>
      <c r="G158"/>
      <c r="H158" s="130" cm="1">
        <f t="array" ref="H158">SUMPRODUCT(Tracking[Amount], -- (Tracking[[Date ]]&lt;= Tracking[[#This Row],[Date ]]), (Tracking[[Type ]]&lt;&gt;"Income")*(-1) + (Tracking[[Type ]]="Income"))</f>
        <v>2421</v>
      </c>
      <c r="I15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45322</v>
      </c>
    </row>
    <row r="159" spans="3:9" x14ac:dyDescent="0.3">
      <c r="C159" s="112">
        <v>45322</v>
      </c>
      <c r="D159" t="s">
        <v>9</v>
      </c>
      <c r="E159" t="s">
        <v>140</v>
      </c>
      <c r="F159" s="114">
        <v>6.7</v>
      </c>
      <c r="G159"/>
      <c r="H159" s="130" cm="1">
        <f t="array" ref="H159">SUMPRODUCT(Tracking[Amount], -- (Tracking[[Date ]]&lt;= Tracking[[#This Row],[Date ]]), (Tracking[[Type ]]&lt;&gt;"Income")*(-1) + (Tracking[[Type ]]="Income"))</f>
        <v>2421</v>
      </c>
      <c r="I15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45322</v>
      </c>
    </row>
    <row r="160" spans="3:9" x14ac:dyDescent="0.3">
      <c r="C160" s="112">
        <v>45323</v>
      </c>
      <c r="D160" t="s">
        <v>6</v>
      </c>
      <c r="E160" t="s">
        <v>19</v>
      </c>
      <c r="F160" s="114">
        <v>1061</v>
      </c>
      <c r="G160"/>
      <c r="H160" s="130" cm="1">
        <f t="array" ref="H160">SUMPRODUCT(Tracking[Amount], -- (Tracking[[Date ]]&lt;= Tracking[[#This Row],[Date ]]), (Tracking[[Type ]]&lt;&gt;"Income")*(-1) + (Tracking[[Type ]]="Income"))</f>
        <v>3479</v>
      </c>
      <c r="I16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45323</v>
      </c>
    </row>
    <row r="161" spans="3:9" x14ac:dyDescent="0.3">
      <c r="C161" s="112">
        <v>45323</v>
      </c>
      <c r="D161" t="s">
        <v>9</v>
      </c>
      <c r="E161" t="s">
        <v>121</v>
      </c>
      <c r="F161" s="114">
        <v>3</v>
      </c>
      <c r="G161"/>
      <c r="H161" s="130" cm="1">
        <f t="array" ref="H161">SUMPRODUCT(Tracking[Amount], -- (Tracking[[Date ]]&lt;= Tracking[[#This Row],[Date ]]), (Tracking[[Type ]]&lt;&gt;"Income")*(-1) + (Tracking[[Type ]]="Income"))</f>
        <v>3479</v>
      </c>
      <c r="I16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45323</v>
      </c>
    </row>
    <row r="162" spans="3:9" x14ac:dyDescent="0.3">
      <c r="C162" s="112">
        <v>45325</v>
      </c>
      <c r="D162" t="s">
        <v>9</v>
      </c>
      <c r="E162" t="s">
        <v>121</v>
      </c>
      <c r="F162" s="114">
        <v>3</v>
      </c>
      <c r="G162"/>
      <c r="H162" s="130" cm="1">
        <f t="array" ref="H162">SUMPRODUCT(Tracking[Amount], -- (Tracking[[Date ]]&lt;= Tracking[[#This Row],[Date ]]), (Tracking[[Type ]]&lt;&gt;"Income")*(-1) + (Tracking[[Type ]]="Income"))</f>
        <v>3436.6</v>
      </c>
      <c r="I16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45325</v>
      </c>
    </row>
    <row r="163" spans="3:9" x14ac:dyDescent="0.3">
      <c r="C163" s="112">
        <v>45325</v>
      </c>
      <c r="D163" t="s">
        <v>9</v>
      </c>
      <c r="E163" t="s">
        <v>26</v>
      </c>
      <c r="F163" s="114">
        <v>39.4</v>
      </c>
      <c r="G163"/>
      <c r="H163" s="130" cm="1">
        <f t="array" ref="H163">SUMPRODUCT(Tracking[Amount], -- (Tracking[[Date ]]&lt;= Tracking[[#This Row],[Date ]]), (Tracking[[Type ]]&lt;&gt;"Income")*(-1) + (Tracking[[Type ]]="Income"))</f>
        <v>3436.6</v>
      </c>
      <c r="I16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45325</v>
      </c>
    </row>
    <row r="164" spans="3:9" x14ac:dyDescent="0.3">
      <c r="C164" s="112">
        <v>45326</v>
      </c>
      <c r="D164" t="s">
        <v>9</v>
      </c>
      <c r="E164" t="s">
        <v>121</v>
      </c>
      <c r="F164" s="114">
        <v>18</v>
      </c>
      <c r="G164"/>
      <c r="H164" s="130" cm="1">
        <f t="array" ref="H164">SUMPRODUCT(Tracking[Amount], -- (Tracking[[Date ]]&lt;= Tracking[[#This Row],[Date ]]), (Tracking[[Type ]]&lt;&gt;"Income")*(-1) + (Tracking[[Type ]]="Income"))</f>
        <v>3418.6</v>
      </c>
      <c r="I16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45326</v>
      </c>
    </row>
    <row r="165" spans="3:9" x14ac:dyDescent="0.3">
      <c r="C165" s="112">
        <v>45327</v>
      </c>
      <c r="D165" t="s">
        <v>9</v>
      </c>
      <c r="E165" t="s">
        <v>121</v>
      </c>
      <c r="F165" s="114">
        <v>3</v>
      </c>
      <c r="G165"/>
      <c r="H165" s="130" cm="1">
        <f t="array" ref="H165">SUMPRODUCT(Tracking[Amount], -- (Tracking[[Date ]]&lt;= Tracking[[#This Row],[Date ]]), (Tracking[[Type ]]&lt;&gt;"Income")*(-1) + (Tracking[[Type ]]="Income"))</f>
        <v>3385.7</v>
      </c>
      <c r="I16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45327</v>
      </c>
    </row>
    <row r="166" spans="3:9" x14ac:dyDescent="0.3">
      <c r="C166" s="112">
        <v>45327</v>
      </c>
      <c r="D166" t="s">
        <v>9</v>
      </c>
      <c r="E166" t="s">
        <v>20</v>
      </c>
      <c r="F166" s="114">
        <v>29.9</v>
      </c>
      <c r="G166"/>
      <c r="H166" s="130" cm="1">
        <f t="array" ref="H166">SUMPRODUCT(Tracking[Amount], -- (Tracking[[Date ]]&lt;= Tracking[[#This Row],[Date ]]), (Tracking[[Type ]]&lt;&gt;"Income")*(-1) + (Tracking[[Type ]]="Income"))</f>
        <v>3385.7</v>
      </c>
      <c r="I16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45327</v>
      </c>
    </row>
    <row r="167" spans="3:9" x14ac:dyDescent="0.3">
      <c r="C167" s="112">
        <v>45328</v>
      </c>
      <c r="D167" t="s">
        <v>9</v>
      </c>
      <c r="E167" t="s">
        <v>121</v>
      </c>
      <c r="F167" s="114">
        <v>3</v>
      </c>
      <c r="G167"/>
      <c r="H167" s="130" cm="1">
        <f t="array" ref="H167">SUMPRODUCT(Tracking[Amount], -- (Tracking[[Date ]]&lt;= Tracking[[#This Row],[Date ]]), (Tracking[[Type ]]&lt;&gt;"Income")*(-1) + (Tracking[[Type ]]="Income"))</f>
        <v>3382.7</v>
      </c>
      <c r="I16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45328</v>
      </c>
    </row>
    <row r="168" spans="3:9" x14ac:dyDescent="0.3">
      <c r="C168" s="112">
        <v>45329</v>
      </c>
      <c r="D168" t="s">
        <v>9</v>
      </c>
      <c r="E168" t="s">
        <v>20</v>
      </c>
      <c r="F168" s="114">
        <v>3</v>
      </c>
      <c r="G168"/>
      <c r="H168" s="130" cm="1">
        <f t="array" ref="H168">SUMPRODUCT(Tracking[Amount], -- (Tracking[[Date ]]&lt;= Tracking[[#This Row],[Date ]]), (Tracking[[Type ]]&lt;&gt;"Income")*(-1) + (Tracking[[Type ]]="Income"))</f>
        <v>3379.7</v>
      </c>
      <c r="I16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45329</v>
      </c>
    </row>
    <row r="169" spans="3:9" x14ac:dyDescent="0.3">
      <c r="C169" s="112">
        <v>45330</v>
      </c>
      <c r="D169" t="s">
        <v>9</v>
      </c>
      <c r="E169" t="s">
        <v>20</v>
      </c>
      <c r="F169" s="114">
        <v>3</v>
      </c>
      <c r="G169"/>
      <c r="H169" s="130" cm="1">
        <f t="array" ref="H169">SUMPRODUCT(Tracking[Amount], -- (Tracking[[Date ]]&lt;= Tracking[[#This Row],[Date ]]), (Tracking[[Type ]]&lt;&gt;"Income")*(-1) + (Tracking[[Type ]]="Income"))</f>
        <v>3376.7</v>
      </c>
      <c r="I16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45330</v>
      </c>
    </row>
    <row r="170" spans="3:9" x14ac:dyDescent="0.3">
      <c r="C170" s="112">
        <v>45331</v>
      </c>
      <c r="D170" t="s">
        <v>9</v>
      </c>
      <c r="E170" t="s">
        <v>121</v>
      </c>
      <c r="F170" s="114">
        <v>3</v>
      </c>
      <c r="G170"/>
      <c r="H170" s="130" cm="1">
        <f t="array" ref="H170">SUMPRODUCT(Tracking[Amount], -- (Tracking[[Date ]]&lt;= Tracking[[#This Row],[Date ]]), (Tracking[[Type ]]&lt;&gt;"Income")*(-1) + (Tracking[[Type ]]="Income"))</f>
        <v>3373.7</v>
      </c>
      <c r="I17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45331</v>
      </c>
    </row>
    <row r="171" spans="3:9" x14ac:dyDescent="0.3">
      <c r="C171" s="112">
        <v>45332</v>
      </c>
      <c r="D171" t="s">
        <v>9</v>
      </c>
      <c r="E171" t="s">
        <v>26</v>
      </c>
      <c r="F171" s="114">
        <v>11</v>
      </c>
      <c r="G171"/>
      <c r="H171" s="130" cm="1">
        <f t="array" ref="H171">SUMPRODUCT(Tracking[Amount], -- (Tracking[[Date ]]&lt;= Tracking[[#This Row],[Date ]]), (Tracking[[Type ]]&lt;&gt;"Income")*(-1) + (Tracking[[Type ]]="Income"))</f>
        <v>3321.1</v>
      </c>
      <c r="I17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45332</v>
      </c>
    </row>
    <row r="172" spans="3:9" x14ac:dyDescent="0.3">
      <c r="C172" s="112">
        <v>45332</v>
      </c>
      <c r="D172" t="s">
        <v>9</v>
      </c>
      <c r="E172" t="s">
        <v>20</v>
      </c>
      <c r="F172" s="114">
        <v>13.6</v>
      </c>
      <c r="G172"/>
      <c r="H172" s="130" cm="1">
        <f t="array" ref="H172">SUMPRODUCT(Tracking[Amount], -- (Tracking[[Date ]]&lt;= Tracking[[#This Row],[Date ]]), (Tracking[[Type ]]&lt;&gt;"Income")*(-1) + (Tracking[[Type ]]="Income"))</f>
        <v>3321.1</v>
      </c>
      <c r="I17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45332</v>
      </c>
    </row>
    <row r="173" spans="3:9" x14ac:dyDescent="0.3">
      <c r="C173" s="112">
        <v>45333</v>
      </c>
      <c r="D173" t="s">
        <v>9</v>
      </c>
      <c r="E173" t="s">
        <v>121</v>
      </c>
      <c r="F173" s="114">
        <v>14.7</v>
      </c>
      <c r="G173"/>
      <c r="H173" s="130" cm="1">
        <f t="array" ref="H173">SUMPRODUCT(Tracking[Amount], -- (Tracking[[Date ]]&lt;= Tracking[[#This Row],[Date ]]), (Tracking[[Type ]]&lt;&gt;"Income")*(-1) + (Tracking[[Type ]]="Income"))</f>
        <v>3306.4</v>
      </c>
      <c r="I17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45333</v>
      </c>
    </row>
    <row r="174" spans="3:9" x14ac:dyDescent="0.3">
      <c r="C174" s="112">
        <v>45334</v>
      </c>
      <c r="D174" t="s">
        <v>9</v>
      </c>
      <c r="E174" t="s">
        <v>121</v>
      </c>
      <c r="F174" s="114">
        <v>3</v>
      </c>
      <c r="G174"/>
      <c r="H174" s="130" cm="1">
        <f t="array" ref="H174">SUMPRODUCT(Tracking[Amount], -- (Tracking[[Date ]]&lt;= Tracking[[#This Row],[Date ]]), (Tracking[[Type ]]&lt;&gt;"Income")*(-1) + (Tracking[[Type ]]="Income"))</f>
        <v>3266.57</v>
      </c>
      <c r="I17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45334</v>
      </c>
    </row>
    <row r="175" spans="3:9" x14ac:dyDescent="0.3">
      <c r="C175" s="112">
        <v>45334</v>
      </c>
      <c r="D175" t="s">
        <v>9</v>
      </c>
      <c r="E175" t="s">
        <v>116</v>
      </c>
      <c r="F175" s="114">
        <v>25</v>
      </c>
      <c r="G175" t="s">
        <v>141</v>
      </c>
      <c r="H175" s="130" cm="1">
        <f t="array" ref="H175">SUMPRODUCT(Tracking[Amount], -- (Tracking[[Date ]]&lt;= Tracking[[#This Row],[Date ]]), (Tracking[[Type ]]&lt;&gt;"Income")*(-1) + (Tracking[[Type ]]="Income"))</f>
        <v>3266.57</v>
      </c>
      <c r="I17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45334</v>
      </c>
    </row>
    <row r="176" spans="3:9" x14ac:dyDescent="0.3">
      <c r="C176" s="112">
        <v>45334</v>
      </c>
      <c r="D176" t="s">
        <v>9</v>
      </c>
      <c r="E176" t="s">
        <v>20</v>
      </c>
      <c r="F176" s="114">
        <v>11.83</v>
      </c>
      <c r="G176"/>
      <c r="H176" s="130" cm="1">
        <f t="array" ref="H176">SUMPRODUCT(Tracking[Amount], -- (Tracking[[Date ]]&lt;= Tracking[[#This Row],[Date ]]), (Tracking[[Type ]]&lt;&gt;"Income")*(-1) + (Tracking[[Type ]]="Income"))</f>
        <v>3266.57</v>
      </c>
      <c r="I17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45334</v>
      </c>
    </row>
    <row r="177" spans="3:9" x14ac:dyDescent="0.3">
      <c r="C177" s="112">
        <v>45335</v>
      </c>
      <c r="D177" t="s">
        <v>9</v>
      </c>
      <c r="E177" t="s">
        <v>121</v>
      </c>
      <c r="F177" s="114">
        <v>6</v>
      </c>
      <c r="G177"/>
      <c r="H177" s="130" cm="1">
        <f t="array" ref="H177">SUMPRODUCT(Tracking[Amount], -- (Tracking[[Date ]]&lt;= Tracking[[#This Row],[Date ]]), (Tracking[[Type ]]&lt;&gt;"Income")*(-1) + (Tracking[[Type ]]="Income"))</f>
        <v>3236.76</v>
      </c>
      <c r="I17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45335</v>
      </c>
    </row>
    <row r="178" spans="3:9" x14ac:dyDescent="0.3">
      <c r="C178" s="112">
        <v>45335</v>
      </c>
      <c r="D178" t="s">
        <v>9</v>
      </c>
      <c r="E178" t="s">
        <v>116</v>
      </c>
      <c r="F178" s="114">
        <v>23.81</v>
      </c>
      <c r="G178" t="s">
        <v>142</v>
      </c>
      <c r="H178" s="130" cm="1">
        <f t="array" ref="H178">SUMPRODUCT(Tracking[Amount], -- (Tracking[[Date ]]&lt;= Tracking[[#This Row],[Date ]]), (Tracking[[Type ]]&lt;&gt;"Income")*(-1) + (Tracking[[Type ]]="Income"))</f>
        <v>3236.76</v>
      </c>
      <c r="I17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45335</v>
      </c>
    </row>
    <row r="179" spans="3:9" x14ac:dyDescent="0.3">
      <c r="C179" s="112">
        <v>45336</v>
      </c>
      <c r="D179" t="s">
        <v>9</v>
      </c>
      <c r="E179" t="s">
        <v>121</v>
      </c>
      <c r="F179" s="114">
        <v>6</v>
      </c>
      <c r="G179"/>
      <c r="H179" s="130" cm="1">
        <f t="array" ref="H179">SUMPRODUCT(Tracking[Amount], -- (Tracking[[Date ]]&lt;= Tracking[[#This Row],[Date ]]), (Tracking[[Type ]]&lt;&gt;"Income")*(-1) + (Tracking[[Type ]]="Income"))</f>
        <v>3230.76</v>
      </c>
      <c r="I17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45336</v>
      </c>
    </row>
    <row r="180" spans="3:9" x14ac:dyDescent="0.3">
      <c r="C180" s="112">
        <v>45337</v>
      </c>
      <c r="D180" t="s">
        <v>9</v>
      </c>
      <c r="E180" t="s">
        <v>121</v>
      </c>
      <c r="F180" s="114">
        <v>3</v>
      </c>
      <c r="G180"/>
      <c r="H180" s="130" cm="1">
        <f t="array" ref="H180">SUMPRODUCT(Tracking[Amount], -- (Tracking[[Date ]]&lt;= Tracking[[#This Row],[Date ]]), (Tracking[[Type ]]&lt;&gt;"Income")*(-1) + (Tracking[[Type ]]="Income"))</f>
        <v>3227.76</v>
      </c>
      <c r="I18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45337</v>
      </c>
    </row>
    <row r="181" spans="3:9" x14ac:dyDescent="0.3">
      <c r="C181" s="112">
        <v>45338</v>
      </c>
      <c r="D181" t="s">
        <v>9</v>
      </c>
      <c r="E181" t="s">
        <v>121</v>
      </c>
      <c r="F181" s="114">
        <v>3</v>
      </c>
      <c r="G181"/>
      <c r="H181" s="130" cm="1">
        <f t="array" ref="H181">SUMPRODUCT(Tracking[Amount], -- (Tracking[[Date ]]&lt;= Tracking[[#This Row],[Date ]]), (Tracking[[Type ]]&lt;&gt;"Income")*(-1) + (Tracking[[Type ]]="Income"))</f>
        <v>3212.76</v>
      </c>
      <c r="I18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45338</v>
      </c>
    </row>
    <row r="182" spans="3:9" x14ac:dyDescent="0.3">
      <c r="C182" s="112">
        <v>45338</v>
      </c>
      <c r="D182" t="s">
        <v>9</v>
      </c>
      <c r="E182" t="s">
        <v>143</v>
      </c>
      <c r="F182" s="114">
        <v>12</v>
      </c>
      <c r="G182"/>
      <c r="H182" s="130" cm="1">
        <f t="array" ref="H182">SUMPRODUCT(Tracking[Amount], -- (Tracking[[Date ]]&lt;= Tracking[[#This Row],[Date ]]), (Tracking[[Type ]]&lt;&gt;"Income")*(-1) + (Tracking[[Type ]]="Income"))</f>
        <v>3212.76</v>
      </c>
      <c r="I18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45338</v>
      </c>
    </row>
    <row r="183" spans="3:9" x14ac:dyDescent="0.3">
      <c r="C183" s="112">
        <v>45339</v>
      </c>
      <c r="D183" t="s">
        <v>9</v>
      </c>
      <c r="E183" t="s">
        <v>26</v>
      </c>
      <c r="F183" s="114">
        <v>17.600000000000001</v>
      </c>
      <c r="G183"/>
      <c r="H183" s="130" cm="1">
        <f t="array" ref="H183">SUMPRODUCT(Tracking[Amount], -- (Tracking[[Date ]]&lt;= Tracking[[#This Row],[Date ]]), (Tracking[[Type ]]&lt;&gt;"Income")*(-1) + (Tracking[[Type ]]="Income"))</f>
        <v>3190.1600000000003</v>
      </c>
      <c r="I18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45339</v>
      </c>
    </row>
    <row r="184" spans="3:9" x14ac:dyDescent="0.3">
      <c r="C184" s="112">
        <v>45339</v>
      </c>
      <c r="D184" t="s">
        <v>9</v>
      </c>
      <c r="E184" t="s">
        <v>116</v>
      </c>
      <c r="F184" s="114">
        <v>5</v>
      </c>
      <c r="G184" t="s">
        <v>137</v>
      </c>
      <c r="H184" s="130" cm="1">
        <f t="array" ref="H184">SUMPRODUCT(Tracking[Amount], -- (Tracking[[Date ]]&lt;= Tracking[[#This Row],[Date ]]), (Tracking[[Type ]]&lt;&gt;"Income")*(-1) + (Tracking[[Type ]]="Income"))</f>
        <v>3190.1600000000003</v>
      </c>
      <c r="I18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45339</v>
      </c>
    </row>
    <row r="185" spans="3:9" x14ac:dyDescent="0.3">
      <c r="C185" s="112">
        <v>45340</v>
      </c>
      <c r="D185" t="s">
        <v>9</v>
      </c>
      <c r="E185" t="s">
        <v>26</v>
      </c>
      <c r="F185" s="114">
        <v>27</v>
      </c>
      <c r="G185"/>
      <c r="H185" s="130" cm="1">
        <f t="array" ref="H185">SUMPRODUCT(Tracking[Amount], -- (Tracking[[Date ]]&lt;= Tracking[[#This Row],[Date ]]), (Tracking[[Type ]]&lt;&gt;"Income")*(-1) + (Tracking[[Type ]]="Income"))</f>
        <v>3163.1600000000003</v>
      </c>
      <c r="I18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45340</v>
      </c>
    </row>
    <row r="186" spans="3:9" x14ac:dyDescent="0.3">
      <c r="C186" s="112">
        <v>45341</v>
      </c>
      <c r="D186" t="s">
        <v>9</v>
      </c>
      <c r="E186" t="s">
        <v>121</v>
      </c>
      <c r="F186" s="114">
        <v>3</v>
      </c>
      <c r="G186"/>
      <c r="H186" s="130" cm="1">
        <f t="array" ref="H186">SUMPRODUCT(Tracking[Amount], -- (Tracking[[Date ]]&lt;= Tracking[[#This Row],[Date ]]), (Tracking[[Type ]]&lt;&gt;"Income")*(-1) + (Tracking[[Type ]]="Income"))</f>
        <v>3088.05</v>
      </c>
      <c r="I18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45341</v>
      </c>
    </row>
    <row r="187" spans="3:9" x14ac:dyDescent="0.3">
      <c r="C187" s="112">
        <v>45341</v>
      </c>
      <c r="D187" t="s">
        <v>9</v>
      </c>
      <c r="E187" t="s">
        <v>20</v>
      </c>
      <c r="F187" s="114">
        <v>20.51</v>
      </c>
      <c r="G187"/>
      <c r="H187" s="130" cm="1">
        <f t="array" ref="H187">SUMPRODUCT(Tracking[Amount], -- (Tracking[[Date ]]&lt;= Tracking[[#This Row],[Date ]]), (Tracking[[Type ]]&lt;&gt;"Income")*(-1) + (Tracking[[Type ]]="Income"))</f>
        <v>3088.05</v>
      </c>
      <c r="I18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45341</v>
      </c>
    </row>
    <row r="188" spans="3:9" x14ac:dyDescent="0.3">
      <c r="C188" s="112">
        <v>45341</v>
      </c>
      <c r="D188" t="s">
        <v>9</v>
      </c>
      <c r="E188" t="s">
        <v>116</v>
      </c>
      <c r="F188" s="114">
        <v>51.6</v>
      </c>
      <c r="G188" t="s">
        <v>144</v>
      </c>
      <c r="H188" s="130" cm="1">
        <f t="array" ref="H188">SUMPRODUCT(Tracking[Amount], -- (Tracking[[Date ]]&lt;= Tracking[[#This Row],[Date ]]), (Tracking[[Type ]]&lt;&gt;"Income")*(-1) + (Tracking[[Type ]]="Income"))</f>
        <v>3088.05</v>
      </c>
      <c r="I18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45341</v>
      </c>
    </row>
    <row r="189" spans="3:9" x14ac:dyDescent="0.3">
      <c r="C189" s="112">
        <v>45342</v>
      </c>
      <c r="D189" t="s">
        <v>9</v>
      </c>
      <c r="E189" t="s">
        <v>121</v>
      </c>
      <c r="F189" s="114">
        <v>6</v>
      </c>
      <c r="G189"/>
      <c r="H189" s="130" cm="1">
        <f t="array" ref="H189">SUMPRODUCT(Tracking[Amount], -- (Tracking[[Date ]]&lt;= Tracking[[#This Row],[Date ]]), (Tracking[[Type ]]&lt;&gt;"Income")*(-1) + (Tracking[[Type ]]="Income"))</f>
        <v>3082.05</v>
      </c>
      <c r="I18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45342</v>
      </c>
    </row>
    <row r="190" spans="3:9" x14ac:dyDescent="0.3">
      <c r="C190" s="112">
        <v>45343</v>
      </c>
      <c r="D190" t="s">
        <v>9</v>
      </c>
      <c r="E190" t="s">
        <v>121</v>
      </c>
      <c r="F190" s="114">
        <v>3</v>
      </c>
      <c r="G190"/>
      <c r="H190" s="130" cm="1">
        <f t="array" ref="H190">SUMPRODUCT(Tracking[Amount], -- (Tracking[[Date ]]&lt;= Tracking[[#This Row],[Date ]]), (Tracking[[Type ]]&lt;&gt;"Income")*(-1) + (Tracking[[Type ]]="Income"))</f>
        <v>3079.05</v>
      </c>
      <c r="I19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45343</v>
      </c>
    </row>
    <row r="191" spans="3:9" x14ac:dyDescent="0.3">
      <c r="C191" s="112">
        <v>45344</v>
      </c>
      <c r="D191" t="s">
        <v>9</v>
      </c>
      <c r="E191" t="s">
        <v>121</v>
      </c>
      <c r="F191" s="114">
        <v>6</v>
      </c>
      <c r="G191"/>
      <c r="H191" s="130" cm="1">
        <f t="array" ref="H191">SUMPRODUCT(Tracking[Amount], -- (Tracking[[Date ]]&lt;= Tracking[[#This Row],[Date ]]), (Tracking[[Type ]]&lt;&gt;"Income")*(-1) + (Tracking[[Type ]]="Income"))</f>
        <v>3069.05</v>
      </c>
      <c r="I19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45344</v>
      </c>
    </row>
    <row r="192" spans="3:9" x14ac:dyDescent="0.3">
      <c r="C192" s="112">
        <v>45344</v>
      </c>
      <c r="D192" t="s">
        <v>9</v>
      </c>
      <c r="E192" t="s">
        <v>26</v>
      </c>
      <c r="F192" s="114">
        <v>4</v>
      </c>
      <c r="G192"/>
      <c r="H192" s="130" cm="1">
        <f t="array" ref="H192">SUMPRODUCT(Tracking[Amount], -- (Tracking[[Date ]]&lt;= Tracking[[#This Row],[Date ]]), (Tracking[[Type ]]&lt;&gt;"Income")*(-1) + (Tracking[[Type ]]="Income"))</f>
        <v>3069.05</v>
      </c>
      <c r="I19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45344</v>
      </c>
    </row>
    <row r="193" spans="3:9" x14ac:dyDescent="0.3">
      <c r="C193" s="112">
        <v>45347</v>
      </c>
      <c r="D193" t="s">
        <v>9</v>
      </c>
      <c r="E193" t="s">
        <v>116</v>
      </c>
      <c r="F193" s="114">
        <v>124</v>
      </c>
      <c r="G193" t="s">
        <v>145</v>
      </c>
      <c r="H193" s="130" cm="1">
        <f t="array" ref="H193">SUMPRODUCT(Tracking[Amount], -- (Tracking[[Date ]]&lt;= Tracking[[#This Row],[Date ]]), (Tracking[[Type ]]&lt;&gt;"Income")*(-1) + (Tracking[[Type ]]="Income"))</f>
        <v>2945.05</v>
      </c>
      <c r="I19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45347</v>
      </c>
    </row>
    <row r="194" spans="3:9" x14ac:dyDescent="0.3">
      <c r="C194" s="112">
        <v>45348</v>
      </c>
      <c r="D194" t="s">
        <v>9</v>
      </c>
      <c r="E194" t="s">
        <v>20</v>
      </c>
      <c r="F194" s="114">
        <v>11.74</v>
      </c>
      <c r="G194"/>
      <c r="H194" s="130" cm="1">
        <f t="array" ref="H194">SUMPRODUCT(Tracking[Amount], -- (Tracking[[Date ]]&lt;= Tracking[[#This Row],[Date ]]), (Tracking[[Type ]]&lt;&gt;"Income")*(-1) + (Tracking[[Type ]]="Income"))</f>
        <v>2930.3100000000004</v>
      </c>
      <c r="I19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45348</v>
      </c>
    </row>
    <row r="195" spans="3:9" x14ac:dyDescent="0.3">
      <c r="C195" s="112">
        <v>45348</v>
      </c>
      <c r="D195" t="s">
        <v>9</v>
      </c>
      <c r="E195" t="s">
        <v>121</v>
      </c>
      <c r="F195" s="114">
        <v>3</v>
      </c>
      <c r="G195"/>
      <c r="H195" s="130" cm="1">
        <f t="array" ref="H195">SUMPRODUCT(Tracking[Amount], -- (Tracking[[Date ]]&lt;= Tracking[[#This Row],[Date ]]), (Tracking[[Type ]]&lt;&gt;"Income")*(-1) + (Tracking[[Type ]]="Income"))</f>
        <v>2930.3100000000004</v>
      </c>
      <c r="I19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45348</v>
      </c>
    </row>
    <row r="196" spans="3:9" x14ac:dyDescent="0.3">
      <c r="C196" s="112">
        <v>45349</v>
      </c>
      <c r="D196" t="s">
        <v>9</v>
      </c>
      <c r="E196" t="s">
        <v>121</v>
      </c>
      <c r="F196" s="114">
        <v>3</v>
      </c>
      <c r="G196"/>
      <c r="H196" s="130" cm="1">
        <f t="array" ref="H196">SUMPRODUCT(Tracking[Amount], -- (Tracking[[Date ]]&lt;= Tracking[[#This Row],[Date ]]), (Tracking[[Type ]]&lt;&gt;"Income")*(-1) + (Tracking[[Type ]]="Income"))</f>
        <v>2906.3100000000004</v>
      </c>
      <c r="I19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45349</v>
      </c>
    </row>
    <row r="197" spans="3:9" x14ac:dyDescent="0.3">
      <c r="C197" s="112">
        <v>45349</v>
      </c>
      <c r="D197" t="s">
        <v>9</v>
      </c>
      <c r="E197" t="s">
        <v>116</v>
      </c>
      <c r="F197" s="114">
        <v>21</v>
      </c>
      <c r="G197" t="s">
        <v>146</v>
      </c>
      <c r="H197" s="130" cm="1">
        <f t="array" ref="H197">SUMPRODUCT(Tracking[Amount], -- (Tracking[[Date ]]&lt;= Tracking[[#This Row],[Date ]]), (Tracking[[Type ]]&lt;&gt;"Income")*(-1) + (Tracking[[Type ]]="Income"))</f>
        <v>2906.3100000000004</v>
      </c>
      <c r="I19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45349</v>
      </c>
    </row>
    <row r="198" spans="3:9" x14ac:dyDescent="0.3">
      <c r="C198" s="112">
        <v>45350</v>
      </c>
      <c r="D198" t="s">
        <v>9</v>
      </c>
      <c r="E198" t="s">
        <v>121</v>
      </c>
      <c r="F198" s="114">
        <v>9</v>
      </c>
      <c r="G198"/>
      <c r="H198" s="130" cm="1">
        <f t="array" ref="H198">SUMPRODUCT(Tracking[Amount], -- (Tracking[[Date ]]&lt;= Tracking[[#This Row],[Date ]]), (Tracking[[Type ]]&lt;&gt;"Income")*(-1) + (Tracking[[Type ]]="Income"))</f>
        <v>2627.3100000000004</v>
      </c>
      <c r="I19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45350</v>
      </c>
    </row>
    <row r="199" spans="3:9" x14ac:dyDescent="0.3">
      <c r="C199" s="112">
        <v>45350</v>
      </c>
      <c r="D199" t="s">
        <v>9</v>
      </c>
      <c r="E199" t="s">
        <v>116</v>
      </c>
      <c r="F199" s="114">
        <v>270</v>
      </c>
      <c r="G199" t="s">
        <v>147</v>
      </c>
      <c r="H199" s="130" cm="1">
        <f t="array" ref="H199">SUMPRODUCT(Tracking[Amount], -- (Tracking[[Date ]]&lt;= Tracking[[#This Row],[Date ]]), (Tracking[[Type ]]&lt;&gt;"Income")*(-1) + (Tracking[[Type ]]="Income"))</f>
        <v>2627.3100000000004</v>
      </c>
      <c r="I19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45350</v>
      </c>
    </row>
    <row r="200" spans="3:9" x14ac:dyDescent="0.3">
      <c r="C200" s="112">
        <v>45351</v>
      </c>
      <c r="D200" t="s">
        <v>9</v>
      </c>
      <c r="E200" t="s">
        <v>121</v>
      </c>
      <c r="F200" s="114">
        <v>6</v>
      </c>
      <c r="G200"/>
      <c r="H200" s="130" cm="1">
        <f t="array" ref="H200">SUMPRODUCT(Tracking[Amount], -- (Tracking[[Date ]]&lt;= Tracking[[#This Row],[Date ]]), (Tracking[[Type ]]&lt;&gt;"Income")*(-1) + (Tracking[[Type ]]="Income"))</f>
        <v>2577.8100000000004</v>
      </c>
      <c r="I20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45351</v>
      </c>
    </row>
    <row r="201" spans="3:9" x14ac:dyDescent="0.3">
      <c r="C201" s="112">
        <v>45351</v>
      </c>
      <c r="D201" t="s">
        <v>9</v>
      </c>
      <c r="E201" t="s">
        <v>131</v>
      </c>
      <c r="F201" s="114">
        <v>43.5</v>
      </c>
      <c r="G201"/>
      <c r="H201" s="130" cm="1">
        <f t="array" ref="H201">SUMPRODUCT(Tracking[Amount], -- (Tracking[[Date ]]&lt;= Tracking[[#This Row],[Date ]]), (Tracking[[Type ]]&lt;&gt;"Income")*(-1) + (Tracking[[Type ]]="Income"))</f>
        <v>2577.8100000000004</v>
      </c>
      <c r="I20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45351</v>
      </c>
    </row>
    <row r="202" spans="3:9" x14ac:dyDescent="0.3">
      <c r="C202" s="112">
        <v>45352</v>
      </c>
      <c r="D202" t="s">
        <v>6</v>
      </c>
      <c r="E202" t="s">
        <v>19</v>
      </c>
      <c r="F202" s="114">
        <v>1061</v>
      </c>
      <c r="G202"/>
      <c r="H202" s="130" cm="1">
        <f t="array" ref="H202">SUMPRODUCT(Tracking[Amount], -- (Tracking[[Date ]]&lt;= Tracking[[#This Row],[Date ]]), (Tracking[[Type ]]&lt;&gt;"Income")*(-1) + (Tracking[[Type ]]="Income"))</f>
        <v>3633.3100000000004</v>
      </c>
      <c r="I20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45352</v>
      </c>
    </row>
    <row r="203" spans="3:9" x14ac:dyDescent="0.3">
      <c r="C203" s="112">
        <v>45353</v>
      </c>
      <c r="D203" t="s">
        <v>9</v>
      </c>
      <c r="E203" t="s">
        <v>26</v>
      </c>
      <c r="F203" s="114">
        <v>23</v>
      </c>
      <c r="G203"/>
      <c r="H203" s="130" cm="1">
        <f t="array" ref="H203">SUMPRODUCT(Tracking[Amount], -- (Tracking[[Date ]]&lt;= Tracking[[#This Row],[Date ]]), (Tracking[[Type ]]&lt;&gt;"Income")*(-1) + (Tracking[[Type ]]="Income"))</f>
        <v>3610.3100000000004</v>
      </c>
      <c r="I20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45353</v>
      </c>
    </row>
    <row r="204" spans="3:9" x14ac:dyDescent="0.3">
      <c r="C204" s="112">
        <v>45354</v>
      </c>
      <c r="D204" t="s">
        <v>9</v>
      </c>
      <c r="E204" t="s">
        <v>26</v>
      </c>
      <c r="F204" s="114">
        <v>13.37</v>
      </c>
      <c r="G204"/>
      <c r="H204" s="130" cm="1">
        <f t="array" ref="H204">SUMPRODUCT(Tracking[Amount], -- (Tracking[[Date ]]&lt;= Tracking[[#This Row],[Date ]]), (Tracking[[Type ]]&lt;&gt;"Income")*(-1) + (Tracking[[Type ]]="Income"))</f>
        <v>3596.9400000000005</v>
      </c>
      <c r="I20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45354</v>
      </c>
    </row>
    <row r="205" spans="3:9" x14ac:dyDescent="0.3">
      <c r="C205" s="112">
        <v>45355</v>
      </c>
      <c r="D205" t="s">
        <v>9</v>
      </c>
      <c r="E205" t="s">
        <v>121</v>
      </c>
      <c r="F205" s="114">
        <v>6</v>
      </c>
      <c r="G205"/>
      <c r="H205" s="130" cm="1">
        <f t="array" ref="H205">SUMPRODUCT(Tracking[Amount], -- (Tracking[[Date ]]&lt;= Tracking[[#This Row],[Date ]]), (Tracking[[Type ]]&lt;&gt;"Income")*(-1) + (Tracking[[Type ]]="Income"))</f>
        <v>3573.0900000000006</v>
      </c>
      <c r="I20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45355</v>
      </c>
    </row>
    <row r="206" spans="3:9" x14ac:dyDescent="0.3">
      <c r="C206" s="112">
        <v>45355</v>
      </c>
      <c r="D206" t="s">
        <v>9</v>
      </c>
      <c r="E206" t="s">
        <v>20</v>
      </c>
      <c r="F206" s="114">
        <v>17.850000000000001</v>
      </c>
      <c r="G206"/>
      <c r="H206" s="130" cm="1">
        <f t="array" ref="H206">SUMPRODUCT(Tracking[Amount], -- (Tracking[[Date ]]&lt;= Tracking[[#This Row],[Date ]]), (Tracking[[Type ]]&lt;&gt;"Income")*(-1) + (Tracking[[Type ]]="Income"))</f>
        <v>3573.0900000000006</v>
      </c>
      <c r="I20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45355</v>
      </c>
    </row>
    <row r="207" spans="3:9" x14ac:dyDescent="0.3">
      <c r="C207" s="112">
        <v>45356</v>
      </c>
      <c r="D207" t="s">
        <v>9</v>
      </c>
      <c r="E207" t="s">
        <v>121</v>
      </c>
      <c r="F207" s="114">
        <v>14</v>
      </c>
      <c r="G207"/>
      <c r="H207" s="130" cm="1">
        <f t="array" ref="H207">SUMPRODUCT(Tracking[Amount], -- (Tracking[[Date ]]&lt;= Tracking[[#This Row],[Date ]]), (Tracking[[Type ]]&lt;&gt;"Income")*(-1) + (Tracking[[Type ]]="Income"))</f>
        <v>3554.0900000000006</v>
      </c>
      <c r="I20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45356</v>
      </c>
    </row>
    <row r="208" spans="3:9" x14ac:dyDescent="0.3">
      <c r="C208" s="112">
        <v>45356</v>
      </c>
      <c r="D208" t="s">
        <v>9</v>
      </c>
      <c r="E208" t="s">
        <v>116</v>
      </c>
      <c r="F208" s="114">
        <v>5</v>
      </c>
      <c r="G208" t="s">
        <v>148</v>
      </c>
      <c r="H208" s="130" cm="1">
        <f t="array" ref="H208">SUMPRODUCT(Tracking[Amount], -- (Tracking[[Date ]]&lt;= Tracking[[#This Row],[Date ]]), (Tracking[[Type ]]&lt;&gt;"Income")*(-1) + (Tracking[[Type ]]="Income"))</f>
        <v>3554.0900000000006</v>
      </c>
      <c r="I20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45356</v>
      </c>
    </row>
    <row r="209" spans="3:9" x14ac:dyDescent="0.3">
      <c r="C209" s="112">
        <v>45357</v>
      </c>
      <c r="D209" t="s">
        <v>9</v>
      </c>
      <c r="E209" t="s">
        <v>116</v>
      </c>
      <c r="F209" s="114">
        <v>13.5</v>
      </c>
      <c r="G209" t="s">
        <v>149</v>
      </c>
      <c r="H209" s="130" cm="1">
        <f t="array" ref="H209">SUMPRODUCT(Tracking[Amount], -- (Tracking[[Date ]]&lt;= Tracking[[#This Row],[Date ]]), (Tracking[[Type ]]&lt;&gt;"Income")*(-1) + (Tracking[[Type ]]="Income"))</f>
        <v>3506.3800000000006</v>
      </c>
      <c r="I20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45357</v>
      </c>
    </row>
    <row r="210" spans="3:9" x14ac:dyDescent="0.3">
      <c r="C210" s="112">
        <v>45357</v>
      </c>
      <c r="D210" t="s">
        <v>9</v>
      </c>
      <c r="E210" t="s">
        <v>121</v>
      </c>
      <c r="F210" s="114">
        <v>4.6500000000000004</v>
      </c>
      <c r="G210"/>
      <c r="H210" s="130" cm="1">
        <f t="array" ref="H210">SUMPRODUCT(Tracking[Amount], -- (Tracking[[Date ]]&lt;= Tracking[[#This Row],[Date ]]), (Tracking[[Type ]]&lt;&gt;"Income")*(-1) + (Tracking[[Type ]]="Income"))</f>
        <v>3506.3800000000006</v>
      </c>
      <c r="I21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45357</v>
      </c>
    </row>
    <row r="211" spans="3:9" x14ac:dyDescent="0.3">
      <c r="C211" s="112">
        <v>45357</v>
      </c>
      <c r="D211" t="s">
        <v>9</v>
      </c>
      <c r="E211" t="s">
        <v>20</v>
      </c>
      <c r="F211" s="114">
        <v>29.56</v>
      </c>
      <c r="G211"/>
      <c r="H211" s="130" cm="1">
        <f t="array" ref="H211">SUMPRODUCT(Tracking[Amount], -- (Tracking[[Date ]]&lt;= Tracking[[#This Row],[Date ]]), (Tracking[[Type ]]&lt;&gt;"Income")*(-1) + (Tracking[[Type ]]="Income"))</f>
        <v>3506.3800000000006</v>
      </c>
      <c r="I21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45357</v>
      </c>
    </row>
    <row r="212" spans="3:9" x14ac:dyDescent="0.3">
      <c r="C212" s="112">
        <v>45358</v>
      </c>
      <c r="D212" t="s">
        <v>9</v>
      </c>
      <c r="E212" t="s">
        <v>121</v>
      </c>
      <c r="F212" s="114">
        <v>30</v>
      </c>
      <c r="G212"/>
      <c r="H212" s="130" cm="1">
        <f t="array" ref="H212">SUMPRODUCT(Tracking[Amount], -- (Tracking[[Date ]]&lt;= Tracking[[#This Row],[Date ]]), (Tracking[[Type ]]&lt;&gt;"Income")*(-1) + (Tracking[[Type ]]="Income"))</f>
        <v>3476.3800000000006</v>
      </c>
      <c r="I21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45358</v>
      </c>
    </row>
    <row r="213" spans="3:9" x14ac:dyDescent="0.3">
      <c r="C213" s="112">
        <v>45359</v>
      </c>
      <c r="D213" t="s">
        <v>9</v>
      </c>
      <c r="E213" t="s">
        <v>121</v>
      </c>
      <c r="F213" s="114">
        <v>1.7</v>
      </c>
      <c r="G213"/>
      <c r="H213" s="130" cm="1">
        <f t="array" ref="H213">SUMPRODUCT(Tracking[Amount], -- (Tracking[[Date ]]&lt;= Tracking[[#This Row],[Date ]]), (Tracking[[Type ]]&lt;&gt;"Income")*(-1) + (Tracking[[Type ]]="Income"))</f>
        <v>3474.6800000000007</v>
      </c>
      <c r="I21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45359</v>
      </c>
    </row>
    <row r="214" spans="3:9" x14ac:dyDescent="0.3">
      <c r="C214" s="112">
        <v>45360</v>
      </c>
      <c r="D214" t="s">
        <v>9</v>
      </c>
      <c r="E214" t="s">
        <v>121</v>
      </c>
      <c r="F214" s="114">
        <v>3</v>
      </c>
      <c r="G214"/>
      <c r="H214" s="130" cm="1">
        <f t="array" ref="H214">SUMPRODUCT(Tracking[Amount], -- (Tracking[[Date ]]&lt;= Tracking[[#This Row],[Date ]]), (Tracking[[Type ]]&lt;&gt;"Income")*(-1) + (Tracking[[Type ]]="Income"))</f>
        <v>3471.6800000000007</v>
      </c>
      <c r="I21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45360</v>
      </c>
    </row>
    <row r="215" spans="3:9" x14ac:dyDescent="0.3">
      <c r="C215" s="112">
        <v>45332</v>
      </c>
      <c r="D215" t="s">
        <v>9</v>
      </c>
      <c r="E215" t="s">
        <v>26</v>
      </c>
      <c r="F215" s="114">
        <v>28</v>
      </c>
      <c r="G215"/>
      <c r="H215" s="130" cm="1">
        <f t="array" ref="H215">SUMPRODUCT(Tracking[Amount], -- (Tracking[[Date ]]&lt;= Tracking[[#This Row],[Date ]]), (Tracking[[Type ]]&lt;&gt;"Income")*(-1) + (Tracking[[Type ]]="Income"))</f>
        <v>3321.1</v>
      </c>
      <c r="I21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45332</v>
      </c>
    </row>
    <row r="216" spans="3:9" x14ac:dyDescent="0.3">
      <c r="C216" s="112">
        <v>45362</v>
      </c>
      <c r="D216" t="s">
        <v>9</v>
      </c>
      <c r="E216" t="s">
        <v>20</v>
      </c>
      <c r="F216" s="114">
        <v>16.2</v>
      </c>
      <c r="G216"/>
      <c r="H216" s="130" cm="1">
        <f t="array" ref="H216">SUMPRODUCT(Tracking[Amount], -- (Tracking[[Date ]]&lt;= Tracking[[#This Row],[Date ]]), (Tracking[[Type ]]&lt;&gt;"Income")*(-1) + (Tracking[[Type ]]="Income"))</f>
        <v>3386.4800000000009</v>
      </c>
      <c r="I21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45362</v>
      </c>
    </row>
    <row r="217" spans="3:9" x14ac:dyDescent="0.3">
      <c r="C217" s="112">
        <v>45362</v>
      </c>
      <c r="D217" t="s">
        <v>9</v>
      </c>
      <c r="E217" t="s">
        <v>121</v>
      </c>
      <c r="F217" s="114">
        <v>4.5999999999999996</v>
      </c>
      <c r="G217"/>
      <c r="H217" s="130" cm="1">
        <f t="array" ref="H217">SUMPRODUCT(Tracking[Amount], -- (Tracking[[Date ]]&lt;= Tracking[[#This Row],[Date ]]), (Tracking[[Type ]]&lt;&gt;"Income")*(-1) + (Tracking[[Type ]]="Income"))</f>
        <v>3386.4800000000009</v>
      </c>
      <c r="I21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45362</v>
      </c>
    </row>
    <row r="218" spans="3:9" x14ac:dyDescent="0.3">
      <c r="C218" s="112">
        <v>45362</v>
      </c>
      <c r="D218" t="s">
        <v>9</v>
      </c>
      <c r="E218" t="s">
        <v>116</v>
      </c>
      <c r="F218" s="114">
        <v>64.400000000000006</v>
      </c>
      <c r="G218" t="s">
        <v>150</v>
      </c>
      <c r="H218" s="130" cm="1">
        <f t="array" ref="H218">SUMPRODUCT(Tracking[Amount], -- (Tracking[[Date ]]&lt;= Tracking[[#This Row],[Date ]]), (Tracking[[Type ]]&lt;&gt;"Income")*(-1) + (Tracking[[Type ]]="Income"))</f>
        <v>3386.4800000000009</v>
      </c>
      <c r="I21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45362</v>
      </c>
    </row>
    <row r="219" spans="3:9" x14ac:dyDescent="0.3">
      <c r="C219" s="112">
        <v>45363</v>
      </c>
      <c r="D219" t="s">
        <v>9</v>
      </c>
      <c r="E219" t="s">
        <v>20</v>
      </c>
      <c r="F219" s="114">
        <v>1.5</v>
      </c>
      <c r="G219"/>
      <c r="H219" s="130" cm="1">
        <f t="array" ref="H219">SUMPRODUCT(Tracking[Amount], -- (Tracking[[Date ]]&lt;= Tracking[[#This Row],[Date ]]), (Tracking[[Type ]]&lt;&gt;"Income")*(-1) + (Tracking[[Type ]]="Income"))</f>
        <v>3370.4100000000008</v>
      </c>
      <c r="I21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45363</v>
      </c>
    </row>
    <row r="220" spans="3:9" x14ac:dyDescent="0.3">
      <c r="C220" s="112">
        <v>45363</v>
      </c>
      <c r="D220" t="s">
        <v>9</v>
      </c>
      <c r="E220" t="s">
        <v>121</v>
      </c>
      <c r="F220" s="114">
        <v>9.07</v>
      </c>
      <c r="G220"/>
      <c r="H220" s="130" cm="1">
        <f t="array" ref="H220">SUMPRODUCT(Tracking[Amount], -- (Tracking[[Date ]]&lt;= Tracking[[#This Row],[Date ]]), (Tracking[[Type ]]&lt;&gt;"Income")*(-1) + (Tracking[[Type ]]="Income"))</f>
        <v>3370.4100000000008</v>
      </c>
      <c r="I22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45363</v>
      </c>
    </row>
    <row r="221" spans="3:9" x14ac:dyDescent="0.3">
      <c r="C221" s="112">
        <v>45363</v>
      </c>
      <c r="D221" t="s">
        <v>9</v>
      </c>
      <c r="E221" t="s">
        <v>116</v>
      </c>
      <c r="F221" s="114">
        <v>5.5</v>
      </c>
      <c r="G221"/>
      <c r="H221" s="130" cm="1">
        <f t="array" ref="H221">SUMPRODUCT(Tracking[Amount], -- (Tracking[[Date ]]&lt;= Tracking[[#This Row],[Date ]]), (Tracking[[Type ]]&lt;&gt;"Income")*(-1) + (Tracking[[Type ]]="Income"))</f>
        <v>3370.4100000000008</v>
      </c>
      <c r="I22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45363</v>
      </c>
    </row>
    <row r="222" spans="3:9" x14ac:dyDescent="0.3">
      <c r="C222" s="112">
        <v>45364</v>
      </c>
      <c r="D222" t="s">
        <v>9</v>
      </c>
      <c r="E222" t="s">
        <v>121</v>
      </c>
      <c r="F222" s="114">
        <v>6.89</v>
      </c>
      <c r="G222"/>
      <c r="H222" s="130" cm="1">
        <f t="array" ref="H222">SUMPRODUCT(Tracking[Amount], -- (Tracking[[Date ]]&lt;= Tracking[[#This Row],[Date ]]), (Tracking[[Type ]]&lt;&gt;"Income")*(-1) + (Tracking[[Type ]]="Income"))</f>
        <v>3363.5200000000009</v>
      </c>
      <c r="I22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45364</v>
      </c>
    </row>
    <row r="223" spans="3:9" x14ac:dyDescent="0.3">
      <c r="C223" s="112">
        <v>45365</v>
      </c>
      <c r="D223" t="s">
        <v>9</v>
      </c>
      <c r="E223" t="s">
        <v>121</v>
      </c>
      <c r="F223" s="114">
        <v>5.32</v>
      </c>
      <c r="G223"/>
      <c r="H223" s="130" cm="1">
        <f t="array" ref="H223">SUMPRODUCT(Tracking[Amount], -- (Tracking[[Date ]]&lt;= Tracking[[#This Row],[Date ]]), (Tracking[[Type ]]&lt;&gt;"Income")*(-1) + (Tracking[[Type ]]="Income"))</f>
        <v>3358.2000000000007</v>
      </c>
      <c r="I22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45365</v>
      </c>
    </row>
    <row r="224" spans="3:9" x14ac:dyDescent="0.3">
      <c r="C224" s="112">
        <v>45370</v>
      </c>
      <c r="D224" t="s">
        <v>9</v>
      </c>
      <c r="E224" t="s">
        <v>116</v>
      </c>
      <c r="F224" s="114">
        <v>57.17</v>
      </c>
      <c r="G224" t="s">
        <v>145</v>
      </c>
      <c r="H224" s="130" cm="1">
        <f t="array" ref="H224">SUMPRODUCT(Tracking[Amount], -- (Tracking[[Date ]]&lt;= Tracking[[#This Row],[Date ]]), (Tracking[[Type ]]&lt;&gt;"Income")*(-1) + (Tracking[[Type ]]="Income"))</f>
        <v>3272.3300000000008</v>
      </c>
      <c r="I22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45370</v>
      </c>
    </row>
    <row r="225" spans="3:9" x14ac:dyDescent="0.3">
      <c r="C225" s="112">
        <v>45370</v>
      </c>
      <c r="D225" t="s">
        <v>9</v>
      </c>
      <c r="E225" t="s">
        <v>20</v>
      </c>
      <c r="F225" s="114">
        <v>13.2</v>
      </c>
      <c r="G225"/>
      <c r="H225" s="130" cm="1">
        <f t="array" ref="H225">SUMPRODUCT(Tracking[Amount], -- (Tracking[[Date ]]&lt;= Tracking[[#This Row],[Date ]]), (Tracking[[Type ]]&lt;&gt;"Income")*(-1) + (Tracking[[Type ]]="Income"))</f>
        <v>3272.3300000000008</v>
      </c>
      <c r="I22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45370</v>
      </c>
    </row>
    <row r="226" spans="3:9" x14ac:dyDescent="0.3">
      <c r="C226" s="112">
        <v>45370</v>
      </c>
      <c r="D226" t="s">
        <v>9</v>
      </c>
      <c r="E226" t="s">
        <v>121</v>
      </c>
      <c r="F226" s="114">
        <v>10.5</v>
      </c>
      <c r="G226"/>
      <c r="H226" s="130" cm="1">
        <f t="array" ref="H226">SUMPRODUCT(Tracking[Amount], -- (Tracking[[Date ]]&lt;= Tracking[[#This Row],[Date ]]), (Tracking[[Type ]]&lt;&gt;"Income")*(-1) + (Tracking[[Type ]]="Income"))</f>
        <v>3272.3300000000008</v>
      </c>
      <c r="I22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45370</v>
      </c>
    </row>
    <row r="227" spans="3:9" x14ac:dyDescent="0.3">
      <c r="C227" s="112">
        <v>45370</v>
      </c>
      <c r="D227" t="s">
        <v>9</v>
      </c>
      <c r="E227" t="s">
        <v>116</v>
      </c>
      <c r="F227" s="114">
        <v>5</v>
      </c>
      <c r="G227" t="s">
        <v>148</v>
      </c>
      <c r="H227" s="130" cm="1">
        <f t="array" ref="H227">SUMPRODUCT(Tracking[Amount], -- (Tracking[[Date ]]&lt;= Tracking[[#This Row],[Date ]]), (Tracking[[Type ]]&lt;&gt;"Income")*(-1) + (Tracking[[Type ]]="Income"))</f>
        <v>3272.3300000000008</v>
      </c>
      <c r="I22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45370</v>
      </c>
    </row>
    <row r="228" spans="3:9" x14ac:dyDescent="0.3">
      <c r="C228" s="112">
        <v>45371</v>
      </c>
      <c r="D228" t="s">
        <v>9</v>
      </c>
      <c r="E228" t="s">
        <v>121</v>
      </c>
      <c r="F228" s="114">
        <v>6</v>
      </c>
      <c r="G228"/>
      <c r="H228" s="130" cm="1">
        <f t="array" ref="H228">SUMPRODUCT(Tracking[Amount], -- (Tracking[[Date ]]&lt;= Tracking[[#This Row],[Date ]]), (Tracking[[Type ]]&lt;&gt;"Income")*(-1) + (Tracking[[Type ]]="Income"))</f>
        <v>3219.8300000000008</v>
      </c>
      <c r="I22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45371</v>
      </c>
    </row>
    <row r="229" spans="3:9" x14ac:dyDescent="0.3">
      <c r="C229" s="112">
        <v>45371</v>
      </c>
      <c r="D229" t="s">
        <v>9</v>
      </c>
      <c r="E229" t="s">
        <v>116</v>
      </c>
      <c r="F229" s="114">
        <v>46.5</v>
      </c>
      <c r="G229" t="s">
        <v>151</v>
      </c>
      <c r="H229" s="130" cm="1">
        <f t="array" ref="H229">SUMPRODUCT(Tracking[Amount], -- (Tracking[[Date ]]&lt;= Tracking[[#This Row],[Date ]]), (Tracking[[Type ]]&lt;&gt;"Income")*(-1) + (Tracking[[Type ]]="Income"))</f>
        <v>3219.8300000000008</v>
      </c>
      <c r="I22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45371</v>
      </c>
    </row>
    <row r="230" spans="3:9" x14ac:dyDescent="0.3">
      <c r="C230" s="112">
        <v>45372</v>
      </c>
      <c r="D230" t="s">
        <v>9</v>
      </c>
      <c r="E230" t="s">
        <v>121</v>
      </c>
      <c r="F230" s="114">
        <v>3.5</v>
      </c>
      <c r="G230"/>
      <c r="H230" s="130" cm="1">
        <f t="array" ref="H230">SUMPRODUCT(Tracking[Amount], -- (Tracking[[Date ]]&lt;= Tracking[[#This Row],[Date ]]), (Tracking[[Type ]]&lt;&gt;"Income")*(-1) + (Tracking[[Type ]]="Income"))</f>
        <v>3211.3300000000008</v>
      </c>
      <c r="I23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45372</v>
      </c>
    </row>
    <row r="231" spans="3:9" x14ac:dyDescent="0.3">
      <c r="C231" s="112">
        <v>45372</v>
      </c>
      <c r="D231" t="s">
        <v>9</v>
      </c>
      <c r="E231" t="s">
        <v>116</v>
      </c>
      <c r="F231" s="114">
        <v>5</v>
      </c>
      <c r="G231"/>
      <c r="H231" s="130" cm="1">
        <f t="array" ref="H231">SUMPRODUCT(Tracking[Amount], -- (Tracking[[Date ]]&lt;= Tracking[[#This Row],[Date ]]), (Tracking[[Type ]]&lt;&gt;"Income")*(-1) + (Tracking[[Type ]]="Income"))</f>
        <v>3211.3300000000008</v>
      </c>
      <c r="I23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45372</v>
      </c>
    </row>
    <row r="232" spans="3:9" x14ac:dyDescent="0.3">
      <c r="C232" s="112">
        <v>45377</v>
      </c>
      <c r="D232" t="s">
        <v>9</v>
      </c>
      <c r="E232" t="s">
        <v>121</v>
      </c>
      <c r="F232" s="114">
        <v>3.5</v>
      </c>
      <c r="G232"/>
      <c r="H232" s="130" cm="1">
        <f t="array" ref="H232">SUMPRODUCT(Tracking[Amount], -- (Tracking[[Date ]]&lt;= Tracking[[#This Row],[Date ]]), (Tracking[[Type ]]&lt;&gt;"Income")*(-1) + (Tracking[[Type ]]="Income"))</f>
        <v>3201.8300000000008</v>
      </c>
      <c r="I23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45377</v>
      </c>
    </row>
    <row r="233" spans="3:9" x14ac:dyDescent="0.3">
      <c r="C233" s="112">
        <v>45377</v>
      </c>
      <c r="D233" t="s">
        <v>9</v>
      </c>
      <c r="E233" t="s">
        <v>116</v>
      </c>
      <c r="F233" s="114">
        <v>6</v>
      </c>
      <c r="G233" t="s">
        <v>148</v>
      </c>
      <c r="H233" s="130" cm="1">
        <f t="array" ref="H233">SUMPRODUCT(Tracking[Amount], -- (Tracking[[Date ]]&lt;= Tracking[[#This Row],[Date ]]), (Tracking[[Type ]]&lt;&gt;"Income")*(-1) + (Tracking[[Type ]]="Income"))</f>
        <v>3201.8300000000008</v>
      </c>
      <c r="I23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45377</v>
      </c>
    </row>
    <row r="234" spans="3:9" x14ac:dyDescent="0.3">
      <c r="C234" s="112">
        <v>45378</v>
      </c>
      <c r="D234" t="s">
        <v>9</v>
      </c>
      <c r="E234" t="s">
        <v>20</v>
      </c>
      <c r="F234" s="114">
        <v>6</v>
      </c>
      <c r="G234"/>
      <c r="H234" s="130" cm="1">
        <f t="array" ref="H234">SUMPRODUCT(Tracking[Amount], -- (Tracking[[Date ]]&lt;= Tracking[[#This Row],[Date ]]), (Tracking[[Type ]]&lt;&gt;"Income")*(-1) + (Tracking[[Type ]]="Income"))</f>
        <v>3192.8300000000008</v>
      </c>
      <c r="I23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45378</v>
      </c>
    </row>
    <row r="235" spans="3:9" x14ac:dyDescent="0.3">
      <c r="C235" s="112">
        <v>45378</v>
      </c>
      <c r="D235" t="s">
        <v>9</v>
      </c>
      <c r="E235" t="s">
        <v>121</v>
      </c>
      <c r="F235" s="114">
        <v>3</v>
      </c>
      <c r="G235"/>
      <c r="H235" s="130" cm="1">
        <f t="array" ref="H235">SUMPRODUCT(Tracking[Amount], -- (Tracking[[Date ]]&lt;= Tracking[[#This Row],[Date ]]), (Tracking[[Type ]]&lt;&gt;"Income")*(-1) + (Tracking[[Type ]]="Income"))</f>
        <v>3192.8300000000008</v>
      </c>
      <c r="I23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45378</v>
      </c>
    </row>
    <row r="236" spans="3:9" x14ac:dyDescent="0.3">
      <c r="C236" s="112">
        <v>45383</v>
      </c>
      <c r="D236" t="s">
        <v>6</v>
      </c>
      <c r="E236" t="s">
        <v>19</v>
      </c>
      <c r="F236" s="114">
        <v>1061</v>
      </c>
      <c r="G236"/>
      <c r="H236" s="130" cm="1">
        <f t="array" ref="H236">SUMPRODUCT(Tracking[Amount], -- (Tracking[[Date ]]&lt;= Tracking[[#This Row],[Date ]]), (Tracking[[Type ]]&lt;&gt;"Income")*(-1) + (Tracking[[Type ]]="Income"))</f>
        <v>4146.1600000000008</v>
      </c>
      <c r="I23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45383</v>
      </c>
    </row>
    <row r="237" spans="3:9" x14ac:dyDescent="0.3">
      <c r="C237" s="112">
        <v>45379</v>
      </c>
      <c r="D237" t="s">
        <v>9</v>
      </c>
      <c r="E237" t="s">
        <v>140</v>
      </c>
      <c r="F237" s="114">
        <v>5</v>
      </c>
      <c r="G237"/>
      <c r="H237" s="130" cm="1">
        <f t="array" ref="H237">SUMPRODUCT(Tracking[Amount], -- (Tracking[[Date ]]&lt;= Tracking[[#This Row],[Date ]]), (Tracking[[Type ]]&lt;&gt;"Income")*(-1) + (Tracking[[Type ]]="Income"))</f>
        <v>3187.8300000000008</v>
      </c>
      <c r="I23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45379</v>
      </c>
    </row>
    <row r="238" spans="3:9" x14ac:dyDescent="0.3">
      <c r="C238" s="112">
        <v>45381</v>
      </c>
      <c r="D238" t="s">
        <v>9</v>
      </c>
      <c r="E238" t="s">
        <v>26</v>
      </c>
      <c r="F238" s="114">
        <v>17</v>
      </c>
      <c r="G238"/>
      <c r="H238" s="130" cm="1">
        <f t="array" ref="H238">SUMPRODUCT(Tracking[Amount], -- (Tracking[[Date ]]&lt;= Tracking[[#This Row],[Date ]]), (Tracking[[Type ]]&lt;&gt;"Income")*(-1) + (Tracking[[Type ]]="Income"))</f>
        <v>3170.8300000000008</v>
      </c>
      <c r="I23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45381</v>
      </c>
    </row>
    <row r="239" spans="3:9" x14ac:dyDescent="0.3">
      <c r="C239" s="112">
        <v>45382</v>
      </c>
      <c r="D239" t="s">
        <v>9</v>
      </c>
      <c r="E239" t="s">
        <v>121</v>
      </c>
      <c r="F239" s="114">
        <v>19.5</v>
      </c>
      <c r="G239"/>
      <c r="H239" s="130" cm="1">
        <f t="array" ref="H239">SUMPRODUCT(Tracking[Amount], -- (Tracking[[Date ]]&lt;= Tracking[[#This Row],[Date ]]), (Tracking[[Type ]]&lt;&gt;"Income")*(-1) + (Tracking[[Type ]]="Income"))</f>
        <v>3106.3300000000008</v>
      </c>
      <c r="I23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45382</v>
      </c>
    </row>
    <row r="240" spans="3:9" x14ac:dyDescent="0.3">
      <c r="C240" s="112">
        <v>45383</v>
      </c>
      <c r="D240" t="s">
        <v>9</v>
      </c>
      <c r="E240" t="s">
        <v>121</v>
      </c>
      <c r="F240" s="114">
        <v>3</v>
      </c>
      <c r="G240"/>
      <c r="H240" s="130" cm="1">
        <f t="array" ref="H240">SUMPRODUCT(Tracking[Amount], -- (Tracking[[Date ]]&lt;= Tracking[[#This Row],[Date ]]), (Tracking[[Type ]]&lt;&gt;"Income")*(-1) + (Tracking[[Type ]]="Income"))</f>
        <v>4146.1600000000008</v>
      </c>
      <c r="I24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45383</v>
      </c>
    </row>
    <row r="241" spans="3:9" x14ac:dyDescent="0.3">
      <c r="C241" s="112">
        <v>45383</v>
      </c>
      <c r="D241" t="s">
        <v>9</v>
      </c>
      <c r="E241" t="s">
        <v>20</v>
      </c>
      <c r="F241" s="114">
        <v>18.170000000000002</v>
      </c>
      <c r="G241"/>
      <c r="H241" s="130" cm="1">
        <f t="array" ref="H241">SUMPRODUCT(Tracking[Amount], -- (Tracking[[Date ]]&lt;= Tracking[[#This Row],[Date ]]), (Tracking[[Type ]]&lt;&gt;"Income")*(-1) + (Tracking[[Type ]]="Income"))</f>
        <v>4146.1600000000008</v>
      </c>
      <c r="I24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45383</v>
      </c>
    </row>
    <row r="242" spans="3:9" x14ac:dyDescent="0.3">
      <c r="C242" s="112">
        <v>45352</v>
      </c>
      <c r="D242" t="s">
        <v>9</v>
      </c>
      <c r="E242" t="s">
        <v>116</v>
      </c>
      <c r="F242" s="114">
        <v>5.5</v>
      </c>
      <c r="G242" t="s">
        <v>148</v>
      </c>
      <c r="H242" s="130" cm="1">
        <f t="array" ref="H242">SUMPRODUCT(Tracking[Amount], -- (Tracking[[Date ]]&lt;= Tracking[[#This Row],[Date ]]), (Tracking[[Type ]]&lt;&gt;"Income")*(-1) + (Tracking[[Type ]]="Income"))</f>
        <v>3633.3100000000004</v>
      </c>
      <c r="I24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45352</v>
      </c>
    </row>
    <row r="243" spans="3:9" x14ac:dyDescent="0.3">
      <c r="C243" s="112">
        <v>45382</v>
      </c>
      <c r="D243" t="s">
        <v>9</v>
      </c>
      <c r="E243" t="s">
        <v>131</v>
      </c>
      <c r="F243" s="114">
        <v>45</v>
      </c>
      <c r="G243"/>
      <c r="H243" s="130" cm="1">
        <f t="array" ref="H243">SUMPRODUCT(Tracking[Amount], -- (Tracking[[Date ]]&lt;= Tracking[[#This Row],[Date ]]), (Tracking[[Type ]]&lt;&gt;"Income")*(-1) + (Tracking[[Type ]]="Income"))</f>
        <v>3106.3300000000008</v>
      </c>
      <c r="I24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45382</v>
      </c>
    </row>
    <row r="244" spans="3:9" x14ac:dyDescent="0.3">
      <c r="C244" s="112">
        <v>45384</v>
      </c>
      <c r="D244" t="s">
        <v>9</v>
      </c>
      <c r="E244" t="s">
        <v>121</v>
      </c>
      <c r="F244" s="114">
        <v>6</v>
      </c>
      <c r="G244"/>
      <c r="H244" s="130" cm="1">
        <f t="array" ref="H244">SUMPRODUCT(Tracking[Amount], -- (Tracking[[Date ]]&lt;= Tracking[[#This Row],[Date ]]), (Tracking[[Type ]]&lt;&gt;"Income")*(-1) + (Tracking[[Type ]]="Income"))</f>
        <v>4115.7100000000009</v>
      </c>
      <c r="I24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45384</v>
      </c>
    </row>
    <row r="245" spans="3:9" x14ac:dyDescent="0.3">
      <c r="C245" s="112">
        <v>45384</v>
      </c>
      <c r="D245" t="s">
        <v>9</v>
      </c>
      <c r="E245" t="s">
        <v>143</v>
      </c>
      <c r="F245" s="114">
        <v>14</v>
      </c>
      <c r="G245"/>
      <c r="H245" s="130" cm="1">
        <f t="array" ref="H245">SUMPRODUCT(Tracking[Amount], -- (Tracking[[Date ]]&lt;= Tracking[[#This Row],[Date ]]), (Tracking[[Type ]]&lt;&gt;"Income")*(-1) + (Tracking[[Type ]]="Income"))</f>
        <v>4115.7100000000009</v>
      </c>
      <c r="I24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45384</v>
      </c>
    </row>
    <row r="246" spans="3:9" x14ac:dyDescent="0.3">
      <c r="C246" s="112">
        <v>45384</v>
      </c>
      <c r="D246" t="s">
        <v>9</v>
      </c>
      <c r="E246" t="s">
        <v>116</v>
      </c>
      <c r="F246" s="114">
        <v>10.45</v>
      </c>
      <c r="G246" t="s">
        <v>152</v>
      </c>
      <c r="H246" s="130" cm="1">
        <f t="array" ref="H246">SUMPRODUCT(Tracking[Amount], -- (Tracking[[Date ]]&lt;= Tracking[[#This Row],[Date ]]), (Tracking[[Type ]]&lt;&gt;"Income")*(-1) + (Tracking[[Type ]]="Income"))</f>
        <v>4115.7100000000009</v>
      </c>
      <c r="I24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45384</v>
      </c>
    </row>
    <row r="247" spans="3:9" x14ac:dyDescent="0.3">
      <c r="C247" s="112">
        <v>45385</v>
      </c>
      <c r="D247" t="s">
        <v>9</v>
      </c>
      <c r="E247" t="s">
        <v>121</v>
      </c>
      <c r="F247" s="114">
        <v>3</v>
      </c>
      <c r="G247"/>
      <c r="H247" s="130" cm="1">
        <f t="array" ref="H247">SUMPRODUCT(Tracking[Amount], -- (Tracking[[Date ]]&lt;= Tracking[[#This Row],[Date ]]), (Tracking[[Type ]]&lt;&gt;"Income")*(-1) + (Tracking[[Type ]]="Income"))</f>
        <v>4112.7100000000009</v>
      </c>
      <c r="I24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45385</v>
      </c>
    </row>
    <row r="248" spans="3:9" x14ac:dyDescent="0.3">
      <c r="C248" s="112">
        <v>45386</v>
      </c>
      <c r="D248" t="s">
        <v>9</v>
      </c>
      <c r="E248" t="s">
        <v>121</v>
      </c>
      <c r="F248" s="114">
        <v>3</v>
      </c>
      <c r="G248"/>
      <c r="H248" s="130" cm="1">
        <f t="array" ref="H248">SUMPRODUCT(Tracking[Amount], -- (Tracking[[Date ]]&lt;= Tracking[[#This Row],[Date ]]), (Tracking[[Type ]]&lt;&gt;"Income")*(-1) + (Tracking[[Type ]]="Income"))</f>
        <v>4100.5100000000011</v>
      </c>
      <c r="I24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45386</v>
      </c>
    </row>
    <row r="249" spans="3:9" x14ac:dyDescent="0.3">
      <c r="C249" s="112">
        <v>45386</v>
      </c>
      <c r="D249" t="s">
        <v>9</v>
      </c>
      <c r="E249" t="s">
        <v>20</v>
      </c>
      <c r="F249" s="114">
        <v>9.1999999999999993</v>
      </c>
      <c r="G249"/>
      <c r="H249" s="130" cm="1">
        <f t="array" ref="H249">SUMPRODUCT(Tracking[Amount], -- (Tracking[[Date ]]&lt;= Tracking[[#This Row],[Date ]]), (Tracking[[Type ]]&lt;&gt;"Income")*(-1) + (Tracking[[Type ]]="Income"))</f>
        <v>4100.5100000000011</v>
      </c>
      <c r="I24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45386</v>
      </c>
    </row>
    <row r="250" spans="3:9" x14ac:dyDescent="0.3">
      <c r="C250" s="112">
        <v>45387</v>
      </c>
      <c r="D250" t="s">
        <v>9</v>
      </c>
      <c r="E250" t="s">
        <v>121</v>
      </c>
      <c r="F250" s="114">
        <v>8</v>
      </c>
      <c r="G250"/>
      <c r="H250" s="130" cm="1">
        <f t="array" ref="H250">SUMPRODUCT(Tracking[Amount], -- (Tracking[[Date ]]&lt;= Tracking[[#This Row],[Date ]]), (Tracking[[Type ]]&lt;&gt;"Income")*(-1) + (Tracking[[Type ]]="Income"))</f>
        <v>4086.5100000000011</v>
      </c>
      <c r="I25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45387</v>
      </c>
    </row>
    <row r="251" spans="3:9" x14ac:dyDescent="0.3">
      <c r="C251" s="112">
        <v>45387</v>
      </c>
      <c r="D251" t="s">
        <v>9</v>
      </c>
      <c r="E251" t="s">
        <v>26</v>
      </c>
      <c r="F251" s="114">
        <v>6</v>
      </c>
      <c r="G251"/>
      <c r="H251" s="130" cm="1">
        <f t="array" ref="H251">SUMPRODUCT(Tracking[Amount], -- (Tracking[[Date ]]&lt;= Tracking[[#This Row],[Date ]]), (Tracking[[Type ]]&lt;&gt;"Income")*(-1) + (Tracking[[Type ]]="Income"))</f>
        <v>4086.5100000000011</v>
      </c>
      <c r="I25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45387</v>
      </c>
    </row>
    <row r="252" spans="3:9" x14ac:dyDescent="0.3">
      <c r="C252" s="112">
        <v>45388</v>
      </c>
      <c r="D252" t="s">
        <v>9</v>
      </c>
      <c r="E252" t="s">
        <v>121</v>
      </c>
      <c r="F252" s="114">
        <v>8</v>
      </c>
      <c r="G252"/>
      <c r="H252" s="130" cm="1">
        <f t="array" ref="H252">SUMPRODUCT(Tracking[Amount], -- (Tracking[[Date ]]&lt;= Tracking[[#This Row],[Date ]]), (Tracking[[Type ]]&lt;&gt;"Income")*(-1) + (Tracking[[Type ]]="Income"))</f>
        <v>4072.0100000000011</v>
      </c>
      <c r="I25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45388</v>
      </c>
    </row>
    <row r="253" spans="3:9" x14ac:dyDescent="0.3">
      <c r="C253" s="112">
        <v>45388</v>
      </c>
      <c r="D253" t="s">
        <v>9</v>
      </c>
      <c r="E253" t="s">
        <v>26</v>
      </c>
      <c r="F253" s="114">
        <v>6.5</v>
      </c>
      <c r="G253"/>
      <c r="H253" s="130" cm="1">
        <f t="array" ref="H253">SUMPRODUCT(Tracking[Amount], -- (Tracking[[Date ]]&lt;= Tracking[[#This Row],[Date ]]), (Tracking[[Type ]]&lt;&gt;"Income")*(-1) + (Tracking[[Type ]]="Income"))</f>
        <v>4072.0100000000011</v>
      </c>
      <c r="I25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45388</v>
      </c>
    </row>
    <row r="254" spans="3:9" x14ac:dyDescent="0.3">
      <c r="C254" s="112">
        <v>45389</v>
      </c>
      <c r="D254" t="s">
        <v>9</v>
      </c>
      <c r="E254" t="s">
        <v>26</v>
      </c>
      <c r="F254" s="114">
        <v>30.5</v>
      </c>
      <c r="G254" t="s">
        <v>153</v>
      </c>
      <c r="H254" s="130" cm="1">
        <f t="array" ref="H254">SUMPRODUCT(Tracking[Amount], -- (Tracking[[Date ]]&lt;= Tracking[[#This Row],[Date ]]), (Tracking[[Type ]]&lt;&gt;"Income")*(-1) + (Tracking[[Type ]]="Income"))</f>
        <v>4041.5100000000011</v>
      </c>
      <c r="I25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45389</v>
      </c>
    </row>
    <row r="255" spans="3:9" x14ac:dyDescent="0.3">
      <c r="C255" s="112">
        <v>45390</v>
      </c>
      <c r="D255" t="s">
        <v>9</v>
      </c>
      <c r="E255" t="s">
        <v>121</v>
      </c>
      <c r="F255" s="114">
        <v>14.35</v>
      </c>
      <c r="G255"/>
      <c r="H255" s="130" cm="1">
        <f t="array" ref="H255">SUMPRODUCT(Tracking[Amount], -- (Tracking[[Date ]]&lt;= Tracking[[#This Row],[Date ]]), (Tracking[[Type ]]&lt;&gt;"Income")*(-1) + (Tracking[[Type ]]="Income"))</f>
        <v>4011.6600000000012</v>
      </c>
      <c r="I25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45390</v>
      </c>
    </row>
    <row r="256" spans="3:9" x14ac:dyDescent="0.3">
      <c r="C256" s="112">
        <v>45390</v>
      </c>
      <c r="D256" t="s">
        <v>9</v>
      </c>
      <c r="E256" t="s">
        <v>20</v>
      </c>
      <c r="F256" s="114">
        <v>11</v>
      </c>
      <c r="G256"/>
      <c r="H256" s="130" cm="1">
        <f t="array" ref="H256">SUMPRODUCT(Tracking[Amount], -- (Tracking[[Date ]]&lt;= Tracking[[#This Row],[Date ]]), (Tracking[[Type ]]&lt;&gt;"Income")*(-1) + (Tracking[[Type ]]="Income"))</f>
        <v>4011.6600000000012</v>
      </c>
      <c r="I25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45390</v>
      </c>
    </row>
    <row r="257" spans="3:13" x14ac:dyDescent="0.3">
      <c r="C257" s="112">
        <v>45390</v>
      </c>
      <c r="D257" t="s">
        <v>9</v>
      </c>
      <c r="E257" t="s">
        <v>26</v>
      </c>
      <c r="F257" s="114">
        <v>4.5</v>
      </c>
      <c r="G257"/>
      <c r="H257" s="130" cm="1">
        <f t="array" ref="H257">SUMPRODUCT(Tracking[Amount], -- (Tracking[[Date ]]&lt;= Tracking[[#This Row],[Date ]]), (Tracking[[Type ]]&lt;&gt;"Income")*(-1) + (Tracking[[Type ]]="Income"))</f>
        <v>4011.6600000000012</v>
      </c>
      <c r="I25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45390</v>
      </c>
    </row>
    <row r="258" spans="3:13" x14ac:dyDescent="0.3">
      <c r="C258" s="112">
        <v>45391</v>
      </c>
      <c r="D258" t="s">
        <v>9</v>
      </c>
      <c r="E258" t="s">
        <v>121</v>
      </c>
      <c r="F258" s="114">
        <v>10.3</v>
      </c>
      <c r="G258"/>
      <c r="H258" s="130" cm="1">
        <f t="array" ref="H258">SUMPRODUCT(Tracking[Amount], -- (Tracking[[Date ]]&lt;= Tracking[[#This Row],[Date ]]), (Tracking[[Type ]]&lt;&gt;"Income")*(-1) + (Tracking[[Type ]]="Income"))</f>
        <v>3997.5600000000009</v>
      </c>
      <c r="I25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45391</v>
      </c>
    </row>
    <row r="259" spans="3:13" x14ac:dyDescent="0.3">
      <c r="C259" s="112">
        <v>45391</v>
      </c>
      <c r="D259" t="s">
        <v>9</v>
      </c>
      <c r="E259" t="s">
        <v>26</v>
      </c>
      <c r="F259" s="114">
        <v>3.8</v>
      </c>
      <c r="G259"/>
      <c r="H259" s="130" cm="1">
        <f t="array" ref="H259">SUMPRODUCT(Tracking[Amount], -- (Tracking[[Date ]]&lt;= Tracking[[#This Row],[Date ]]), (Tracking[[Type ]]&lt;&gt;"Income")*(-1) + (Tracking[[Type ]]="Income"))</f>
        <v>3997.5600000000009</v>
      </c>
      <c r="I25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45391</v>
      </c>
    </row>
    <row r="260" spans="3:13" x14ac:dyDescent="0.3">
      <c r="C260" s="112">
        <v>45392</v>
      </c>
      <c r="D260" t="s">
        <v>9</v>
      </c>
      <c r="E260" t="s">
        <v>121</v>
      </c>
      <c r="F260" s="114">
        <v>13.75</v>
      </c>
      <c r="G260"/>
      <c r="H260" s="130" cm="1">
        <f t="array" ref="H260">SUMPRODUCT(Tracking[Amount], -- (Tracking[[Date ]]&lt;= Tracking[[#This Row],[Date ]]), (Tracking[[Type ]]&lt;&gt;"Income")*(-1) + (Tracking[[Type ]]="Income"))</f>
        <v>3950.8100000000009</v>
      </c>
      <c r="I26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45392</v>
      </c>
      <c r="L260" s="123">
        <f>SUM(F254:F278)-F272-F278</f>
        <v>343.25</v>
      </c>
    </row>
    <row r="261" spans="3:13" x14ac:dyDescent="0.3">
      <c r="C261" s="112">
        <v>45392</v>
      </c>
      <c r="D261" t="s">
        <v>9</v>
      </c>
      <c r="E261" t="s">
        <v>131</v>
      </c>
      <c r="F261" s="114">
        <v>33</v>
      </c>
      <c r="G261" t="s">
        <v>154</v>
      </c>
      <c r="H261" s="130" cm="1">
        <f t="array" ref="H261">SUMPRODUCT(Tracking[Amount], -- (Tracking[[Date ]]&lt;= Tracking[[#This Row],[Date ]]), (Tracking[[Type ]]&lt;&gt;"Income")*(-1) + (Tracking[[Type ]]="Income"))</f>
        <v>3950.8100000000009</v>
      </c>
      <c r="I26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45392</v>
      </c>
    </row>
    <row r="262" spans="3:13" x14ac:dyDescent="0.3">
      <c r="C262" s="112">
        <v>45393</v>
      </c>
      <c r="D262" t="s">
        <v>9</v>
      </c>
      <c r="E262" t="s">
        <v>121</v>
      </c>
      <c r="F262" s="114">
        <v>12.5</v>
      </c>
      <c r="G262"/>
      <c r="H262" s="130" cm="1">
        <f t="array" ref="H262">SUMPRODUCT(Tracking[Amount], -- (Tracking[[Date ]]&lt;= Tracking[[#This Row],[Date ]]), (Tracking[[Type ]]&lt;&gt;"Income")*(-1) + (Tracking[[Type ]]="Income"))</f>
        <v>3923.3100000000009</v>
      </c>
      <c r="I26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45393</v>
      </c>
      <c r="M262" s="123"/>
    </row>
    <row r="263" spans="3:13" x14ac:dyDescent="0.3">
      <c r="C263" s="112">
        <v>45393</v>
      </c>
      <c r="D263" t="s">
        <v>9</v>
      </c>
      <c r="E263" t="s">
        <v>26</v>
      </c>
      <c r="F263" s="114">
        <v>15</v>
      </c>
      <c r="G263"/>
      <c r="H263" s="130" cm="1">
        <f t="array" ref="H263">SUMPRODUCT(Tracking[Amount], -- (Tracking[[Date ]]&lt;= Tracking[[#This Row],[Date ]]), (Tracking[[Type ]]&lt;&gt;"Income")*(-1) + (Tracking[[Type ]]="Income"))</f>
        <v>3923.3100000000009</v>
      </c>
      <c r="I26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45393</v>
      </c>
    </row>
    <row r="264" spans="3:13" x14ac:dyDescent="0.3">
      <c r="C264" s="112">
        <v>45394</v>
      </c>
      <c r="D264" t="s">
        <v>9</v>
      </c>
      <c r="E264" t="s">
        <v>121</v>
      </c>
      <c r="F264" s="114">
        <v>14.3</v>
      </c>
      <c r="G264"/>
      <c r="H264" s="130" cm="1">
        <f t="array" ref="H264">SUMPRODUCT(Tracking[Amount], -- (Tracking[[Date ]]&lt;= Tracking[[#This Row],[Date ]]), (Tracking[[Type ]]&lt;&gt;"Income")*(-1) + (Tracking[[Type ]]="Income"))</f>
        <v>3897.0100000000007</v>
      </c>
      <c r="I26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45394</v>
      </c>
    </row>
    <row r="265" spans="3:13" x14ac:dyDescent="0.3">
      <c r="C265" s="112">
        <v>45394</v>
      </c>
      <c r="D265" t="s">
        <v>9</v>
      </c>
      <c r="E265" t="s">
        <v>26</v>
      </c>
      <c r="F265" s="114">
        <v>12</v>
      </c>
      <c r="G265"/>
      <c r="H265" s="130" cm="1">
        <f t="array" ref="H265">SUMPRODUCT(Tracking[Amount], -- (Tracking[[Date ]]&lt;= Tracking[[#This Row],[Date ]]), (Tracking[[Type ]]&lt;&gt;"Income")*(-1) + (Tracking[[Type ]]="Income"))</f>
        <v>3897.0100000000007</v>
      </c>
      <c r="I26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45394</v>
      </c>
      <c r="M265" s="123"/>
    </row>
    <row r="266" spans="3:13" x14ac:dyDescent="0.3">
      <c r="C266" s="112">
        <v>45395</v>
      </c>
      <c r="D266" t="s">
        <v>9</v>
      </c>
      <c r="E266" t="s">
        <v>26</v>
      </c>
      <c r="F266" s="114">
        <v>27.5</v>
      </c>
      <c r="G266"/>
      <c r="H266" s="130" cm="1">
        <f t="array" ref="H266">SUMPRODUCT(Tracking[Amount], -- (Tracking[[Date ]]&lt;= Tracking[[#This Row],[Date ]]), (Tracking[[Type ]]&lt;&gt;"Income")*(-1) + (Tracking[[Type ]]="Income"))</f>
        <v>3869.5100000000007</v>
      </c>
      <c r="I26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45395</v>
      </c>
    </row>
    <row r="267" spans="3:13" x14ac:dyDescent="0.3">
      <c r="C267" s="112">
        <v>45396</v>
      </c>
      <c r="D267" t="s">
        <v>9</v>
      </c>
      <c r="E267" t="s">
        <v>26</v>
      </c>
      <c r="F267" s="114">
        <v>26.2</v>
      </c>
      <c r="G267"/>
      <c r="H267" s="130" cm="1">
        <f t="array" ref="H267">SUMPRODUCT(Tracking[Amount], -- (Tracking[[Date ]]&lt;= Tracking[[#This Row],[Date ]]), (Tracking[[Type ]]&lt;&gt;"Income")*(-1) + (Tracking[[Type ]]="Income"))</f>
        <v>3843.3100000000009</v>
      </c>
      <c r="I26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45396</v>
      </c>
    </row>
    <row r="268" spans="3:13" x14ac:dyDescent="0.3">
      <c r="C268" s="112">
        <v>45397</v>
      </c>
      <c r="D268" t="s">
        <v>9</v>
      </c>
      <c r="E268" t="s">
        <v>121</v>
      </c>
      <c r="F268" s="114">
        <v>7.5</v>
      </c>
      <c r="G268"/>
      <c r="H268" s="130" cm="1">
        <f t="array" ref="H268">SUMPRODUCT(Tracking[Amount], -- (Tracking[[Date ]]&lt;= Tracking[[#This Row],[Date ]]), (Tracking[[Type ]]&lt;&gt;"Income")*(-1) + (Tracking[[Type ]]="Income"))</f>
        <v>3827.3100000000009</v>
      </c>
      <c r="I26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45397</v>
      </c>
    </row>
    <row r="269" spans="3:13" x14ac:dyDescent="0.3">
      <c r="C269" s="112">
        <v>45397</v>
      </c>
      <c r="D269" t="s">
        <v>9</v>
      </c>
      <c r="E269" t="s">
        <v>26</v>
      </c>
      <c r="F269" s="114">
        <v>8.5</v>
      </c>
      <c r="G269"/>
      <c r="H269" s="130" cm="1">
        <f t="array" ref="H269">SUMPRODUCT(Tracking[Amount], -- (Tracking[[Date ]]&lt;= Tracking[[#This Row],[Date ]]), (Tracking[[Type ]]&lt;&gt;"Income")*(-1) + (Tracking[[Type ]]="Income"))</f>
        <v>3827.3100000000009</v>
      </c>
      <c r="I26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45397</v>
      </c>
    </row>
    <row r="270" spans="3:13" x14ac:dyDescent="0.3">
      <c r="C270" s="112">
        <v>45398</v>
      </c>
      <c r="D270" t="s">
        <v>9</v>
      </c>
      <c r="E270" t="s">
        <v>121</v>
      </c>
      <c r="F270" s="114">
        <v>7.25</v>
      </c>
      <c r="G270"/>
      <c r="H270" s="130" cm="1">
        <f t="array" ref="H270">SUMPRODUCT(Tracking[Amount], -- (Tracking[[Date ]]&lt;= Tracking[[#This Row],[Date ]]), (Tracking[[Type ]]&lt;&gt;"Income")*(-1) + (Tracking[[Type ]]="Income"))</f>
        <v>3801.6600000000008</v>
      </c>
      <c r="I27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45398</v>
      </c>
    </row>
    <row r="271" spans="3:13" x14ac:dyDescent="0.3">
      <c r="C271" s="112">
        <v>45398</v>
      </c>
      <c r="D271" t="s">
        <v>9</v>
      </c>
      <c r="E271" t="s">
        <v>26</v>
      </c>
      <c r="F271" s="114">
        <v>4.5</v>
      </c>
      <c r="G271"/>
      <c r="H271" s="130" cm="1">
        <f t="array" ref="H271">SUMPRODUCT(Tracking[Amount], -- (Tracking[[Date ]]&lt;= Tracking[[#This Row],[Date ]]), (Tracking[[Type ]]&lt;&gt;"Income")*(-1) + (Tracking[[Type ]]="Income"))</f>
        <v>3801.6600000000008</v>
      </c>
      <c r="I27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45398</v>
      </c>
    </row>
    <row r="272" spans="3:13" x14ac:dyDescent="0.3">
      <c r="C272" s="112">
        <v>45398</v>
      </c>
      <c r="D272" t="s">
        <v>9</v>
      </c>
      <c r="E272" t="s">
        <v>27</v>
      </c>
      <c r="F272" s="114">
        <v>13.9</v>
      </c>
      <c r="G272"/>
      <c r="H272" s="130" cm="1">
        <f t="array" ref="H272">SUMPRODUCT(Tracking[Amount], -- (Tracking[[Date ]]&lt;= Tracking[[#This Row],[Date ]]), (Tracking[[Type ]]&lt;&gt;"Income")*(-1) + (Tracking[[Type ]]="Income"))</f>
        <v>3801.6600000000008</v>
      </c>
      <c r="I27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45398</v>
      </c>
    </row>
    <row r="273" spans="3:9" x14ac:dyDescent="0.3">
      <c r="C273" s="112">
        <v>45399</v>
      </c>
      <c r="D273" t="s">
        <v>9</v>
      </c>
      <c r="E273" t="s">
        <v>121</v>
      </c>
      <c r="F273" s="114">
        <v>13.5</v>
      </c>
      <c r="G273"/>
      <c r="H273" s="130" cm="1">
        <f t="array" ref="H273">SUMPRODUCT(Tracking[Amount], -- (Tracking[[Date ]]&lt;= Tracking[[#This Row],[Date ]]), (Tracking[[Type ]]&lt;&gt;"Income")*(-1) + (Tracking[[Type ]]="Income"))</f>
        <v>3772.1600000000008</v>
      </c>
      <c r="I27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45399</v>
      </c>
    </row>
    <row r="274" spans="3:9" x14ac:dyDescent="0.3">
      <c r="C274" s="112">
        <v>45399</v>
      </c>
      <c r="D274" t="s">
        <v>9</v>
      </c>
      <c r="E274" t="s">
        <v>26</v>
      </c>
      <c r="F274" s="114">
        <v>16</v>
      </c>
      <c r="G274"/>
      <c r="H274" s="130" cm="1">
        <f t="array" ref="H274">SUMPRODUCT(Tracking[Amount], -- (Tracking[[Date ]]&lt;= Tracking[[#This Row],[Date ]]), (Tracking[[Type ]]&lt;&gt;"Income")*(-1) + (Tracking[[Type ]]="Income"))</f>
        <v>3772.1600000000008</v>
      </c>
      <c r="I27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45399</v>
      </c>
    </row>
    <row r="275" spans="3:9" x14ac:dyDescent="0.3">
      <c r="C275" s="112">
        <v>45400</v>
      </c>
      <c r="D275" t="s">
        <v>9</v>
      </c>
      <c r="E275" t="s">
        <v>121</v>
      </c>
      <c r="F275" s="114">
        <v>11.3</v>
      </c>
      <c r="G275"/>
      <c r="H275" s="130" cm="1">
        <f t="array" ref="H275">SUMPRODUCT(Tracking[Amount], -- (Tracking[[Date ]]&lt;= Tracking[[#This Row],[Date ]]), (Tracking[[Type ]]&lt;&gt;"Income")*(-1) + (Tracking[[Type ]]="Income"))</f>
        <v>3760.8600000000006</v>
      </c>
      <c r="I27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45400</v>
      </c>
    </row>
    <row r="276" spans="3:9" x14ac:dyDescent="0.3">
      <c r="C276" s="112">
        <v>45401</v>
      </c>
      <c r="D276" t="s">
        <v>9</v>
      </c>
      <c r="E276" t="s">
        <v>116</v>
      </c>
      <c r="F276" s="114">
        <v>27</v>
      </c>
      <c r="G276" t="s">
        <v>155</v>
      </c>
      <c r="H276" s="130" cm="1">
        <f t="array" ref="H276">SUMPRODUCT(Tracking[Amount], -- (Tracking[[Date ]]&lt;= Tracking[[#This Row],[Date ]]), (Tracking[[Type ]]&lt;&gt;"Income")*(-1) + (Tracking[[Type ]]="Income"))</f>
        <v>3688.7500000000005</v>
      </c>
      <c r="I27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45401</v>
      </c>
    </row>
    <row r="277" spans="3:9" x14ac:dyDescent="0.3">
      <c r="C277" s="112">
        <v>45401</v>
      </c>
      <c r="D277" t="s">
        <v>9</v>
      </c>
      <c r="E277" t="s">
        <v>121</v>
      </c>
      <c r="F277" s="114">
        <v>19</v>
      </c>
      <c r="G277"/>
      <c r="H277" s="130" cm="1">
        <f t="array" ref="H277">SUMPRODUCT(Tracking[Amount], -- (Tracking[[Date ]]&lt;= Tracking[[#This Row],[Date ]]), (Tracking[[Type ]]&lt;&gt;"Income")*(-1) + (Tracking[[Type ]]="Income"))</f>
        <v>3688.7500000000005</v>
      </c>
      <c r="I27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45401</v>
      </c>
    </row>
    <row r="278" spans="3:9" x14ac:dyDescent="0.3">
      <c r="C278" s="112">
        <v>45401</v>
      </c>
      <c r="D278" t="s">
        <v>9</v>
      </c>
      <c r="E278" t="s">
        <v>116</v>
      </c>
      <c r="F278" s="114">
        <v>12</v>
      </c>
      <c r="G278" t="s">
        <v>156</v>
      </c>
      <c r="H278" s="130" cm="1">
        <f t="array" ref="H278">SUMPRODUCT(Tracking[Amount], -- (Tracking[[Date ]]&lt;= Tracking[[#This Row],[Date ]]), (Tracking[[Type ]]&lt;&gt;"Income")*(-1) + (Tracking[[Type ]]="Income"))</f>
        <v>3688.7500000000005</v>
      </c>
      <c r="I27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45401</v>
      </c>
    </row>
    <row r="279" spans="3:9" x14ac:dyDescent="0.3">
      <c r="C279" s="112">
        <v>45401</v>
      </c>
      <c r="D279" t="s">
        <v>9</v>
      </c>
      <c r="E279" t="s">
        <v>20</v>
      </c>
      <c r="F279" s="114">
        <v>14.11</v>
      </c>
      <c r="G279"/>
      <c r="H279" s="130" cm="1">
        <f t="array" ref="H279">SUMPRODUCT(Tracking[Amount], -- (Tracking[[Date ]]&lt;= Tracking[[#This Row],[Date ]]), (Tracking[[Type ]]&lt;&gt;"Income")*(-1) + (Tracking[[Type ]]="Income"))</f>
        <v>3688.7500000000005</v>
      </c>
      <c r="I27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45401</v>
      </c>
    </row>
    <row r="280" spans="3:9" x14ac:dyDescent="0.3">
      <c r="C280" s="112">
        <v>45402</v>
      </c>
      <c r="D280" t="s">
        <v>9</v>
      </c>
      <c r="E280" t="s">
        <v>121</v>
      </c>
      <c r="F280" s="114">
        <v>6</v>
      </c>
      <c r="G280"/>
      <c r="H280" s="130" cm="1">
        <f t="array" ref="H280">SUMPRODUCT(Tracking[Amount], -- (Tracking[[Date ]]&lt;= Tracking[[#This Row],[Date ]]), (Tracking[[Type ]]&lt;&gt;"Income")*(-1) + (Tracking[[Type ]]="Income"))</f>
        <v>3665.7500000000005</v>
      </c>
      <c r="I28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45402</v>
      </c>
    </row>
    <row r="281" spans="3:9" x14ac:dyDescent="0.3">
      <c r="C281" s="112">
        <v>45402</v>
      </c>
      <c r="D281" t="s">
        <v>9</v>
      </c>
      <c r="E281" t="s">
        <v>26</v>
      </c>
      <c r="F281" s="114">
        <v>4</v>
      </c>
      <c r="G281"/>
      <c r="H281" s="130" cm="1">
        <f t="array" ref="H281">SUMPRODUCT(Tracking[Amount], -- (Tracking[[Date ]]&lt;= Tracking[[#This Row],[Date ]]), (Tracking[[Type ]]&lt;&gt;"Income")*(-1) + (Tracking[[Type ]]="Income"))</f>
        <v>3665.7500000000005</v>
      </c>
      <c r="I28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45402</v>
      </c>
    </row>
    <row r="282" spans="3:9" x14ac:dyDescent="0.3">
      <c r="C282" s="112">
        <v>45402</v>
      </c>
      <c r="D282" t="s">
        <v>9</v>
      </c>
      <c r="E282" t="s">
        <v>25</v>
      </c>
      <c r="F282" s="114">
        <v>13</v>
      </c>
      <c r="G282"/>
      <c r="H282" s="130" cm="1">
        <f t="array" ref="H282">SUMPRODUCT(Tracking[Amount], -- (Tracking[[Date ]]&lt;= Tracking[[#This Row],[Date ]]), (Tracking[[Type ]]&lt;&gt;"Income")*(-1) + (Tracking[[Type ]]="Income"))</f>
        <v>3665.7500000000005</v>
      </c>
      <c r="I28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45402</v>
      </c>
    </row>
    <row r="283" spans="3:9" x14ac:dyDescent="0.3">
      <c r="C283" s="112">
        <v>45403</v>
      </c>
      <c r="D283" t="s">
        <v>9</v>
      </c>
      <c r="E283" t="s">
        <v>116</v>
      </c>
      <c r="F283" s="114">
        <v>5</v>
      </c>
      <c r="G283" t="s">
        <v>149</v>
      </c>
      <c r="H283" s="130" cm="1">
        <f t="array" ref="H283">SUMPRODUCT(Tracking[Amount], -- (Tracking[[Date ]]&lt;= Tracking[[#This Row],[Date ]]), (Tracking[[Type ]]&lt;&gt;"Income")*(-1) + (Tracking[[Type ]]="Income"))</f>
        <v>3655.2500000000005</v>
      </c>
      <c r="I28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45403</v>
      </c>
    </row>
    <row r="284" spans="3:9" x14ac:dyDescent="0.3">
      <c r="C284" s="112">
        <v>45403</v>
      </c>
      <c r="D284" t="s">
        <v>9</v>
      </c>
      <c r="E284" t="s">
        <v>26</v>
      </c>
      <c r="F284" s="114">
        <v>5.5</v>
      </c>
      <c r="G284"/>
      <c r="H284" s="130" cm="1">
        <f t="array" ref="H284">SUMPRODUCT(Tracking[Amount], -- (Tracking[[Date ]]&lt;= Tracking[[#This Row],[Date ]]), (Tracking[[Type ]]&lt;&gt;"Income")*(-1) + (Tracking[[Type ]]="Income"))</f>
        <v>3655.2500000000005</v>
      </c>
      <c r="I28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45403</v>
      </c>
    </row>
    <row r="285" spans="3:9" x14ac:dyDescent="0.3">
      <c r="C285" s="112">
        <v>45404</v>
      </c>
      <c r="D285" t="s">
        <v>9</v>
      </c>
      <c r="E285" t="s">
        <v>121</v>
      </c>
      <c r="F285" s="114">
        <v>3</v>
      </c>
      <c r="G285"/>
      <c r="H285" s="130" cm="1">
        <f t="array" ref="H285">SUMPRODUCT(Tracking[Amount], -- (Tracking[[Date ]]&lt;= Tracking[[#This Row],[Date ]]), (Tracking[[Type ]]&lt;&gt;"Income")*(-1) + (Tracking[[Type ]]="Income"))</f>
        <v>3647.2500000000005</v>
      </c>
      <c r="I28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45404</v>
      </c>
    </row>
    <row r="286" spans="3:9" x14ac:dyDescent="0.3">
      <c r="C286" s="112">
        <v>45404</v>
      </c>
      <c r="D286" t="s">
        <v>9</v>
      </c>
      <c r="E286" t="s">
        <v>116</v>
      </c>
      <c r="F286" s="114">
        <v>5</v>
      </c>
      <c r="G286"/>
      <c r="H286" s="130" cm="1">
        <f t="array" ref="H286">SUMPRODUCT(Tracking[Amount], -- (Tracking[[Date ]]&lt;= Tracking[[#This Row],[Date ]]), (Tracking[[Type ]]&lt;&gt;"Income")*(-1) + (Tracking[[Type ]]="Income"))</f>
        <v>3647.2500000000005</v>
      </c>
      <c r="I28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45404</v>
      </c>
    </row>
    <row r="287" spans="3:9" x14ac:dyDescent="0.3">
      <c r="C287" s="112">
        <v>45405</v>
      </c>
      <c r="D287" t="s">
        <v>9</v>
      </c>
      <c r="E287" t="s">
        <v>121</v>
      </c>
      <c r="F287" s="114">
        <v>6</v>
      </c>
      <c r="G287"/>
      <c r="H287" s="130" cm="1">
        <f t="array" ref="H287">SUMPRODUCT(Tracking[Amount], -- (Tracking[[Date ]]&lt;= Tracking[[#This Row],[Date ]]), (Tracking[[Type ]]&lt;&gt;"Income")*(-1) + (Tracking[[Type ]]="Income"))</f>
        <v>3585.3500000000004</v>
      </c>
      <c r="I28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45405</v>
      </c>
    </row>
    <row r="288" spans="3:9" x14ac:dyDescent="0.3">
      <c r="C288" s="112">
        <v>45405</v>
      </c>
      <c r="D288" t="s">
        <v>9</v>
      </c>
      <c r="E288" t="s">
        <v>116</v>
      </c>
      <c r="F288" s="114">
        <v>51.6</v>
      </c>
      <c r="G288" t="s">
        <v>157</v>
      </c>
      <c r="H288" s="130" cm="1">
        <f t="array" ref="H288">SUMPRODUCT(Tracking[Amount], -- (Tracking[[Date ]]&lt;= Tracking[[#This Row],[Date ]]), (Tracking[[Type ]]&lt;&gt;"Income")*(-1) + (Tracking[[Type ]]="Income"))</f>
        <v>3585.3500000000004</v>
      </c>
      <c r="I28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45405</v>
      </c>
    </row>
    <row r="289" spans="3:9" x14ac:dyDescent="0.3">
      <c r="C289" s="112">
        <v>45405</v>
      </c>
      <c r="D289" t="s">
        <v>9</v>
      </c>
      <c r="E289" t="s">
        <v>116</v>
      </c>
      <c r="F289" s="114">
        <v>4.3</v>
      </c>
      <c r="G289"/>
      <c r="H289" s="130" cm="1">
        <f t="array" ref="H289">SUMPRODUCT(Tracking[Amount], -- (Tracking[[Date ]]&lt;= Tracking[[#This Row],[Date ]]), (Tracking[[Type ]]&lt;&gt;"Income")*(-1) + (Tracking[[Type ]]="Income"))</f>
        <v>3585.3500000000004</v>
      </c>
      <c r="I28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45405</v>
      </c>
    </row>
    <row r="290" spans="3:9" x14ac:dyDescent="0.3">
      <c r="C290" s="112">
        <v>45406</v>
      </c>
      <c r="D290" t="s">
        <v>9</v>
      </c>
      <c r="E290" t="s">
        <v>121</v>
      </c>
      <c r="F290" s="114">
        <v>8.9</v>
      </c>
      <c r="G290"/>
      <c r="H290" s="130" cm="1">
        <f t="array" ref="H290">SUMPRODUCT(Tracking[Amount], -- (Tracking[[Date ]]&lt;= Tracking[[#This Row],[Date ]]), (Tracking[[Type ]]&lt;&gt;"Income")*(-1) + (Tracking[[Type ]]="Income"))</f>
        <v>3576.4500000000003</v>
      </c>
      <c r="I29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45406</v>
      </c>
    </row>
    <row r="291" spans="3:9" x14ac:dyDescent="0.3">
      <c r="C291" s="112">
        <v>45407</v>
      </c>
      <c r="D291" t="s">
        <v>9</v>
      </c>
      <c r="E291" t="s">
        <v>20</v>
      </c>
      <c r="F291" s="114">
        <v>24.3</v>
      </c>
      <c r="G291"/>
      <c r="H291" s="130" cm="1">
        <f t="array" ref="H291">SUMPRODUCT(Tracking[Amount], -- (Tracking[[Date ]]&lt;= Tracking[[#This Row],[Date ]]), (Tracking[[Type ]]&lt;&gt;"Income")*(-1) + (Tracking[[Type ]]="Income"))</f>
        <v>3552.15</v>
      </c>
      <c r="I29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45407</v>
      </c>
    </row>
    <row r="292" spans="3:9" x14ac:dyDescent="0.3">
      <c r="C292" s="112">
        <v>45408</v>
      </c>
      <c r="D292" t="s">
        <v>9</v>
      </c>
      <c r="E292" t="s">
        <v>116</v>
      </c>
      <c r="F292" s="114">
        <v>23.3</v>
      </c>
      <c r="G292" t="s">
        <v>126</v>
      </c>
      <c r="H292" s="130" cm="1">
        <f t="array" ref="H292">SUMPRODUCT(Tracking[Amount], -- (Tracking[[Date ]]&lt;= Tracking[[#This Row],[Date ]]), (Tracking[[Type ]]&lt;&gt;"Income")*(-1) + (Tracking[[Type ]]="Income"))</f>
        <v>3512.5499999999997</v>
      </c>
      <c r="I29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45408</v>
      </c>
    </row>
    <row r="293" spans="3:9" x14ac:dyDescent="0.3">
      <c r="C293" s="112">
        <v>45408</v>
      </c>
      <c r="D293" t="s">
        <v>9</v>
      </c>
      <c r="E293" t="s">
        <v>121</v>
      </c>
      <c r="F293" s="114">
        <v>16.3</v>
      </c>
      <c r="G293"/>
      <c r="H293" s="130" cm="1">
        <f t="array" ref="H293">SUMPRODUCT(Tracking[Amount], -- (Tracking[[Date ]]&lt;= Tracking[[#This Row],[Date ]]), (Tracking[[Type ]]&lt;&gt;"Income")*(-1) + (Tracking[[Type ]]="Income"))</f>
        <v>3512.5499999999997</v>
      </c>
      <c r="I29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45408</v>
      </c>
    </row>
    <row r="294" spans="3:9" x14ac:dyDescent="0.3">
      <c r="C294" s="112">
        <v>45409</v>
      </c>
      <c r="D294" t="s">
        <v>9</v>
      </c>
      <c r="E294" t="s">
        <v>26</v>
      </c>
      <c r="F294" s="114">
        <v>9</v>
      </c>
      <c r="G294"/>
      <c r="H294" s="130" cm="1">
        <f t="array" ref="H294">SUMPRODUCT(Tracking[Amount], -- (Tracking[[Date ]]&lt;= Tracking[[#This Row],[Date ]]), (Tracking[[Type ]]&lt;&gt;"Income")*(-1) + (Tracking[[Type ]]="Income"))</f>
        <v>3503.5499999999997</v>
      </c>
      <c r="I29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45409</v>
      </c>
    </row>
    <row r="295" spans="3:9" x14ac:dyDescent="0.3">
      <c r="C295" s="112">
        <v>45411</v>
      </c>
      <c r="D295" t="s">
        <v>9</v>
      </c>
      <c r="E295" t="s">
        <v>121</v>
      </c>
      <c r="F295" s="114">
        <v>10.8</v>
      </c>
      <c r="G295"/>
      <c r="H295" s="130" cm="1">
        <f t="array" ref="H295">SUMPRODUCT(Tracking[Amount], -- (Tracking[[Date ]]&lt;= Tracking[[#This Row],[Date ]]), (Tracking[[Type ]]&lt;&gt;"Income")*(-1) + (Tracking[[Type ]]="Income"))</f>
        <v>3492.7499999999995</v>
      </c>
      <c r="I29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45411</v>
      </c>
    </row>
    <row r="296" spans="3:9" x14ac:dyDescent="0.3">
      <c r="C296" s="112">
        <v>45412</v>
      </c>
      <c r="D296" t="s">
        <v>9</v>
      </c>
      <c r="E296" t="s">
        <v>131</v>
      </c>
      <c r="F296" s="114">
        <v>27</v>
      </c>
      <c r="G296"/>
      <c r="H296" s="130" cm="1">
        <f t="array" ref="H296">SUMPRODUCT(Tracking[Amount], -- (Tracking[[Date ]]&lt;= Tracking[[#This Row],[Date ]]), (Tracking[[Type ]]&lt;&gt;"Income")*(-1) + (Tracking[[Type ]]="Income"))</f>
        <v>3463.7499999999995</v>
      </c>
      <c r="I29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45412</v>
      </c>
    </row>
    <row r="297" spans="3:9" x14ac:dyDescent="0.3">
      <c r="C297" s="112">
        <v>45413</v>
      </c>
      <c r="D297" t="s">
        <v>6</v>
      </c>
      <c r="E297" t="s">
        <v>19</v>
      </c>
      <c r="F297" s="114">
        <v>1061</v>
      </c>
      <c r="G297"/>
      <c r="H297" s="130" cm="1">
        <f t="array" ref="H297">SUMPRODUCT(Tracking[Amount], -- (Tracking[[Date ]]&lt;= Tracking[[#This Row],[Date ]]), (Tracking[[Type ]]&lt;&gt;"Income")*(-1) + (Tracking[[Type ]]="Income"))</f>
        <v>4524.75</v>
      </c>
      <c r="I29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45413</v>
      </c>
    </row>
    <row r="298" spans="3:9" x14ac:dyDescent="0.3">
      <c r="C298" s="112">
        <v>45412</v>
      </c>
      <c r="D298" t="s">
        <v>9</v>
      </c>
      <c r="E298" t="s">
        <v>121</v>
      </c>
      <c r="F298" s="114">
        <v>2</v>
      </c>
      <c r="G298"/>
      <c r="H298" s="130" cm="1">
        <f t="array" ref="H298">SUMPRODUCT(Tracking[Amount], -- (Tracking[[Date ]]&lt;= Tracking[[#This Row],[Date ]]), (Tracking[[Type ]]&lt;&gt;"Income")*(-1) + (Tracking[[Type ]]="Income"))</f>
        <v>3463.7499999999995</v>
      </c>
      <c r="I29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45412</v>
      </c>
    </row>
    <row r="299" spans="3:9" x14ac:dyDescent="0.3">
      <c r="C299" s="112">
        <v>45414</v>
      </c>
      <c r="D299" t="s">
        <v>9</v>
      </c>
      <c r="E299" t="s">
        <v>26</v>
      </c>
      <c r="F299" s="114">
        <v>8</v>
      </c>
      <c r="G299"/>
      <c r="H299" s="130" cm="1">
        <f t="array" ref="H299">SUMPRODUCT(Tracking[Amount], -- (Tracking[[Date ]]&lt;= Tracking[[#This Row],[Date ]]), (Tracking[[Type ]]&lt;&gt;"Income")*(-1) + (Tracking[[Type ]]="Income"))</f>
        <v>4516.75</v>
      </c>
      <c r="I29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45414</v>
      </c>
    </row>
    <row r="300" spans="3:9" x14ac:dyDescent="0.3">
      <c r="C300" s="112">
        <v>45415</v>
      </c>
      <c r="D300" t="s">
        <v>9</v>
      </c>
      <c r="E300" t="s">
        <v>143</v>
      </c>
      <c r="F300" s="114">
        <v>12</v>
      </c>
      <c r="G300"/>
      <c r="H300" s="130" cm="1">
        <f t="array" ref="H300">SUMPRODUCT(Tracking[Amount], -- (Tracking[[Date ]]&lt;= Tracking[[#This Row],[Date ]]), (Tracking[[Type ]]&lt;&gt;"Income")*(-1) + (Tracking[[Type ]]="Income"))</f>
        <v>4495.25</v>
      </c>
      <c r="I30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45415</v>
      </c>
    </row>
    <row r="301" spans="3:9" x14ac:dyDescent="0.3">
      <c r="C301" s="112">
        <v>45415</v>
      </c>
      <c r="D301" t="s">
        <v>9</v>
      </c>
      <c r="E301" t="s">
        <v>20</v>
      </c>
      <c r="F301" s="114">
        <v>6</v>
      </c>
      <c r="G301"/>
      <c r="H301" s="130" cm="1">
        <f t="array" ref="H301">SUMPRODUCT(Tracking[Amount], -- (Tracking[[Date ]]&lt;= Tracking[[#This Row],[Date ]]), (Tracking[[Type ]]&lt;&gt;"Income")*(-1) + (Tracking[[Type ]]="Income"))</f>
        <v>4495.25</v>
      </c>
      <c r="I30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45415</v>
      </c>
    </row>
    <row r="302" spans="3:9" x14ac:dyDescent="0.3">
      <c r="C302" s="112">
        <v>45416</v>
      </c>
      <c r="D302" t="s">
        <v>9</v>
      </c>
      <c r="E302" t="s">
        <v>116</v>
      </c>
      <c r="F302" s="114">
        <v>27</v>
      </c>
      <c r="G302" t="s">
        <v>158</v>
      </c>
      <c r="H302" s="130" cm="1">
        <f t="array" ref="H302">SUMPRODUCT(Tracking[Amount], -- (Tracking[[Date ]]&lt;= Tracking[[#This Row],[Date ]]), (Tracking[[Type ]]&lt;&gt;"Income")*(-1) + (Tracking[[Type ]]="Income"))</f>
        <v>4415.22</v>
      </c>
      <c r="I30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45416</v>
      </c>
    </row>
    <row r="303" spans="3:9" x14ac:dyDescent="0.3">
      <c r="C303" s="112">
        <v>45415</v>
      </c>
      <c r="D303" t="s">
        <v>9</v>
      </c>
      <c r="E303" t="s">
        <v>26</v>
      </c>
      <c r="F303" s="114">
        <v>3.5</v>
      </c>
      <c r="G303"/>
      <c r="H303" s="130" cm="1">
        <f t="array" ref="H303">SUMPRODUCT(Tracking[Amount], -- (Tracking[[Date ]]&lt;= Tracking[[#This Row],[Date ]]), (Tracking[[Type ]]&lt;&gt;"Income")*(-1) + (Tracking[[Type ]]="Income"))</f>
        <v>4495.25</v>
      </c>
      <c r="I30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45415</v>
      </c>
    </row>
    <row r="304" spans="3:9" x14ac:dyDescent="0.3">
      <c r="C304" s="112">
        <v>45416</v>
      </c>
      <c r="D304" t="s">
        <v>9</v>
      </c>
      <c r="E304" t="s">
        <v>27</v>
      </c>
      <c r="F304" s="114">
        <v>53.03</v>
      </c>
      <c r="G304"/>
      <c r="H304" s="130" cm="1">
        <f t="array" ref="H304">SUMPRODUCT(Tracking[Amount], -- (Tracking[[Date ]]&lt;= Tracking[[#This Row],[Date ]]), (Tracking[[Type ]]&lt;&gt;"Income")*(-1) + (Tracking[[Type ]]="Income"))</f>
        <v>4415.22</v>
      </c>
      <c r="I30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45416</v>
      </c>
    </row>
    <row r="305" spans="3:9" x14ac:dyDescent="0.3">
      <c r="C305" s="112">
        <v>45420</v>
      </c>
      <c r="D305" t="s">
        <v>9</v>
      </c>
      <c r="E305" t="s">
        <v>116</v>
      </c>
      <c r="F305" s="114">
        <v>23.3</v>
      </c>
      <c r="G305" t="s">
        <v>126</v>
      </c>
      <c r="H305" s="130" cm="1">
        <f t="array" ref="H305">SUMPRODUCT(Tracking[Amount], -- (Tracking[[Date ]]&lt;= Tracking[[#This Row],[Date ]]), (Tracking[[Type ]]&lt;&gt;"Income")*(-1) + (Tracking[[Type ]]="Income"))</f>
        <v>4388.92</v>
      </c>
      <c r="I30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45420</v>
      </c>
    </row>
    <row r="306" spans="3:9" x14ac:dyDescent="0.3">
      <c r="C306" s="112">
        <v>45420</v>
      </c>
      <c r="D306" t="s">
        <v>9</v>
      </c>
      <c r="E306" t="s">
        <v>26</v>
      </c>
      <c r="F306" s="114">
        <v>3</v>
      </c>
      <c r="G306"/>
      <c r="H306" s="130" cm="1">
        <f t="array" ref="H306">SUMPRODUCT(Tracking[Amount], -- (Tracking[[Date ]]&lt;= Tracking[[#This Row],[Date ]]), (Tracking[[Type ]]&lt;&gt;"Income")*(-1) + (Tracking[[Type ]]="Income"))</f>
        <v>4388.92</v>
      </c>
      <c r="I30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45420</v>
      </c>
    </row>
    <row r="307" spans="3:9" x14ac:dyDescent="0.3">
      <c r="C307" s="112">
        <v>45421</v>
      </c>
      <c r="D307" t="s">
        <v>9</v>
      </c>
      <c r="E307" t="s">
        <v>140</v>
      </c>
      <c r="F307" s="114">
        <v>4.9000000000000004</v>
      </c>
      <c r="G307"/>
      <c r="H307" s="130" cm="1">
        <f t="array" ref="H307">SUMPRODUCT(Tracking[Amount], -- (Tracking[[Date ]]&lt;= Tracking[[#This Row],[Date ]]), (Tracking[[Type ]]&lt;&gt;"Income")*(-1) + (Tracking[[Type ]]="Income"))</f>
        <v>4384.0200000000004</v>
      </c>
      <c r="I30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45421</v>
      </c>
    </row>
    <row r="308" spans="3:9" x14ac:dyDescent="0.3">
      <c r="C308" s="112">
        <v>45422</v>
      </c>
      <c r="D308" t="s">
        <v>9</v>
      </c>
      <c r="E308" t="s">
        <v>26</v>
      </c>
      <c r="F308" s="114">
        <v>3</v>
      </c>
      <c r="G308"/>
      <c r="H308" s="130" cm="1">
        <f t="array" ref="H308">SUMPRODUCT(Tracking[Amount], -- (Tracking[[Date ]]&lt;= Tracking[[#This Row],[Date ]]), (Tracking[[Type ]]&lt;&gt;"Income")*(-1) + (Tracking[[Type ]]="Income"))</f>
        <v>4381.0200000000004</v>
      </c>
      <c r="I30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45422</v>
      </c>
    </row>
    <row r="309" spans="3:9" x14ac:dyDescent="0.3">
      <c r="C309" s="112">
        <v>45424</v>
      </c>
      <c r="D309" t="s">
        <v>9</v>
      </c>
      <c r="E309" t="s">
        <v>121</v>
      </c>
      <c r="F309" s="114">
        <v>2.5</v>
      </c>
      <c r="G309"/>
      <c r="H309" s="130" cm="1">
        <f t="array" ref="H309">SUMPRODUCT(Tracking[Amount], -- (Tracking[[Date ]]&lt;= Tracking[[#This Row],[Date ]]), (Tracking[[Type ]]&lt;&gt;"Income")*(-1) + (Tracking[[Type ]]="Income"))</f>
        <v>4365.0200000000004</v>
      </c>
      <c r="I30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45424</v>
      </c>
    </row>
    <row r="310" spans="3:9" x14ac:dyDescent="0.3">
      <c r="C310" s="112">
        <v>45424</v>
      </c>
      <c r="D310" t="s">
        <v>9</v>
      </c>
      <c r="E310" t="s">
        <v>116</v>
      </c>
      <c r="F310" s="114">
        <v>13.5</v>
      </c>
      <c r="G310" t="s">
        <v>159</v>
      </c>
      <c r="H310" s="130" cm="1">
        <f t="array" ref="H310">SUMPRODUCT(Tracking[Amount], -- (Tracking[[Date ]]&lt;= Tracking[[#This Row],[Date ]]), (Tracking[[Type ]]&lt;&gt;"Income")*(-1) + (Tracking[[Type ]]="Income"))</f>
        <v>4365.0200000000004</v>
      </c>
      <c r="I31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45424</v>
      </c>
    </row>
    <row r="311" spans="3:9" x14ac:dyDescent="0.3">
      <c r="C311" s="112">
        <v>45425</v>
      </c>
      <c r="D311" t="s">
        <v>9</v>
      </c>
      <c r="E311" t="s">
        <v>121</v>
      </c>
      <c r="F311" s="114">
        <v>6.05</v>
      </c>
      <c r="G311"/>
      <c r="H311" s="130" cm="1">
        <f t="array" ref="H311">SUMPRODUCT(Tracking[Amount], -- (Tracking[[Date ]]&lt;= Tracking[[#This Row],[Date ]]), (Tracking[[Type ]]&lt;&gt;"Income")*(-1) + (Tracking[[Type ]]="Income"))</f>
        <v>4333.5600000000004</v>
      </c>
      <c r="I31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45425</v>
      </c>
    </row>
    <row r="312" spans="3:9" x14ac:dyDescent="0.3">
      <c r="C312" s="112">
        <v>45425</v>
      </c>
      <c r="D312" t="s">
        <v>9</v>
      </c>
      <c r="E312" t="s">
        <v>20</v>
      </c>
      <c r="F312" s="114">
        <v>25.41</v>
      </c>
      <c r="G312"/>
      <c r="H312" s="130" cm="1">
        <f t="array" ref="H312">SUMPRODUCT(Tracking[Amount], -- (Tracking[[Date ]]&lt;= Tracking[[#This Row],[Date ]]), (Tracking[[Type ]]&lt;&gt;"Income")*(-1) + (Tracking[[Type ]]="Income"))</f>
        <v>4333.5600000000004</v>
      </c>
      <c r="I31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45425</v>
      </c>
    </row>
    <row r="313" spans="3:9" x14ac:dyDescent="0.3">
      <c r="C313" s="112">
        <v>45426</v>
      </c>
      <c r="D313" t="s">
        <v>9</v>
      </c>
      <c r="E313" t="s">
        <v>121</v>
      </c>
      <c r="F313" s="114">
        <v>3</v>
      </c>
      <c r="G313"/>
      <c r="H313" s="130" cm="1">
        <f t="array" ref="H313">SUMPRODUCT(Tracking[Amount], -- (Tracking[[Date ]]&lt;= Tracking[[#This Row],[Date ]]), (Tracking[[Type ]]&lt;&gt;"Income")*(-1) + (Tracking[[Type ]]="Income"))</f>
        <v>4330.5600000000004</v>
      </c>
      <c r="I31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45426</v>
      </c>
    </row>
    <row r="314" spans="3:9" x14ac:dyDescent="0.3">
      <c r="C314" s="112">
        <v>45427</v>
      </c>
      <c r="D314" t="s">
        <v>9</v>
      </c>
      <c r="E314" t="s">
        <v>121</v>
      </c>
      <c r="F314" s="114">
        <v>6</v>
      </c>
      <c r="G314"/>
      <c r="H314" s="130" cm="1">
        <f t="array" ref="H314">SUMPRODUCT(Tracking[Amount], -- (Tracking[[Date ]]&lt;= Tracking[[#This Row],[Date ]]), (Tracking[[Type ]]&lt;&gt;"Income")*(-1) + (Tracking[[Type ]]="Income"))</f>
        <v>4324.5600000000004</v>
      </c>
      <c r="I31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45427</v>
      </c>
    </row>
    <row r="315" spans="3:9" x14ac:dyDescent="0.3">
      <c r="C315" s="112">
        <v>45428</v>
      </c>
      <c r="D315" t="s">
        <v>9</v>
      </c>
      <c r="E315" t="s">
        <v>121</v>
      </c>
      <c r="F315" s="114">
        <v>6</v>
      </c>
      <c r="G315"/>
      <c r="H315" s="130" cm="1">
        <f t="array" ref="H315">SUMPRODUCT(Tracking[Amount], -- (Tracking[[Date ]]&lt;= Tracking[[#This Row],[Date ]]), (Tracking[[Type ]]&lt;&gt;"Income")*(-1) + (Tracking[[Type ]]="Income"))</f>
        <v>4318.5600000000004</v>
      </c>
      <c r="I31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45428</v>
      </c>
    </row>
    <row r="316" spans="3:9" x14ac:dyDescent="0.3">
      <c r="C316" s="112">
        <v>45429</v>
      </c>
      <c r="D316" t="s">
        <v>9</v>
      </c>
      <c r="E316" t="s">
        <v>121</v>
      </c>
      <c r="F316" s="114">
        <v>6</v>
      </c>
      <c r="G316"/>
      <c r="H316" s="130" cm="1">
        <f t="array" ref="H316">SUMPRODUCT(Tracking[Amount], -- (Tracking[[Date ]]&lt;= Tracking[[#This Row],[Date ]]), (Tracking[[Type ]]&lt;&gt;"Income")*(-1) + (Tracking[[Type ]]="Income"))</f>
        <v>4304.3900000000003</v>
      </c>
      <c r="I31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45429</v>
      </c>
    </row>
    <row r="317" spans="3:9" x14ac:dyDescent="0.3">
      <c r="C317" s="112">
        <v>45429</v>
      </c>
      <c r="D317" t="s">
        <v>9</v>
      </c>
      <c r="E317" t="s">
        <v>20</v>
      </c>
      <c r="F317" s="114">
        <v>4.67</v>
      </c>
      <c r="G317"/>
      <c r="H317" s="130" cm="1">
        <f t="array" ref="H317">SUMPRODUCT(Tracking[Amount], -- (Tracking[[Date ]]&lt;= Tracking[[#This Row],[Date ]]), (Tracking[[Type ]]&lt;&gt;"Income")*(-1) + (Tracking[[Type ]]="Income"))</f>
        <v>4304.3900000000003</v>
      </c>
      <c r="I31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45429</v>
      </c>
    </row>
    <row r="318" spans="3:9" x14ac:dyDescent="0.3">
      <c r="C318" s="112">
        <v>45429</v>
      </c>
      <c r="D318" t="s">
        <v>9</v>
      </c>
      <c r="E318" t="s">
        <v>26</v>
      </c>
      <c r="F318" s="114">
        <v>3.5</v>
      </c>
      <c r="G318"/>
      <c r="H318" s="130" cm="1">
        <f t="array" ref="H318">SUMPRODUCT(Tracking[Amount], -- (Tracking[[Date ]]&lt;= Tracking[[#This Row],[Date ]]), (Tracking[[Type ]]&lt;&gt;"Income")*(-1) + (Tracking[[Type ]]="Income"))</f>
        <v>4304.3900000000003</v>
      </c>
      <c r="I31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45429</v>
      </c>
    </row>
    <row r="319" spans="3:9" x14ac:dyDescent="0.3">
      <c r="C319" s="112">
        <v>45430</v>
      </c>
      <c r="D319" t="s">
        <v>9</v>
      </c>
      <c r="E319" t="s">
        <v>121</v>
      </c>
      <c r="F319" s="114">
        <v>9</v>
      </c>
      <c r="G319"/>
      <c r="H319" s="130" cm="1">
        <f t="array" ref="H319">SUMPRODUCT(Tracking[Amount], -- (Tracking[[Date ]]&lt;= Tracking[[#This Row],[Date ]]), (Tracking[[Type ]]&lt;&gt;"Income")*(-1) + (Tracking[[Type ]]="Income"))</f>
        <v>4279.3900000000003</v>
      </c>
      <c r="I31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45430</v>
      </c>
    </row>
    <row r="320" spans="3:9" x14ac:dyDescent="0.3">
      <c r="C320" s="112">
        <v>45430</v>
      </c>
      <c r="D320" t="s">
        <v>9</v>
      </c>
      <c r="E320" t="s">
        <v>26</v>
      </c>
      <c r="F320" s="114">
        <v>16</v>
      </c>
      <c r="G320"/>
      <c r="H320" s="130" cm="1">
        <f t="array" ref="H320">SUMPRODUCT(Tracking[Amount], -- (Tracking[[Date ]]&lt;= Tracking[[#This Row],[Date ]]), (Tracking[[Type ]]&lt;&gt;"Income")*(-1) + (Tracking[[Type ]]="Income"))</f>
        <v>4279.3900000000003</v>
      </c>
      <c r="I32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45430</v>
      </c>
    </row>
    <row r="321" spans="3:13" x14ac:dyDescent="0.3">
      <c r="C321" s="112">
        <v>45431</v>
      </c>
      <c r="D321" t="s">
        <v>9</v>
      </c>
      <c r="E321" t="s">
        <v>26</v>
      </c>
      <c r="F321" s="114">
        <v>9</v>
      </c>
      <c r="G321"/>
      <c r="H321" s="130" cm="1">
        <f t="array" ref="H321">SUMPRODUCT(Tracking[Amount], -- (Tracking[[Date ]]&lt;= Tracking[[#This Row],[Date ]]), (Tracking[[Type ]]&lt;&gt;"Income")*(-1) + (Tracking[[Type ]]="Income"))</f>
        <v>4270.3900000000003</v>
      </c>
      <c r="I32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45431</v>
      </c>
    </row>
    <row r="322" spans="3:13" x14ac:dyDescent="0.3">
      <c r="C322" s="112">
        <v>45432</v>
      </c>
      <c r="D322" t="s">
        <v>9</v>
      </c>
      <c r="E322" t="s">
        <v>116</v>
      </c>
      <c r="F322" s="114">
        <v>120</v>
      </c>
      <c r="G322" t="s">
        <v>160</v>
      </c>
      <c r="H322" s="130" cm="1">
        <f t="array" ref="H322">SUMPRODUCT(Tracking[Amount], -- (Tracking[[Date ]]&lt;= Tracking[[#This Row],[Date ]]), (Tracking[[Type ]]&lt;&gt;"Income")*(-1) + (Tracking[[Type ]]="Income"))</f>
        <v>4150.3900000000003</v>
      </c>
      <c r="I32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45432</v>
      </c>
    </row>
    <row r="323" spans="3:13" x14ac:dyDescent="0.3">
      <c r="C323" s="112">
        <v>45433</v>
      </c>
      <c r="D323" t="s">
        <v>9</v>
      </c>
      <c r="E323" t="s">
        <v>121</v>
      </c>
      <c r="F323" s="114">
        <v>9</v>
      </c>
      <c r="G323"/>
      <c r="H323" s="130" cm="1">
        <f t="array" ref="H323">SUMPRODUCT(Tracking[Amount], -- (Tracking[[Date ]]&lt;= Tracking[[#This Row],[Date ]]), (Tracking[[Type ]]&lt;&gt;"Income")*(-1) + (Tracking[[Type ]]="Income"))</f>
        <v>4114.13</v>
      </c>
      <c r="I32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45433</v>
      </c>
    </row>
    <row r="324" spans="3:13" x14ac:dyDescent="0.3">
      <c r="C324" s="112">
        <v>45433</v>
      </c>
      <c r="D324" t="s">
        <v>9</v>
      </c>
      <c r="E324" t="s">
        <v>20</v>
      </c>
      <c r="F324" s="114">
        <v>21.76</v>
      </c>
      <c r="G324"/>
      <c r="H324" s="130" cm="1">
        <f t="array" ref="H324">SUMPRODUCT(Tracking[Amount], -- (Tracking[[Date ]]&lt;= Tracking[[#This Row],[Date ]]), (Tracking[[Type ]]&lt;&gt;"Income")*(-1) + (Tracking[[Type ]]="Income"))</f>
        <v>4114.13</v>
      </c>
      <c r="I32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45433</v>
      </c>
    </row>
    <row r="325" spans="3:13" x14ac:dyDescent="0.3">
      <c r="C325" s="112">
        <v>45433</v>
      </c>
      <c r="D325" t="s">
        <v>9</v>
      </c>
      <c r="E325" t="s">
        <v>116</v>
      </c>
      <c r="F325" s="114">
        <v>5.5</v>
      </c>
      <c r="G325" t="s">
        <v>148</v>
      </c>
      <c r="H325" s="130" cm="1">
        <f t="array" ref="H325">SUMPRODUCT(Tracking[Amount], -- (Tracking[[Date ]]&lt;= Tracking[[#This Row],[Date ]]), (Tracking[[Type ]]&lt;&gt;"Income")*(-1) + (Tracking[[Type ]]="Income"))</f>
        <v>4114.13</v>
      </c>
      <c r="I32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45433</v>
      </c>
    </row>
    <row r="326" spans="3:13" x14ac:dyDescent="0.3">
      <c r="C326" s="112">
        <v>45434</v>
      </c>
      <c r="D326" t="s">
        <v>9</v>
      </c>
      <c r="E326" t="s">
        <v>121</v>
      </c>
      <c r="F326" s="114">
        <v>7.05</v>
      </c>
      <c r="G326"/>
      <c r="H326" s="130" cm="1">
        <f t="array" ref="H326">SUMPRODUCT(Tracking[Amount], -- (Tracking[[Date ]]&lt;= Tracking[[#This Row],[Date ]]), (Tracking[[Type ]]&lt;&gt;"Income")*(-1) + (Tracking[[Type ]]="Income"))</f>
        <v>4101.08</v>
      </c>
      <c r="I32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45434</v>
      </c>
    </row>
    <row r="327" spans="3:13" x14ac:dyDescent="0.3">
      <c r="C327" s="112">
        <v>45434</v>
      </c>
      <c r="D327" t="s">
        <v>9</v>
      </c>
      <c r="E327" t="s">
        <v>26</v>
      </c>
      <c r="F327" s="114">
        <v>6</v>
      </c>
      <c r="G327"/>
      <c r="H327" s="130" cm="1">
        <f t="array" ref="H327">SUMPRODUCT(Tracking[Amount], -- (Tracking[[Date ]]&lt;= Tracking[[#This Row],[Date ]]), (Tracking[[Type ]]&lt;&gt;"Income")*(-1) + (Tracking[[Type ]]="Income"))</f>
        <v>4101.08</v>
      </c>
      <c r="I32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45434</v>
      </c>
    </row>
    <row r="328" spans="3:13" x14ac:dyDescent="0.3">
      <c r="C328" s="112">
        <v>45435</v>
      </c>
      <c r="D328" t="s">
        <v>9</v>
      </c>
      <c r="E328" t="s">
        <v>121</v>
      </c>
      <c r="F328" s="114">
        <v>6</v>
      </c>
      <c r="G328"/>
      <c r="H328" s="130" cm="1">
        <f t="array" ref="H328">SUMPRODUCT(Tracking[Amount], -- (Tracking[[Date ]]&lt;= Tracking[[#This Row],[Date ]]), (Tracking[[Type ]]&lt;&gt;"Income")*(-1) + (Tracking[[Type ]]="Income"))</f>
        <v>4061.08</v>
      </c>
      <c r="I32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45435</v>
      </c>
    </row>
    <row r="329" spans="3:13" x14ac:dyDescent="0.3">
      <c r="C329" s="112">
        <v>45435</v>
      </c>
      <c r="D329" t="s">
        <v>9</v>
      </c>
      <c r="E329" t="s">
        <v>116</v>
      </c>
      <c r="F329" s="114">
        <v>25</v>
      </c>
      <c r="G329"/>
      <c r="H329" s="130" cm="1">
        <f t="array" ref="H329">SUMPRODUCT(Tracking[Amount], -- (Tracking[[Date ]]&lt;= Tracking[[#This Row],[Date ]]), (Tracking[[Type ]]&lt;&gt;"Income")*(-1) + (Tracking[[Type ]]="Income"))</f>
        <v>4061.08</v>
      </c>
      <c r="I32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45435</v>
      </c>
    </row>
    <row r="330" spans="3:13" x14ac:dyDescent="0.3">
      <c r="C330" s="112">
        <v>45435</v>
      </c>
      <c r="D330" t="s">
        <v>9</v>
      </c>
      <c r="E330" t="s">
        <v>25</v>
      </c>
      <c r="F330" s="114">
        <v>9</v>
      </c>
      <c r="G330"/>
      <c r="H330" s="130" cm="1">
        <f t="array" ref="H330">SUMPRODUCT(Tracking[Amount], -- (Tracking[[Date ]]&lt;= Tracking[[#This Row],[Date ]]), (Tracking[[Type ]]&lt;&gt;"Income")*(-1) + (Tracking[[Type ]]="Income"))</f>
        <v>4061.08</v>
      </c>
      <c r="I33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45435</v>
      </c>
    </row>
    <row r="331" spans="3:13" x14ac:dyDescent="0.3">
      <c r="C331" s="112">
        <v>45436</v>
      </c>
      <c r="D331" t="s">
        <v>9</v>
      </c>
      <c r="E331" t="s">
        <v>26</v>
      </c>
      <c r="F331" s="114">
        <v>21.6</v>
      </c>
      <c r="G331"/>
      <c r="H331" s="130" cm="1">
        <f t="array" ref="H331">SUMPRODUCT(Tracking[Amount], -- (Tracking[[Date ]]&lt;= Tracking[[#This Row],[Date ]]), (Tracking[[Type ]]&lt;&gt;"Income")*(-1) + (Tracking[[Type ]]="Income"))</f>
        <v>4039.48</v>
      </c>
      <c r="I33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45436</v>
      </c>
    </row>
    <row r="332" spans="3:13" x14ac:dyDescent="0.3">
      <c r="C332" s="112">
        <v>45444</v>
      </c>
      <c r="D332" t="s">
        <v>6</v>
      </c>
      <c r="E332" t="s">
        <v>19</v>
      </c>
      <c r="F332" s="114">
        <v>1061</v>
      </c>
      <c r="G332"/>
      <c r="H332" s="130" cm="1">
        <f t="array" ref="H332">SUMPRODUCT(Tracking[Amount], -- (Tracking[[Date ]]&lt;= Tracking[[#This Row],[Date ]]), (Tracking[[Type ]]&lt;&gt;"Income")*(-1) + (Tracking[[Type ]]="Income"))</f>
        <v>4853.2199999999993</v>
      </c>
      <c r="I33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45444</v>
      </c>
      <c r="M332" s="123"/>
    </row>
    <row r="333" spans="3:13" x14ac:dyDescent="0.3">
      <c r="C333" s="112">
        <v>45437</v>
      </c>
      <c r="D333" t="s">
        <v>9</v>
      </c>
      <c r="E333" t="s">
        <v>26</v>
      </c>
      <c r="F333" s="114">
        <v>2</v>
      </c>
      <c r="G333"/>
      <c r="H333" s="130" cm="1">
        <f t="array" ref="H333">SUMPRODUCT(Tracking[Amount], -- (Tracking[[Date ]]&lt;= Tracking[[#This Row],[Date ]]), (Tracking[[Type ]]&lt;&gt;"Income")*(-1) + (Tracking[[Type ]]="Income"))</f>
        <v>4037.48</v>
      </c>
      <c r="I33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45437</v>
      </c>
    </row>
    <row r="334" spans="3:13" x14ac:dyDescent="0.3">
      <c r="C334" s="112">
        <v>45439</v>
      </c>
      <c r="D334" t="s">
        <v>9</v>
      </c>
      <c r="E334" t="s">
        <v>121</v>
      </c>
      <c r="F334" s="114">
        <v>16.7</v>
      </c>
      <c r="G334"/>
      <c r="H334" s="130" cm="1">
        <f t="array" ref="H334">SUMPRODUCT(Tracking[Amount], -- (Tracking[[Date ]]&lt;= Tracking[[#This Row],[Date ]]), (Tracking[[Type ]]&lt;&gt;"Income")*(-1) + (Tracking[[Type ]]="Income"))</f>
        <v>4008.6600000000003</v>
      </c>
      <c r="I33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45439</v>
      </c>
    </row>
    <row r="335" spans="3:13" x14ac:dyDescent="0.3">
      <c r="C335" s="112">
        <v>45439</v>
      </c>
      <c r="D335" t="s">
        <v>9</v>
      </c>
      <c r="E335" t="s">
        <v>20</v>
      </c>
      <c r="F335" s="114">
        <v>6.62</v>
      </c>
      <c r="G335"/>
      <c r="H335" s="130" cm="1">
        <f t="array" ref="H335">SUMPRODUCT(Tracking[Amount], -- (Tracking[[Date ]]&lt;= Tracking[[#This Row],[Date ]]), (Tracking[[Type ]]&lt;&gt;"Income")*(-1) + (Tracking[[Type ]]="Income"))</f>
        <v>4008.6600000000003</v>
      </c>
      <c r="I33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45439</v>
      </c>
    </row>
    <row r="336" spans="3:13" x14ac:dyDescent="0.3">
      <c r="C336" s="112">
        <v>45439</v>
      </c>
      <c r="D336" t="s">
        <v>9</v>
      </c>
      <c r="E336" t="s">
        <v>116</v>
      </c>
      <c r="F336" s="114">
        <v>5.5</v>
      </c>
      <c r="G336"/>
      <c r="H336" s="130" cm="1">
        <f t="array" ref="H336">SUMPRODUCT(Tracking[Amount], -- (Tracking[[Date ]]&lt;= Tracking[[#This Row],[Date ]]), (Tracking[[Type ]]&lt;&gt;"Income")*(-1) + (Tracking[[Type ]]="Income"))</f>
        <v>4008.6600000000003</v>
      </c>
      <c r="I33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45439</v>
      </c>
    </row>
    <row r="337" spans="3:9" x14ac:dyDescent="0.3">
      <c r="C337" s="112">
        <v>45440</v>
      </c>
      <c r="D337" t="s">
        <v>9</v>
      </c>
      <c r="E337" t="s">
        <v>121</v>
      </c>
      <c r="F337" s="114">
        <v>8.1</v>
      </c>
      <c r="G337"/>
      <c r="H337" s="130" cm="1">
        <f t="array" ref="H337">SUMPRODUCT(Tracking[Amount], -- (Tracking[[Date ]]&lt;= Tracking[[#This Row],[Date ]]), (Tracking[[Type ]]&lt;&gt;"Income")*(-1) + (Tracking[[Type ]]="Income"))</f>
        <v>3988.4600000000005</v>
      </c>
      <c r="I33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45440</v>
      </c>
    </row>
    <row r="338" spans="3:9" x14ac:dyDescent="0.3">
      <c r="C338" s="112">
        <v>45440</v>
      </c>
      <c r="D338" t="s">
        <v>9</v>
      </c>
      <c r="E338" t="s">
        <v>20</v>
      </c>
      <c r="F338" s="114">
        <v>12.1</v>
      </c>
      <c r="G338"/>
      <c r="H338" s="130" cm="1">
        <f t="array" ref="H338">SUMPRODUCT(Tracking[Amount], -- (Tracking[[Date ]]&lt;= Tracking[[#This Row],[Date ]]), (Tracking[[Type ]]&lt;&gt;"Income")*(-1) + (Tracking[[Type ]]="Income"))</f>
        <v>3988.4600000000005</v>
      </c>
      <c r="I33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45440</v>
      </c>
    </row>
    <row r="339" spans="3:9" x14ac:dyDescent="0.3">
      <c r="C339" s="112">
        <v>45441</v>
      </c>
      <c r="D339" t="s">
        <v>9</v>
      </c>
      <c r="E339" t="s">
        <v>121</v>
      </c>
      <c r="F339" s="114">
        <v>11</v>
      </c>
      <c r="G339"/>
      <c r="H339" s="130" cm="1">
        <f t="array" ref="H339">SUMPRODUCT(Tracking[Amount], -- (Tracking[[Date ]]&lt;= Tracking[[#This Row],[Date ]]), (Tracking[[Type ]]&lt;&gt;"Income")*(-1) + (Tracking[[Type ]]="Income"))</f>
        <v>3977.4600000000005</v>
      </c>
      <c r="I33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45441</v>
      </c>
    </row>
    <row r="340" spans="3:9" x14ac:dyDescent="0.3">
      <c r="C340" s="112">
        <v>45443</v>
      </c>
      <c r="D340" t="s">
        <v>9</v>
      </c>
      <c r="E340" t="s">
        <v>131</v>
      </c>
      <c r="F340" s="114">
        <v>45</v>
      </c>
      <c r="G340"/>
      <c r="H340" s="130" cm="1">
        <f t="array" ref="H340">SUMPRODUCT(Tracking[Amount], -- (Tracking[[Date ]]&lt;= Tracking[[#This Row],[Date ]]), (Tracking[[Type ]]&lt;&gt;"Income")*(-1) + (Tracking[[Type ]]="Income"))</f>
        <v>3918.4600000000005</v>
      </c>
      <c r="I34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45443</v>
      </c>
    </row>
    <row r="341" spans="3:9" x14ac:dyDescent="0.3">
      <c r="C341" s="112">
        <v>45444</v>
      </c>
      <c r="D341" t="s">
        <v>9</v>
      </c>
      <c r="E341" t="s">
        <v>116</v>
      </c>
      <c r="F341" s="114">
        <v>98.8</v>
      </c>
      <c r="G341" t="s">
        <v>161</v>
      </c>
      <c r="H341" s="130" cm="1">
        <f t="array" ref="H341">SUMPRODUCT(Tracking[Amount], -- (Tracking[[Date ]]&lt;= Tracking[[#This Row],[Date ]]), (Tracking[[Type ]]&lt;&gt;"Income")*(-1) + (Tracking[[Type ]]="Income"))</f>
        <v>4853.2199999999993</v>
      </c>
      <c r="I34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45444</v>
      </c>
    </row>
    <row r="342" spans="3:9" x14ac:dyDescent="0.3">
      <c r="C342" s="112">
        <v>45444</v>
      </c>
      <c r="D342" t="s">
        <v>9</v>
      </c>
      <c r="E342" t="s">
        <v>116</v>
      </c>
      <c r="F342" s="114">
        <v>27.44</v>
      </c>
      <c r="G342" t="s">
        <v>126</v>
      </c>
      <c r="H342" s="130" cm="1">
        <f t="array" ref="H342">SUMPRODUCT(Tracking[Amount], -- (Tracking[[Date ]]&lt;= Tracking[[#This Row],[Date ]]), (Tracking[[Type ]]&lt;&gt;"Income")*(-1) + (Tracking[[Type ]]="Income"))</f>
        <v>4853.2199999999993</v>
      </c>
      <c r="I34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45444</v>
      </c>
    </row>
    <row r="343" spans="3:9" x14ac:dyDescent="0.3">
      <c r="C343" s="112">
        <v>45442</v>
      </c>
      <c r="D343" t="s">
        <v>9</v>
      </c>
      <c r="E343" t="s">
        <v>143</v>
      </c>
      <c r="F343" s="114">
        <v>14</v>
      </c>
      <c r="G343"/>
      <c r="H343" s="130" cm="1">
        <f t="array" ref="H343">SUMPRODUCT(Tracking[Amount], -- (Tracking[[Date ]]&lt;= Tracking[[#This Row],[Date ]]), (Tracking[[Type ]]&lt;&gt;"Income")*(-1) + (Tracking[[Type ]]="Income"))</f>
        <v>3963.4600000000005</v>
      </c>
      <c r="I34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45442</v>
      </c>
    </row>
    <row r="344" spans="3:9" x14ac:dyDescent="0.3">
      <c r="C344" s="112">
        <v>45453</v>
      </c>
      <c r="D344" t="s">
        <v>9</v>
      </c>
      <c r="E344" t="s">
        <v>121</v>
      </c>
      <c r="F344" s="114">
        <v>3.4</v>
      </c>
      <c r="G344"/>
      <c r="H344" s="130" cm="1">
        <f t="array" ref="H344">SUMPRODUCT(Tracking[Amount], -- (Tracking[[Date ]]&lt;= Tracking[[#This Row],[Date ]]), (Tracking[[Type ]]&lt;&gt;"Income")*(-1) + (Tracking[[Type ]]="Income"))</f>
        <v>4831.4699999999993</v>
      </c>
      <c r="I34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45453</v>
      </c>
    </row>
    <row r="345" spans="3:9" x14ac:dyDescent="0.3">
      <c r="C345" s="112">
        <v>45453</v>
      </c>
      <c r="D345" t="s">
        <v>9</v>
      </c>
      <c r="E345" t="s">
        <v>20</v>
      </c>
      <c r="F345" s="114">
        <v>18.350000000000001</v>
      </c>
      <c r="G345"/>
      <c r="H345" s="130" cm="1">
        <f t="array" ref="H345">SUMPRODUCT(Tracking[Amount], -- (Tracking[[Date ]]&lt;= Tracking[[#This Row],[Date ]]), (Tracking[[Type ]]&lt;&gt;"Income")*(-1) + (Tracking[[Type ]]="Income"))</f>
        <v>4831.4699999999993</v>
      </c>
      <c r="I34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45453</v>
      </c>
    </row>
    <row r="346" spans="3:9" x14ac:dyDescent="0.3">
      <c r="C346" s="112">
        <v>45454</v>
      </c>
      <c r="D346" t="s">
        <v>9</v>
      </c>
      <c r="E346" t="s">
        <v>20</v>
      </c>
      <c r="F346" s="114">
        <v>3.8</v>
      </c>
      <c r="G346"/>
      <c r="H346" s="130" cm="1">
        <f t="array" ref="H346">SUMPRODUCT(Tracking[Amount], -- (Tracking[[Date ]]&lt;= Tracking[[#This Row],[Date ]]), (Tracking[[Type ]]&lt;&gt;"Income")*(-1) + (Tracking[[Type ]]="Income"))</f>
        <v>4811.0699999999988</v>
      </c>
      <c r="I34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45454</v>
      </c>
    </row>
    <row r="347" spans="3:9" x14ac:dyDescent="0.3">
      <c r="C347" s="112">
        <v>45454</v>
      </c>
      <c r="D347" t="s">
        <v>9</v>
      </c>
      <c r="E347" t="s">
        <v>116</v>
      </c>
      <c r="F347" s="114">
        <v>3.1</v>
      </c>
      <c r="G347"/>
      <c r="H347" s="130" cm="1">
        <f t="array" ref="H347">SUMPRODUCT(Tracking[Amount], -- (Tracking[[Date ]]&lt;= Tracking[[#This Row],[Date ]]), (Tracking[[Type ]]&lt;&gt;"Income")*(-1) + (Tracking[[Type ]]="Income"))</f>
        <v>4811.0699999999988</v>
      </c>
      <c r="I34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45454</v>
      </c>
    </row>
    <row r="348" spans="3:9" x14ac:dyDescent="0.3">
      <c r="C348" s="112">
        <v>45454</v>
      </c>
      <c r="D348" t="s">
        <v>9</v>
      </c>
      <c r="E348" t="s">
        <v>116</v>
      </c>
      <c r="F348" s="114">
        <v>13.5</v>
      </c>
      <c r="G348" t="s">
        <v>159</v>
      </c>
      <c r="H348" s="130" cm="1">
        <f t="array" ref="H348">SUMPRODUCT(Tracking[Amount], -- (Tracking[[Date ]]&lt;= Tracking[[#This Row],[Date ]]), (Tracking[[Type ]]&lt;&gt;"Income")*(-1) + (Tracking[[Type ]]="Income"))</f>
        <v>4811.0699999999988</v>
      </c>
      <c r="I34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45454</v>
      </c>
    </row>
    <row r="349" spans="3:9" x14ac:dyDescent="0.3">
      <c r="C349" s="112">
        <v>45455</v>
      </c>
      <c r="D349" t="s">
        <v>9</v>
      </c>
      <c r="E349" t="s">
        <v>121</v>
      </c>
      <c r="F349" s="114">
        <v>9.5</v>
      </c>
      <c r="G349"/>
      <c r="H349" s="130" cm="1">
        <f t="array" ref="H349">SUMPRODUCT(Tracking[Amount], -- (Tracking[[Date ]]&lt;= Tracking[[#This Row],[Date ]]), (Tracking[[Type ]]&lt;&gt;"Income")*(-1) + (Tracking[[Type ]]="Income"))</f>
        <v>4801.5699999999988</v>
      </c>
      <c r="I34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45455</v>
      </c>
    </row>
    <row r="350" spans="3:9" x14ac:dyDescent="0.3">
      <c r="C350" s="112">
        <v>45456</v>
      </c>
      <c r="D350" t="s">
        <v>9</v>
      </c>
      <c r="E350" t="s">
        <v>121</v>
      </c>
      <c r="F350" s="114">
        <v>23</v>
      </c>
      <c r="G350"/>
      <c r="H350" s="130" cm="1">
        <f t="array" ref="H350">SUMPRODUCT(Tracking[Amount], -- (Tracking[[Date ]]&lt;= Tracking[[#This Row],[Date ]]), (Tracking[[Type ]]&lt;&gt;"Income")*(-1) + (Tracking[[Type ]]="Income"))</f>
        <v>4746.2699999999986</v>
      </c>
      <c r="I35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45456</v>
      </c>
    </row>
    <row r="351" spans="3:9" x14ac:dyDescent="0.3">
      <c r="C351" s="112">
        <v>45456</v>
      </c>
      <c r="D351" t="s">
        <v>9</v>
      </c>
      <c r="E351" t="s">
        <v>116</v>
      </c>
      <c r="F351" s="114">
        <v>32.299999999999997</v>
      </c>
      <c r="G351" t="s">
        <v>162</v>
      </c>
      <c r="H351" s="130" cm="1">
        <f t="array" ref="H351">SUMPRODUCT(Tracking[Amount], -- (Tracking[[Date ]]&lt;= Tracking[[#This Row],[Date ]]), (Tracking[[Type ]]&lt;&gt;"Income")*(-1) + (Tracking[[Type ]]="Income"))</f>
        <v>4746.2699999999986</v>
      </c>
      <c r="I35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45456</v>
      </c>
    </row>
    <row r="352" spans="3:9" x14ac:dyDescent="0.3">
      <c r="C352" s="112">
        <v>45458</v>
      </c>
      <c r="D352" t="s">
        <v>9</v>
      </c>
      <c r="E352" t="s">
        <v>26</v>
      </c>
      <c r="F352" s="114">
        <v>13.15</v>
      </c>
      <c r="G352"/>
      <c r="H352" s="130" cm="1">
        <f t="array" ref="H352">SUMPRODUCT(Tracking[Amount], -- (Tracking[[Date ]]&lt;= Tracking[[#This Row],[Date ]]), (Tracking[[Type ]]&lt;&gt;"Income")*(-1) + (Tracking[[Type ]]="Income"))</f>
        <v>4733.119999999999</v>
      </c>
      <c r="I35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45458</v>
      </c>
    </row>
    <row r="353" spans="3:9" x14ac:dyDescent="0.3">
      <c r="C353" s="112">
        <v>45459</v>
      </c>
      <c r="D353" t="s">
        <v>9</v>
      </c>
      <c r="E353" t="s">
        <v>121</v>
      </c>
      <c r="F353" s="114">
        <v>15.44</v>
      </c>
      <c r="G353"/>
      <c r="H353" s="130" cm="1">
        <f t="array" ref="H353">SUMPRODUCT(Tracking[Amount], -- (Tracking[[Date ]]&lt;= Tracking[[#This Row],[Date ]]), (Tracking[[Type ]]&lt;&gt;"Income")*(-1) + (Tracking[[Type ]]="Income"))</f>
        <v>4705.6799999999994</v>
      </c>
      <c r="I35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45459</v>
      </c>
    </row>
    <row r="354" spans="3:9" x14ac:dyDescent="0.3">
      <c r="C354" s="112">
        <v>45459</v>
      </c>
      <c r="D354" t="s">
        <v>9</v>
      </c>
      <c r="E354" t="s">
        <v>26</v>
      </c>
      <c r="F354" s="114">
        <v>12</v>
      </c>
      <c r="G354"/>
      <c r="H354" s="130" cm="1">
        <f t="array" ref="H354">SUMPRODUCT(Tracking[Amount], -- (Tracking[[Date ]]&lt;= Tracking[[#This Row],[Date ]]), (Tracking[[Type ]]&lt;&gt;"Income")*(-1) + (Tracking[[Type ]]="Income"))</f>
        <v>4705.6799999999994</v>
      </c>
      <c r="I35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45459</v>
      </c>
    </row>
    <row r="355" spans="3:9" x14ac:dyDescent="0.3">
      <c r="C355" s="112">
        <v>45461</v>
      </c>
      <c r="D355" t="s">
        <v>9</v>
      </c>
      <c r="E355" t="s">
        <v>116</v>
      </c>
      <c r="F355" s="114">
        <v>17.89</v>
      </c>
      <c r="G355" t="s">
        <v>163</v>
      </c>
      <c r="H355" s="130" cm="1">
        <f t="array" ref="H355">SUMPRODUCT(Tracking[Amount], -- (Tracking[[Date ]]&lt;= Tracking[[#This Row],[Date ]]), (Tracking[[Type ]]&lt;&gt;"Income")*(-1) + (Tracking[[Type ]]="Income"))</f>
        <v>4644.4899999999989</v>
      </c>
      <c r="I35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45461</v>
      </c>
    </row>
    <row r="356" spans="3:9" x14ac:dyDescent="0.3">
      <c r="C356" s="112">
        <v>45461</v>
      </c>
      <c r="D356" t="s">
        <v>9</v>
      </c>
      <c r="E356" t="s">
        <v>116</v>
      </c>
      <c r="F356" s="114">
        <v>32.299999999999997</v>
      </c>
      <c r="G356" t="s">
        <v>157</v>
      </c>
      <c r="H356" s="130" cm="1">
        <f t="array" ref="H356">SUMPRODUCT(Tracking[Amount], -- (Tracking[[Date ]]&lt;= Tracking[[#This Row],[Date ]]), (Tracking[[Type ]]&lt;&gt;"Income")*(-1) + (Tracking[[Type ]]="Income"))</f>
        <v>4644.4899999999989</v>
      </c>
      <c r="I35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45461</v>
      </c>
    </row>
    <row r="357" spans="3:9" x14ac:dyDescent="0.3">
      <c r="C357" s="112">
        <v>45461</v>
      </c>
      <c r="D357" t="s">
        <v>9</v>
      </c>
      <c r="E357" t="s">
        <v>26</v>
      </c>
      <c r="F357" s="114">
        <v>11</v>
      </c>
      <c r="G357"/>
      <c r="H357" s="130" cm="1">
        <f t="array" ref="H357">SUMPRODUCT(Tracking[Amount], -- (Tracking[[Date ]]&lt;= Tracking[[#This Row],[Date ]]), (Tracking[[Type ]]&lt;&gt;"Income")*(-1) + (Tracking[[Type ]]="Income"))</f>
        <v>4644.4899999999989</v>
      </c>
      <c r="I35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45461</v>
      </c>
    </row>
    <row r="358" spans="3:9" x14ac:dyDescent="0.3">
      <c r="C358" s="112">
        <v>45462</v>
      </c>
      <c r="D358" t="s">
        <v>9</v>
      </c>
      <c r="E358" t="s">
        <v>26</v>
      </c>
      <c r="F358" s="114">
        <v>10</v>
      </c>
      <c r="G358"/>
      <c r="H358" s="130" cm="1">
        <f t="array" ref="H358">SUMPRODUCT(Tracking[Amount], -- (Tracking[[Date ]]&lt;= Tracking[[#This Row],[Date ]]), (Tracking[[Type ]]&lt;&gt;"Income")*(-1) + (Tracking[[Type ]]="Income"))</f>
        <v>4634.4899999999989</v>
      </c>
      <c r="I35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45462</v>
      </c>
    </row>
    <row r="359" spans="3:9" x14ac:dyDescent="0.3">
      <c r="C359" s="112">
        <v>45464</v>
      </c>
      <c r="D359" t="s">
        <v>9</v>
      </c>
      <c r="E359" t="s">
        <v>116</v>
      </c>
      <c r="F359" s="114">
        <v>1200</v>
      </c>
      <c r="G359" t="s">
        <v>164</v>
      </c>
      <c r="H359" s="130" cm="1">
        <f t="array" ref="H359">SUMPRODUCT(Tracking[Amount], -- (Tracking[[Date ]]&lt;= Tracking[[#This Row],[Date ]]), (Tracking[[Type ]]&lt;&gt;"Income")*(-1) + (Tracking[[Type ]]="Income"))</f>
        <v>3377.5499999999988</v>
      </c>
      <c r="I35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45464</v>
      </c>
    </row>
    <row r="360" spans="3:9" x14ac:dyDescent="0.3">
      <c r="C360" s="112">
        <v>45463</v>
      </c>
      <c r="D360" t="s">
        <v>9</v>
      </c>
      <c r="E360" t="s">
        <v>121</v>
      </c>
      <c r="F360" s="114">
        <v>5.9</v>
      </c>
      <c r="G360"/>
      <c r="H360" s="130" cm="1">
        <f t="array" ref="H360">SUMPRODUCT(Tracking[Amount], -- (Tracking[[Date ]]&lt;= Tracking[[#This Row],[Date ]]), (Tracking[[Type ]]&lt;&gt;"Income")*(-1) + (Tracking[[Type ]]="Income"))</f>
        <v>4628.5899999999992</v>
      </c>
      <c r="I36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45463</v>
      </c>
    </row>
    <row r="361" spans="3:9" x14ac:dyDescent="0.3">
      <c r="C361" s="112">
        <v>45464</v>
      </c>
      <c r="D361" t="s">
        <v>9</v>
      </c>
      <c r="E361" t="s">
        <v>20</v>
      </c>
      <c r="F361" s="114">
        <v>51.04</v>
      </c>
      <c r="G361"/>
      <c r="H361" s="130" cm="1">
        <f t="array" ref="H361">SUMPRODUCT(Tracking[Amount], -- (Tracking[[Date ]]&lt;= Tracking[[#This Row],[Date ]]), (Tracking[[Type ]]&lt;&gt;"Income")*(-1) + (Tracking[[Type ]]="Income"))</f>
        <v>3377.5499999999988</v>
      </c>
      <c r="I36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45464</v>
      </c>
    </row>
    <row r="362" spans="3:9" x14ac:dyDescent="0.3">
      <c r="C362" s="112">
        <v>45465</v>
      </c>
      <c r="D362" t="s">
        <v>9</v>
      </c>
      <c r="E362" t="s">
        <v>116</v>
      </c>
      <c r="F362" s="114">
        <v>105.95</v>
      </c>
      <c r="G362" t="s">
        <v>165</v>
      </c>
      <c r="H362" s="130" cm="1">
        <f t="array" ref="H362">SUMPRODUCT(Tracking[Amount], -- (Tracking[[Date ]]&lt;= Tracking[[#This Row],[Date ]]), (Tracking[[Type ]]&lt;&gt;"Income")*(-1) + (Tracking[[Type ]]="Income"))</f>
        <v>3262.599999999999</v>
      </c>
      <c r="I36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45465</v>
      </c>
    </row>
    <row r="363" spans="3:9" x14ac:dyDescent="0.3">
      <c r="C363" s="112">
        <v>45465</v>
      </c>
      <c r="D363" t="s">
        <v>9</v>
      </c>
      <c r="E363" t="s">
        <v>26</v>
      </c>
      <c r="F363" s="114">
        <v>9</v>
      </c>
      <c r="G363"/>
      <c r="H363" s="130" cm="1">
        <f t="array" ref="H363">SUMPRODUCT(Tracking[Amount], -- (Tracking[[Date ]]&lt;= Tracking[[#This Row],[Date ]]), (Tracking[[Type ]]&lt;&gt;"Income")*(-1) + (Tracking[[Type ]]="Income"))</f>
        <v>3262.599999999999</v>
      </c>
      <c r="I36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45465</v>
      </c>
    </row>
    <row r="364" spans="3:9" x14ac:dyDescent="0.3">
      <c r="C364" s="112">
        <v>45466</v>
      </c>
      <c r="D364" t="s">
        <v>9</v>
      </c>
      <c r="E364" t="s">
        <v>26</v>
      </c>
      <c r="F364" s="114">
        <v>40.5</v>
      </c>
      <c r="G364"/>
      <c r="H364" s="130" cm="1">
        <f t="array" ref="H364">SUMPRODUCT(Tracking[Amount], -- (Tracking[[Date ]]&lt;= Tracking[[#This Row],[Date ]]), (Tracking[[Type ]]&lt;&gt;"Income")*(-1) + (Tracking[[Type ]]="Income"))</f>
        <v>3222.099999999999</v>
      </c>
      <c r="I36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45466</v>
      </c>
    </row>
    <row r="365" spans="3:9" x14ac:dyDescent="0.3">
      <c r="C365" s="112">
        <v>45467</v>
      </c>
      <c r="D365" t="s">
        <v>9</v>
      </c>
      <c r="E365" t="s">
        <v>26</v>
      </c>
      <c r="F365" s="114">
        <v>22.2</v>
      </c>
      <c r="G365"/>
      <c r="H365" s="130" cm="1">
        <f t="array" ref="H365">SUMPRODUCT(Tracking[Amount], -- (Tracking[[Date ]]&lt;= Tracking[[#This Row],[Date ]]), (Tracking[[Type ]]&lt;&gt;"Income")*(-1) + (Tracking[[Type ]]="Income"))</f>
        <v>3199.8999999999992</v>
      </c>
      <c r="I36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45467</v>
      </c>
    </row>
    <row r="366" spans="3:9" x14ac:dyDescent="0.3">
      <c r="C366" s="112">
        <v>45468</v>
      </c>
      <c r="D366" t="s">
        <v>9</v>
      </c>
      <c r="E366" t="s">
        <v>20</v>
      </c>
      <c r="F366" s="114">
        <v>15.98</v>
      </c>
      <c r="G366"/>
      <c r="H366" s="130" cm="1">
        <f t="array" ref="H366">SUMPRODUCT(Tracking[Amount], -- (Tracking[[Date ]]&lt;= Tracking[[#This Row],[Date ]]), (Tracking[[Type ]]&lt;&gt;"Income")*(-1) + (Tracking[[Type ]]="Income"))</f>
        <v>3177.9199999999992</v>
      </c>
      <c r="I36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45468</v>
      </c>
    </row>
    <row r="367" spans="3:9" x14ac:dyDescent="0.3">
      <c r="C367" s="112">
        <v>45468</v>
      </c>
      <c r="D367" t="s">
        <v>9</v>
      </c>
      <c r="E367" t="s">
        <v>121</v>
      </c>
      <c r="F367" s="114">
        <v>6</v>
      </c>
      <c r="G367"/>
      <c r="H367" s="130" cm="1">
        <f t="array" ref="H367">SUMPRODUCT(Tracking[Amount], -- (Tracking[[Date ]]&lt;= Tracking[[#This Row],[Date ]]), (Tracking[[Type ]]&lt;&gt;"Income")*(-1) + (Tracking[[Type ]]="Income"))</f>
        <v>3177.9199999999992</v>
      </c>
      <c r="I36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45468</v>
      </c>
    </row>
    <row r="368" spans="3:9" x14ac:dyDescent="0.3">
      <c r="C368" s="112">
        <v>45469</v>
      </c>
      <c r="D368" t="s">
        <v>9</v>
      </c>
      <c r="E368" t="s">
        <v>121</v>
      </c>
      <c r="F368" s="114">
        <v>2.7</v>
      </c>
      <c r="G368"/>
      <c r="H368" s="130" cm="1">
        <f t="array" ref="H368">SUMPRODUCT(Tracking[Amount], -- (Tracking[[Date ]]&lt;= Tracking[[#This Row],[Date ]]), (Tracking[[Type ]]&lt;&gt;"Income")*(-1) + (Tracking[[Type ]]="Income"))</f>
        <v>3175.2199999999993</v>
      </c>
      <c r="I36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45469</v>
      </c>
    </row>
    <row r="369" spans="2:9" x14ac:dyDescent="0.3">
      <c r="C369" s="112">
        <v>45470</v>
      </c>
      <c r="D369" t="s">
        <v>9</v>
      </c>
      <c r="E369" t="s">
        <v>121</v>
      </c>
      <c r="F369" s="114">
        <v>6.43</v>
      </c>
      <c r="G369"/>
      <c r="H369" s="130" cm="1">
        <f t="array" ref="H369">SUMPRODUCT(Tracking[Amount], -- (Tracking[[Date ]]&lt;= Tracking[[#This Row],[Date ]]), (Tracking[[Type ]]&lt;&gt;"Income")*(-1) + (Tracking[[Type ]]="Income"))</f>
        <v>3166.4399999999996</v>
      </c>
      <c r="I36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45470</v>
      </c>
    </row>
    <row r="370" spans="2:9" x14ac:dyDescent="0.3">
      <c r="B370" s="124"/>
      <c r="C370" s="112">
        <v>45470</v>
      </c>
      <c r="D370" t="s">
        <v>9</v>
      </c>
      <c r="E370" t="s">
        <v>116</v>
      </c>
      <c r="F370" s="114">
        <v>2.35</v>
      </c>
      <c r="G370" t="s">
        <v>163</v>
      </c>
      <c r="H370" s="130" cm="1">
        <f t="array" ref="H370">SUMPRODUCT(Tracking[Amount], -- (Tracking[[Date ]]&lt;= Tracking[[#This Row],[Date ]]), (Tracking[[Type ]]&lt;&gt;"Income")*(-1) + (Tracking[[Type ]]="Income"))</f>
        <v>3166.4399999999996</v>
      </c>
      <c r="I37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45470</v>
      </c>
    </row>
    <row r="371" spans="2:9" x14ac:dyDescent="0.3">
      <c r="C371" s="112">
        <v>45471</v>
      </c>
      <c r="D371" t="s">
        <v>9</v>
      </c>
      <c r="E371" t="s">
        <v>131</v>
      </c>
      <c r="F371" s="114">
        <v>45</v>
      </c>
      <c r="G371"/>
      <c r="H371" s="130" cm="1">
        <f t="array" ref="H371">SUMPRODUCT(Tracking[Amount], -- (Tracking[[Date ]]&lt;= Tracking[[#This Row],[Date ]]), (Tracking[[Type ]]&lt;&gt;"Income")*(-1) + (Tracking[[Type ]]="Income"))</f>
        <v>3110.1499999999996</v>
      </c>
      <c r="I37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45471</v>
      </c>
    </row>
    <row r="372" spans="2:9" x14ac:dyDescent="0.3">
      <c r="C372" s="112">
        <v>45471</v>
      </c>
      <c r="D372" t="s">
        <v>9</v>
      </c>
      <c r="E372" t="s">
        <v>121</v>
      </c>
      <c r="F372" s="114">
        <v>11.29</v>
      </c>
      <c r="G372"/>
      <c r="H372" s="130" cm="1">
        <f t="array" ref="H372">SUMPRODUCT(Tracking[Amount], -- (Tracking[[Date ]]&lt;= Tracking[[#This Row],[Date ]]), (Tracking[[Type ]]&lt;&gt;"Income")*(-1) + (Tracking[[Type ]]="Income"))</f>
        <v>3110.1499999999996</v>
      </c>
      <c r="I37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45471</v>
      </c>
    </row>
    <row r="373" spans="2:9" x14ac:dyDescent="0.3">
      <c r="C373" s="112">
        <v>45472</v>
      </c>
      <c r="D373" t="s">
        <v>9</v>
      </c>
      <c r="E373" t="s">
        <v>26</v>
      </c>
      <c r="F373" s="114">
        <v>66.7</v>
      </c>
      <c r="G373"/>
      <c r="H373" s="130" cm="1">
        <f t="array" ref="H373">SUMPRODUCT(Tracking[Amount], -- (Tracking[[Date ]]&lt;= Tracking[[#This Row],[Date ]]), (Tracking[[Type ]]&lt;&gt;"Income")*(-1) + (Tracking[[Type ]]="Income"))</f>
        <v>2946.98</v>
      </c>
      <c r="I37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45472</v>
      </c>
    </row>
    <row r="374" spans="2:9" x14ac:dyDescent="0.3">
      <c r="C374" s="112">
        <v>45472</v>
      </c>
      <c r="D374" t="s">
        <v>9</v>
      </c>
      <c r="E374" t="s">
        <v>20</v>
      </c>
      <c r="F374" s="114">
        <v>96.47</v>
      </c>
      <c r="G374"/>
      <c r="H374" s="130" cm="1">
        <f t="array" ref="H374">SUMPRODUCT(Tracking[Amount], -- (Tracking[[Date ]]&lt;= Tracking[[#This Row],[Date ]]), (Tracking[[Type ]]&lt;&gt;"Income")*(-1) + (Tracking[[Type ]]="Income"))</f>
        <v>2946.98</v>
      </c>
      <c r="I37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45472</v>
      </c>
    </row>
    <row r="375" spans="2:9" x14ac:dyDescent="0.3">
      <c r="C375" s="112">
        <v>45474</v>
      </c>
      <c r="D375" t="s">
        <v>6</v>
      </c>
      <c r="E375" t="s">
        <v>19</v>
      </c>
      <c r="F375" s="114">
        <v>1061</v>
      </c>
      <c r="G375"/>
      <c r="H375" s="130" cm="1">
        <f t="array" ref="H375">SUMPRODUCT(Tracking[Amount], -- (Tracking[[Date ]]&lt;= Tracking[[#This Row],[Date ]]), (Tracking[[Type ]]&lt;&gt;"Income")*(-1) + (Tracking[[Type ]]="Income"))</f>
        <v>3600.28</v>
      </c>
      <c r="I37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45474</v>
      </c>
    </row>
    <row r="376" spans="2:9" x14ac:dyDescent="0.3">
      <c r="C376" s="112">
        <v>45474</v>
      </c>
      <c r="D376" t="s">
        <v>9</v>
      </c>
      <c r="E376" t="s">
        <v>131</v>
      </c>
      <c r="F376" s="114">
        <v>400</v>
      </c>
      <c r="G376"/>
      <c r="H376" s="130" cm="1">
        <f t="array" ref="H376">SUMPRODUCT(Tracking[Amount], -- (Tracking[[Date ]]&lt;= Tracking[[#This Row],[Date ]]), (Tracking[[Type ]]&lt;&gt;"Income")*(-1) + (Tracking[[Type ]]="Income"))</f>
        <v>3600.28</v>
      </c>
      <c r="I37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45474</v>
      </c>
    </row>
    <row r="377" spans="2:9" x14ac:dyDescent="0.3">
      <c r="C377" s="112">
        <v>45474</v>
      </c>
      <c r="D377" t="s">
        <v>9</v>
      </c>
      <c r="E377" t="s">
        <v>116</v>
      </c>
      <c r="F377" s="114">
        <v>5</v>
      </c>
      <c r="G377" t="s">
        <v>166</v>
      </c>
      <c r="H377" s="130" cm="1">
        <f t="array" ref="H377">SUMPRODUCT(Tracking[Amount], -- (Tracking[[Date ]]&lt;= Tracking[[#This Row],[Date ]]), (Tracking[[Type ]]&lt;&gt;"Income")*(-1) + (Tracking[[Type ]]="Income"))</f>
        <v>3600.28</v>
      </c>
      <c r="I37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45474</v>
      </c>
    </row>
    <row r="378" spans="2:9" x14ac:dyDescent="0.3">
      <c r="C378" s="112">
        <v>45474</v>
      </c>
      <c r="D378" t="s">
        <v>9</v>
      </c>
      <c r="E378" t="s">
        <v>121</v>
      </c>
      <c r="F378" s="114">
        <v>2.7</v>
      </c>
      <c r="G378"/>
      <c r="H378" s="130" cm="1">
        <f t="array" ref="H378">SUMPRODUCT(Tracking[Amount], -- (Tracking[[Date ]]&lt;= Tracking[[#This Row],[Date ]]), (Tracking[[Type ]]&lt;&gt;"Income")*(-1) + (Tracking[[Type ]]="Income"))</f>
        <v>3600.28</v>
      </c>
      <c r="I37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45474</v>
      </c>
    </row>
    <row r="379" spans="2:9" x14ac:dyDescent="0.3">
      <c r="C379" s="112">
        <v>45475</v>
      </c>
      <c r="D379" t="s">
        <v>9</v>
      </c>
      <c r="E379" t="s">
        <v>121</v>
      </c>
      <c r="F379" s="114">
        <v>5.91</v>
      </c>
      <c r="G379"/>
      <c r="H379" s="130" cm="1">
        <f t="array" ref="H379">SUMPRODUCT(Tracking[Amount], -- (Tracking[[Date ]]&lt;= Tracking[[#This Row],[Date ]]), (Tracking[[Type ]]&lt;&gt;"Income")*(-1) + (Tracking[[Type ]]="Income"))</f>
        <v>3594.3700000000003</v>
      </c>
      <c r="I37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45475</v>
      </c>
    </row>
    <row r="380" spans="2:9" x14ac:dyDescent="0.3">
      <c r="C380" s="112">
        <v>45478</v>
      </c>
      <c r="D380" t="s">
        <v>9</v>
      </c>
      <c r="E380" t="s">
        <v>121</v>
      </c>
      <c r="F380" s="114">
        <v>6.27</v>
      </c>
      <c r="G380"/>
      <c r="H380" s="130" cm="1">
        <f t="array" ref="H380">SUMPRODUCT(Tracking[Amount], -- (Tracking[[Date ]]&lt;= Tracking[[#This Row],[Date ]]), (Tracking[[Type ]]&lt;&gt;"Income")*(-1) + (Tracking[[Type ]]="Income"))</f>
        <v>3585.9000000000005</v>
      </c>
      <c r="I38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45478</v>
      </c>
    </row>
    <row r="381" spans="2:9" x14ac:dyDescent="0.3">
      <c r="C381" s="112">
        <v>45477</v>
      </c>
      <c r="D381" t="s">
        <v>9</v>
      </c>
      <c r="E381" t="s">
        <v>121</v>
      </c>
      <c r="F381" s="114">
        <v>2.2000000000000002</v>
      </c>
      <c r="G381"/>
      <c r="H381" s="130" cm="1">
        <f t="array" ref="H381">SUMPRODUCT(Tracking[Amount], -- (Tracking[[Date ]]&lt;= Tracking[[#This Row],[Date ]]), (Tracking[[Type ]]&lt;&gt;"Income")*(-1) + (Tracking[[Type ]]="Income"))</f>
        <v>3592.1700000000005</v>
      </c>
      <c r="I38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45477</v>
      </c>
    </row>
    <row r="382" spans="2:9" x14ac:dyDescent="0.3">
      <c r="C382" s="112">
        <v>45479</v>
      </c>
      <c r="D382" t="s">
        <v>9</v>
      </c>
      <c r="E382" t="s">
        <v>20</v>
      </c>
      <c r="F382" s="114">
        <v>28.4</v>
      </c>
      <c r="G382"/>
      <c r="H382" s="130" cm="1">
        <f t="array" ref="H382">SUMPRODUCT(Tracking[Amount], -- (Tracking[[Date ]]&lt;= Tracking[[#This Row],[Date ]]), (Tracking[[Type ]]&lt;&gt;"Income")*(-1) + (Tracking[[Type ]]="Income"))</f>
        <v>3125.0000000000005</v>
      </c>
      <c r="I38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45479</v>
      </c>
    </row>
    <row r="383" spans="2:9" x14ac:dyDescent="0.3">
      <c r="C383" s="112">
        <v>45479</v>
      </c>
      <c r="D383" t="s">
        <v>9</v>
      </c>
      <c r="E383" t="s">
        <v>26</v>
      </c>
      <c r="F383" s="114">
        <v>14.5</v>
      </c>
      <c r="G383"/>
      <c r="H383" s="130" cm="1">
        <f t="array" ref="H383">SUMPRODUCT(Tracking[Amount], -- (Tracking[[Date ]]&lt;= Tracking[[#This Row],[Date ]]), (Tracking[[Type ]]&lt;&gt;"Income")*(-1) + (Tracking[[Type ]]="Income"))</f>
        <v>3125.0000000000005</v>
      </c>
      <c r="I38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45479</v>
      </c>
    </row>
    <row r="384" spans="2:9" x14ac:dyDescent="0.3">
      <c r="C384" s="112">
        <v>45479</v>
      </c>
      <c r="D384" t="s">
        <v>9</v>
      </c>
      <c r="E384" t="s">
        <v>116</v>
      </c>
      <c r="F384" s="114">
        <v>418</v>
      </c>
      <c r="G384" t="s">
        <v>167</v>
      </c>
      <c r="H384" s="130" cm="1">
        <f t="array" ref="H384">SUMPRODUCT(Tracking[Amount], -- (Tracking[[Date ]]&lt;= Tracking[[#This Row],[Date ]]), (Tracking[[Type ]]&lt;&gt;"Income")*(-1) + (Tracking[[Type ]]="Income"))</f>
        <v>3125.0000000000005</v>
      </c>
      <c r="I38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45479</v>
      </c>
    </row>
    <row r="385" spans="3:9" x14ac:dyDescent="0.3">
      <c r="C385" s="112">
        <v>45482</v>
      </c>
      <c r="D385" t="s">
        <v>9</v>
      </c>
      <c r="E385" t="s">
        <v>121</v>
      </c>
      <c r="F385" s="114">
        <v>2.7</v>
      </c>
      <c r="G385"/>
      <c r="H385" s="130" cm="1">
        <f t="array" ref="H385">SUMPRODUCT(Tracking[Amount], -- (Tracking[[Date ]]&lt;= Tracking[[#This Row],[Date ]]), (Tracking[[Type ]]&lt;&gt;"Income")*(-1) + (Tracking[[Type ]]="Income"))</f>
        <v>3122.3000000000006</v>
      </c>
      <c r="I38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45482</v>
      </c>
    </row>
    <row r="386" spans="3:9" x14ac:dyDescent="0.3">
      <c r="C386" s="112">
        <v>45483</v>
      </c>
      <c r="D386" t="s">
        <v>9</v>
      </c>
      <c r="E386" t="s">
        <v>121</v>
      </c>
      <c r="F386" s="114">
        <v>2.7</v>
      </c>
      <c r="G386"/>
      <c r="H386" s="130" cm="1">
        <f t="array" ref="H386">SUMPRODUCT(Tracking[Amount], -- (Tracking[[Date ]]&lt;= Tracking[[#This Row],[Date ]]), (Tracking[[Type ]]&lt;&gt;"Income")*(-1) + (Tracking[[Type ]]="Income"))</f>
        <v>3104.1000000000008</v>
      </c>
      <c r="I38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45483</v>
      </c>
    </row>
    <row r="387" spans="3:9" x14ac:dyDescent="0.3">
      <c r="C387" s="112">
        <v>45483</v>
      </c>
      <c r="D387" t="s">
        <v>9</v>
      </c>
      <c r="E387" t="s">
        <v>116</v>
      </c>
      <c r="F387" s="114">
        <v>15.5</v>
      </c>
      <c r="G387" t="s">
        <v>168</v>
      </c>
      <c r="H387" s="130" cm="1">
        <f t="array" ref="H387">SUMPRODUCT(Tracking[Amount], -- (Tracking[[Date ]]&lt;= Tracking[[#This Row],[Date ]]), (Tracking[[Type ]]&lt;&gt;"Income")*(-1) + (Tracking[[Type ]]="Income"))</f>
        <v>3104.1000000000008</v>
      </c>
      <c r="I38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45483</v>
      </c>
    </row>
    <row r="388" spans="3:9" x14ac:dyDescent="0.3">
      <c r="C388" s="112">
        <v>45484</v>
      </c>
      <c r="D388" t="s">
        <v>9</v>
      </c>
      <c r="E388" t="s">
        <v>121</v>
      </c>
      <c r="F388" s="114">
        <v>2.2999999999999998</v>
      </c>
      <c r="G388"/>
      <c r="H388" s="130" cm="1">
        <f t="array" ref="H388">SUMPRODUCT(Tracking[Amount], -- (Tracking[[Date ]]&lt;= Tracking[[#This Row],[Date ]]), (Tracking[[Type ]]&lt;&gt;"Income")*(-1) + (Tracking[[Type ]]="Income"))</f>
        <v>3044.8000000000006</v>
      </c>
      <c r="I38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45484</v>
      </c>
    </row>
    <row r="389" spans="3:9" x14ac:dyDescent="0.3">
      <c r="C389" s="112">
        <v>45484</v>
      </c>
      <c r="D389" t="s">
        <v>9</v>
      </c>
      <c r="E389" t="s">
        <v>116</v>
      </c>
      <c r="F389" s="114">
        <v>43</v>
      </c>
      <c r="G389" t="s">
        <v>157</v>
      </c>
      <c r="H389" s="130" cm="1">
        <f t="array" ref="H389">SUMPRODUCT(Tracking[Amount], -- (Tracking[[Date ]]&lt;= Tracking[[#This Row],[Date ]]), (Tracking[[Type ]]&lt;&gt;"Income")*(-1) + (Tracking[[Type ]]="Income"))</f>
        <v>3044.8000000000006</v>
      </c>
      <c r="I38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45484</v>
      </c>
    </row>
    <row r="390" spans="3:9" x14ac:dyDescent="0.3">
      <c r="C390" s="112">
        <v>45484</v>
      </c>
      <c r="D390" t="s">
        <v>9</v>
      </c>
      <c r="E390" t="s">
        <v>143</v>
      </c>
      <c r="F390" s="114">
        <v>14</v>
      </c>
      <c r="G390"/>
      <c r="H390" s="130" cm="1">
        <f t="array" ref="H390">SUMPRODUCT(Tracking[Amount], -- (Tracking[[Date ]]&lt;= Tracking[[#This Row],[Date ]]), (Tracking[[Type ]]&lt;&gt;"Income")*(-1) + (Tracking[[Type ]]="Income"))</f>
        <v>3044.8000000000006</v>
      </c>
      <c r="I39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45484</v>
      </c>
    </row>
    <row r="391" spans="3:9" x14ac:dyDescent="0.3">
      <c r="C391" s="112">
        <v>45486</v>
      </c>
      <c r="D391" t="s">
        <v>9</v>
      </c>
      <c r="E391" t="s">
        <v>26</v>
      </c>
      <c r="F391" s="114">
        <v>13</v>
      </c>
      <c r="G391"/>
      <c r="H391" s="130" cm="1">
        <f t="array" ref="H391">SUMPRODUCT(Tracking[Amount], -- (Tracking[[Date ]]&lt;= Tracking[[#This Row],[Date ]]), (Tracking[[Type ]]&lt;&gt;"Income")*(-1) + (Tracking[[Type ]]="Income"))</f>
        <v>3031.8000000000006</v>
      </c>
      <c r="I39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45486</v>
      </c>
    </row>
    <row r="392" spans="3:9" x14ac:dyDescent="0.3">
      <c r="C392" s="112">
        <v>45488</v>
      </c>
      <c r="D392" t="s">
        <v>9</v>
      </c>
      <c r="E392" t="s">
        <v>20</v>
      </c>
      <c r="F392" s="114">
        <v>26.82</v>
      </c>
      <c r="G392"/>
      <c r="H392" s="130" cm="1">
        <f t="array" ref="H392">SUMPRODUCT(Tracking[Amount], -- (Tracking[[Date ]]&lt;= Tracking[[#This Row],[Date ]]), (Tracking[[Type ]]&lt;&gt;"Income")*(-1) + (Tracking[[Type ]]="Income"))</f>
        <v>3039.7200000000003</v>
      </c>
      <c r="I39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45488</v>
      </c>
    </row>
    <row r="393" spans="3:9" x14ac:dyDescent="0.3">
      <c r="C393" s="112">
        <v>45487</v>
      </c>
      <c r="D393" t="s">
        <v>9</v>
      </c>
      <c r="E393" t="s">
        <v>26</v>
      </c>
      <c r="F393" s="114">
        <v>3</v>
      </c>
      <c r="G393"/>
      <c r="H393" s="130" cm="1">
        <f t="array" ref="H393">SUMPRODUCT(Tracking[Amount], -- (Tracking[[Date ]]&lt;= Tracking[[#This Row],[Date ]]), (Tracking[[Type ]]&lt;&gt;"Income")*(-1) + (Tracking[[Type ]]="Income"))</f>
        <v>3028.8000000000006</v>
      </c>
      <c r="I39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45487</v>
      </c>
    </row>
    <row r="394" spans="3:9" x14ac:dyDescent="0.3">
      <c r="C394" s="112">
        <v>45488</v>
      </c>
      <c r="D394" t="s">
        <v>9</v>
      </c>
      <c r="E394" t="s">
        <v>20</v>
      </c>
      <c r="F394" s="126">
        <v>31.82</v>
      </c>
      <c r="G394"/>
      <c r="H394" s="130" cm="1">
        <f t="array" ref="H394">SUMPRODUCT(Tracking[Amount], -- (Tracking[[Date ]]&lt;= Tracking[[#This Row],[Date ]]), (Tracking[[Type ]]&lt;&gt;"Income")*(-1) + (Tracking[[Type ]]="Income"))</f>
        <v>3039.7200000000003</v>
      </c>
      <c r="I39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45488</v>
      </c>
    </row>
    <row r="395" spans="3:9" x14ac:dyDescent="0.3">
      <c r="C395" s="112">
        <v>45488</v>
      </c>
      <c r="D395" t="s">
        <v>9</v>
      </c>
      <c r="E395" t="s">
        <v>27</v>
      </c>
      <c r="F395" s="114">
        <v>50.44</v>
      </c>
      <c r="G395"/>
      <c r="H395" s="130" cm="1">
        <f t="array" ref="H395">SUMPRODUCT(Tracking[Amount], -- (Tracking[[Date ]]&lt;= Tracking[[#This Row],[Date ]]), (Tracking[[Type ]]&lt;&gt;"Income")*(-1) + (Tracking[[Type ]]="Income"))</f>
        <v>3039.7200000000003</v>
      </c>
      <c r="I39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45488</v>
      </c>
    </row>
    <row r="396" spans="3:9" x14ac:dyDescent="0.3">
      <c r="C396" s="112">
        <v>45488</v>
      </c>
      <c r="D396" t="s">
        <v>6</v>
      </c>
      <c r="E396" t="s">
        <v>19</v>
      </c>
      <c r="F396" s="114">
        <v>120</v>
      </c>
      <c r="G396"/>
      <c r="H396" s="130" cm="1">
        <f t="array" ref="H396">SUMPRODUCT(Tracking[Amount], -- (Tracking[[Date ]]&lt;= Tracking[[#This Row],[Date ]]), (Tracking[[Type ]]&lt;&gt;"Income")*(-1) + (Tracking[[Type ]]="Income"))</f>
        <v>3039.7200000000003</v>
      </c>
      <c r="I39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45488</v>
      </c>
    </row>
    <row r="397" spans="3:9" x14ac:dyDescent="0.3">
      <c r="C397" s="112">
        <v>45489</v>
      </c>
      <c r="D397" t="s">
        <v>9</v>
      </c>
      <c r="E397" t="s">
        <v>116</v>
      </c>
      <c r="F397" s="114">
        <v>5.4</v>
      </c>
      <c r="G397"/>
      <c r="H397" s="130" cm="1">
        <f t="array" ref="H397">SUMPRODUCT(Tracking[Amount], -- (Tracking[[Date ]]&lt;= Tracking[[#This Row],[Date ]]), (Tracking[[Type ]]&lt;&gt;"Income")*(-1) + (Tracking[[Type ]]="Income"))</f>
        <v>3034.32</v>
      </c>
      <c r="I39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45489</v>
      </c>
    </row>
    <row r="398" spans="3:9" x14ac:dyDescent="0.3">
      <c r="C398" s="112">
        <v>45490</v>
      </c>
      <c r="D398" t="s">
        <v>9</v>
      </c>
      <c r="E398" t="s">
        <v>116</v>
      </c>
      <c r="F398" s="114">
        <v>13.5</v>
      </c>
      <c r="G398" t="s">
        <v>159</v>
      </c>
      <c r="H398" s="130" cm="1">
        <f t="array" ref="H398">SUMPRODUCT(Tracking[Amount], -- (Tracking[[Date ]]&lt;= Tracking[[#This Row],[Date ]]), (Tracking[[Type ]]&lt;&gt;"Income")*(-1) + (Tracking[[Type ]]="Income"))</f>
        <v>2957.1000000000004</v>
      </c>
      <c r="I39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45490</v>
      </c>
    </row>
    <row r="399" spans="3:9" x14ac:dyDescent="0.3">
      <c r="C399" s="112">
        <v>45490</v>
      </c>
      <c r="D399" t="s">
        <v>9</v>
      </c>
      <c r="E399" t="s">
        <v>20</v>
      </c>
      <c r="F399" s="114">
        <v>63.72</v>
      </c>
      <c r="G399"/>
      <c r="H399" s="130" cm="1">
        <f t="array" ref="H399">SUMPRODUCT(Tracking[Amount], -- (Tracking[[Date ]]&lt;= Tracking[[#This Row],[Date ]]), (Tracking[[Type ]]&lt;&gt;"Income")*(-1) + (Tracking[[Type ]]="Income"))</f>
        <v>2957.1000000000004</v>
      </c>
      <c r="I39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45490</v>
      </c>
    </row>
    <row r="400" spans="3:9" x14ac:dyDescent="0.3">
      <c r="C400" s="112">
        <v>45492</v>
      </c>
      <c r="D400" t="s">
        <v>9</v>
      </c>
      <c r="E400" t="s">
        <v>26</v>
      </c>
      <c r="F400" s="114">
        <v>4</v>
      </c>
      <c r="G400"/>
      <c r="H400" s="130" cm="1">
        <f t="array" ref="H400">SUMPRODUCT(Tracking[Amount], -- (Tracking[[Date ]]&lt;= Tracking[[#This Row],[Date ]]), (Tracking[[Type ]]&lt;&gt;"Income")*(-1) + (Tracking[[Type ]]="Income"))</f>
        <v>2953.1000000000004</v>
      </c>
      <c r="I40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45492</v>
      </c>
    </row>
    <row r="401" spans="3:9" x14ac:dyDescent="0.3">
      <c r="C401" s="112">
        <v>45493</v>
      </c>
      <c r="D401" t="s">
        <v>9</v>
      </c>
      <c r="E401" t="s">
        <v>26</v>
      </c>
      <c r="F401" s="114">
        <v>43</v>
      </c>
      <c r="G401" t="s">
        <v>169</v>
      </c>
      <c r="H401" s="130" cm="1">
        <f t="array" ref="H401">SUMPRODUCT(Tracking[Amount], -- (Tracking[[Date ]]&lt;= Tracking[[#This Row],[Date ]]), (Tracking[[Type ]]&lt;&gt;"Income")*(-1) + (Tracking[[Type ]]="Income"))</f>
        <v>2910.1000000000004</v>
      </c>
      <c r="I40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45493</v>
      </c>
    </row>
    <row r="402" spans="3:9" x14ac:dyDescent="0.3">
      <c r="C402" s="112">
        <v>45494</v>
      </c>
      <c r="D402" t="s">
        <v>9</v>
      </c>
      <c r="E402" t="s">
        <v>27</v>
      </c>
      <c r="F402" s="114">
        <v>161.96</v>
      </c>
      <c r="G402"/>
      <c r="H402" s="130" cm="1">
        <f t="array" ref="H402">SUMPRODUCT(Tracking[Amount], -- (Tracking[[Date ]]&lt;= Tracking[[#This Row],[Date ]]), (Tracking[[Type ]]&lt;&gt;"Income")*(-1) + (Tracking[[Type ]]="Income"))</f>
        <v>2748.1400000000003</v>
      </c>
      <c r="I40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45494</v>
      </c>
    </row>
    <row r="403" spans="3:9" x14ac:dyDescent="0.3">
      <c r="C403" s="112">
        <v>45495</v>
      </c>
      <c r="D403" t="s">
        <v>9</v>
      </c>
      <c r="E403" t="s">
        <v>121</v>
      </c>
      <c r="F403" s="114">
        <v>8.75</v>
      </c>
      <c r="G403"/>
      <c r="H403" s="130" cm="1">
        <f t="array" ref="H403">SUMPRODUCT(Tracking[Amount], -- (Tracking[[Date ]]&lt;= Tracking[[#This Row],[Date ]]), (Tracking[[Type ]]&lt;&gt;"Income")*(-1) + (Tracking[[Type ]]="Income"))</f>
        <v>2739.3900000000003</v>
      </c>
      <c r="I40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45495</v>
      </c>
    </row>
    <row r="404" spans="3:9" x14ac:dyDescent="0.3">
      <c r="C404" s="112">
        <v>45496</v>
      </c>
      <c r="D404" t="s">
        <v>9</v>
      </c>
      <c r="E404" t="s">
        <v>121</v>
      </c>
      <c r="F404" s="114">
        <v>3.95</v>
      </c>
      <c r="G404"/>
      <c r="H404" s="130" cm="1">
        <f t="array" ref="H404">SUMPRODUCT(Tracking[Amount], -- (Tracking[[Date ]]&lt;= Tracking[[#This Row],[Date ]]), (Tracking[[Type ]]&lt;&gt;"Income")*(-1) + (Tracking[[Type ]]="Income"))</f>
        <v>2735.4400000000005</v>
      </c>
      <c r="I40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45496</v>
      </c>
    </row>
    <row r="405" spans="3:9" x14ac:dyDescent="0.3">
      <c r="C405" s="112">
        <v>45499</v>
      </c>
      <c r="D405" t="s">
        <v>9</v>
      </c>
      <c r="E405" t="s">
        <v>121</v>
      </c>
      <c r="F405" s="114">
        <v>4.1100000000000003</v>
      </c>
      <c r="G405"/>
      <c r="H405" s="130" cm="1">
        <f t="array" ref="H405">SUMPRODUCT(Tracking[Amount], -- (Tracking[[Date ]]&lt;= Tracking[[#This Row],[Date ]]), (Tracking[[Type ]]&lt;&gt;"Income")*(-1) + (Tracking[[Type ]]="Income"))</f>
        <v>2731.3300000000004</v>
      </c>
      <c r="I40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45499</v>
      </c>
    </row>
    <row r="406" spans="3:9" x14ac:dyDescent="0.3">
      <c r="C406" s="112">
        <v>45500</v>
      </c>
      <c r="D406" t="s">
        <v>9</v>
      </c>
      <c r="E406" t="s">
        <v>26</v>
      </c>
      <c r="F406" s="114">
        <v>33.1</v>
      </c>
      <c r="G406"/>
      <c r="H406" s="130" cm="1">
        <f t="array" ref="H406">SUMPRODUCT(Tracking[Amount], -- (Tracking[[Date ]]&lt;= Tracking[[#This Row],[Date ]]), (Tracking[[Type ]]&lt;&gt;"Income")*(-1) + (Tracking[[Type ]]="Income"))</f>
        <v>2698.2300000000005</v>
      </c>
      <c r="I40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45500</v>
      </c>
    </row>
    <row r="407" spans="3:9" x14ac:dyDescent="0.3">
      <c r="C407" s="112">
        <v>45501</v>
      </c>
      <c r="D407" t="s">
        <v>9</v>
      </c>
      <c r="E407" t="s">
        <v>26</v>
      </c>
      <c r="F407" s="114">
        <v>15</v>
      </c>
      <c r="G407"/>
      <c r="H407" s="130" cm="1">
        <f t="array" ref="H407">SUMPRODUCT(Tracking[Amount], -- (Tracking[[Date ]]&lt;= Tracking[[#This Row],[Date ]]), (Tracking[[Type ]]&lt;&gt;"Income")*(-1) + (Tracking[[Type ]]="Income"))</f>
        <v>2683.2300000000005</v>
      </c>
      <c r="I40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45501</v>
      </c>
    </row>
    <row r="408" spans="3:9" x14ac:dyDescent="0.3">
      <c r="C408" s="112">
        <v>45502</v>
      </c>
      <c r="D408" t="s">
        <v>9</v>
      </c>
      <c r="E408" t="s">
        <v>20</v>
      </c>
      <c r="F408" s="114">
        <v>8.67</v>
      </c>
      <c r="G408"/>
      <c r="H408" s="130" cm="1">
        <f t="array" ref="H408">SUMPRODUCT(Tracking[Amount], -- (Tracking[[Date ]]&lt;= Tracking[[#This Row],[Date ]]), (Tracking[[Type ]]&lt;&gt;"Income")*(-1) + (Tracking[[Type ]]="Income"))</f>
        <v>2674.5600000000004</v>
      </c>
      <c r="I40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45502</v>
      </c>
    </row>
    <row r="409" spans="3:9" x14ac:dyDescent="0.3">
      <c r="C409" s="112">
        <v>45503</v>
      </c>
      <c r="D409" t="s">
        <v>9</v>
      </c>
      <c r="E409" t="s">
        <v>25</v>
      </c>
      <c r="F409" s="114">
        <v>13</v>
      </c>
      <c r="G409"/>
      <c r="H409" s="130" cm="1">
        <f t="array" ref="H409">SUMPRODUCT(Tracking[Amount], -- (Tracking[[Date ]]&lt;= Tracking[[#This Row],[Date ]]), (Tracking[[Type ]]&lt;&gt;"Income")*(-1) + (Tracking[[Type ]]="Income"))</f>
        <v>2620.5600000000004</v>
      </c>
      <c r="I40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45503</v>
      </c>
    </row>
    <row r="410" spans="3:9" x14ac:dyDescent="0.3">
      <c r="C410" s="112">
        <v>45504</v>
      </c>
      <c r="D410" t="s">
        <v>9</v>
      </c>
      <c r="E410" t="s">
        <v>22</v>
      </c>
      <c r="F410" s="114">
        <v>9.6</v>
      </c>
      <c r="G410"/>
      <c r="H410" s="130" cm="1">
        <f t="array" ref="H410">SUMPRODUCT(Tracking[Amount], -- (Tracking[[Date ]]&lt;= Tracking[[#This Row],[Date ]]), (Tracking[[Type ]]&lt;&gt;"Income")*(-1) + (Tracking[[Type ]]="Income"))</f>
        <v>2610.9600000000005</v>
      </c>
      <c r="I41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45504</v>
      </c>
    </row>
    <row r="411" spans="3:9" x14ac:dyDescent="0.3">
      <c r="C411" s="112">
        <v>45505</v>
      </c>
      <c r="D411" t="s">
        <v>6</v>
      </c>
      <c r="E411" t="s">
        <v>19</v>
      </c>
      <c r="F411" s="114">
        <v>1061</v>
      </c>
      <c r="G411"/>
      <c r="H411" s="130" cm="1">
        <f t="array" ref="H411">SUMPRODUCT(Tracking[Amount], -- (Tracking[[Date ]]&lt;= Tracking[[#This Row],[Date ]]), (Tracking[[Type ]]&lt;&gt;"Income")*(-1) + (Tracking[[Type ]]="Income"))</f>
        <v>3217.7600000000007</v>
      </c>
      <c r="I41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45505</v>
      </c>
    </row>
    <row r="412" spans="3:9" x14ac:dyDescent="0.3">
      <c r="C412" s="112">
        <v>45505</v>
      </c>
      <c r="D412" t="s">
        <v>9</v>
      </c>
      <c r="E412" t="s">
        <v>121</v>
      </c>
      <c r="F412" s="114">
        <v>3.2</v>
      </c>
      <c r="G412"/>
      <c r="H412" s="130" cm="1">
        <f t="array" ref="H412">SUMPRODUCT(Tracking[Amount], -- (Tracking[[Date ]]&lt;= Tracking[[#This Row],[Date ]]), (Tracking[[Type ]]&lt;&gt;"Income")*(-1) + (Tracking[[Type ]]="Income"))</f>
        <v>3217.7600000000007</v>
      </c>
      <c r="I41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45505</v>
      </c>
    </row>
    <row r="413" spans="3:9" x14ac:dyDescent="0.3">
      <c r="C413" s="112">
        <v>45505</v>
      </c>
      <c r="D413" t="s">
        <v>9</v>
      </c>
      <c r="E413" t="s">
        <v>131</v>
      </c>
      <c r="F413" s="114">
        <v>400</v>
      </c>
      <c r="G413"/>
      <c r="H413" s="130" cm="1">
        <f t="array" ref="H413">SUMPRODUCT(Tracking[Amount], -- (Tracking[[Date ]]&lt;= Tracking[[#This Row],[Date ]]), (Tracking[[Type ]]&lt;&gt;"Income")*(-1) + (Tracking[[Type ]]="Income"))</f>
        <v>3217.7600000000007</v>
      </c>
      <c r="I41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45505</v>
      </c>
    </row>
    <row r="414" spans="3:9" x14ac:dyDescent="0.3">
      <c r="C414" s="112">
        <v>45507</v>
      </c>
      <c r="D414" t="s">
        <v>9</v>
      </c>
      <c r="E414" t="s">
        <v>121</v>
      </c>
      <c r="F414" s="114">
        <v>5.7</v>
      </c>
      <c r="G414"/>
      <c r="H414" s="130" cm="1">
        <f t="array" ref="H414">SUMPRODUCT(Tracking[Amount], -- (Tracking[[Date ]]&lt;= Tracking[[#This Row],[Date ]]), (Tracking[[Type ]]&lt;&gt;"Income")*(-1) + (Tracking[[Type ]]="Income"))</f>
        <v>3212.0600000000009</v>
      </c>
      <c r="I41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45507</v>
      </c>
    </row>
    <row r="415" spans="3:9" x14ac:dyDescent="0.3">
      <c r="C415" s="112">
        <v>45505</v>
      </c>
      <c r="D415" t="s">
        <v>9</v>
      </c>
      <c r="E415" t="s">
        <v>116</v>
      </c>
      <c r="F415" s="114">
        <v>5</v>
      </c>
      <c r="G415" t="s">
        <v>166</v>
      </c>
      <c r="H415" s="130" cm="1">
        <f t="array" ref="H415">SUMPRODUCT(Tracking[Amount], -- (Tracking[[Date ]]&lt;= Tracking[[#This Row],[Date ]]), (Tracking[[Type ]]&lt;&gt;"Income")*(-1) + (Tracking[[Type ]]="Income"))</f>
        <v>3217.7600000000007</v>
      </c>
      <c r="I41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45505</v>
      </c>
    </row>
    <row r="416" spans="3:9" x14ac:dyDescent="0.3">
      <c r="C416" s="112">
        <v>45509</v>
      </c>
      <c r="D416" t="s">
        <v>9</v>
      </c>
      <c r="E416" t="s">
        <v>20</v>
      </c>
      <c r="F416" s="114">
        <v>10.96</v>
      </c>
      <c r="G416"/>
      <c r="H416" s="130" cm="1">
        <f t="array" ref="H416">SUMPRODUCT(Tracking[Amount], -- (Tracking[[Date ]]&lt;= Tracking[[#This Row],[Date ]]), (Tracking[[Type ]]&lt;&gt;"Income")*(-1) + (Tracking[[Type ]]="Income"))</f>
        <v>3188.900000000001</v>
      </c>
      <c r="I41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45509</v>
      </c>
    </row>
    <row r="417" spans="3:9" x14ac:dyDescent="0.3">
      <c r="C417" s="112">
        <v>45509</v>
      </c>
      <c r="D417" t="s">
        <v>9</v>
      </c>
      <c r="E417" t="s">
        <v>116</v>
      </c>
      <c r="F417" s="114">
        <v>12.2</v>
      </c>
      <c r="G417"/>
      <c r="H417" s="130" cm="1">
        <f t="array" ref="H417">SUMPRODUCT(Tracking[Amount], -- (Tracking[[Date ]]&lt;= Tracking[[#This Row],[Date ]]), (Tracking[[Type ]]&lt;&gt;"Income")*(-1) + (Tracking[[Type ]]="Income"))</f>
        <v>3188.900000000001</v>
      </c>
      <c r="I41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45509</v>
      </c>
    </row>
    <row r="418" spans="3:9" x14ac:dyDescent="0.3">
      <c r="C418" s="112">
        <v>45512</v>
      </c>
      <c r="D418" t="s">
        <v>9</v>
      </c>
      <c r="E418" t="s">
        <v>143</v>
      </c>
      <c r="F418" s="114">
        <v>14</v>
      </c>
      <c r="G418"/>
      <c r="H418" s="130" cm="1">
        <f t="array" ref="H418">SUMPRODUCT(Tracking[Amount], -- (Tracking[[Date ]]&lt;= Tracking[[#This Row],[Date ]]), (Tracking[[Type ]]&lt;&gt;"Income")*(-1) + (Tracking[[Type ]]="Income"))</f>
        <v>3128.400000000001</v>
      </c>
      <c r="I41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45512</v>
      </c>
    </row>
    <row r="419" spans="3:9" x14ac:dyDescent="0.3">
      <c r="C419" s="112">
        <v>45512</v>
      </c>
      <c r="D419" t="s">
        <v>9</v>
      </c>
      <c r="E419" t="s">
        <v>116</v>
      </c>
      <c r="F419" s="114">
        <v>46.5</v>
      </c>
      <c r="G419" t="s">
        <v>126</v>
      </c>
      <c r="H419" s="130" cm="1">
        <f t="array" ref="H419">SUMPRODUCT(Tracking[Amount], -- (Tracking[[Date ]]&lt;= Tracking[[#This Row],[Date ]]), (Tracking[[Type ]]&lt;&gt;"Income")*(-1) + (Tracking[[Type ]]="Income"))</f>
        <v>3128.400000000001</v>
      </c>
      <c r="I41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45512</v>
      </c>
    </row>
    <row r="420" spans="3:9" x14ac:dyDescent="0.3">
      <c r="C420" s="112">
        <v>45515</v>
      </c>
      <c r="D420" t="s">
        <v>9</v>
      </c>
      <c r="E420" t="s">
        <v>26</v>
      </c>
      <c r="F420" s="114">
        <v>12</v>
      </c>
      <c r="G420"/>
      <c r="H420" s="130" cm="1">
        <f t="array" ref="H420">SUMPRODUCT(Tracking[Amount], -- (Tracking[[Date ]]&lt;= Tracking[[#This Row],[Date ]]), (Tracking[[Type ]]&lt;&gt;"Income")*(-1) + (Tracking[[Type ]]="Income"))</f>
        <v>3116.400000000001</v>
      </c>
      <c r="I42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45515</v>
      </c>
    </row>
    <row r="421" spans="3:9" x14ac:dyDescent="0.3">
      <c r="C421" s="112">
        <v>45523</v>
      </c>
      <c r="D421" t="s">
        <v>9</v>
      </c>
      <c r="E421" t="s">
        <v>116</v>
      </c>
      <c r="F421" s="114">
        <v>179</v>
      </c>
      <c r="G421" t="s">
        <v>170</v>
      </c>
      <c r="H421" s="130" cm="1">
        <f t="array" ref="H421">SUMPRODUCT(Tracking[Amount], -- (Tracking[[Date ]]&lt;= Tracking[[#This Row],[Date ]]), (Tracking[[Type ]]&lt;&gt;"Income")*(-1) + (Tracking[[Type ]]="Income"))</f>
        <v>2903.440000000001</v>
      </c>
      <c r="I42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45523</v>
      </c>
    </row>
    <row r="422" spans="3:9" x14ac:dyDescent="0.3">
      <c r="C422" s="112">
        <v>45523</v>
      </c>
      <c r="D422" t="s">
        <v>9</v>
      </c>
      <c r="E422" t="s">
        <v>26</v>
      </c>
      <c r="F422" s="114">
        <v>15.25</v>
      </c>
      <c r="G422"/>
      <c r="H422" s="130" cm="1">
        <f t="array" ref="H422">SUMPRODUCT(Tracking[Amount], -- (Tracking[[Date ]]&lt;= Tracking[[#This Row],[Date ]]), (Tracking[[Type ]]&lt;&gt;"Income")*(-1) + (Tracking[[Type ]]="Income"))</f>
        <v>2903.440000000001</v>
      </c>
      <c r="I42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45523</v>
      </c>
    </row>
    <row r="423" spans="3:9" x14ac:dyDescent="0.3">
      <c r="C423" s="112">
        <v>45523</v>
      </c>
      <c r="D423" t="s">
        <v>9</v>
      </c>
      <c r="E423" t="s">
        <v>116</v>
      </c>
      <c r="F423" s="114">
        <v>10.3</v>
      </c>
      <c r="G423" t="s">
        <v>171</v>
      </c>
      <c r="H423" s="130" cm="1">
        <f t="array" ref="H423">SUMPRODUCT(Tracking[Amount], -- (Tracking[[Date ]]&lt;= Tracking[[#This Row],[Date ]]), (Tracking[[Type ]]&lt;&gt;"Income")*(-1) + (Tracking[[Type ]]="Income"))</f>
        <v>2903.440000000001</v>
      </c>
      <c r="I42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45523</v>
      </c>
    </row>
    <row r="424" spans="3:9" x14ac:dyDescent="0.3">
      <c r="C424" s="112">
        <v>45523</v>
      </c>
      <c r="D424" t="s">
        <v>9</v>
      </c>
      <c r="E424" t="s">
        <v>20</v>
      </c>
      <c r="F424" s="114">
        <v>8.41</v>
      </c>
      <c r="G424"/>
      <c r="H424" s="130" cm="1">
        <f t="array" ref="H424">SUMPRODUCT(Tracking[Amount], -- (Tracking[[Date ]]&lt;= Tracking[[#This Row],[Date ]]), (Tracking[[Type ]]&lt;&gt;"Income")*(-1) + (Tracking[[Type ]]="Income"))</f>
        <v>2903.440000000001</v>
      </c>
      <c r="I42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45523</v>
      </c>
    </row>
    <row r="425" spans="3:9" x14ac:dyDescent="0.3">
      <c r="C425" s="112">
        <v>45524</v>
      </c>
      <c r="D425" t="s">
        <v>9</v>
      </c>
      <c r="E425" t="s">
        <v>116</v>
      </c>
      <c r="F425" s="114">
        <v>10</v>
      </c>
      <c r="G425"/>
      <c r="H425" s="130" cm="1">
        <f t="array" ref="H425">SUMPRODUCT(Tracking[Amount], -- (Tracking[[Date ]]&lt;= Tracking[[#This Row],[Date ]]), (Tracking[[Type ]]&lt;&gt;"Income")*(-1) + (Tracking[[Type ]]="Income"))</f>
        <v>2893.440000000001</v>
      </c>
      <c r="I42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45524</v>
      </c>
    </row>
    <row r="426" spans="3:9" x14ac:dyDescent="0.3">
      <c r="C426" s="112">
        <v>45525</v>
      </c>
      <c r="D426" t="s">
        <v>9</v>
      </c>
      <c r="E426" t="s">
        <v>26</v>
      </c>
      <c r="F426" s="114">
        <v>5</v>
      </c>
      <c r="G426"/>
      <c r="H426" s="130" cm="1">
        <f t="array" ref="H426">SUMPRODUCT(Tracking[Amount], -- (Tracking[[Date ]]&lt;= Tracking[[#This Row],[Date ]]), (Tracking[[Type ]]&lt;&gt;"Income")*(-1) + (Tracking[[Type ]]="Income"))</f>
        <v>2888.440000000001</v>
      </c>
      <c r="I42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45525</v>
      </c>
    </row>
    <row r="427" spans="3:9" x14ac:dyDescent="0.3">
      <c r="C427" s="112">
        <v>45503</v>
      </c>
      <c r="D427" t="s">
        <v>9</v>
      </c>
      <c r="E427" t="s">
        <v>21</v>
      </c>
      <c r="F427" s="114">
        <v>41</v>
      </c>
      <c r="G427"/>
      <c r="H427" s="130" cm="1">
        <f t="array" ref="H427">SUMPRODUCT(Tracking[Amount], -- (Tracking[[Date ]]&lt;= Tracking[[#This Row],[Date ]]), (Tracking[[Type ]]&lt;&gt;"Income")*(-1) + (Tracking[[Type ]]="Income"))</f>
        <v>2620.5600000000004</v>
      </c>
      <c r="I42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45503</v>
      </c>
    </row>
    <row r="428" spans="3:9" x14ac:dyDescent="0.3">
      <c r="C428" s="112">
        <v>45527</v>
      </c>
      <c r="D428" t="s">
        <v>9</v>
      </c>
      <c r="E428" t="s">
        <v>116</v>
      </c>
      <c r="F428" s="114">
        <v>33.25</v>
      </c>
      <c r="G428"/>
      <c r="H428" s="130" cm="1">
        <f t="array" ref="H428">SUMPRODUCT(Tracking[Amount], -- (Tracking[[Date ]]&lt;= Tracking[[#This Row],[Date ]]), (Tracking[[Type ]]&lt;&gt;"Income")*(-1) + (Tracking[[Type ]]="Income"))</f>
        <v>2831.8900000000008</v>
      </c>
      <c r="I42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45527</v>
      </c>
    </row>
    <row r="429" spans="3:9" x14ac:dyDescent="0.3">
      <c r="C429" s="112">
        <v>45527</v>
      </c>
      <c r="D429" t="s">
        <v>9</v>
      </c>
      <c r="E429" t="s">
        <v>116</v>
      </c>
      <c r="F429" s="114">
        <v>23.3</v>
      </c>
      <c r="G429" t="s">
        <v>126</v>
      </c>
      <c r="H429" s="130" cm="1">
        <f t="array" ref="H429">SUMPRODUCT(Tracking[Amount], -- (Tracking[[Date ]]&lt;= Tracking[[#This Row],[Date ]]), (Tracking[[Type ]]&lt;&gt;"Income")*(-1) + (Tracking[[Type ]]="Income"))</f>
        <v>2831.8900000000008</v>
      </c>
      <c r="I42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45527</v>
      </c>
    </row>
    <row r="430" spans="3:9" x14ac:dyDescent="0.3">
      <c r="C430" s="112">
        <v>45528</v>
      </c>
      <c r="D430" t="s">
        <v>9</v>
      </c>
      <c r="E430" t="s">
        <v>116</v>
      </c>
      <c r="F430" s="114">
        <v>13.5</v>
      </c>
      <c r="G430" t="s">
        <v>159</v>
      </c>
      <c r="H430" s="130" cm="1">
        <f t="array" ref="H430">SUMPRODUCT(Tracking[Amount], -- (Tracking[[Date ]]&lt;= Tracking[[#This Row],[Date ]]), (Tracking[[Type ]]&lt;&gt;"Income")*(-1) + (Tracking[[Type ]]="Income"))</f>
        <v>2818.3900000000008</v>
      </c>
      <c r="I43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45528</v>
      </c>
    </row>
    <row r="431" spans="3:9" x14ac:dyDescent="0.3">
      <c r="C431" s="112">
        <v>45529</v>
      </c>
      <c r="D431" t="s">
        <v>9</v>
      </c>
      <c r="E431" t="s">
        <v>20</v>
      </c>
      <c r="F431" s="114">
        <v>34.6</v>
      </c>
      <c r="G431"/>
      <c r="H431" s="130" cm="1">
        <f t="array" ref="H431">SUMPRODUCT(Tracking[Amount], -- (Tracking[[Date ]]&lt;= Tracking[[#This Row],[Date ]]), (Tracking[[Type ]]&lt;&gt;"Income")*(-1) + (Tracking[[Type ]]="Income"))</f>
        <v>2771.2900000000009</v>
      </c>
      <c r="I43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45529</v>
      </c>
    </row>
    <row r="432" spans="3:9" x14ac:dyDescent="0.3">
      <c r="C432" s="112">
        <v>45529</v>
      </c>
      <c r="D432" t="s">
        <v>9</v>
      </c>
      <c r="E432" t="s">
        <v>26</v>
      </c>
      <c r="F432" s="114">
        <v>12.5</v>
      </c>
      <c r="G432"/>
      <c r="H432" s="130" cm="1">
        <f t="array" ref="H432">SUMPRODUCT(Tracking[Amount], -- (Tracking[[Date ]]&lt;= Tracking[[#This Row],[Date ]]), (Tracking[[Type ]]&lt;&gt;"Income")*(-1) + (Tracking[[Type ]]="Income"))</f>
        <v>2771.2900000000009</v>
      </c>
      <c r="I43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45529</v>
      </c>
    </row>
    <row r="433" spans="3:9" x14ac:dyDescent="0.3">
      <c r="C433" s="112">
        <v>45536</v>
      </c>
      <c r="D433" t="s">
        <v>6</v>
      </c>
      <c r="E433" t="s">
        <v>19</v>
      </c>
      <c r="F433" s="114">
        <v>1151.6099999999999</v>
      </c>
      <c r="G433"/>
      <c r="H433" s="130" cm="1">
        <f t="array" ref="H433">SUMPRODUCT(Tracking[Amount], -- (Tracking[[Date ]]&lt;= Tracking[[#This Row],[Date ]]), (Tracking[[Type ]]&lt;&gt;"Income")*(-1) + (Tracking[[Type ]]="Income"))</f>
        <v>3479.4000000000005</v>
      </c>
      <c r="I43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45536</v>
      </c>
    </row>
    <row r="434" spans="3:9" x14ac:dyDescent="0.3">
      <c r="C434" s="112">
        <v>45534</v>
      </c>
      <c r="D434" t="s">
        <v>9</v>
      </c>
      <c r="E434" t="s">
        <v>26</v>
      </c>
      <c r="F434" s="114">
        <v>8</v>
      </c>
      <c r="G434"/>
      <c r="H434" s="130" cm="1">
        <f t="array" ref="H434">SUMPRODUCT(Tracking[Amount], -- (Tracking[[Date ]]&lt;= Tracking[[#This Row],[Date ]]), (Tracking[[Type ]]&lt;&gt;"Income")*(-1) + (Tracking[[Type ]]="Income"))</f>
        <v>2763.2900000000009</v>
      </c>
      <c r="I43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45534</v>
      </c>
    </row>
    <row r="435" spans="3:9" x14ac:dyDescent="0.3">
      <c r="C435" s="112">
        <v>45535</v>
      </c>
      <c r="D435" t="s">
        <v>9</v>
      </c>
      <c r="E435" t="s">
        <v>26</v>
      </c>
      <c r="F435" s="114">
        <v>8</v>
      </c>
      <c r="G435"/>
      <c r="H435" s="130" cm="1">
        <f t="array" ref="H435">SUMPRODUCT(Tracking[Amount], -- (Tracking[[Date ]]&lt;= Tracking[[#This Row],[Date ]]), (Tracking[[Type ]]&lt;&gt;"Income")*(-1) + (Tracking[[Type ]]="Income"))</f>
        <v>2727.7900000000009</v>
      </c>
      <c r="I43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45535</v>
      </c>
    </row>
    <row r="436" spans="3:9" x14ac:dyDescent="0.3">
      <c r="C436" s="112">
        <v>45535</v>
      </c>
      <c r="D436" t="s">
        <v>9</v>
      </c>
      <c r="E436" t="s">
        <v>26</v>
      </c>
      <c r="F436" s="114">
        <v>27.5</v>
      </c>
      <c r="G436"/>
      <c r="H436" s="130" cm="1">
        <f t="array" ref="H436">SUMPRODUCT(Tracking[Amount], -- (Tracking[[Date ]]&lt;= Tracking[[#This Row],[Date ]]), (Tracking[[Type ]]&lt;&gt;"Income")*(-1) + (Tracking[[Type ]]="Income"))</f>
        <v>2727.7900000000009</v>
      </c>
      <c r="I43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45535</v>
      </c>
    </row>
    <row r="437" spans="3:9" x14ac:dyDescent="0.3">
      <c r="C437" s="112">
        <v>45536</v>
      </c>
      <c r="D437" t="s">
        <v>9</v>
      </c>
      <c r="E437" t="s">
        <v>131</v>
      </c>
      <c r="F437" s="114">
        <v>400</v>
      </c>
      <c r="G437"/>
      <c r="H437" s="130" cm="1">
        <f t="array" ref="H437">SUMPRODUCT(Tracking[Amount], -- (Tracking[[Date ]]&lt;= Tracking[[#This Row],[Date ]]), (Tracking[[Type ]]&lt;&gt;"Income")*(-1) + (Tracking[[Type ]]="Income"))</f>
        <v>3479.4000000000005</v>
      </c>
      <c r="I43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45536</v>
      </c>
    </row>
    <row r="438" spans="3:9" x14ac:dyDescent="0.3">
      <c r="C438" s="112">
        <v>45538</v>
      </c>
      <c r="D438" t="s">
        <v>9</v>
      </c>
      <c r="E438" t="s">
        <v>121</v>
      </c>
      <c r="F438" s="114">
        <v>3</v>
      </c>
      <c r="G438"/>
      <c r="H438" s="130" cm="1">
        <f t="array" ref="H438">SUMPRODUCT(Tracking[Amount], -- (Tracking[[Date ]]&lt;= Tracking[[#This Row],[Date ]]), (Tracking[[Type ]]&lt;&gt;"Income")*(-1) + (Tracking[[Type ]]="Income"))</f>
        <v>3471.4000000000005</v>
      </c>
      <c r="I43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45538</v>
      </c>
    </row>
    <row r="439" spans="3:9" x14ac:dyDescent="0.3">
      <c r="C439" s="112">
        <v>45538</v>
      </c>
      <c r="D439" t="s">
        <v>9</v>
      </c>
      <c r="E439" t="s">
        <v>116</v>
      </c>
      <c r="F439" s="114">
        <v>5</v>
      </c>
      <c r="G439" t="s">
        <v>166</v>
      </c>
      <c r="H439" s="130" cm="1">
        <f t="array" ref="H439">SUMPRODUCT(Tracking[Amount], -- (Tracking[[Date ]]&lt;= Tracking[[#This Row],[Date ]]), (Tracking[[Type ]]&lt;&gt;"Income")*(-1) + (Tracking[[Type ]]="Income"))</f>
        <v>3471.4000000000005</v>
      </c>
      <c r="I43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45538</v>
      </c>
    </row>
    <row r="440" spans="3:9" x14ac:dyDescent="0.3">
      <c r="C440" s="112">
        <v>45540</v>
      </c>
      <c r="D440" t="s">
        <v>9</v>
      </c>
      <c r="E440" t="s">
        <v>116</v>
      </c>
      <c r="F440" s="114">
        <v>4</v>
      </c>
      <c r="G440"/>
      <c r="H440" s="130" cm="1">
        <f t="array" ref="H440">SUMPRODUCT(Tracking[Amount], -- (Tracking[[Date ]]&lt;= Tracking[[#This Row],[Date ]]), (Tracking[[Type ]]&lt;&gt;"Income")*(-1) + (Tracking[[Type ]]="Income"))</f>
        <v>3434.4000000000005</v>
      </c>
      <c r="I44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45540</v>
      </c>
    </row>
    <row r="441" spans="3:9" x14ac:dyDescent="0.3">
      <c r="C441" s="112">
        <v>45540</v>
      </c>
      <c r="D441" t="s">
        <v>9</v>
      </c>
      <c r="E441" t="s">
        <v>20</v>
      </c>
      <c r="F441" s="114">
        <v>19.5</v>
      </c>
      <c r="G441"/>
      <c r="H441" s="130" cm="1">
        <f t="array" ref="H441">SUMPRODUCT(Tracking[Amount], -- (Tracking[[Date ]]&lt;= Tracking[[#This Row],[Date ]]), (Tracking[[Type ]]&lt;&gt;"Income")*(-1) + (Tracking[[Type ]]="Income"))</f>
        <v>3434.4000000000005</v>
      </c>
      <c r="I44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45540</v>
      </c>
    </row>
    <row r="442" spans="3:9" x14ac:dyDescent="0.3">
      <c r="C442" s="112">
        <v>45539</v>
      </c>
      <c r="D442" t="s">
        <v>9</v>
      </c>
      <c r="E442" t="s">
        <v>121</v>
      </c>
      <c r="F442" s="114">
        <v>13.5</v>
      </c>
      <c r="G442"/>
      <c r="H442" s="130" cm="1">
        <f t="array" ref="H442">SUMPRODUCT(Tracking[Amount], -- (Tracking[[Date ]]&lt;= Tracking[[#This Row],[Date ]]), (Tracking[[Type ]]&lt;&gt;"Income")*(-1) + (Tracking[[Type ]]="Income"))</f>
        <v>3457.9000000000005</v>
      </c>
      <c r="I44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45539</v>
      </c>
    </row>
    <row r="443" spans="3:9" x14ac:dyDescent="0.3">
      <c r="C443" s="112">
        <v>45542</v>
      </c>
      <c r="D443" t="s">
        <v>9</v>
      </c>
      <c r="E443" t="s">
        <v>26</v>
      </c>
      <c r="F443" s="114">
        <v>16.3</v>
      </c>
      <c r="G443"/>
      <c r="H443" s="130" cm="1">
        <f t="array" ref="H443">SUMPRODUCT(Tracking[Amount], -- (Tracking[[Date ]]&lt;= Tracking[[#This Row],[Date ]]), (Tracking[[Type ]]&lt;&gt;"Income")*(-1) + (Tracking[[Type ]]="Income"))</f>
        <v>3405.1000000000004</v>
      </c>
      <c r="I44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45542</v>
      </c>
    </row>
    <row r="444" spans="3:9" x14ac:dyDescent="0.3">
      <c r="C444" s="112">
        <v>45542</v>
      </c>
      <c r="D444" t="s">
        <v>9</v>
      </c>
      <c r="E444" t="s">
        <v>25</v>
      </c>
      <c r="F444" s="114">
        <v>13</v>
      </c>
      <c r="G444"/>
      <c r="H444" s="130" cm="1">
        <f t="array" ref="H444">SUMPRODUCT(Tracking[Amount], -- (Tracking[[Date ]]&lt;= Tracking[[#This Row],[Date ]]), (Tracking[[Type ]]&lt;&gt;"Income")*(-1) + (Tracking[[Type ]]="Income"))</f>
        <v>3405.1000000000004</v>
      </c>
      <c r="I44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45542</v>
      </c>
    </row>
    <row r="445" spans="3:9" x14ac:dyDescent="0.3">
      <c r="C445" s="112">
        <v>45544</v>
      </c>
      <c r="D445" t="s">
        <v>9</v>
      </c>
      <c r="E445" t="s">
        <v>20</v>
      </c>
      <c r="F445" s="114">
        <v>34.56</v>
      </c>
      <c r="G445"/>
      <c r="H445" s="130" cm="1">
        <f t="array" ref="H445">SUMPRODUCT(Tracking[Amount], -- (Tracking[[Date ]]&lt;= Tracking[[#This Row],[Date ]]), (Tracking[[Type ]]&lt;&gt;"Income")*(-1) + (Tracking[[Type ]]="Income"))</f>
        <v>3348.8400000000006</v>
      </c>
      <c r="I44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45544</v>
      </c>
    </row>
    <row r="446" spans="3:9" x14ac:dyDescent="0.3">
      <c r="C446" s="112">
        <v>45543</v>
      </c>
      <c r="D446" t="s">
        <v>9</v>
      </c>
      <c r="E446" t="s">
        <v>121</v>
      </c>
      <c r="F446" s="114">
        <v>17.2</v>
      </c>
      <c r="G446"/>
      <c r="H446" s="130" cm="1">
        <f t="array" ref="H446">SUMPRODUCT(Tracking[Amount], -- (Tracking[[Date ]]&lt;= Tracking[[#This Row],[Date ]]), (Tracking[[Type ]]&lt;&gt;"Income")*(-1) + (Tracking[[Type ]]="Income"))</f>
        <v>3387.9000000000005</v>
      </c>
      <c r="I44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45543</v>
      </c>
    </row>
    <row r="447" spans="3:9" x14ac:dyDescent="0.3">
      <c r="C447" s="112">
        <v>45546</v>
      </c>
      <c r="D447" t="s">
        <v>9</v>
      </c>
      <c r="E447" t="s">
        <v>116</v>
      </c>
      <c r="F447" s="114">
        <v>4.4000000000000004</v>
      </c>
      <c r="G447"/>
      <c r="H447" s="130" cm="1">
        <f t="array" ref="H447">SUMPRODUCT(Tracking[Amount], -- (Tracking[[Date ]]&lt;= Tracking[[#This Row],[Date ]]), (Tracking[[Type ]]&lt;&gt;"Income")*(-1) + (Tracking[[Type ]]="Income"))</f>
        <v>3344.4400000000005</v>
      </c>
      <c r="I44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45546</v>
      </c>
    </row>
    <row r="448" spans="3:9" x14ac:dyDescent="0.3">
      <c r="C448" s="112">
        <v>45544</v>
      </c>
      <c r="D448" t="s">
        <v>9</v>
      </c>
      <c r="E448" t="s">
        <v>26</v>
      </c>
      <c r="F448" s="114">
        <v>4.5</v>
      </c>
      <c r="G448"/>
      <c r="H448" s="130" cm="1">
        <f t="array" ref="H448">SUMPRODUCT(Tracking[Amount], -- (Tracking[[Date ]]&lt;= Tracking[[#This Row],[Date ]]), (Tracking[[Type ]]&lt;&gt;"Income")*(-1) + (Tracking[[Type ]]="Income"))</f>
        <v>3348.8400000000006</v>
      </c>
      <c r="I44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45544</v>
      </c>
    </row>
    <row r="449" spans="3:9" x14ac:dyDescent="0.3">
      <c r="C449" s="112">
        <v>45505</v>
      </c>
      <c r="D449" t="s">
        <v>9</v>
      </c>
      <c r="E449" t="s">
        <v>21</v>
      </c>
      <c r="F449" s="114">
        <v>46</v>
      </c>
      <c r="G449"/>
      <c r="H449" s="130" cm="1">
        <f t="array" ref="H449">SUMPRODUCT(Tracking[Amount], -- (Tracking[[Date ]]&lt;= Tracking[[#This Row],[Date ]]), (Tracking[[Type ]]&lt;&gt;"Income")*(-1) + (Tracking[[Type ]]="Income"))</f>
        <v>3217.7600000000007</v>
      </c>
      <c r="I44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45505</v>
      </c>
    </row>
    <row r="450" spans="3:9" x14ac:dyDescent="0.3">
      <c r="C450" s="112">
        <v>45549</v>
      </c>
      <c r="D450" t="s">
        <v>9</v>
      </c>
      <c r="E450" t="s">
        <v>26</v>
      </c>
      <c r="F450" s="114">
        <v>18</v>
      </c>
      <c r="G450"/>
      <c r="H450" s="130" cm="1">
        <f t="array" ref="H450">SUMPRODUCT(Tracking[Amount], -- (Tracking[[Date ]]&lt;= Tracking[[#This Row],[Date ]]), (Tracking[[Type ]]&lt;&gt;"Income")*(-1) + (Tracking[[Type ]]="Income"))</f>
        <v>3326.4400000000005</v>
      </c>
      <c r="I45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45549</v>
      </c>
    </row>
    <row r="451" spans="3:9" x14ac:dyDescent="0.3">
      <c r="C451" s="112">
        <v>45552</v>
      </c>
      <c r="D451" t="s">
        <v>9</v>
      </c>
      <c r="E451" t="s">
        <v>20</v>
      </c>
      <c r="F451" s="114">
        <v>10.5</v>
      </c>
      <c r="G451"/>
      <c r="H451" s="130" cm="1">
        <f t="array" ref="H451">SUMPRODUCT(Tracking[Amount], -- (Tracking[[Date ]]&lt;= Tracking[[#This Row],[Date ]]), (Tracking[[Type ]]&lt;&gt;"Income")*(-1) + (Tracking[[Type ]]="Income"))</f>
        <v>3315.9400000000005</v>
      </c>
      <c r="I45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45552</v>
      </c>
    </row>
    <row r="452" spans="3:9" x14ac:dyDescent="0.3">
      <c r="C452" s="112">
        <v>45554</v>
      </c>
      <c r="D452" t="s">
        <v>9</v>
      </c>
      <c r="E452" t="s">
        <v>143</v>
      </c>
      <c r="F452" s="114">
        <v>14</v>
      </c>
      <c r="G452"/>
      <c r="H452" s="130" cm="1">
        <f t="array" ref="H452">SUMPRODUCT(Tracking[Amount], -- (Tracking[[Date ]]&lt;= Tracking[[#This Row],[Date ]]), (Tracking[[Type ]]&lt;&gt;"Income")*(-1) + (Tracking[[Type ]]="Income"))</f>
        <v>3301.9400000000005</v>
      </c>
      <c r="I45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45554</v>
      </c>
    </row>
    <row r="453" spans="3:9" x14ac:dyDescent="0.3">
      <c r="C453" s="112">
        <v>45555</v>
      </c>
      <c r="D453" t="s">
        <v>9</v>
      </c>
      <c r="E453" t="s">
        <v>116</v>
      </c>
      <c r="F453" s="114">
        <v>38</v>
      </c>
      <c r="G453"/>
      <c r="H453" s="130" cm="1">
        <f t="array" ref="H453">SUMPRODUCT(Tracking[Amount], -- (Tracking[[Date ]]&lt;= Tracking[[#This Row],[Date ]]), (Tracking[[Type ]]&lt;&gt;"Income")*(-1) + (Tracking[[Type ]]="Income"))</f>
        <v>3242.4400000000005</v>
      </c>
      <c r="I45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45555</v>
      </c>
    </row>
    <row r="454" spans="3:9" x14ac:dyDescent="0.3">
      <c r="C454" s="112">
        <v>45555</v>
      </c>
      <c r="D454" t="s">
        <v>9</v>
      </c>
      <c r="E454" t="s">
        <v>26</v>
      </c>
      <c r="F454" s="114">
        <v>21.5</v>
      </c>
      <c r="G454"/>
      <c r="H454" s="130" cm="1">
        <f t="array" ref="H454">SUMPRODUCT(Tracking[Amount], -- (Tracking[[Date ]]&lt;= Tracking[[#This Row],[Date ]]), (Tracking[[Type ]]&lt;&gt;"Income")*(-1) + (Tracking[[Type ]]="Income"))</f>
        <v>3242.4400000000005</v>
      </c>
      <c r="I45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45555</v>
      </c>
    </row>
    <row r="455" spans="3:9" x14ac:dyDescent="0.3">
      <c r="C455" s="112">
        <v>45556</v>
      </c>
      <c r="D455" t="s">
        <v>9</v>
      </c>
      <c r="E455" t="s">
        <v>20</v>
      </c>
      <c r="F455" s="114">
        <v>30.5</v>
      </c>
      <c r="G455"/>
      <c r="H455" s="130" cm="1">
        <f t="array" ref="H455">SUMPRODUCT(Tracking[Amount], -- (Tracking[[Date ]]&lt;= Tracking[[#This Row],[Date ]]), (Tracking[[Type ]]&lt;&gt;"Income")*(-1) + (Tracking[[Type ]]="Income"))</f>
        <v>3211.9400000000005</v>
      </c>
      <c r="I45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45556</v>
      </c>
    </row>
    <row r="456" spans="3:9" x14ac:dyDescent="0.3">
      <c r="C456" s="112">
        <v>45557</v>
      </c>
      <c r="D456" t="s">
        <v>9</v>
      </c>
      <c r="E456" t="s">
        <v>26</v>
      </c>
      <c r="F456" s="114">
        <v>45.5</v>
      </c>
      <c r="G456"/>
      <c r="H456" s="130" cm="1">
        <f t="array" ref="H456">SUMPRODUCT(Tracking[Amount], -- (Tracking[[Date ]]&lt;= Tracking[[#This Row],[Date ]]), (Tracking[[Type ]]&lt;&gt;"Income")*(-1) + (Tracking[[Type ]]="Income"))</f>
        <v>3166.4400000000005</v>
      </c>
      <c r="I45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45557</v>
      </c>
    </row>
    <row r="457" spans="3:9" x14ac:dyDescent="0.3">
      <c r="C457" s="112">
        <v>45559</v>
      </c>
      <c r="D457" t="s">
        <v>9</v>
      </c>
      <c r="E457" t="s">
        <v>20</v>
      </c>
      <c r="F457" s="114">
        <v>32.31</v>
      </c>
      <c r="G457"/>
      <c r="H457" s="130" cm="1">
        <f t="array" ref="H457">SUMPRODUCT(Tracking[Amount], -- (Tracking[[Date ]]&lt;= Tracking[[#This Row],[Date ]]), (Tracking[[Type ]]&lt;&gt;"Income")*(-1) + (Tracking[[Type ]]="Income"))</f>
        <v>3134.1300000000006</v>
      </c>
      <c r="I45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45559</v>
      </c>
    </row>
    <row r="458" spans="3:9" x14ac:dyDescent="0.3">
      <c r="C458" s="112">
        <v>45560</v>
      </c>
      <c r="D458" t="s">
        <v>9</v>
      </c>
      <c r="E458" t="s">
        <v>116</v>
      </c>
      <c r="F458" s="114">
        <v>13.5</v>
      </c>
      <c r="G458" t="s">
        <v>159</v>
      </c>
      <c r="H458" s="130" cm="1">
        <f t="array" ref="H458">SUMPRODUCT(Tracking[Amount], -- (Tracking[[Date ]]&lt;= Tracking[[#This Row],[Date ]]), (Tracking[[Type ]]&lt;&gt;"Income")*(-1) + (Tracking[[Type ]]="Income"))</f>
        <v>3097.1300000000006</v>
      </c>
      <c r="I45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45560</v>
      </c>
    </row>
    <row r="459" spans="3:9" x14ac:dyDescent="0.3">
      <c r="C459" s="112">
        <v>45560</v>
      </c>
      <c r="D459" t="s">
        <v>9</v>
      </c>
      <c r="E459" t="s">
        <v>116</v>
      </c>
      <c r="F459" s="114">
        <v>23.5</v>
      </c>
      <c r="G459"/>
      <c r="H459" s="130" cm="1">
        <f t="array" ref="H459">SUMPRODUCT(Tracking[Amount], -- (Tracking[[Date ]]&lt;= Tracking[[#This Row],[Date ]]), (Tracking[[Type ]]&lt;&gt;"Income")*(-1) + (Tracking[[Type ]]="Income"))</f>
        <v>3097.1300000000006</v>
      </c>
      <c r="I45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45560</v>
      </c>
    </row>
    <row r="460" spans="3:9" x14ac:dyDescent="0.3">
      <c r="C460" s="112">
        <v>45566</v>
      </c>
      <c r="D460" t="s">
        <v>6</v>
      </c>
      <c r="E460" t="s">
        <v>19</v>
      </c>
      <c r="F460" s="114">
        <v>1151.6099999999999</v>
      </c>
      <c r="G460"/>
      <c r="H460" s="130" cm="1">
        <f t="array" ref="H460">SUMPRODUCT(Tracking[Amount], -- (Tracking[[Date ]]&lt;= Tracking[[#This Row],[Date ]]), (Tracking[[Type ]]&lt;&gt;"Income")*(-1) + (Tracking[[Type ]]="Income"))</f>
        <v>3727.4400000000005</v>
      </c>
      <c r="I46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45566</v>
      </c>
    </row>
    <row r="461" spans="3:9" x14ac:dyDescent="0.3">
      <c r="C461" s="112">
        <v>45562</v>
      </c>
      <c r="D461" t="s">
        <v>9</v>
      </c>
      <c r="E461" t="s">
        <v>25</v>
      </c>
      <c r="F461" s="114">
        <v>13</v>
      </c>
      <c r="G461"/>
      <c r="H461" s="130" cm="1">
        <f t="array" ref="H461">SUMPRODUCT(Tracking[Amount], -- (Tracking[[Date ]]&lt;= Tracking[[#This Row],[Date ]]), (Tracking[[Type ]]&lt;&gt;"Income")*(-1) + (Tracking[[Type ]]="Income"))</f>
        <v>3075.1300000000006</v>
      </c>
      <c r="I46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45562</v>
      </c>
    </row>
    <row r="462" spans="3:9" x14ac:dyDescent="0.3">
      <c r="C462" s="112">
        <v>45562</v>
      </c>
      <c r="D462" t="s">
        <v>9</v>
      </c>
      <c r="E462" t="s">
        <v>26</v>
      </c>
      <c r="F462" s="114">
        <v>9</v>
      </c>
      <c r="G462"/>
      <c r="H462" s="130" cm="1">
        <f t="array" ref="H462">SUMPRODUCT(Tracking[Amount], -- (Tracking[[Date ]]&lt;= Tracking[[#This Row],[Date ]]), (Tracking[[Type ]]&lt;&gt;"Income")*(-1) + (Tracking[[Type ]]="Income"))</f>
        <v>3075.1300000000006</v>
      </c>
      <c r="I462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45562</v>
      </c>
    </row>
    <row r="463" spans="3:9" x14ac:dyDescent="0.3">
      <c r="C463" s="112">
        <v>45563</v>
      </c>
      <c r="D463" t="s">
        <v>9</v>
      </c>
      <c r="E463" t="s">
        <v>26</v>
      </c>
      <c r="F463" s="114">
        <v>14</v>
      </c>
      <c r="G463"/>
      <c r="H463" s="130" cm="1">
        <f t="array" ref="H463">SUMPRODUCT(Tracking[Amount], -- (Tracking[[Date ]]&lt;= Tracking[[#This Row],[Date ]]), (Tracking[[Type ]]&lt;&gt;"Income")*(-1) + (Tracking[[Type ]]="Income"))</f>
        <v>3061.1300000000006</v>
      </c>
      <c r="I463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45563</v>
      </c>
    </row>
    <row r="464" spans="3:9" x14ac:dyDescent="0.3">
      <c r="C464" s="112">
        <v>45564</v>
      </c>
      <c r="D464" t="s">
        <v>9</v>
      </c>
      <c r="E464" t="s">
        <v>26</v>
      </c>
      <c r="F464" s="114">
        <v>3.8</v>
      </c>
      <c r="G464"/>
      <c r="H464" s="130" cm="1">
        <f t="array" ref="H464">SUMPRODUCT(Tracking[Amount], -- (Tracking[[Date ]]&lt;= Tracking[[#This Row],[Date ]]), (Tracking[[Type ]]&lt;&gt;"Income")*(-1) + (Tracking[[Type ]]="Income"))</f>
        <v>3057.3300000000004</v>
      </c>
      <c r="I464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45564</v>
      </c>
    </row>
    <row r="465" spans="3:9" x14ac:dyDescent="0.3">
      <c r="C465" s="112">
        <v>45565</v>
      </c>
      <c r="D465" t="s">
        <v>9</v>
      </c>
      <c r="E465" t="s">
        <v>20</v>
      </c>
      <c r="F465" s="114">
        <v>19</v>
      </c>
      <c r="G465"/>
      <c r="H465" s="130" cm="1">
        <f t="array" ref="H465">SUMPRODUCT(Tracking[Amount], -- (Tracking[[Date ]]&lt;= Tracking[[#This Row],[Date ]]), (Tracking[[Type ]]&lt;&gt;"Income")*(-1) + (Tracking[[Type ]]="Income"))</f>
        <v>3000.3300000000004</v>
      </c>
      <c r="I465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45565</v>
      </c>
    </row>
    <row r="466" spans="3:9" x14ac:dyDescent="0.3">
      <c r="C466" s="112">
        <v>45566</v>
      </c>
      <c r="D466" t="s">
        <v>9</v>
      </c>
      <c r="E466" t="s">
        <v>131</v>
      </c>
      <c r="F466" s="114">
        <v>400</v>
      </c>
      <c r="G466"/>
      <c r="H466" s="130" cm="1">
        <f t="array" ref="H466">SUMPRODUCT(Tracking[Amount], -- (Tracking[[Date ]]&lt;= Tracking[[#This Row],[Date ]]), (Tracking[[Type ]]&lt;&gt;"Income")*(-1) + (Tracking[[Type ]]="Income"))</f>
        <v>3727.4400000000005</v>
      </c>
      <c r="I466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45566</v>
      </c>
    </row>
    <row r="467" spans="3:9" x14ac:dyDescent="0.3">
      <c r="C467" s="112">
        <v>45566</v>
      </c>
      <c r="D467" t="s">
        <v>9</v>
      </c>
      <c r="E467" t="s">
        <v>121</v>
      </c>
      <c r="F467" s="114">
        <v>2.5</v>
      </c>
      <c r="G467"/>
      <c r="H467" s="130" cm="1">
        <f t="array" ref="H467">SUMPRODUCT(Tracking[Amount], -- (Tracking[[Date ]]&lt;= Tracking[[#This Row],[Date ]]), (Tracking[[Type ]]&lt;&gt;"Income")*(-1) + (Tracking[[Type ]]="Income"))</f>
        <v>3727.4400000000005</v>
      </c>
      <c r="I467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45566</v>
      </c>
    </row>
    <row r="468" spans="3:9" x14ac:dyDescent="0.3">
      <c r="C468" s="112">
        <v>45566</v>
      </c>
      <c r="D468" t="s">
        <v>9</v>
      </c>
      <c r="E468" t="s">
        <v>116</v>
      </c>
      <c r="F468" s="114">
        <v>5</v>
      </c>
      <c r="G468" t="s">
        <v>166</v>
      </c>
      <c r="H468" s="130" cm="1">
        <f t="array" ref="H468">SUMPRODUCT(Tracking[Amount], -- (Tracking[[Date ]]&lt;= Tracking[[#This Row],[Date ]]), (Tracking[[Type ]]&lt;&gt;"Income")*(-1) + (Tracking[[Type ]]="Income"))</f>
        <v>3727.4400000000005</v>
      </c>
      <c r="I468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45566</v>
      </c>
    </row>
    <row r="469" spans="3:9" x14ac:dyDescent="0.3">
      <c r="C469" s="112">
        <v>45566</v>
      </c>
      <c r="D469" t="s">
        <v>9</v>
      </c>
      <c r="E469" t="s">
        <v>116</v>
      </c>
      <c r="F469" s="114">
        <v>17</v>
      </c>
      <c r="G469" t="s">
        <v>142</v>
      </c>
      <c r="H469" s="130" cm="1">
        <f t="array" ref="H469">SUMPRODUCT(Tracking[Amount], -- (Tracking[[Date ]]&lt;= Tracking[[#This Row],[Date ]]), (Tracking[[Type ]]&lt;&gt;"Income")*(-1) + (Tracking[[Type ]]="Income"))</f>
        <v>3727.4400000000005</v>
      </c>
      <c r="I469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45566</v>
      </c>
    </row>
    <row r="470" spans="3:9" x14ac:dyDescent="0.3">
      <c r="C470" s="112">
        <v>45567</v>
      </c>
      <c r="D470" t="s">
        <v>9</v>
      </c>
      <c r="E470" t="s">
        <v>116</v>
      </c>
      <c r="F470" s="114">
        <v>6.5</v>
      </c>
      <c r="G470" t="s">
        <v>148</v>
      </c>
      <c r="H470" s="130" cm="1">
        <f t="array" ref="H470">SUMPRODUCT(Tracking[Amount], -- (Tracking[[Date ]]&lt;= Tracking[[#This Row],[Date ]]), (Tracking[[Type ]]&lt;&gt;"Income")*(-1) + (Tracking[[Type ]]="Income"))</f>
        <v>3720.9400000000005</v>
      </c>
      <c r="I470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45567</v>
      </c>
    </row>
    <row r="471" spans="3:9" x14ac:dyDescent="0.3">
      <c r="C471" s="112">
        <v>45568</v>
      </c>
      <c r="D471" t="s">
        <v>9</v>
      </c>
      <c r="E471" t="s">
        <v>20</v>
      </c>
      <c r="F471" s="114">
        <v>11.62</v>
      </c>
      <c r="G471"/>
      <c r="H471" s="130" cm="1">
        <f t="array" ref="H471">SUMPRODUCT(Tracking[Amount], -- (Tracking[[Date ]]&lt;= Tracking[[#This Row],[Date ]]), (Tracking[[Type ]]&lt;&gt;"Income")*(-1) + (Tracking[[Type ]]="Income"))</f>
        <v>3709.3200000000006</v>
      </c>
      <c r="I471" s="115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45568</v>
      </c>
    </row>
    <row r="472" spans="3:9" x14ac:dyDescent="0.3">
      <c r="C472" s="112">
        <v>45569</v>
      </c>
      <c r="D472" t="s">
        <v>9</v>
      </c>
      <c r="E472" t="s">
        <v>121</v>
      </c>
      <c r="F472" s="114">
        <v>7.54</v>
      </c>
      <c r="G472"/>
      <c r="H472" s="131" cm="1">
        <f t="array" ref="H472">SUMPRODUCT(Tracking[Amount], -- (Tracking[[Date ]]&lt;= Tracking[[#This Row],[Date ]]), (Tracking[[Type ]]&lt;&gt;"Income")*(-1) + (Tracking[[Type ]]="Income"))</f>
        <v>3701.7800000000007</v>
      </c>
      <c r="I47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45569</v>
      </c>
    </row>
    <row r="473" spans="3:9" x14ac:dyDescent="0.3">
      <c r="C473" s="112">
        <v>45565</v>
      </c>
      <c r="D473" t="s">
        <v>9</v>
      </c>
      <c r="E473" t="s">
        <v>21</v>
      </c>
      <c r="F473" s="114">
        <v>38</v>
      </c>
      <c r="G473"/>
      <c r="H473" s="131" cm="1">
        <f t="array" ref="H473">SUMPRODUCT(Tracking[Amount], -- (Tracking[[Date ]]&lt;= Tracking[[#This Row],[Date ]]), (Tracking[[Type ]]&lt;&gt;"Income")*(-1) + (Tracking[[Type ]]="Income"))</f>
        <v>3000.3300000000004</v>
      </c>
      <c r="I47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45565</v>
      </c>
    </row>
    <row r="474" spans="3:9" x14ac:dyDescent="0.3">
      <c r="C474" s="112">
        <v>45570</v>
      </c>
      <c r="D474" t="s">
        <v>9</v>
      </c>
      <c r="E474" t="s">
        <v>26</v>
      </c>
      <c r="F474" s="114">
        <v>13.8</v>
      </c>
      <c r="G474"/>
      <c r="H474" s="131" cm="1">
        <f t="array" ref="H474">SUMPRODUCT(Tracking[Amount], -- (Tracking[[Date ]]&lt;= Tracking[[#This Row],[Date ]]), (Tracking[[Type ]]&lt;&gt;"Income")*(-1) + (Tracking[[Type ]]="Income"))</f>
        <v>3687.9800000000005</v>
      </c>
      <c r="I47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45570</v>
      </c>
    </row>
    <row r="475" spans="3:9" x14ac:dyDescent="0.3">
      <c r="C475" s="112">
        <v>45573</v>
      </c>
      <c r="D475" t="s">
        <v>9</v>
      </c>
      <c r="E475" t="s">
        <v>20</v>
      </c>
      <c r="F475" s="114">
        <v>24.75</v>
      </c>
      <c r="G475"/>
      <c r="H475" s="131" cm="1">
        <f t="array" ref="H475">SUMPRODUCT(Tracking[Amount], -- (Tracking[[Date ]]&lt;= Tracking[[#This Row],[Date ]]), (Tracking[[Type ]]&lt;&gt;"Income")*(-1) + (Tracking[[Type ]]="Income"))</f>
        <v>3609.4300000000003</v>
      </c>
      <c r="I47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45573</v>
      </c>
    </row>
    <row r="476" spans="3:9" x14ac:dyDescent="0.3">
      <c r="C476" s="112">
        <v>45573</v>
      </c>
      <c r="D476" t="s">
        <v>9</v>
      </c>
      <c r="E476" t="s">
        <v>116</v>
      </c>
      <c r="F476" s="114">
        <v>53.8</v>
      </c>
      <c r="G476" t="s">
        <v>162</v>
      </c>
      <c r="H476" s="131" cm="1">
        <f t="array" ref="H476">SUMPRODUCT(Tracking[Amount], -- (Tracking[[Date ]]&lt;= Tracking[[#This Row],[Date ]]), (Tracking[[Type ]]&lt;&gt;"Income")*(-1) + (Tracking[[Type ]]="Income"))</f>
        <v>3609.4300000000003</v>
      </c>
      <c r="I47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45573</v>
      </c>
    </row>
    <row r="477" spans="3:9" x14ac:dyDescent="0.3">
      <c r="C477" s="112">
        <v>45574</v>
      </c>
      <c r="D477" t="s">
        <v>9</v>
      </c>
      <c r="E477" t="s">
        <v>121</v>
      </c>
      <c r="F477" s="114">
        <v>2.1</v>
      </c>
      <c r="G477"/>
      <c r="H477" s="131" cm="1">
        <f t="array" ref="H477">SUMPRODUCT(Tracking[Amount], -- (Tracking[[Date ]]&lt;= Tracking[[#This Row],[Date ]]), (Tracking[[Type ]]&lt;&gt;"Income")*(-1) + (Tracking[[Type ]]="Income"))</f>
        <v>3601.03</v>
      </c>
      <c r="I47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45574</v>
      </c>
    </row>
    <row r="478" spans="3:9" x14ac:dyDescent="0.3">
      <c r="C478" s="112">
        <v>45574</v>
      </c>
      <c r="D478" t="s">
        <v>9</v>
      </c>
      <c r="E478" t="s">
        <v>116</v>
      </c>
      <c r="F478" s="114">
        <v>6.3</v>
      </c>
      <c r="G478" t="s">
        <v>126</v>
      </c>
      <c r="H478" s="131" cm="1">
        <f t="array" ref="H478">SUMPRODUCT(Tracking[Amount], -- (Tracking[[Date ]]&lt;= Tracking[[#This Row],[Date ]]), (Tracking[[Type ]]&lt;&gt;"Income")*(-1) + (Tracking[[Type ]]="Income"))</f>
        <v>3601.03</v>
      </c>
      <c r="I47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45574</v>
      </c>
    </row>
    <row r="479" spans="3:9" x14ac:dyDescent="0.3">
      <c r="C479" s="112">
        <v>45579</v>
      </c>
      <c r="D479" t="s">
        <v>9</v>
      </c>
      <c r="E479" t="s">
        <v>116</v>
      </c>
      <c r="F479" s="114">
        <v>175.9</v>
      </c>
      <c r="G479"/>
      <c r="H479" s="131" cm="1">
        <f t="array" ref="H479">SUMPRODUCT(Tracking[Amount], -- (Tracking[[Date ]]&lt;= Tracking[[#This Row],[Date ]]), (Tracking[[Type ]]&lt;&gt;"Income")*(-1) + (Tracking[[Type ]]="Income"))</f>
        <v>3392.19</v>
      </c>
      <c r="I47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45579</v>
      </c>
    </row>
    <row r="480" spans="3:9" x14ac:dyDescent="0.3">
      <c r="C480" s="112">
        <v>45579</v>
      </c>
      <c r="D480" t="s">
        <v>9</v>
      </c>
      <c r="E480" t="s">
        <v>20</v>
      </c>
      <c r="F480" s="114">
        <v>32.94</v>
      </c>
      <c r="G480"/>
      <c r="H480" s="131" cm="1">
        <f t="array" ref="H480">SUMPRODUCT(Tracking[Amount], -- (Tracking[[Date ]]&lt;= Tracking[[#This Row],[Date ]]), (Tracking[[Type ]]&lt;&gt;"Income")*(-1) + (Tracking[[Type ]]="Income"))</f>
        <v>3392.19</v>
      </c>
      <c r="I48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45579</v>
      </c>
    </row>
    <row r="481" spans="3:9" x14ac:dyDescent="0.3">
      <c r="C481" s="112">
        <v>45581</v>
      </c>
      <c r="D481" t="s">
        <v>9</v>
      </c>
      <c r="E481" t="s">
        <v>121</v>
      </c>
      <c r="F481" s="114">
        <v>3.1</v>
      </c>
      <c r="G481"/>
      <c r="H481" s="131" cm="1">
        <f t="array" ref="H481">SUMPRODUCT(Tracking[Amount], -- (Tracking[[Date ]]&lt;= Tracking[[#This Row],[Date ]]), (Tracking[[Type ]]&lt;&gt;"Income")*(-1) + (Tracking[[Type ]]="Income"))</f>
        <v>3389.09</v>
      </c>
      <c r="I48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45581</v>
      </c>
    </row>
    <row r="482" spans="3:9" x14ac:dyDescent="0.3">
      <c r="C482" s="112">
        <v>45308</v>
      </c>
      <c r="D482" t="s">
        <v>9</v>
      </c>
      <c r="E482" t="s">
        <v>116</v>
      </c>
      <c r="F482" s="114">
        <v>5.5</v>
      </c>
      <c r="G482" t="s">
        <v>148</v>
      </c>
      <c r="H482" s="131" cm="1">
        <f t="array" ref="H482">SUMPRODUCT(Tracking[Amount], -- (Tracking[[Date ]]&lt;= Tracking[[#This Row],[Date ]]), (Tracking[[Type ]]&lt;&gt;"Income")*(-1) + (Tracking[[Type ]]="Income"))</f>
        <v>2781.5</v>
      </c>
      <c r="I48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45308</v>
      </c>
    </row>
    <row r="483" spans="3:9" x14ac:dyDescent="0.3">
      <c r="C483" s="112">
        <v>45582</v>
      </c>
      <c r="D483" t="s">
        <v>9</v>
      </c>
      <c r="E483" t="s">
        <v>121</v>
      </c>
      <c r="F483" s="114">
        <v>8.6</v>
      </c>
      <c r="G483"/>
      <c r="H483" s="131" cm="1">
        <f t="array" ref="H483">SUMPRODUCT(Tracking[Amount], -- (Tracking[[Date ]]&lt;= Tracking[[#This Row],[Date ]]), (Tracking[[Type ]]&lt;&gt;"Income")*(-1) + (Tracking[[Type ]]="Income"))</f>
        <v>3380.4900000000002</v>
      </c>
      <c r="I48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45582</v>
      </c>
    </row>
    <row r="484" spans="3:9" x14ac:dyDescent="0.3">
      <c r="C484" s="112">
        <v>45583</v>
      </c>
      <c r="D484" t="s">
        <v>9</v>
      </c>
      <c r="E484" t="s">
        <v>25</v>
      </c>
      <c r="F484" s="114">
        <v>13</v>
      </c>
      <c r="G484"/>
      <c r="H484" s="131" cm="1">
        <f t="array" ref="H484">SUMPRODUCT(Tracking[Amount], -- (Tracking[[Date ]]&lt;= Tracking[[#This Row],[Date ]]), (Tracking[[Type ]]&lt;&gt;"Income")*(-1) + (Tracking[[Type ]]="Income"))</f>
        <v>3367.4900000000002</v>
      </c>
      <c r="I48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45583</v>
      </c>
    </row>
    <row r="485" spans="3:9" x14ac:dyDescent="0.3">
      <c r="C485" s="112">
        <v>45584</v>
      </c>
      <c r="D485" t="s">
        <v>9</v>
      </c>
      <c r="E485" t="s">
        <v>20</v>
      </c>
      <c r="F485" s="114">
        <v>31.37</v>
      </c>
      <c r="G485"/>
      <c r="H485" s="131" cm="1">
        <f t="array" ref="H485">SUMPRODUCT(Tracking[Amount], -- (Tracking[[Date ]]&lt;= Tracking[[#This Row],[Date ]]), (Tracking[[Type ]]&lt;&gt;"Income")*(-1) + (Tracking[[Type ]]="Income"))</f>
        <v>3312.5200000000004</v>
      </c>
      <c r="I48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45584</v>
      </c>
    </row>
    <row r="486" spans="3:9" x14ac:dyDescent="0.3">
      <c r="C486" s="112">
        <v>45584</v>
      </c>
      <c r="D486" t="s">
        <v>9</v>
      </c>
      <c r="E486" t="s">
        <v>26</v>
      </c>
      <c r="F486" s="114">
        <v>23.6</v>
      </c>
      <c r="G486"/>
      <c r="H486" s="131" cm="1">
        <f t="array" ref="H486">SUMPRODUCT(Tracking[Amount], -- (Tracking[[Date ]]&lt;= Tracking[[#This Row],[Date ]]), (Tracking[[Type ]]&lt;&gt;"Income")*(-1) + (Tracking[[Type ]]="Income"))</f>
        <v>3312.5200000000004</v>
      </c>
      <c r="I48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45584</v>
      </c>
    </row>
    <row r="487" spans="3:9" x14ac:dyDescent="0.3">
      <c r="C487" s="112">
        <v>45585</v>
      </c>
      <c r="D487" t="s">
        <v>9</v>
      </c>
      <c r="E487" t="s">
        <v>20</v>
      </c>
      <c r="F487" s="114">
        <v>113</v>
      </c>
      <c r="G487"/>
      <c r="H487" s="131" cm="1">
        <f t="array" ref="H487">SUMPRODUCT(Tracking[Amount], -- (Tracking[[Date ]]&lt;= Tracking[[#This Row],[Date ]]), (Tracking[[Type ]]&lt;&gt;"Income")*(-1) + (Tracking[[Type ]]="Income"))</f>
        <v>3199.5200000000004</v>
      </c>
      <c r="I48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45585</v>
      </c>
    </row>
    <row r="488" spans="3:9" x14ac:dyDescent="0.3">
      <c r="C488" s="112">
        <v>45586</v>
      </c>
      <c r="D488" t="s">
        <v>9</v>
      </c>
      <c r="E488" t="s">
        <v>140</v>
      </c>
      <c r="F488" s="114">
        <v>7.98</v>
      </c>
      <c r="G488"/>
      <c r="H488" s="131" cm="1">
        <f t="array" ref="H488">SUMPRODUCT(Tracking[Amount], -- (Tracking[[Date ]]&lt;= Tracking[[#This Row],[Date ]]), (Tracking[[Type ]]&lt;&gt;"Income")*(-1) + (Tracking[[Type ]]="Income"))</f>
        <v>3191.5400000000004</v>
      </c>
      <c r="I48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45586</v>
      </c>
    </row>
    <row r="489" spans="3:9" x14ac:dyDescent="0.3">
      <c r="C489" s="112">
        <v>45587</v>
      </c>
      <c r="D489" t="s">
        <v>9</v>
      </c>
      <c r="E489" t="s">
        <v>143</v>
      </c>
      <c r="F489" s="114">
        <v>14</v>
      </c>
      <c r="G489"/>
      <c r="H489" s="131" cm="1">
        <f t="array" ref="H489">SUMPRODUCT(Tracking[Amount], -- (Tracking[[Date ]]&lt;= Tracking[[#This Row],[Date ]]), (Tracking[[Type ]]&lt;&gt;"Income")*(-1) + (Tracking[[Type ]]="Income"))</f>
        <v>3163.3500000000004</v>
      </c>
      <c r="I48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45587</v>
      </c>
    </row>
    <row r="490" spans="3:9" x14ac:dyDescent="0.3">
      <c r="C490" s="112">
        <v>45587</v>
      </c>
      <c r="D490" t="s">
        <v>9</v>
      </c>
      <c r="E490" t="s">
        <v>22</v>
      </c>
      <c r="F490" s="114">
        <v>14.19</v>
      </c>
      <c r="G490"/>
      <c r="H490" s="131" cm="1">
        <f t="array" ref="H490">SUMPRODUCT(Tracking[Amount], -- (Tracking[[Date ]]&lt;= Tracking[[#This Row],[Date ]]), (Tracking[[Type ]]&lt;&gt;"Income")*(-1) + (Tracking[[Type ]]="Income"))</f>
        <v>3163.3500000000004</v>
      </c>
      <c r="I49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45587</v>
      </c>
    </row>
    <row r="491" spans="3:9" x14ac:dyDescent="0.3">
      <c r="C491" s="112">
        <v>45588</v>
      </c>
      <c r="D491" t="s">
        <v>9</v>
      </c>
      <c r="E491" t="s">
        <v>116</v>
      </c>
      <c r="F491" s="114">
        <v>3.5</v>
      </c>
      <c r="G491"/>
      <c r="H491" s="131" cm="1">
        <f t="array" ref="H491">SUMPRODUCT(Tracking[Amount], -- (Tracking[[Date ]]&lt;= Tracking[[#This Row],[Date ]]), (Tracking[[Type ]]&lt;&gt;"Income")*(-1) + (Tracking[[Type ]]="Income"))</f>
        <v>3159.8500000000004</v>
      </c>
      <c r="I49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45588</v>
      </c>
    </row>
    <row r="492" spans="3:9" x14ac:dyDescent="0.3">
      <c r="C492" s="112">
        <v>45590</v>
      </c>
      <c r="D492" t="s">
        <v>9</v>
      </c>
      <c r="E492" t="s">
        <v>116</v>
      </c>
      <c r="F492" s="114">
        <v>14</v>
      </c>
      <c r="G492" t="s">
        <v>149</v>
      </c>
      <c r="H492" s="131" cm="1">
        <f t="array" ref="H492">SUMPRODUCT(Tracking[Amount], -- (Tracking[[Date ]]&lt;= Tracking[[#This Row],[Date ]]), (Tracking[[Type ]]&lt;&gt;"Income")*(-1) + (Tracking[[Type ]]="Income"))</f>
        <v>3145.8500000000004</v>
      </c>
      <c r="I49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45590</v>
      </c>
    </row>
    <row r="493" spans="3:9" x14ac:dyDescent="0.3">
      <c r="C493" s="112">
        <v>45591</v>
      </c>
      <c r="D493" t="s">
        <v>9</v>
      </c>
      <c r="E493" t="s">
        <v>20</v>
      </c>
      <c r="F493" s="114">
        <v>19.899999999999999</v>
      </c>
      <c r="G493"/>
      <c r="H493" s="131" cm="1">
        <f t="array" ref="H493">SUMPRODUCT(Tracking[Amount], -- (Tracking[[Date ]]&lt;= Tracking[[#This Row],[Date ]]), (Tracking[[Type ]]&lt;&gt;"Income")*(-1) + (Tracking[[Type ]]="Income"))</f>
        <v>3125.9500000000003</v>
      </c>
      <c r="I49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45591</v>
      </c>
    </row>
    <row r="494" spans="3:9" x14ac:dyDescent="0.3">
      <c r="C494" s="112">
        <v>45592</v>
      </c>
      <c r="D494" t="s">
        <v>9</v>
      </c>
      <c r="E494" t="s">
        <v>26</v>
      </c>
      <c r="F494" s="114">
        <v>9.1999999999999993</v>
      </c>
      <c r="G494"/>
      <c r="H494" s="131" cm="1">
        <f t="array" ref="H494">SUMPRODUCT(Tracking[Amount], -- (Tracking[[Date ]]&lt;= Tracking[[#This Row],[Date ]]), (Tracking[[Type ]]&lt;&gt;"Income")*(-1) + (Tracking[[Type ]]="Income"))</f>
        <v>3106.7500000000005</v>
      </c>
      <c r="I49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45592</v>
      </c>
    </row>
    <row r="495" spans="3:9" x14ac:dyDescent="0.3">
      <c r="C495" s="112">
        <v>45594</v>
      </c>
      <c r="D495" t="s">
        <v>9</v>
      </c>
      <c r="E495" t="s">
        <v>116</v>
      </c>
      <c r="F495" s="114">
        <v>20</v>
      </c>
      <c r="G495"/>
      <c r="H495" s="131" cm="1">
        <f t="array" ref="H495">SUMPRODUCT(Tracking[Amount], -- (Tracking[[Date ]]&lt;= Tracking[[#This Row],[Date ]]), (Tracking[[Type ]]&lt;&gt;"Income")*(-1) + (Tracking[[Type ]]="Income"))</f>
        <v>3086.7500000000005</v>
      </c>
      <c r="I49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45594</v>
      </c>
    </row>
    <row r="496" spans="3:9" x14ac:dyDescent="0.3">
      <c r="C496" s="112">
        <v>45595</v>
      </c>
      <c r="D496" t="s">
        <v>9</v>
      </c>
      <c r="E496" t="s">
        <v>116</v>
      </c>
      <c r="F496" s="114">
        <v>6.5</v>
      </c>
      <c r="G496"/>
      <c r="H496" s="131" cm="1">
        <f t="array" ref="H496">SUMPRODUCT(Tracking[Amount], -- (Tracking[[Date ]]&lt;= Tracking[[#This Row],[Date ]]), (Tracking[[Type ]]&lt;&gt;"Income")*(-1) + (Tracking[[Type ]]="Income"))</f>
        <v>3080.2500000000005</v>
      </c>
      <c r="I49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45595</v>
      </c>
    </row>
    <row r="497" spans="3:9" x14ac:dyDescent="0.3">
      <c r="C497" s="112">
        <v>45597</v>
      </c>
      <c r="D497" t="s">
        <v>6</v>
      </c>
      <c r="E497" t="s">
        <v>19</v>
      </c>
      <c r="F497" s="114">
        <v>1277.4100000000001</v>
      </c>
      <c r="G497"/>
      <c r="H497" s="131" cm="1">
        <f t="array" ref="H497">SUMPRODUCT(Tracking[Amount], -- (Tracking[[Date ]]&lt;= Tracking[[#This Row],[Date ]]), (Tracking[[Type ]]&lt;&gt;"Income")*(-1) + (Tracking[[Type ]]="Income"))</f>
        <v>3899.6600000000008</v>
      </c>
      <c r="I49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45597</v>
      </c>
    </row>
    <row r="498" spans="3:9" x14ac:dyDescent="0.3">
      <c r="C498" s="112">
        <v>45597</v>
      </c>
      <c r="D498" t="s">
        <v>9</v>
      </c>
      <c r="E498" t="s">
        <v>131</v>
      </c>
      <c r="F498" s="114">
        <v>400</v>
      </c>
      <c r="G498"/>
      <c r="H498" s="131" cm="1">
        <f t="array" ref="H498">SUMPRODUCT(Tracking[Amount], -- (Tracking[[Date ]]&lt;= Tracking[[#This Row],[Date ]]), (Tracking[[Type ]]&lt;&gt;"Income")*(-1) + (Tracking[[Type ]]="Income"))</f>
        <v>3899.6600000000008</v>
      </c>
      <c r="I49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45597</v>
      </c>
    </row>
    <row r="499" spans="3:9" x14ac:dyDescent="0.3">
      <c r="C499" s="112">
        <v>45597</v>
      </c>
      <c r="D499" t="s">
        <v>9</v>
      </c>
      <c r="E499" t="s">
        <v>116</v>
      </c>
      <c r="F499" s="114">
        <v>5</v>
      </c>
      <c r="G499" t="s">
        <v>166</v>
      </c>
      <c r="H499" s="131" cm="1">
        <f t="array" ref="H499">SUMPRODUCT(Tracking[Amount], -- (Tracking[[Date ]]&lt;= Tracking[[#This Row],[Date ]]), (Tracking[[Type ]]&lt;&gt;"Income")*(-1) + (Tracking[[Type ]]="Income"))</f>
        <v>3899.6600000000008</v>
      </c>
      <c r="I49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45597</v>
      </c>
    </row>
    <row r="500" spans="3:9" x14ac:dyDescent="0.3">
      <c r="C500" s="112">
        <v>45597</v>
      </c>
      <c r="D500" t="s">
        <v>9</v>
      </c>
      <c r="E500" t="s">
        <v>116</v>
      </c>
      <c r="F500" s="114">
        <v>20</v>
      </c>
      <c r="G500" t="s">
        <v>172</v>
      </c>
      <c r="H500" s="131" cm="1">
        <f t="array" ref="H500">SUMPRODUCT(Tracking[Amount], -- (Tracking[[Date ]]&lt;= Tracking[[#This Row],[Date ]]), (Tracking[[Type ]]&lt;&gt;"Income")*(-1) + (Tracking[[Type ]]="Income"))</f>
        <v>3899.6600000000008</v>
      </c>
      <c r="I50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45597</v>
      </c>
    </row>
    <row r="501" spans="3:9" x14ac:dyDescent="0.3">
      <c r="C501" s="112">
        <v>45598</v>
      </c>
      <c r="D501" t="s">
        <v>9</v>
      </c>
      <c r="E501" t="s">
        <v>26</v>
      </c>
      <c r="F501" s="114">
        <v>11.5</v>
      </c>
      <c r="G501"/>
      <c r="H501" s="131" cm="1">
        <f t="array" ref="H501">SUMPRODUCT(Tracking[Amount], -- (Tracking[[Date ]]&lt;= Tracking[[#This Row],[Date ]]), (Tracking[[Type ]]&lt;&gt;"Income")*(-1) + (Tracking[[Type ]]="Income"))</f>
        <v>3770.0300000000007</v>
      </c>
      <c r="I50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45598</v>
      </c>
    </row>
    <row r="502" spans="3:9" x14ac:dyDescent="0.3">
      <c r="C502" s="112">
        <v>45598</v>
      </c>
      <c r="D502" t="s">
        <v>9</v>
      </c>
      <c r="E502" t="s">
        <v>20</v>
      </c>
      <c r="F502" s="114">
        <v>42.05</v>
      </c>
      <c r="G502"/>
      <c r="H502" s="131" cm="1">
        <f t="array" ref="H502">SUMPRODUCT(Tracking[Amount], -- (Tracking[[Date ]]&lt;= Tracking[[#This Row],[Date ]]), (Tracking[[Type ]]&lt;&gt;"Income")*(-1) + (Tracking[[Type ]]="Income"))</f>
        <v>3770.0300000000007</v>
      </c>
      <c r="I50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45598</v>
      </c>
    </row>
    <row r="503" spans="3:9" x14ac:dyDescent="0.3">
      <c r="C503" s="112">
        <v>45598</v>
      </c>
      <c r="D503" t="s">
        <v>9</v>
      </c>
      <c r="E503" t="s">
        <v>27</v>
      </c>
      <c r="F503" s="114">
        <v>63.08</v>
      </c>
      <c r="G503"/>
      <c r="H503" s="131" cm="1">
        <f t="array" ref="H503">SUMPRODUCT(Tracking[Amount], -- (Tracking[[Date ]]&lt;= Tracking[[#This Row],[Date ]]), (Tracking[[Type ]]&lt;&gt;"Income")*(-1) + (Tracking[[Type ]]="Income"))</f>
        <v>3770.0300000000007</v>
      </c>
      <c r="I50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45598</v>
      </c>
    </row>
    <row r="504" spans="3:9" x14ac:dyDescent="0.3">
      <c r="C504" s="112">
        <v>45599</v>
      </c>
      <c r="D504" t="s">
        <v>9</v>
      </c>
      <c r="E504" t="s">
        <v>27</v>
      </c>
      <c r="F504" s="114">
        <v>184.41</v>
      </c>
      <c r="G504"/>
      <c r="H504" s="131" cm="1">
        <f t="array" ref="H504">SUMPRODUCT(Tracking[Amount], -- (Tracking[[Date ]]&lt;= Tracking[[#This Row],[Date ]]), (Tracking[[Type ]]&lt;&gt;"Income")*(-1) + (Tracking[[Type ]]="Income"))</f>
        <v>3560.7200000000007</v>
      </c>
      <c r="I50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45599</v>
      </c>
    </row>
    <row r="505" spans="3:9" x14ac:dyDescent="0.3">
      <c r="C505" s="112">
        <v>45598</v>
      </c>
      <c r="D505" t="s">
        <v>9</v>
      </c>
      <c r="E505" t="s">
        <v>26</v>
      </c>
      <c r="F505" s="114">
        <v>13</v>
      </c>
      <c r="G505"/>
      <c r="H505" s="131" cm="1">
        <f t="array" ref="H505">SUMPRODUCT(Tracking[Amount], -- (Tracking[[Date ]]&lt;= Tracking[[#This Row],[Date ]]), (Tracking[[Type ]]&lt;&gt;"Income")*(-1) + (Tracking[[Type ]]="Income"))</f>
        <v>3770.0300000000007</v>
      </c>
      <c r="I50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45598</v>
      </c>
    </row>
    <row r="506" spans="3:9" x14ac:dyDescent="0.3">
      <c r="C506" s="112">
        <v>45596</v>
      </c>
      <c r="D506" t="s">
        <v>9</v>
      </c>
      <c r="E506" t="s">
        <v>21</v>
      </c>
      <c r="F506" s="114">
        <v>33</v>
      </c>
      <c r="G506"/>
      <c r="H506" s="131" cm="1">
        <f t="array" ref="H506">SUMPRODUCT(Tracking[Amount], -- (Tracking[[Date ]]&lt;= Tracking[[#This Row],[Date ]]), (Tracking[[Type ]]&lt;&gt;"Income")*(-1) + (Tracking[[Type ]]="Income"))</f>
        <v>3047.2500000000005</v>
      </c>
      <c r="I50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45596</v>
      </c>
    </row>
    <row r="507" spans="3:9" x14ac:dyDescent="0.3">
      <c r="C507" s="112">
        <v>45599</v>
      </c>
      <c r="D507" t="s">
        <v>9</v>
      </c>
      <c r="E507" t="s">
        <v>26</v>
      </c>
      <c r="F507" s="114">
        <v>24.9</v>
      </c>
      <c r="G507"/>
      <c r="H507" s="131" cm="1">
        <f t="array" ref="H507">SUMPRODUCT(Tracking[Amount], -- (Tracking[[Date ]]&lt;= Tracking[[#This Row],[Date ]]), (Tracking[[Type ]]&lt;&gt;"Income")*(-1) + (Tracking[[Type ]]="Income"))</f>
        <v>3560.7200000000007</v>
      </c>
      <c r="I50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45599</v>
      </c>
    </row>
    <row r="508" spans="3:9" x14ac:dyDescent="0.3">
      <c r="C508" s="112">
        <v>45600</v>
      </c>
      <c r="D508" t="s">
        <v>9</v>
      </c>
      <c r="E508" t="s">
        <v>116</v>
      </c>
      <c r="F508" s="114">
        <v>2.2999999999999998</v>
      </c>
      <c r="G508"/>
      <c r="H508" s="131" cm="1">
        <f t="array" ref="H508">SUMPRODUCT(Tracking[Amount], -- (Tracking[[Date ]]&lt;= Tracking[[#This Row],[Date ]]), (Tracking[[Type ]]&lt;&gt;"Income")*(-1) + (Tracking[[Type ]]="Income"))</f>
        <v>3558.4200000000005</v>
      </c>
      <c r="I50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45600</v>
      </c>
    </row>
    <row r="509" spans="3:9" x14ac:dyDescent="0.3">
      <c r="C509" s="112">
        <v>45603</v>
      </c>
      <c r="D509" t="s">
        <v>9</v>
      </c>
      <c r="E509" t="s">
        <v>116</v>
      </c>
      <c r="F509" s="114">
        <v>5.6</v>
      </c>
      <c r="G509" t="s">
        <v>148</v>
      </c>
      <c r="H509" s="131" cm="1">
        <f t="array" ref="H509">SUMPRODUCT(Tracking[Amount], -- (Tracking[[Date ]]&lt;= Tracking[[#This Row],[Date ]]), (Tracking[[Type ]]&lt;&gt;"Income")*(-1) + (Tracking[[Type ]]="Income"))</f>
        <v>3552.8200000000006</v>
      </c>
      <c r="I50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45603</v>
      </c>
    </row>
    <row r="510" spans="3:9" x14ac:dyDescent="0.3">
      <c r="C510" s="112">
        <v>45605</v>
      </c>
      <c r="D510" t="s">
        <v>9</v>
      </c>
      <c r="E510" t="s">
        <v>20</v>
      </c>
      <c r="F510" s="114">
        <v>32.92</v>
      </c>
      <c r="G510"/>
      <c r="H510" s="131" cm="1">
        <f t="array" ref="H510">SUMPRODUCT(Tracking[Amount], -- (Tracking[[Date ]]&lt;= Tracking[[#This Row],[Date ]]), (Tracking[[Type ]]&lt;&gt;"Income")*(-1) + (Tracking[[Type ]]="Income"))</f>
        <v>3472.9000000000005</v>
      </c>
      <c r="I51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45605</v>
      </c>
    </row>
    <row r="511" spans="3:9" x14ac:dyDescent="0.3">
      <c r="C511" s="112">
        <v>45605</v>
      </c>
      <c r="D511" t="s">
        <v>9</v>
      </c>
      <c r="E511" t="s">
        <v>26</v>
      </c>
      <c r="F511" s="114">
        <v>47</v>
      </c>
      <c r="G511"/>
      <c r="H511" s="131" cm="1">
        <f t="array" ref="H511">SUMPRODUCT(Tracking[Amount], -- (Tracking[[Date ]]&lt;= Tracking[[#This Row],[Date ]]), (Tracking[[Type ]]&lt;&gt;"Income")*(-1) + (Tracking[[Type ]]="Income"))</f>
        <v>3472.9000000000005</v>
      </c>
      <c r="I51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45605</v>
      </c>
    </row>
    <row r="512" spans="3:9" x14ac:dyDescent="0.3">
      <c r="C512" s="112">
        <v>45609</v>
      </c>
      <c r="D512" t="s">
        <v>9</v>
      </c>
      <c r="E512" t="s">
        <v>26</v>
      </c>
      <c r="F512" s="114">
        <v>7</v>
      </c>
      <c r="G512"/>
      <c r="H512" s="131" cm="1">
        <f t="array" ref="H512">SUMPRODUCT(Tracking[Amount], -- (Tracking[[Date ]]&lt;= Tracking[[#This Row],[Date ]]), (Tracking[[Type ]]&lt;&gt;"Income")*(-1) + (Tracking[[Type ]]="Income"))</f>
        <v>3465.9000000000005</v>
      </c>
      <c r="I51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45609</v>
      </c>
    </row>
    <row r="513" spans="3:9" x14ac:dyDescent="0.3">
      <c r="C513" s="112">
        <v>45611</v>
      </c>
      <c r="D513" t="s">
        <v>9</v>
      </c>
      <c r="E513" t="s">
        <v>140</v>
      </c>
      <c r="F513" s="114">
        <v>8.98</v>
      </c>
      <c r="G513"/>
      <c r="H513" s="131" cm="1">
        <f t="array" ref="H513">SUMPRODUCT(Tracking[Amount], -- (Tracking[[Date ]]&lt;= Tracking[[#This Row],[Date ]]), (Tracking[[Type ]]&lt;&gt;"Income")*(-1) + (Tracking[[Type ]]="Income"))</f>
        <v>3418.1300000000006</v>
      </c>
      <c r="I51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45611</v>
      </c>
    </row>
    <row r="514" spans="3:9" x14ac:dyDescent="0.3">
      <c r="C514" s="112">
        <v>45611</v>
      </c>
      <c r="D514" t="s">
        <v>9</v>
      </c>
      <c r="E514" t="s">
        <v>20</v>
      </c>
      <c r="F514" s="114">
        <v>38.79</v>
      </c>
      <c r="G514"/>
      <c r="H514" s="131" cm="1">
        <f t="array" ref="H514">SUMPRODUCT(Tracking[Amount], -- (Tracking[[Date ]]&lt;= Tracking[[#This Row],[Date ]]), (Tracking[[Type ]]&lt;&gt;"Income")*(-1) + (Tracking[[Type ]]="Income"))</f>
        <v>3418.1300000000006</v>
      </c>
      <c r="I51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45611</v>
      </c>
    </row>
    <row r="515" spans="3:9" x14ac:dyDescent="0.3">
      <c r="C515" s="112">
        <v>45612</v>
      </c>
      <c r="D515" t="s">
        <v>9</v>
      </c>
      <c r="E515" t="s">
        <v>20</v>
      </c>
      <c r="F515" s="114">
        <v>15.9</v>
      </c>
      <c r="G515"/>
      <c r="H515" s="131" cm="1">
        <f t="array" ref="H515">SUMPRODUCT(Tracking[Amount], -- (Tracking[[Date ]]&lt;= Tracking[[#This Row],[Date ]]), (Tracking[[Type ]]&lt;&gt;"Income")*(-1) + (Tracking[[Type ]]="Income"))</f>
        <v>3402.2300000000005</v>
      </c>
      <c r="I51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45612</v>
      </c>
    </row>
    <row r="516" spans="3:9" x14ac:dyDescent="0.3">
      <c r="C516" s="112">
        <v>45613</v>
      </c>
      <c r="D516" t="s">
        <v>9</v>
      </c>
      <c r="E516" t="s">
        <v>26</v>
      </c>
      <c r="F516" s="114">
        <v>20</v>
      </c>
      <c r="G516"/>
      <c r="H516" s="131" cm="1">
        <f t="array" ref="H516">SUMPRODUCT(Tracking[Amount], -- (Tracking[[Date ]]&lt;= Tracking[[#This Row],[Date ]]), (Tracking[[Type ]]&lt;&gt;"Income")*(-1) + (Tracking[[Type ]]="Income"))</f>
        <v>3332.2300000000005</v>
      </c>
      <c r="I51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45613</v>
      </c>
    </row>
    <row r="517" spans="3:9" x14ac:dyDescent="0.3">
      <c r="C517" s="112">
        <v>45613</v>
      </c>
      <c r="D517" t="s">
        <v>9</v>
      </c>
      <c r="E517" t="s">
        <v>116</v>
      </c>
      <c r="F517" s="114">
        <v>50</v>
      </c>
      <c r="G517" t="s">
        <v>173</v>
      </c>
      <c r="H517" s="131" cm="1">
        <f t="array" ref="H517">SUMPRODUCT(Tracking[Amount], -- (Tracking[[Date ]]&lt;= Tracking[[#This Row],[Date ]]), (Tracking[[Type ]]&lt;&gt;"Income")*(-1) + (Tracking[[Type ]]="Income"))</f>
        <v>3332.2300000000005</v>
      </c>
      <c r="I51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45613</v>
      </c>
    </row>
    <row r="518" spans="3:9" x14ac:dyDescent="0.3">
      <c r="C518" s="112">
        <v>45614</v>
      </c>
      <c r="D518" t="s">
        <v>9</v>
      </c>
      <c r="E518" t="s">
        <v>121</v>
      </c>
      <c r="F518" s="114">
        <v>4.8</v>
      </c>
      <c r="G518"/>
      <c r="H518" s="131" cm="1">
        <f t="array" ref="H518">SUMPRODUCT(Tracking[Amount], -- (Tracking[[Date ]]&lt;= Tracking[[#This Row],[Date ]]), (Tracking[[Type ]]&lt;&gt;"Income")*(-1) + (Tracking[[Type ]]="Income"))</f>
        <v>3327.4300000000003</v>
      </c>
      <c r="I51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45614</v>
      </c>
    </row>
    <row r="519" spans="3:9" x14ac:dyDescent="0.3">
      <c r="C519" s="112">
        <v>45616</v>
      </c>
      <c r="D519" t="s">
        <v>9</v>
      </c>
      <c r="E519" t="s">
        <v>116</v>
      </c>
      <c r="F519" s="114">
        <v>10.5</v>
      </c>
      <c r="G519"/>
      <c r="H519" s="131" cm="1">
        <f t="array" ref="H519">SUMPRODUCT(Tracking[Amount], -- (Tracking[[Date ]]&lt;= Tracking[[#This Row],[Date ]]), (Tracking[[Type ]]&lt;&gt;"Income")*(-1) + (Tracking[[Type ]]="Income"))</f>
        <v>3316.9300000000003</v>
      </c>
      <c r="I51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45616</v>
      </c>
    </row>
    <row r="520" spans="3:9" x14ac:dyDescent="0.3">
      <c r="C520" s="112">
        <v>45617</v>
      </c>
      <c r="D520" t="s">
        <v>9</v>
      </c>
      <c r="E520" t="s">
        <v>20</v>
      </c>
      <c r="F520" s="114">
        <v>16</v>
      </c>
      <c r="G520"/>
      <c r="H520" s="131" cm="1">
        <f t="array" ref="H520">SUMPRODUCT(Tracking[Amount], -- (Tracking[[Date ]]&lt;= Tracking[[#This Row],[Date ]]), (Tracking[[Type ]]&lt;&gt;"Income")*(-1) + (Tracking[[Type ]]="Income"))</f>
        <v>3288.9300000000003</v>
      </c>
      <c r="I52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45617</v>
      </c>
    </row>
    <row r="521" spans="3:9" x14ac:dyDescent="0.3">
      <c r="C521" s="112">
        <v>45617</v>
      </c>
      <c r="D521" t="s">
        <v>9</v>
      </c>
      <c r="E521" t="s">
        <v>26</v>
      </c>
      <c r="F521" s="114">
        <v>12</v>
      </c>
      <c r="G521"/>
      <c r="H521" s="131" cm="1">
        <f t="array" ref="H521">SUMPRODUCT(Tracking[Amount], -- (Tracking[[Date ]]&lt;= Tracking[[#This Row],[Date ]]), (Tracking[[Type ]]&lt;&gt;"Income")*(-1) + (Tracking[[Type ]]="Income"))</f>
        <v>3288.9300000000003</v>
      </c>
      <c r="I52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45617</v>
      </c>
    </row>
    <row r="522" spans="3:9" x14ac:dyDescent="0.3">
      <c r="C522" s="112">
        <v>45621</v>
      </c>
      <c r="D522" t="s">
        <v>9</v>
      </c>
      <c r="E522" t="s">
        <v>116</v>
      </c>
      <c r="F522" s="114">
        <v>46.5</v>
      </c>
      <c r="G522" t="s">
        <v>174</v>
      </c>
      <c r="H522" s="131" cm="1">
        <f t="array" ref="H522">SUMPRODUCT(Tracking[Amount], -- (Tracking[[Date ]]&lt;= Tracking[[#This Row],[Date ]]), (Tracking[[Type ]]&lt;&gt;"Income")*(-1) + (Tracking[[Type ]]="Income"))</f>
        <v>3221.8300000000004</v>
      </c>
      <c r="I52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45621</v>
      </c>
    </row>
    <row r="523" spans="3:9" x14ac:dyDescent="0.3">
      <c r="C523" s="112">
        <v>45621</v>
      </c>
      <c r="D523" t="s">
        <v>9</v>
      </c>
      <c r="E523" t="s">
        <v>25</v>
      </c>
      <c r="F523" s="114">
        <v>13</v>
      </c>
      <c r="G523"/>
      <c r="H523" s="131" cm="1">
        <f t="array" ref="H523">SUMPRODUCT(Tracking[Amount], -- (Tracking[[Date ]]&lt;= Tracking[[#This Row],[Date ]]), (Tracking[[Type ]]&lt;&gt;"Income")*(-1) + (Tracking[[Type ]]="Income"))</f>
        <v>3221.8300000000004</v>
      </c>
      <c r="I52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45621</v>
      </c>
    </row>
    <row r="524" spans="3:9" x14ac:dyDescent="0.3">
      <c r="C524" s="112">
        <v>45621</v>
      </c>
      <c r="D524" t="s">
        <v>9</v>
      </c>
      <c r="E524" t="s">
        <v>26</v>
      </c>
      <c r="F524" s="114">
        <v>7.6</v>
      </c>
      <c r="G524"/>
      <c r="H524" s="131" cm="1">
        <f t="array" ref="H524">SUMPRODUCT(Tracking[Amount], -- (Tracking[[Date ]]&lt;= Tracking[[#This Row],[Date ]]), (Tracking[[Type ]]&lt;&gt;"Income")*(-1) + (Tracking[[Type ]]="Income"))</f>
        <v>3221.8300000000004</v>
      </c>
      <c r="I52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45621</v>
      </c>
    </row>
    <row r="525" spans="3:9" x14ac:dyDescent="0.3">
      <c r="C525" s="112">
        <v>45622</v>
      </c>
      <c r="D525" t="s">
        <v>9</v>
      </c>
      <c r="E525" t="s">
        <v>116</v>
      </c>
      <c r="F525" s="114">
        <v>13.5</v>
      </c>
      <c r="G525" t="s">
        <v>149</v>
      </c>
      <c r="H525" s="131" cm="1">
        <f t="array" ref="H525">SUMPRODUCT(Tracking[Amount], -- (Tracking[[Date ]]&lt;= Tracking[[#This Row],[Date ]]), (Tracking[[Type ]]&lt;&gt;"Income")*(-1) + (Tracking[[Type ]]="Income"))</f>
        <v>3208.3300000000004</v>
      </c>
      <c r="I52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45622</v>
      </c>
    </row>
    <row r="526" spans="3:9" x14ac:dyDescent="0.3">
      <c r="C526" s="112">
        <v>45627</v>
      </c>
      <c r="D526" t="s">
        <v>6</v>
      </c>
      <c r="E526" t="s">
        <v>19</v>
      </c>
      <c r="F526" s="114">
        <v>1080.5999999999999</v>
      </c>
      <c r="G526"/>
      <c r="H526" s="131" cm="1">
        <f t="array" ref="H526">SUMPRODUCT(Tracking[Amount], -- (Tracking[[Date ]]&lt;= Tracking[[#This Row],[Date ]]), (Tracking[[Type ]]&lt;&gt;"Income")*(-1) + (Tracking[[Type ]]="Income"))</f>
        <v>3826.2300000000005</v>
      </c>
      <c r="I52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45627</v>
      </c>
    </row>
    <row r="527" spans="3:9" x14ac:dyDescent="0.3">
      <c r="C527" s="112">
        <v>45592</v>
      </c>
      <c r="D527" t="s">
        <v>9</v>
      </c>
      <c r="E527" t="s">
        <v>20</v>
      </c>
      <c r="F527" s="114">
        <v>10</v>
      </c>
      <c r="G527"/>
      <c r="H527" s="131" cm="1">
        <f t="array" ref="H527">SUMPRODUCT(Tracking[Amount], -- (Tracking[[Date ]]&lt;= Tracking[[#This Row],[Date ]]), (Tracking[[Type ]]&lt;&gt;"Income")*(-1) + (Tracking[[Type ]]="Income"))</f>
        <v>3106.7500000000005</v>
      </c>
      <c r="I52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45592</v>
      </c>
    </row>
    <row r="528" spans="3:9" x14ac:dyDescent="0.3">
      <c r="C528" s="112">
        <v>45623</v>
      </c>
      <c r="D528" t="s">
        <v>9</v>
      </c>
      <c r="E528" t="s">
        <v>116</v>
      </c>
      <c r="F528" s="114">
        <v>6.5</v>
      </c>
      <c r="G528"/>
      <c r="H528" s="131" cm="1">
        <f t="array" ref="H528">SUMPRODUCT(Tracking[Amount], -- (Tracking[[Date ]]&lt;= Tracking[[#This Row],[Date ]]), (Tracking[[Type ]]&lt;&gt;"Income")*(-1) + (Tracking[[Type ]]="Income"))</f>
        <v>3201.8300000000004</v>
      </c>
      <c r="I52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45623</v>
      </c>
    </row>
    <row r="529" spans="3:9" x14ac:dyDescent="0.3">
      <c r="C529" s="112">
        <v>45624</v>
      </c>
      <c r="D529" t="s">
        <v>9</v>
      </c>
      <c r="E529" t="s">
        <v>116</v>
      </c>
      <c r="F529" s="114">
        <v>16.2</v>
      </c>
      <c r="G529"/>
      <c r="H529" s="131" cm="1">
        <f t="array" ref="H529">SUMPRODUCT(Tracking[Amount], -- (Tracking[[Date ]]&lt;= Tracking[[#This Row],[Date ]]), (Tracking[[Type ]]&lt;&gt;"Income")*(-1) + (Tracking[[Type ]]="Income"))</f>
        <v>3185.6300000000006</v>
      </c>
      <c r="I52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45624</v>
      </c>
    </row>
    <row r="530" spans="3:9" x14ac:dyDescent="0.3">
      <c r="C530" s="112">
        <v>45626</v>
      </c>
      <c r="D530" t="s">
        <v>9</v>
      </c>
      <c r="E530" t="s">
        <v>20</v>
      </c>
      <c r="F530" s="114">
        <v>32</v>
      </c>
      <c r="G530"/>
      <c r="H530" s="131" cm="1">
        <f t="array" ref="H530">SUMPRODUCT(Tracking[Amount], -- (Tracking[[Date ]]&lt;= Tracking[[#This Row],[Date ]]), (Tracking[[Type ]]&lt;&gt;"Income")*(-1) + (Tracking[[Type ]]="Income"))</f>
        <v>3079.1300000000006</v>
      </c>
      <c r="I53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45626</v>
      </c>
    </row>
    <row r="531" spans="3:9" x14ac:dyDescent="0.3">
      <c r="C531" s="112">
        <v>45626</v>
      </c>
      <c r="D531" t="s">
        <v>9</v>
      </c>
      <c r="E531" t="s">
        <v>116</v>
      </c>
      <c r="F531" s="114">
        <v>16</v>
      </c>
      <c r="G531"/>
      <c r="H531" s="131" cm="1">
        <f t="array" ref="H531">SUMPRODUCT(Tracking[Amount], -- (Tracking[[Date ]]&lt;= Tracking[[#This Row],[Date ]]), (Tracking[[Type ]]&lt;&gt;"Income")*(-1) + (Tracking[[Type ]]="Income"))</f>
        <v>3079.1300000000006</v>
      </c>
      <c r="I53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45626</v>
      </c>
    </row>
    <row r="532" spans="3:9" x14ac:dyDescent="0.3">
      <c r="C532" s="112">
        <v>45627</v>
      </c>
      <c r="D532" t="s">
        <v>6</v>
      </c>
      <c r="E532" t="s">
        <v>19</v>
      </c>
      <c r="F532" s="114">
        <v>70</v>
      </c>
      <c r="G532"/>
      <c r="H532" s="131" cm="1">
        <f t="array" ref="H532">SUMPRODUCT(Tracking[Amount], -- (Tracking[[Date ]]&lt;= Tracking[[#This Row],[Date ]]), (Tracking[[Type ]]&lt;&gt;"Income")*(-1) + (Tracking[[Type ]]="Income"))</f>
        <v>3826.2300000000005</v>
      </c>
      <c r="I53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45627</v>
      </c>
    </row>
    <row r="533" spans="3:9" x14ac:dyDescent="0.3">
      <c r="C533" s="112">
        <v>45626</v>
      </c>
      <c r="D533" t="s">
        <v>9</v>
      </c>
      <c r="E533" t="s">
        <v>26</v>
      </c>
      <c r="F533" s="114">
        <v>28.5</v>
      </c>
      <c r="G533"/>
      <c r="H533" s="131" cm="1">
        <f t="array" ref="H533">SUMPRODUCT(Tracking[Amount], -- (Tracking[[Date ]]&lt;= Tracking[[#This Row],[Date ]]), (Tracking[[Type ]]&lt;&gt;"Income")*(-1) + (Tracking[[Type ]]="Income"))</f>
        <v>3079.1300000000006</v>
      </c>
      <c r="I53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45626</v>
      </c>
    </row>
    <row r="534" spans="3:9" x14ac:dyDescent="0.3">
      <c r="C534" s="112">
        <v>45627</v>
      </c>
      <c r="D534" t="s">
        <v>9</v>
      </c>
      <c r="E534" t="s">
        <v>26</v>
      </c>
      <c r="F534" s="114">
        <v>3.5</v>
      </c>
      <c r="G534"/>
      <c r="H534" s="131" cm="1">
        <f t="array" ref="H534">SUMPRODUCT(Tracking[Amount], -- (Tracking[[Date ]]&lt;= Tracking[[#This Row],[Date ]]), (Tracking[[Type ]]&lt;&gt;"Income")*(-1) + (Tracking[[Type ]]="Income"))</f>
        <v>3826.2300000000005</v>
      </c>
      <c r="I53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45627</v>
      </c>
    </row>
    <row r="535" spans="3:9" x14ac:dyDescent="0.3">
      <c r="C535" s="112">
        <v>45627</v>
      </c>
      <c r="D535" t="s">
        <v>9</v>
      </c>
      <c r="E535" t="s">
        <v>131</v>
      </c>
      <c r="F535" s="114">
        <v>400</v>
      </c>
      <c r="G535"/>
      <c r="H535" s="131" cm="1">
        <f t="array" ref="H535">SUMPRODUCT(Tracking[Amount], -- (Tracking[[Date ]]&lt;= Tracking[[#This Row],[Date ]]), (Tracking[[Type ]]&lt;&gt;"Income")*(-1) + (Tracking[[Type ]]="Income"))</f>
        <v>3826.2300000000005</v>
      </c>
      <c r="I53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45627</v>
      </c>
    </row>
    <row r="536" spans="3:9" x14ac:dyDescent="0.3">
      <c r="C536" s="112">
        <v>45629</v>
      </c>
      <c r="D536" t="s">
        <v>9</v>
      </c>
      <c r="E536" t="s">
        <v>116</v>
      </c>
      <c r="F536" s="114">
        <v>5</v>
      </c>
      <c r="G536" t="s">
        <v>166</v>
      </c>
      <c r="H536" s="131" cm="1">
        <f t="array" ref="H536">SUMPRODUCT(Tracking[Amount], -- (Tracking[[Date ]]&lt;= Tracking[[#This Row],[Date ]]), (Tracking[[Type ]]&lt;&gt;"Income")*(-1) + (Tracking[[Type ]]="Income"))</f>
        <v>3801.2300000000005</v>
      </c>
      <c r="I53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45629</v>
      </c>
    </row>
    <row r="537" spans="3:9" x14ac:dyDescent="0.3">
      <c r="C537" s="112">
        <v>45629</v>
      </c>
      <c r="D537" t="s">
        <v>9</v>
      </c>
      <c r="E537" t="s">
        <v>116</v>
      </c>
      <c r="F537" s="114">
        <v>20</v>
      </c>
      <c r="G537" t="s">
        <v>138</v>
      </c>
      <c r="H537" s="131" cm="1">
        <f t="array" ref="H537">SUMPRODUCT(Tracking[Amount], -- (Tracking[[Date ]]&lt;= Tracking[[#This Row],[Date ]]), (Tracking[[Type ]]&lt;&gt;"Income")*(-1) + (Tracking[[Type ]]="Income"))</f>
        <v>3801.2300000000005</v>
      </c>
      <c r="I53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45629</v>
      </c>
    </row>
    <row r="538" spans="3:9" x14ac:dyDescent="0.3">
      <c r="C538" s="112">
        <v>45626</v>
      </c>
      <c r="D538" t="s">
        <v>9</v>
      </c>
      <c r="E538" t="s">
        <v>21</v>
      </c>
      <c r="F538" s="114">
        <v>30</v>
      </c>
      <c r="G538"/>
      <c r="H538" s="131" cm="1">
        <f t="array" ref="H538">SUMPRODUCT(Tracking[Amount], -- (Tracking[[Date ]]&lt;= Tracking[[#This Row],[Date ]]), (Tracking[[Type ]]&lt;&gt;"Income")*(-1) + (Tracking[[Type ]]="Income"))</f>
        <v>3079.1300000000006</v>
      </c>
      <c r="I53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45626</v>
      </c>
    </row>
    <row r="539" spans="3:9" x14ac:dyDescent="0.3">
      <c r="C539" s="112">
        <v>45633</v>
      </c>
      <c r="D539" t="s">
        <v>9</v>
      </c>
      <c r="E539" t="s">
        <v>26</v>
      </c>
      <c r="F539" s="114">
        <v>32.200000000000003</v>
      </c>
      <c r="G539"/>
      <c r="H539" s="131" cm="1">
        <f t="array" ref="H539">SUMPRODUCT(Tracking[Amount], -- (Tracking[[Date ]]&lt;= Tracking[[#This Row],[Date ]]), (Tracking[[Type ]]&lt;&gt;"Income")*(-1) + (Tracking[[Type ]]="Income"))</f>
        <v>3737.5500000000006</v>
      </c>
      <c r="I53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45633</v>
      </c>
    </row>
    <row r="540" spans="3:9" x14ac:dyDescent="0.3">
      <c r="C540" s="112">
        <v>45633</v>
      </c>
      <c r="D540" t="s">
        <v>9</v>
      </c>
      <c r="E540" t="s">
        <v>20</v>
      </c>
      <c r="F540" s="114">
        <v>31.48</v>
      </c>
      <c r="G540"/>
      <c r="H540" s="131" cm="1">
        <f t="array" ref="H540">SUMPRODUCT(Tracking[Amount], -- (Tracking[[Date ]]&lt;= Tracking[[#This Row],[Date ]]), (Tracking[[Type ]]&lt;&gt;"Income")*(-1) + (Tracking[[Type ]]="Income"))</f>
        <v>3737.5500000000006</v>
      </c>
      <c r="I54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45633</v>
      </c>
    </row>
    <row r="541" spans="3:9" x14ac:dyDescent="0.3">
      <c r="C541" s="112">
        <v>45636</v>
      </c>
      <c r="D541" t="s">
        <v>9</v>
      </c>
      <c r="E541" t="s">
        <v>116</v>
      </c>
      <c r="F541" s="114">
        <v>30</v>
      </c>
      <c r="G541" t="s">
        <v>175</v>
      </c>
      <c r="H541" s="131" cm="1">
        <f t="array" ref="H541">SUMPRODUCT(Tracking[Amount], -- (Tracking[[Date ]]&lt;= Tracking[[#This Row],[Date ]]), (Tracking[[Type ]]&lt;&gt;"Income")*(-1) + (Tracking[[Type ]]="Income"))</f>
        <v>3707.5500000000006</v>
      </c>
      <c r="I54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45636</v>
      </c>
    </row>
    <row r="542" spans="3:9" x14ac:dyDescent="0.3">
      <c r="C542" s="112">
        <v>45640</v>
      </c>
      <c r="D542" t="s">
        <v>9</v>
      </c>
      <c r="E542" t="s">
        <v>26</v>
      </c>
      <c r="F542" s="114">
        <v>58</v>
      </c>
      <c r="G542"/>
      <c r="H542" s="131" cm="1">
        <f t="array" ref="H542">SUMPRODUCT(Tracking[Amount], -- (Tracking[[Date ]]&lt;= Tracking[[#This Row],[Date ]]), (Tracking[[Type ]]&lt;&gt;"Income")*(-1) + (Tracking[[Type ]]="Income"))</f>
        <v>3785.8900000000008</v>
      </c>
      <c r="I54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45640</v>
      </c>
    </row>
    <row r="543" spans="3:9" x14ac:dyDescent="0.3">
      <c r="C543" s="112">
        <v>45640</v>
      </c>
      <c r="D543" t="s">
        <v>9</v>
      </c>
      <c r="E543" t="s">
        <v>20</v>
      </c>
      <c r="F543" s="114">
        <v>22.24</v>
      </c>
      <c r="G543"/>
      <c r="H543" s="131" cm="1">
        <f t="array" ref="H543">SUMPRODUCT(Tracking[Amount], -- (Tracking[[Date ]]&lt;= Tracking[[#This Row],[Date ]]), (Tracking[[Type ]]&lt;&gt;"Income")*(-1) + (Tracking[[Type ]]="Income"))</f>
        <v>3785.8900000000008</v>
      </c>
      <c r="I54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45640</v>
      </c>
    </row>
    <row r="544" spans="3:9" x14ac:dyDescent="0.3">
      <c r="C544" s="112">
        <v>45640</v>
      </c>
      <c r="D544" t="s">
        <v>6</v>
      </c>
      <c r="E544" t="s">
        <v>19</v>
      </c>
      <c r="F544" s="114">
        <v>158.58000000000001</v>
      </c>
      <c r="G544"/>
      <c r="H544" s="131" cm="1">
        <f t="array" ref="H544">SUMPRODUCT(Tracking[Amount], -- (Tracking[[Date ]]&lt;= Tracking[[#This Row],[Date ]]), (Tracking[[Type ]]&lt;&gt;"Income")*(-1) + (Tracking[[Type ]]="Income"))</f>
        <v>3785.8900000000008</v>
      </c>
      <c r="I54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45640</v>
      </c>
    </row>
    <row r="545" spans="3:9" x14ac:dyDescent="0.3">
      <c r="C545" s="112">
        <v>45645</v>
      </c>
      <c r="D545" t="s">
        <v>9</v>
      </c>
      <c r="E545" t="s">
        <v>116</v>
      </c>
      <c r="F545" s="114">
        <v>11.5</v>
      </c>
      <c r="G545"/>
      <c r="H545" s="131" cm="1">
        <f t="array" ref="H545">SUMPRODUCT(Tracking[Amount], -- (Tracking[[Date ]]&lt;= Tracking[[#This Row],[Date ]]), (Tracking[[Type ]]&lt;&gt;"Income")*(-1) + (Tracking[[Type ]]="Income"))</f>
        <v>3774.3900000000008</v>
      </c>
      <c r="I54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45645</v>
      </c>
    </row>
    <row r="546" spans="3:9" x14ac:dyDescent="0.3">
      <c r="C546" s="112">
        <v>45646</v>
      </c>
      <c r="D546" t="s">
        <v>9</v>
      </c>
      <c r="E546" t="s">
        <v>20</v>
      </c>
      <c r="F546" s="114">
        <v>22.15</v>
      </c>
      <c r="G546"/>
      <c r="H546" s="131" cm="1">
        <f t="array" ref="H546">SUMPRODUCT(Tracking[Amount], -- (Tracking[[Date ]]&lt;= Tracking[[#This Row],[Date ]]), (Tracking[[Type ]]&lt;&gt;"Income")*(-1) + (Tracking[[Type ]]="Income"))</f>
        <v>3732.2400000000007</v>
      </c>
      <c r="I54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45646</v>
      </c>
    </row>
    <row r="547" spans="3:9" x14ac:dyDescent="0.3">
      <c r="C547" s="112">
        <v>45646</v>
      </c>
      <c r="D547" t="s">
        <v>9</v>
      </c>
      <c r="E547" t="s">
        <v>116</v>
      </c>
      <c r="F547" s="114">
        <v>20</v>
      </c>
      <c r="G547"/>
      <c r="H547" s="131" cm="1">
        <f t="array" ref="H547">SUMPRODUCT(Tracking[Amount], -- (Tracking[[Date ]]&lt;= Tracking[[#This Row],[Date ]]), (Tracking[[Type ]]&lt;&gt;"Income")*(-1) + (Tracking[[Type ]]="Income"))</f>
        <v>3732.2400000000007</v>
      </c>
      <c r="I54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45646</v>
      </c>
    </row>
    <row r="548" spans="3:9" x14ac:dyDescent="0.3">
      <c r="C548" s="112">
        <v>45647</v>
      </c>
      <c r="D548" t="s">
        <v>9</v>
      </c>
      <c r="E548" t="s">
        <v>121</v>
      </c>
      <c r="F548" s="114">
        <v>2.1</v>
      </c>
      <c r="G548"/>
      <c r="H548" s="131" cm="1">
        <f t="array" ref="H548">SUMPRODUCT(Tracking[Amount], -- (Tracking[[Date ]]&lt;= Tracking[[#This Row],[Date ]]), (Tracking[[Type ]]&lt;&gt;"Income")*(-1) + (Tracking[[Type ]]="Income"))</f>
        <v>3730.1400000000008</v>
      </c>
      <c r="I54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45647</v>
      </c>
    </row>
    <row r="549" spans="3:9" x14ac:dyDescent="0.3">
      <c r="C549" s="112">
        <v>45648</v>
      </c>
      <c r="D549" t="s">
        <v>9</v>
      </c>
      <c r="E549" t="s">
        <v>26</v>
      </c>
      <c r="F549" s="114">
        <v>8.5</v>
      </c>
      <c r="G549"/>
      <c r="H549" s="131" cm="1">
        <f t="array" ref="H549">SUMPRODUCT(Tracking[Amount], -- (Tracking[[Date ]]&lt;= Tracking[[#This Row],[Date ]]), (Tracking[[Type ]]&lt;&gt;"Income")*(-1) + (Tracking[[Type ]]="Income"))</f>
        <v>3721.6400000000008</v>
      </c>
      <c r="I54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45648</v>
      </c>
    </row>
    <row r="550" spans="3:9" x14ac:dyDescent="0.3">
      <c r="C550" s="112">
        <v>45649</v>
      </c>
      <c r="D550" t="s">
        <v>9</v>
      </c>
      <c r="E550" t="s">
        <v>25</v>
      </c>
      <c r="F550" s="114">
        <v>13</v>
      </c>
      <c r="G550"/>
      <c r="H550" s="131" cm="1">
        <f t="array" ref="H550">SUMPRODUCT(Tracking[Amount], -- (Tracking[[Date ]]&lt;= Tracking[[#This Row],[Date ]]), (Tracking[[Type ]]&lt;&gt;"Income")*(-1) + (Tracking[[Type ]]="Income"))</f>
        <v>3708.6400000000008</v>
      </c>
      <c r="I55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45649</v>
      </c>
    </row>
    <row r="551" spans="3:9" x14ac:dyDescent="0.3">
      <c r="C551" s="112">
        <v>45650</v>
      </c>
      <c r="D551" t="s">
        <v>9</v>
      </c>
      <c r="E551" t="s">
        <v>26</v>
      </c>
      <c r="F551" s="114">
        <v>14.6</v>
      </c>
      <c r="G551"/>
      <c r="H551" s="131" cm="1">
        <f t="array" ref="H551">SUMPRODUCT(Tracking[Amount], -- (Tracking[[Date ]]&lt;= Tracking[[#This Row],[Date ]]), (Tracking[[Type ]]&lt;&gt;"Income")*(-1) + (Tracking[[Type ]]="Income"))</f>
        <v>3694.0400000000009</v>
      </c>
      <c r="I55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45650</v>
      </c>
    </row>
    <row r="552" spans="3:9" x14ac:dyDescent="0.3">
      <c r="C552" s="112">
        <v>45651</v>
      </c>
      <c r="D552" t="s">
        <v>9</v>
      </c>
      <c r="E552" t="s">
        <v>116</v>
      </c>
      <c r="F552" s="114">
        <v>46.5</v>
      </c>
      <c r="G552" t="s">
        <v>174</v>
      </c>
      <c r="H552" s="131" cm="1">
        <f t="array" ref="H552">SUMPRODUCT(Tracking[Amount], -- (Tracking[[Date ]]&lt;= Tracking[[#This Row],[Date ]]), (Tracking[[Type ]]&lt;&gt;"Income")*(-1) + (Tracking[[Type ]]="Income"))</f>
        <v>3671.0400000000009</v>
      </c>
      <c r="I55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45651</v>
      </c>
    </row>
    <row r="553" spans="3:9" x14ac:dyDescent="0.3">
      <c r="C553" s="112">
        <v>45651</v>
      </c>
      <c r="D553" t="s">
        <v>9</v>
      </c>
      <c r="E553" t="s">
        <v>116</v>
      </c>
      <c r="F553" s="114">
        <v>19</v>
      </c>
      <c r="G553" t="s">
        <v>176</v>
      </c>
      <c r="H553" s="131" cm="1">
        <f t="array" ref="H553">SUMPRODUCT(Tracking[Amount], -- (Tracking[[Date ]]&lt;= Tracking[[#This Row],[Date ]]), (Tracking[[Type ]]&lt;&gt;"Income")*(-1) + (Tracking[[Type ]]="Income"))</f>
        <v>3671.0400000000009</v>
      </c>
      <c r="I55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45651</v>
      </c>
    </row>
    <row r="554" spans="3:9" x14ac:dyDescent="0.3">
      <c r="C554" s="112">
        <v>45651</v>
      </c>
      <c r="D554" t="s">
        <v>6</v>
      </c>
      <c r="E554" t="s">
        <v>19</v>
      </c>
      <c r="F554" s="114">
        <v>42.5</v>
      </c>
      <c r="G554" t="s">
        <v>177</v>
      </c>
      <c r="H554" s="131" cm="1">
        <f t="array" ref="H554">SUMPRODUCT(Tracking[Amount], -- (Tracking[[Date ]]&lt;= Tracking[[#This Row],[Date ]]), (Tracking[[Type ]]&lt;&gt;"Income")*(-1) + (Tracking[[Type ]]="Income"))</f>
        <v>3671.0400000000009</v>
      </c>
      <c r="I55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45658</v>
      </c>
    </row>
    <row r="555" spans="3:9" x14ac:dyDescent="0.3">
      <c r="C555" s="112">
        <v>45658</v>
      </c>
      <c r="D555" t="s">
        <v>6</v>
      </c>
      <c r="E555" t="s">
        <v>19</v>
      </c>
      <c r="F555" s="114">
        <v>1151.6099999999999</v>
      </c>
      <c r="G555"/>
      <c r="H555" s="131" cm="1">
        <f t="array" ref="H555">SUMPRODUCT(Tracking[Amount], -- (Tracking[[Date ]]&lt;= Tracking[[#This Row],[Date ]]), (Tracking[[Type ]]&lt;&gt;"Income")*(-1) + (Tracking[[Type ]]="Income"))</f>
        <v>4213.6100000000006</v>
      </c>
      <c r="I55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45658</v>
      </c>
    </row>
    <row r="556" spans="3:9" x14ac:dyDescent="0.3">
      <c r="C556" s="112">
        <v>45652</v>
      </c>
      <c r="D556" t="s">
        <v>9</v>
      </c>
      <c r="E556" t="s">
        <v>26</v>
      </c>
      <c r="F556" s="114">
        <v>11.6</v>
      </c>
      <c r="G556"/>
      <c r="H556" s="131" cm="1">
        <f t="array" ref="H556">SUMPRODUCT(Tracking[Amount], -- (Tracking[[Date ]]&lt;= Tracking[[#This Row],[Date ]]), (Tracking[[Type ]]&lt;&gt;"Income")*(-1) + (Tracking[[Type ]]="Income"))</f>
        <v>3659.440000000001</v>
      </c>
      <c r="I55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45652</v>
      </c>
    </row>
    <row r="557" spans="3:9" x14ac:dyDescent="0.3">
      <c r="C557" s="112">
        <v>45654</v>
      </c>
      <c r="D557" t="s">
        <v>9</v>
      </c>
      <c r="E557" t="s">
        <v>27</v>
      </c>
      <c r="F557" s="114">
        <v>124.5</v>
      </c>
      <c r="G557"/>
      <c r="H557" s="131" cm="1">
        <f t="array" ref="H557">SUMPRODUCT(Tracking[Amount], -- (Tracking[[Date ]]&lt;= Tracking[[#This Row],[Date ]]), (Tracking[[Type ]]&lt;&gt;"Income")*(-1) + (Tracking[[Type ]]="Income"))</f>
        <v>3534.940000000001</v>
      </c>
      <c r="I55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45654</v>
      </c>
    </row>
    <row r="558" spans="3:9" x14ac:dyDescent="0.3">
      <c r="C558" s="112">
        <v>45657</v>
      </c>
      <c r="D558" t="s">
        <v>9</v>
      </c>
      <c r="E558" t="s">
        <v>26</v>
      </c>
      <c r="F558" s="114">
        <v>4.5</v>
      </c>
      <c r="G558"/>
      <c r="H558" s="131" cm="1">
        <f t="array" ref="H558">SUMPRODUCT(Tracking[Amount], -- (Tracking[[Date ]]&lt;= Tracking[[#This Row],[Date ]]), (Tracking[[Type ]]&lt;&gt;"Income")*(-1) + (Tracking[[Type ]]="Income"))</f>
        <v>3462.0000000000009</v>
      </c>
      <c r="I55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45657</v>
      </c>
    </row>
    <row r="559" spans="3:9" x14ac:dyDescent="0.3">
      <c r="C559" s="112">
        <v>45658</v>
      </c>
      <c r="D559" t="s">
        <v>9</v>
      </c>
      <c r="E559" t="s">
        <v>131</v>
      </c>
      <c r="F559" s="114">
        <v>400</v>
      </c>
      <c r="G559"/>
      <c r="H559" s="131" cm="1">
        <f t="array" ref="H559">SUMPRODUCT(Tracking[Amount], -- (Tracking[[Date ]]&lt;= Tracking[[#This Row],[Date ]]), (Tracking[[Type ]]&lt;&gt;"Income")*(-1) + (Tracking[[Type ]]="Income"))</f>
        <v>4213.6100000000006</v>
      </c>
      <c r="I55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45658</v>
      </c>
    </row>
    <row r="560" spans="3:9" x14ac:dyDescent="0.3">
      <c r="C560" s="112">
        <v>45660</v>
      </c>
      <c r="D560" t="s">
        <v>9</v>
      </c>
      <c r="E560" t="s">
        <v>116</v>
      </c>
      <c r="F560" s="114">
        <v>8</v>
      </c>
      <c r="G560"/>
      <c r="H560" s="131" cm="1">
        <f t="array" ref="H560">SUMPRODUCT(Tracking[Amount], -- (Tracking[[Date ]]&lt;= Tracking[[#This Row],[Date ]]), (Tracking[[Type ]]&lt;&gt;"Income")*(-1) + (Tracking[[Type ]]="Income"))</f>
        <v>4191.6100000000006</v>
      </c>
      <c r="I56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45660</v>
      </c>
    </row>
    <row r="561" spans="3:9" x14ac:dyDescent="0.3">
      <c r="C561" s="112">
        <v>45660</v>
      </c>
      <c r="D561" t="s">
        <v>9</v>
      </c>
      <c r="E561" t="s">
        <v>26</v>
      </c>
      <c r="F561" s="114">
        <v>14</v>
      </c>
      <c r="G561"/>
      <c r="H561" s="131" cm="1">
        <f t="array" ref="H561">SUMPRODUCT(Tracking[Amount], -- (Tracking[[Date ]]&lt;= Tracking[[#This Row],[Date ]]), (Tracking[[Type ]]&lt;&gt;"Income")*(-1) + (Tracking[[Type ]]="Income"))</f>
        <v>4191.6100000000006</v>
      </c>
      <c r="I56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45660</v>
      </c>
    </row>
    <row r="562" spans="3:9" x14ac:dyDescent="0.3">
      <c r="C562" s="112">
        <v>45661</v>
      </c>
      <c r="D562" t="s">
        <v>9</v>
      </c>
      <c r="E562" t="s">
        <v>26</v>
      </c>
      <c r="F562" s="114">
        <v>3</v>
      </c>
      <c r="G562"/>
      <c r="H562" s="131" cm="1">
        <f t="array" ref="H562">SUMPRODUCT(Tracking[Amount], -- (Tracking[[Date ]]&lt;= Tracking[[#This Row],[Date ]]), (Tracking[[Type ]]&lt;&gt;"Income")*(-1) + (Tracking[[Type ]]="Income"))</f>
        <v>4188.6100000000006</v>
      </c>
      <c r="I56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45661</v>
      </c>
    </row>
    <row r="563" spans="3:9" x14ac:dyDescent="0.3">
      <c r="C563" s="112">
        <v>45657</v>
      </c>
      <c r="D563" t="s">
        <v>9</v>
      </c>
      <c r="E563" t="s">
        <v>21</v>
      </c>
      <c r="F563" s="114">
        <v>43</v>
      </c>
      <c r="G563"/>
      <c r="H563" s="131" cm="1">
        <f t="array" ref="H563">SUMPRODUCT(Tracking[Amount], -- (Tracking[[Date ]]&lt;= Tracking[[#This Row],[Date ]]), (Tracking[[Type ]]&lt;&gt;"Income")*(-1) + (Tracking[[Type ]]="Income"))</f>
        <v>3462.0000000000009</v>
      </c>
      <c r="I56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45657</v>
      </c>
    </row>
    <row r="564" spans="3:9" x14ac:dyDescent="0.3">
      <c r="C564" s="112">
        <v>45665</v>
      </c>
      <c r="D564" t="s">
        <v>9</v>
      </c>
      <c r="E564" t="s">
        <v>27</v>
      </c>
      <c r="F564" s="114">
        <v>55.39</v>
      </c>
      <c r="G564"/>
      <c r="H564" s="131" cm="1">
        <f t="array" ref="H564">SUMPRODUCT(Tracking[Amount], -- (Tracking[[Date ]]&lt;= Tracking[[#This Row],[Date ]]), (Tracking[[Type ]]&lt;&gt;"Income")*(-1) + (Tracking[[Type ]]="Income"))</f>
        <v>4129.22</v>
      </c>
      <c r="I56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45665</v>
      </c>
    </row>
    <row r="565" spans="3:9" x14ac:dyDescent="0.3">
      <c r="C565" s="112">
        <v>45665</v>
      </c>
      <c r="D565" t="s">
        <v>9</v>
      </c>
      <c r="E565" t="s">
        <v>26</v>
      </c>
      <c r="F565" s="114">
        <v>4</v>
      </c>
      <c r="G565"/>
      <c r="H565" s="131" cm="1">
        <f t="array" ref="H565">SUMPRODUCT(Tracking[Amount], -- (Tracking[[Date ]]&lt;= Tracking[[#This Row],[Date ]]), (Tracking[[Type ]]&lt;&gt;"Income")*(-1) + (Tracking[[Type ]]="Income"))</f>
        <v>4129.22</v>
      </c>
      <c r="I56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45665</v>
      </c>
    </row>
    <row r="566" spans="3:9" x14ac:dyDescent="0.3">
      <c r="C566" s="112">
        <v>45666</v>
      </c>
      <c r="D566" t="s">
        <v>9</v>
      </c>
      <c r="E566" t="s">
        <v>140</v>
      </c>
      <c r="F566" s="114">
        <v>16.05</v>
      </c>
      <c r="G566"/>
      <c r="H566" s="131" cm="1">
        <f t="array" ref="H566">SUMPRODUCT(Tracking[Amount], -- (Tracking[[Date ]]&lt;= Tracking[[#This Row],[Date ]]), (Tracking[[Type ]]&lt;&gt;"Income")*(-1) + (Tracking[[Type ]]="Income"))</f>
        <v>4113.17</v>
      </c>
      <c r="I56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45666</v>
      </c>
    </row>
    <row r="567" spans="3:9" x14ac:dyDescent="0.3">
      <c r="C567" s="112">
        <v>45667</v>
      </c>
      <c r="D567" t="s">
        <v>9</v>
      </c>
      <c r="E567" t="s">
        <v>143</v>
      </c>
      <c r="F567" s="114">
        <v>14</v>
      </c>
      <c r="G567"/>
      <c r="H567" s="131" cm="1">
        <f t="array" ref="H567">SUMPRODUCT(Tracking[Amount], -- (Tracking[[Date ]]&lt;= Tracking[[#This Row],[Date ]]), (Tracking[[Type ]]&lt;&gt;"Income")*(-1) + (Tracking[[Type ]]="Income"))</f>
        <v>4020.3399999999992</v>
      </c>
      <c r="I56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45667</v>
      </c>
    </row>
    <row r="568" spans="3:9" x14ac:dyDescent="0.3">
      <c r="C568" s="112">
        <v>45667</v>
      </c>
      <c r="D568" t="s">
        <v>9</v>
      </c>
      <c r="E568" t="s">
        <v>116</v>
      </c>
      <c r="F568" s="114">
        <v>13.5</v>
      </c>
      <c r="G568" t="s">
        <v>159</v>
      </c>
      <c r="H568" s="131" cm="1">
        <f t="array" ref="H568">SUMPRODUCT(Tracking[Amount], -- (Tracking[[Date ]]&lt;= Tracking[[#This Row],[Date ]]), (Tracking[[Type ]]&lt;&gt;"Income")*(-1) + (Tracking[[Type ]]="Income"))</f>
        <v>4020.3399999999992</v>
      </c>
      <c r="I56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45667</v>
      </c>
    </row>
    <row r="569" spans="3:9" x14ac:dyDescent="0.3">
      <c r="C569" s="112">
        <v>45667</v>
      </c>
      <c r="D569" t="s">
        <v>9</v>
      </c>
      <c r="E569" t="s">
        <v>24</v>
      </c>
      <c r="F569" s="114">
        <v>24.76</v>
      </c>
      <c r="G569"/>
      <c r="H569" s="131" cm="1">
        <f t="array" ref="H569">SUMPRODUCT(Tracking[Amount], -- (Tracking[[Date ]]&lt;= Tracking[[#This Row],[Date ]]), (Tracking[[Type ]]&lt;&gt;"Income")*(-1) + (Tracking[[Type ]]="Income"))</f>
        <v>4020.3399999999992</v>
      </c>
      <c r="I56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45667</v>
      </c>
    </row>
    <row r="570" spans="3:9" x14ac:dyDescent="0.3">
      <c r="C570" s="112">
        <v>45667</v>
      </c>
      <c r="D570" t="s">
        <v>9</v>
      </c>
      <c r="E570" t="s">
        <v>20</v>
      </c>
      <c r="F570" s="114">
        <v>31.67</v>
      </c>
      <c r="G570"/>
      <c r="H570" s="131" cm="1">
        <f t="array" ref="H570">SUMPRODUCT(Tracking[Amount], -- (Tracking[[Date ]]&lt;= Tracking[[#This Row],[Date ]]), (Tracking[[Type ]]&lt;&gt;"Income")*(-1) + (Tracking[[Type ]]="Income"))</f>
        <v>4020.3399999999992</v>
      </c>
      <c r="I57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45667</v>
      </c>
    </row>
    <row r="571" spans="3:9" x14ac:dyDescent="0.3">
      <c r="C571" s="112">
        <v>45667</v>
      </c>
      <c r="D571" t="s">
        <v>9</v>
      </c>
      <c r="E571" t="s">
        <v>116</v>
      </c>
      <c r="F571" s="114">
        <v>8.9</v>
      </c>
      <c r="G571"/>
      <c r="H571" s="131" cm="1">
        <f t="array" ref="H571">SUMPRODUCT(Tracking[Amount], -- (Tracking[[Date ]]&lt;= Tracking[[#This Row],[Date ]]), (Tracking[[Type ]]&lt;&gt;"Income")*(-1) + (Tracking[[Type ]]="Income"))</f>
        <v>4020.3399999999992</v>
      </c>
      <c r="I57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45667</v>
      </c>
    </row>
    <row r="572" spans="3:9" x14ac:dyDescent="0.3">
      <c r="C572" s="112">
        <v>45668</v>
      </c>
      <c r="D572" t="s">
        <v>9</v>
      </c>
      <c r="E572" t="s">
        <v>20</v>
      </c>
      <c r="F572" s="114">
        <v>7.17</v>
      </c>
      <c r="G572"/>
      <c r="H572" s="131" cm="1">
        <f t="array" ref="H572">SUMPRODUCT(Tracking[Amount], -- (Tracking[[Date ]]&lt;= Tracking[[#This Row],[Date ]]), (Tracking[[Type ]]&lt;&gt;"Income")*(-1) + (Tracking[[Type ]]="Income"))</f>
        <v>4006.1699999999992</v>
      </c>
      <c r="I57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45668</v>
      </c>
    </row>
    <row r="573" spans="3:9" x14ac:dyDescent="0.3">
      <c r="C573" s="112">
        <v>45668</v>
      </c>
      <c r="D573" t="s">
        <v>9</v>
      </c>
      <c r="E573" t="s">
        <v>26</v>
      </c>
      <c r="F573" s="114">
        <v>7</v>
      </c>
      <c r="G573"/>
      <c r="H573" s="131" cm="1">
        <f t="array" ref="H573">SUMPRODUCT(Tracking[Amount], -- (Tracking[[Date ]]&lt;= Tracking[[#This Row],[Date ]]), (Tracking[[Type ]]&lt;&gt;"Income")*(-1) + (Tracking[[Type ]]="Income"))</f>
        <v>4006.1699999999992</v>
      </c>
      <c r="I57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45668</v>
      </c>
    </row>
    <row r="574" spans="3:9" x14ac:dyDescent="0.3">
      <c r="C574" s="112">
        <v>45671</v>
      </c>
      <c r="D574" t="s">
        <v>9</v>
      </c>
      <c r="E574" t="s">
        <v>116</v>
      </c>
      <c r="F574" s="114">
        <v>20.2</v>
      </c>
      <c r="G574"/>
      <c r="H574" s="131" cm="1">
        <f t="array" ref="H574">SUMPRODUCT(Tracking[Amount], -- (Tracking[[Date ]]&lt;= Tracking[[#This Row],[Date ]]), (Tracking[[Type ]]&lt;&gt;"Income")*(-1) + (Tracking[[Type ]]="Income"))</f>
        <v>3980.9699999999993</v>
      </c>
      <c r="I57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45671</v>
      </c>
    </row>
    <row r="575" spans="3:9" x14ac:dyDescent="0.3">
      <c r="C575" s="112">
        <v>45671</v>
      </c>
      <c r="D575" t="s">
        <v>9</v>
      </c>
      <c r="E575" t="s">
        <v>116</v>
      </c>
      <c r="F575" s="114">
        <v>5</v>
      </c>
      <c r="G575"/>
      <c r="H575" s="131" cm="1">
        <f t="array" ref="H575">SUMPRODUCT(Tracking[Amount], -- (Tracking[[Date ]]&lt;= Tracking[[#This Row],[Date ]]), (Tracking[[Type ]]&lt;&gt;"Income")*(-1) + (Tracking[[Type ]]="Income"))</f>
        <v>3980.9699999999993</v>
      </c>
      <c r="I57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45671</v>
      </c>
    </row>
    <row r="576" spans="3:9" x14ac:dyDescent="0.3">
      <c r="C576" s="112">
        <v>45675</v>
      </c>
      <c r="D576" t="s">
        <v>9</v>
      </c>
      <c r="E576" t="s">
        <v>26</v>
      </c>
      <c r="F576" s="114">
        <v>18</v>
      </c>
      <c r="G576"/>
      <c r="H576" s="131" cm="1">
        <f t="array" ref="H576">SUMPRODUCT(Tracking[Amount], -- (Tracking[[Date ]]&lt;= Tracking[[#This Row],[Date ]]), (Tracking[[Type ]]&lt;&gt;"Income")*(-1) + (Tracking[[Type ]]="Income"))</f>
        <v>3927.7299999999996</v>
      </c>
      <c r="I57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45675</v>
      </c>
    </row>
    <row r="577" spans="3:9" x14ac:dyDescent="0.3">
      <c r="C577" s="112">
        <v>45675</v>
      </c>
      <c r="D577" t="s">
        <v>9</v>
      </c>
      <c r="E577" t="s">
        <v>20</v>
      </c>
      <c r="F577" s="114">
        <v>35.24</v>
      </c>
      <c r="G577"/>
      <c r="H577" s="131" cm="1">
        <f t="array" ref="H577">SUMPRODUCT(Tracking[Amount], -- (Tracking[[Date ]]&lt;= Tracking[[#This Row],[Date ]]), (Tracking[[Type ]]&lt;&gt;"Income")*(-1) + (Tracking[[Type ]]="Income"))</f>
        <v>3927.7299999999996</v>
      </c>
      <c r="I57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45675</v>
      </c>
    </row>
    <row r="578" spans="3:9" x14ac:dyDescent="0.3">
      <c r="C578" s="112">
        <v>45676</v>
      </c>
      <c r="D578" t="s">
        <v>9</v>
      </c>
      <c r="E578" t="s">
        <v>25</v>
      </c>
      <c r="F578" s="114">
        <v>13</v>
      </c>
      <c r="G578"/>
      <c r="H578" s="131" cm="1">
        <f t="array" ref="H578">SUMPRODUCT(Tracking[Amount], -- (Tracking[[Date ]]&lt;= Tracking[[#This Row],[Date ]]), (Tracking[[Type ]]&lt;&gt;"Income")*(-1) + (Tracking[[Type ]]="Income"))</f>
        <v>3914.7299999999996</v>
      </c>
      <c r="I57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45676</v>
      </c>
    </row>
    <row r="579" spans="3:9" x14ac:dyDescent="0.3">
      <c r="C579" s="112">
        <v>45677</v>
      </c>
      <c r="D579" t="s">
        <v>9</v>
      </c>
      <c r="E579" t="s">
        <v>121</v>
      </c>
      <c r="F579" s="114">
        <v>7.1</v>
      </c>
      <c r="G579"/>
      <c r="H579" s="131" cm="1">
        <f t="array" ref="H579">SUMPRODUCT(Tracking[Amount], -- (Tracking[[Date ]]&lt;= Tracking[[#This Row],[Date ]]), (Tracking[[Type ]]&lt;&gt;"Income")*(-1) + (Tracking[[Type ]]="Income"))</f>
        <v>3907.6299999999997</v>
      </c>
      <c r="I57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45677</v>
      </c>
    </row>
    <row r="580" spans="3:9" x14ac:dyDescent="0.3">
      <c r="C580" s="112">
        <v>45678</v>
      </c>
      <c r="D580" t="s">
        <v>9</v>
      </c>
      <c r="E580" t="s">
        <v>27</v>
      </c>
      <c r="F580" s="114">
        <v>55.82</v>
      </c>
      <c r="G580"/>
      <c r="H580" s="131" cm="1">
        <f t="array" ref="H580">SUMPRODUCT(Tracking[Amount], -- (Tracking[[Date ]]&lt;= Tracking[[#This Row],[Date ]]), (Tracking[[Type ]]&lt;&gt;"Income")*(-1) + (Tracking[[Type ]]="Income"))</f>
        <v>3851.8099999999995</v>
      </c>
      <c r="I58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45678</v>
      </c>
    </row>
    <row r="581" spans="3:9" x14ac:dyDescent="0.3">
      <c r="C581" s="112">
        <v>45680</v>
      </c>
      <c r="D581" t="s">
        <v>9</v>
      </c>
      <c r="E581" t="s">
        <v>116</v>
      </c>
      <c r="F581" s="114">
        <v>10.5</v>
      </c>
      <c r="G581"/>
      <c r="H581" s="131" cm="1">
        <f t="array" ref="H581">SUMPRODUCT(Tracking[Amount], -- (Tracking[[Date ]]&lt;= Tracking[[#This Row],[Date ]]), (Tracking[[Type ]]&lt;&gt;"Income")*(-1) + (Tracking[[Type ]]="Income"))</f>
        <v>3841.3099999999995</v>
      </c>
      <c r="I58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45680</v>
      </c>
    </row>
    <row r="582" spans="3:9" x14ac:dyDescent="0.3">
      <c r="C582" s="112">
        <v>45681</v>
      </c>
      <c r="D582" t="s">
        <v>9</v>
      </c>
      <c r="E582" t="s">
        <v>25</v>
      </c>
      <c r="F582" s="114">
        <v>13</v>
      </c>
      <c r="G582"/>
      <c r="H582" s="131" cm="1">
        <f t="array" ref="H582">SUMPRODUCT(Tracking[Amount], -- (Tracking[[Date ]]&lt;= Tracking[[#This Row],[Date ]]), (Tracking[[Type ]]&lt;&gt;"Income")*(-1) + (Tracking[[Type ]]="Income"))</f>
        <v>3765.0699999999993</v>
      </c>
      <c r="I58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45681</v>
      </c>
    </row>
    <row r="583" spans="3:9" x14ac:dyDescent="0.3">
      <c r="C583" s="112">
        <v>45681</v>
      </c>
      <c r="D583" t="s">
        <v>9</v>
      </c>
      <c r="E583" t="s">
        <v>20</v>
      </c>
      <c r="F583" s="114">
        <v>37.799999999999997</v>
      </c>
      <c r="G583"/>
      <c r="H583" s="131" cm="1">
        <f t="array" ref="H583">SUMPRODUCT(Tracking[Amount], -- (Tracking[[Date ]]&lt;= Tracking[[#This Row],[Date ]]), (Tracking[[Type ]]&lt;&gt;"Income")*(-1) + (Tracking[[Type ]]="Income"))</f>
        <v>3765.0699999999993</v>
      </c>
      <c r="I58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45681</v>
      </c>
    </row>
    <row r="584" spans="3:9" x14ac:dyDescent="0.3">
      <c r="C584" s="112">
        <v>45682</v>
      </c>
      <c r="D584" t="s">
        <v>9</v>
      </c>
      <c r="E584" t="s">
        <v>26</v>
      </c>
      <c r="F584" s="114">
        <v>21.6</v>
      </c>
      <c r="G584"/>
      <c r="H584" s="131" cm="1">
        <f t="array" ref="H584">SUMPRODUCT(Tracking[Amount], -- (Tracking[[Date ]]&lt;= Tracking[[#This Row],[Date ]]), (Tracking[[Type ]]&lt;&gt;"Income")*(-1) + (Tracking[[Type ]]="Income"))</f>
        <v>3714.4699999999993</v>
      </c>
      <c r="I58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45682</v>
      </c>
    </row>
    <row r="585" spans="3:9" x14ac:dyDescent="0.3">
      <c r="C585" s="112">
        <v>45682</v>
      </c>
      <c r="D585" t="s">
        <v>9</v>
      </c>
      <c r="E585" t="s">
        <v>26</v>
      </c>
      <c r="F585" s="114">
        <v>24</v>
      </c>
      <c r="G585"/>
      <c r="H585" s="131" cm="1">
        <f t="array" ref="H585">SUMPRODUCT(Tracking[Amount], -- (Tracking[[Date ]]&lt;= Tracking[[#This Row],[Date ]]), (Tracking[[Type ]]&lt;&gt;"Income")*(-1) + (Tracking[[Type ]]="Income"))</f>
        <v>3714.4699999999993</v>
      </c>
      <c r="I58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45682</v>
      </c>
    </row>
    <row r="586" spans="3:9" x14ac:dyDescent="0.3">
      <c r="C586" s="112">
        <v>45682</v>
      </c>
      <c r="D586" t="s">
        <v>9</v>
      </c>
      <c r="E586" t="s">
        <v>26</v>
      </c>
      <c r="F586" s="114">
        <v>5</v>
      </c>
      <c r="G586"/>
      <c r="H586" s="131" cm="1">
        <f t="array" ref="H586">SUMPRODUCT(Tracking[Amount], -- (Tracking[[Date ]]&lt;= Tracking[[#This Row],[Date ]]), (Tracking[[Type ]]&lt;&gt;"Income")*(-1) + (Tracking[[Type ]]="Income"))</f>
        <v>3714.4699999999993</v>
      </c>
      <c r="I58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45682</v>
      </c>
    </row>
    <row r="587" spans="3:9" x14ac:dyDescent="0.3">
      <c r="C587" s="112">
        <v>45685</v>
      </c>
      <c r="D587" t="s">
        <v>9</v>
      </c>
      <c r="E587" t="s">
        <v>22</v>
      </c>
      <c r="F587" s="114">
        <v>10.64</v>
      </c>
      <c r="G587"/>
      <c r="H587" s="131" cm="1">
        <f t="array" ref="H587">SUMPRODUCT(Tracking[Amount], -- (Tracking[[Date ]]&lt;= Tracking[[#This Row],[Date ]]), (Tracking[[Type ]]&lt;&gt;"Income")*(-1) + (Tracking[[Type ]]="Income"))</f>
        <v>3703.8299999999995</v>
      </c>
      <c r="I58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45685</v>
      </c>
    </row>
    <row r="588" spans="3:9" x14ac:dyDescent="0.3">
      <c r="C588" s="112">
        <v>45686</v>
      </c>
      <c r="D588" t="s">
        <v>9</v>
      </c>
      <c r="E588" t="s">
        <v>20</v>
      </c>
      <c r="F588" s="114">
        <v>40.32</v>
      </c>
      <c r="G588"/>
      <c r="H588" s="131" cm="1">
        <f t="array" ref="H588">SUMPRODUCT(Tracking[Amount], -- (Tracking[[Date ]]&lt;= Tracking[[#This Row],[Date ]]), (Tracking[[Type ]]&lt;&gt;"Income")*(-1) + (Tracking[[Type ]]="Income"))</f>
        <v>3663.5099999999993</v>
      </c>
      <c r="I58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45686</v>
      </c>
    </row>
    <row r="589" spans="3:9" x14ac:dyDescent="0.3">
      <c r="C589" s="112">
        <v>45687</v>
      </c>
      <c r="D589" t="s">
        <v>9</v>
      </c>
      <c r="E589" t="s">
        <v>20</v>
      </c>
      <c r="F589" s="114">
        <v>27.44</v>
      </c>
      <c r="G589"/>
      <c r="H589" s="131" cm="1">
        <f t="array" ref="H589">SUMPRODUCT(Tracking[Amount], -- (Tracking[[Date ]]&lt;= Tracking[[#This Row],[Date ]]), (Tracking[[Type ]]&lt;&gt;"Income")*(-1) + (Tracking[[Type ]]="Income"))</f>
        <v>3573.5699999999993</v>
      </c>
      <c r="I58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45687</v>
      </c>
    </row>
    <row r="590" spans="3:9" x14ac:dyDescent="0.3">
      <c r="C590" s="112">
        <v>45687</v>
      </c>
      <c r="D590" t="s">
        <v>9</v>
      </c>
      <c r="E590" t="s">
        <v>116</v>
      </c>
      <c r="F590" s="114">
        <v>23.5</v>
      </c>
      <c r="G590"/>
      <c r="H590" s="131" cm="1">
        <f t="array" ref="H590">SUMPRODUCT(Tracking[Amount], -- (Tracking[[Date ]]&lt;= Tracking[[#This Row],[Date ]]), (Tracking[[Type ]]&lt;&gt;"Income")*(-1) + (Tracking[[Type ]]="Income"))</f>
        <v>3573.5699999999993</v>
      </c>
      <c r="I59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45687</v>
      </c>
    </row>
    <row r="591" spans="3:9" x14ac:dyDescent="0.3">
      <c r="C591" s="112">
        <v>45689</v>
      </c>
      <c r="D591" t="s">
        <v>6</v>
      </c>
      <c r="E591" t="s">
        <v>19</v>
      </c>
      <c r="F591" s="114">
        <v>1151.6099999999999</v>
      </c>
      <c r="G591"/>
      <c r="H591" s="131" cm="1">
        <f t="array" ref="H591">SUMPRODUCT(Tracking[Amount], -- (Tracking[[Date ]]&lt;= Tracking[[#This Row],[Date ]]), (Tracking[[Type ]]&lt;&gt;"Income")*(-1) + (Tracking[[Type ]]="Income"))</f>
        <v>4236.4400000000005</v>
      </c>
      <c r="I59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45689</v>
      </c>
    </row>
    <row r="592" spans="3:9" x14ac:dyDescent="0.3">
      <c r="C592" s="112">
        <v>45688</v>
      </c>
      <c r="D592" t="s">
        <v>9</v>
      </c>
      <c r="E592" t="s">
        <v>121</v>
      </c>
      <c r="F592" s="114">
        <v>21.3</v>
      </c>
      <c r="G592"/>
      <c r="H592" s="131" cm="1">
        <f t="array" ref="H592">SUMPRODUCT(Tracking[Amount], -- (Tracking[[Date ]]&lt;= Tracking[[#This Row],[Date ]]), (Tracking[[Type ]]&lt;&gt;"Income")*(-1) + (Tracking[[Type ]]="Income"))</f>
        <v>3552.2699999999991</v>
      </c>
      <c r="I59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45688</v>
      </c>
    </row>
    <row r="593" spans="3:9" x14ac:dyDescent="0.3">
      <c r="C593" s="112">
        <v>45689</v>
      </c>
      <c r="D593" t="s">
        <v>9</v>
      </c>
      <c r="E593" t="s">
        <v>131</v>
      </c>
      <c r="F593" s="114">
        <v>400</v>
      </c>
      <c r="G593"/>
      <c r="H593" s="131" cm="1">
        <f t="array" ref="H593">SUMPRODUCT(Tracking[Amount], -- (Tracking[[Date ]]&lt;= Tracking[[#This Row],[Date ]]), (Tracking[[Type ]]&lt;&gt;"Income")*(-1) + (Tracking[[Type ]]="Income"))</f>
        <v>4236.4400000000005</v>
      </c>
      <c r="I59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45689</v>
      </c>
    </row>
    <row r="594" spans="3:9" x14ac:dyDescent="0.3">
      <c r="C594" s="112">
        <v>45689</v>
      </c>
      <c r="D594" t="s">
        <v>9</v>
      </c>
      <c r="E594" t="s">
        <v>26</v>
      </c>
      <c r="F594" s="114">
        <v>10</v>
      </c>
      <c r="G594"/>
      <c r="H594" s="131" cm="1">
        <f t="array" ref="H594">SUMPRODUCT(Tracking[Amount], -- (Tracking[[Date ]]&lt;= Tracking[[#This Row],[Date ]]), (Tracking[[Type ]]&lt;&gt;"Income")*(-1) + (Tracking[[Type ]]="Income"))</f>
        <v>4236.4400000000005</v>
      </c>
      <c r="I59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45689</v>
      </c>
    </row>
    <row r="595" spans="3:9" x14ac:dyDescent="0.3">
      <c r="C595" s="112">
        <v>45690</v>
      </c>
      <c r="D595" t="s">
        <v>9</v>
      </c>
      <c r="E595" t="s">
        <v>26</v>
      </c>
      <c r="F595" s="114">
        <v>23.5</v>
      </c>
      <c r="G595"/>
      <c r="H595" s="131" cm="1">
        <f t="array" ref="H595">SUMPRODUCT(Tracking[Amount], -- (Tracking[[Date ]]&lt;= Tracking[[#This Row],[Date ]]), (Tracking[[Type ]]&lt;&gt;"Income")*(-1) + (Tracking[[Type ]]="Income"))</f>
        <v>4212.9400000000005</v>
      </c>
      <c r="I59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45690</v>
      </c>
    </row>
    <row r="596" spans="3:9" x14ac:dyDescent="0.3">
      <c r="C596" s="112">
        <v>45692</v>
      </c>
      <c r="D596" t="s">
        <v>9</v>
      </c>
      <c r="E596" t="s">
        <v>116</v>
      </c>
      <c r="F596" s="114">
        <v>5</v>
      </c>
      <c r="G596"/>
      <c r="H596" s="131" cm="1">
        <f t="array" ref="H596">SUMPRODUCT(Tracking[Amount], -- (Tracking[[Date ]]&lt;= Tracking[[#This Row],[Date ]]), (Tracking[[Type ]]&lt;&gt;"Income")*(-1) + (Tracking[[Type ]]="Income"))</f>
        <v>4207.9400000000005</v>
      </c>
      <c r="I59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45692</v>
      </c>
    </row>
    <row r="597" spans="3:9" x14ac:dyDescent="0.3">
      <c r="C597" s="112">
        <v>45693</v>
      </c>
      <c r="D597" t="s">
        <v>9</v>
      </c>
      <c r="E597" t="s">
        <v>121</v>
      </c>
      <c r="F597" s="114">
        <v>9.9</v>
      </c>
      <c r="G597"/>
      <c r="H597" s="131" cm="1">
        <f t="array" ref="H597">SUMPRODUCT(Tracking[Amount], -- (Tracking[[Date ]]&lt;= Tracking[[#This Row],[Date ]]), (Tracking[[Type ]]&lt;&gt;"Income")*(-1) + (Tracking[[Type ]]="Income"))</f>
        <v>4198.0400000000009</v>
      </c>
      <c r="I59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45693</v>
      </c>
    </row>
    <row r="598" spans="3:9" x14ac:dyDescent="0.3">
      <c r="C598" s="112">
        <v>45687</v>
      </c>
      <c r="D598" t="s">
        <v>9</v>
      </c>
      <c r="E598" t="s">
        <v>21</v>
      </c>
      <c r="F598" s="114">
        <v>39</v>
      </c>
      <c r="G598"/>
      <c r="H598" s="131" cm="1">
        <f t="array" ref="H598">SUMPRODUCT(Tracking[Amount], -- (Tracking[[Date ]]&lt;= Tracking[[#This Row],[Date ]]), (Tracking[[Type ]]&lt;&gt;"Income")*(-1) + (Tracking[[Type ]]="Income"))</f>
        <v>3573.5699999999993</v>
      </c>
      <c r="I59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45687</v>
      </c>
    </row>
    <row r="599" spans="3:9" x14ac:dyDescent="0.3">
      <c r="C599" s="112">
        <v>45656</v>
      </c>
      <c r="D599" t="s">
        <v>9</v>
      </c>
      <c r="E599" t="s">
        <v>24</v>
      </c>
      <c r="F599" s="114">
        <v>25.44</v>
      </c>
      <c r="G599"/>
      <c r="H599" s="131" cm="1">
        <f t="array" ref="H599">SUMPRODUCT(Tracking[Amount], -- (Tracking[[Date ]]&lt;= Tracking[[#This Row],[Date ]]), (Tracking[[Type ]]&lt;&gt;"Income")*(-1) + (Tracking[[Type ]]="Income"))</f>
        <v>3509.5000000000009</v>
      </c>
      <c r="I59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45656</v>
      </c>
    </row>
    <row r="600" spans="3:9" x14ac:dyDescent="0.3">
      <c r="C600" s="112">
        <v>45696</v>
      </c>
      <c r="D600" t="s">
        <v>9</v>
      </c>
      <c r="E600" t="s">
        <v>20</v>
      </c>
      <c r="F600" s="114">
        <v>28.33</v>
      </c>
      <c r="G600"/>
      <c r="H600" s="131" cm="1">
        <f t="array" ref="H600">SUMPRODUCT(Tracking[Amount], -- (Tracking[[Date ]]&lt;= Tracking[[#This Row],[Date ]]), (Tracking[[Type ]]&lt;&gt;"Income")*(-1) + (Tracking[[Type ]]="Income"))</f>
        <v>4128.2100000000009</v>
      </c>
      <c r="I60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45696</v>
      </c>
    </row>
    <row r="601" spans="3:9" x14ac:dyDescent="0.3">
      <c r="C601" s="112">
        <v>45696</v>
      </c>
      <c r="D601" t="s">
        <v>9</v>
      </c>
      <c r="E601" t="s">
        <v>26</v>
      </c>
      <c r="F601" s="114">
        <v>41.5</v>
      </c>
      <c r="G601"/>
      <c r="H601" s="131" cm="1">
        <f t="array" ref="H601">SUMPRODUCT(Tracking[Amount], -- (Tracking[[Date ]]&lt;= Tracking[[#This Row],[Date ]]), (Tracking[[Type ]]&lt;&gt;"Income")*(-1) + (Tracking[[Type ]]="Income"))</f>
        <v>4128.2100000000009</v>
      </c>
      <c r="I60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45696</v>
      </c>
    </row>
    <row r="602" spans="3:9" x14ac:dyDescent="0.3">
      <c r="C602" s="112">
        <v>45697</v>
      </c>
      <c r="D602" t="s">
        <v>9</v>
      </c>
      <c r="E602" t="s">
        <v>26</v>
      </c>
      <c r="F602" s="114">
        <v>10</v>
      </c>
      <c r="G602"/>
      <c r="H602" s="131" cm="1">
        <f t="array" ref="H602">SUMPRODUCT(Tracking[Amount], -- (Tracking[[Date ]]&lt;= Tracking[[#This Row],[Date ]]), (Tracking[[Type ]]&lt;&gt;"Income")*(-1) + (Tracking[[Type ]]="Income"))</f>
        <v>4118.2100000000009</v>
      </c>
      <c r="I60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45697</v>
      </c>
    </row>
    <row r="603" spans="3:9" x14ac:dyDescent="0.3">
      <c r="C603" s="112">
        <v>45698</v>
      </c>
      <c r="D603" t="s">
        <v>9</v>
      </c>
      <c r="E603" t="s">
        <v>116</v>
      </c>
      <c r="F603" s="114">
        <v>13.5</v>
      </c>
      <c r="G603" t="s">
        <v>159</v>
      </c>
      <c r="H603" s="131" cm="1">
        <f t="array" ref="H603">SUMPRODUCT(Tracking[Amount], -- (Tracking[[Date ]]&lt;= Tracking[[#This Row],[Date ]]), (Tracking[[Type ]]&lt;&gt;"Income")*(-1) + (Tracking[[Type ]]="Income"))</f>
        <v>4104.7100000000009</v>
      </c>
      <c r="I60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45698</v>
      </c>
    </row>
    <row r="604" spans="3:9" x14ac:dyDescent="0.3">
      <c r="C604" s="112">
        <v>45700</v>
      </c>
      <c r="D604" t="s">
        <v>9</v>
      </c>
      <c r="E604" t="s">
        <v>116</v>
      </c>
      <c r="F604" s="114">
        <v>6</v>
      </c>
      <c r="G604"/>
      <c r="H604" s="131" cm="1">
        <f t="array" ref="H604">SUMPRODUCT(Tracking[Amount], -- (Tracking[[Date ]]&lt;= Tracking[[#This Row],[Date ]]), (Tracking[[Type ]]&lt;&gt;"Income")*(-1) + (Tracking[[Type ]]="Income"))</f>
        <v>4098.7100000000009</v>
      </c>
      <c r="I60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45700</v>
      </c>
    </row>
    <row r="605" spans="3:9" x14ac:dyDescent="0.3">
      <c r="C605" s="112">
        <v>45702</v>
      </c>
      <c r="D605" t="s">
        <v>9</v>
      </c>
      <c r="E605" t="s">
        <v>26</v>
      </c>
      <c r="F605" s="114">
        <v>13.8</v>
      </c>
      <c r="G605"/>
      <c r="H605" s="131" cm="1">
        <f t="array" ref="H605">SUMPRODUCT(Tracking[Amount], -- (Tracking[[Date ]]&lt;= Tracking[[#This Row],[Date ]]), (Tracking[[Type ]]&lt;&gt;"Income")*(-1) + (Tracking[[Type ]]="Income"))</f>
        <v>4051.4100000000003</v>
      </c>
      <c r="I60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45702</v>
      </c>
    </row>
    <row r="606" spans="3:9" x14ac:dyDescent="0.3">
      <c r="C606" s="112">
        <v>45702</v>
      </c>
      <c r="D606" t="s">
        <v>9</v>
      </c>
      <c r="E606" t="s">
        <v>20</v>
      </c>
      <c r="F606" s="114">
        <v>33.5</v>
      </c>
      <c r="G606"/>
      <c r="H606" s="131" cm="1">
        <f t="array" ref="H606">SUMPRODUCT(Tracking[Amount], -- (Tracking[[Date ]]&lt;= Tracking[[#This Row],[Date ]]), (Tracking[[Type ]]&lt;&gt;"Income")*(-1) + (Tracking[[Type ]]="Income"))</f>
        <v>4051.4100000000003</v>
      </c>
      <c r="I60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45702</v>
      </c>
    </row>
    <row r="607" spans="3:9" x14ac:dyDescent="0.3">
      <c r="C607" s="112">
        <v>45703</v>
      </c>
      <c r="D607" t="s">
        <v>9</v>
      </c>
      <c r="E607" t="s">
        <v>121</v>
      </c>
      <c r="F607" s="114">
        <v>77.5</v>
      </c>
      <c r="G607"/>
      <c r="H607" s="131" cm="1">
        <f t="array" ref="H607">SUMPRODUCT(Tracking[Amount], -- (Tracking[[Date ]]&lt;= Tracking[[#This Row],[Date ]]), (Tracking[[Type ]]&lt;&gt;"Income")*(-1) + (Tracking[[Type ]]="Income"))</f>
        <v>3973.91</v>
      </c>
      <c r="I60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45703</v>
      </c>
    </row>
    <row r="608" spans="3:9" x14ac:dyDescent="0.3">
      <c r="C608" s="112">
        <v>45704</v>
      </c>
      <c r="D608" t="s">
        <v>9</v>
      </c>
      <c r="E608" t="s">
        <v>121</v>
      </c>
      <c r="F608" s="114">
        <v>24.4</v>
      </c>
      <c r="G608"/>
      <c r="H608" s="131" cm="1">
        <f t="array" ref="H608">SUMPRODUCT(Tracking[Amount], -- (Tracking[[Date ]]&lt;= Tracking[[#This Row],[Date ]]), (Tracking[[Type ]]&lt;&gt;"Income")*(-1) + (Tracking[[Type ]]="Income"))</f>
        <v>3949.5099999999998</v>
      </c>
      <c r="I60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45704</v>
      </c>
    </row>
    <row r="609" spans="3:9" x14ac:dyDescent="0.3">
      <c r="C609" s="112">
        <v>45708</v>
      </c>
      <c r="D609" t="s">
        <v>9</v>
      </c>
      <c r="E609" t="s">
        <v>121</v>
      </c>
      <c r="F609" s="114">
        <v>24</v>
      </c>
      <c r="G609"/>
      <c r="H609" s="131" cm="1">
        <f t="array" ref="H609">SUMPRODUCT(Tracking[Amount], -- (Tracking[[Date ]]&lt;= Tracking[[#This Row],[Date ]]), (Tracking[[Type ]]&lt;&gt;"Income")*(-1) + (Tracking[[Type ]]="Income"))</f>
        <v>3925.5099999999998</v>
      </c>
      <c r="I60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45708</v>
      </c>
    </row>
    <row r="610" spans="3:9" x14ac:dyDescent="0.3">
      <c r="C610" s="112">
        <v>45709</v>
      </c>
      <c r="D610" t="s">
        <v>9</v>
      </c>
      <c r="E610" t="s">
        <v>143</v>
      </c>
      <c r="F610" s="114">
        <v>14</v>
      </c>
      <c r="G610"/>
      <c r="H610" s="131" cm="1">
        <f t="array" ref="H610">SUMPRODUCT(Tracking[Amount], -- (Tracking[[Date ]]&lt;= Tracking[[#This Row],[Date ]]), (Tracking[[Type ]]&lt;&gt;"Income")*(-1) + (Tracking[[Type ]]="Income"))</f>
        <v>3899.5099999999998</v>
      </c>
      <c r="I61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45709</v>
      </c>
    </row>
    <row r="611" spans="3:9" x14ac:dyDescent="0.3">
      <c r="C611" s="112">
        <v>45709</v>
      </c>
      <c r="D611" t="s">
        <v>9</v>
      </c>
      <c r="E611" t="s">
        <v>26</v>
      </c>
      <c r="F611" s="114">
        <v>12</v>
      </c>
      <c r="G611"/>
      <c r="H611" s="131" cm="1">
        <f t="array" ref="H611">SUMPRODUCT(Tracking[Amount], -- (Tracking[[Date ]]&lt;= Tracking[[#This Row],[Date ]]), (Tracking[[Type ]]&lt;&gt;"Income")*(-1) + (Tracking[[Type ]]="Income"))</f>
        <v>3899.5099999999998</v>
      </c>
      <c r="I61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45709</v>
      </c>
    </row>
    <row r="612" spans="3:9" x14ac:dyDescent="0.3">
      <c r="C612" s="112">
        <v>45710</v>
      </c>
      <c r="D612" t="s">
        <v>9</v>
      </c>
      <c r="E612" t="s">
        <v>26</v>
      </c>
      <c r="F612" s="114">
        <v>24.5</v>
      </c>
      <c r="G612"/>
      <c r="H612" s="131" cm="1">
        <f t="array" ref="H612">SUMPRODUCT(Tracking[Amount], -- (Tracking[[Date ]]&lt;= Tracking[[#This Row],[Date ]]), (Tracking[[Type ]]&lt;&gt;"Income")*(-1) + (Tracking[[Type ]]="Income"))</f>
        <v>3862.0099999999998</v>
      </c>
      <c r="I61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45710</v>
      </c>
    </row>
    <row r="613" spans="3:9" x14ac:dyDescent="0.3">
      <c r="C613" s="112">
        <v>45710</v>
      </c>
      <c r="D613" t="s">
        <v>9</v>
      </c>
      <c r="E613" t="s">
        <v>25</v>
      </c>
      <c r="F613" s="114">
        <v>13</v>
      </c>
      <c r="G613"/>
      <c r="H613" s="131" cm="1">
        <f t="array" ref="H613">SUMPRODUCT(Tracking[Amount], -- (Tracking[[Date ]]&lt;= Tracking[[#This Row],[Date ]]), (Tracking[[Type ]]&lt;&gt;"Income")*(-1) + (Tracking[[Type ]]="Income"))</f>
        <v>3862.0099999999998</v>
      </c>
      <c r="I61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45710</v>
      </c>
    </row>
    <row r="614" spans="3:9" x14ac:dyDescent="0.3">
      <c r="C614" s="112">
        <v>45712</v>
      </c>
      <c r="D614" t="s">
        <v>9</v>
      </c>
      <c r="E614" t="s">
        <v>116</v>
      </c>
      <c r="F614" s="114">
        <v>46.5</v>
      </c>
      <c r="G614"/>
      <c r="H614" s="131" cm="1">
        <f t="array" ref="H614">SUMPRODUCT(Tracking[Amount], -- (Tracking[[Date ]]&lt;= Tracking[[#This Row],[Date ]]), (Tracking[[Type ]]&lt;&gt;"Income")*(-1) + (Tracking[[Type ]]="Income"))</f>
        <v>3815.5099999999998</v>
      </c>
      <c r="I61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45712</v>
      </c>
    </row>
    <row r="615" spans="3:9" x14ac:dyDescent="0.3">
      <c r="C615" s="112">
        <v>45681</v>
      </c>
      <c r="D615" t="s">
        <v>9</v>
      </c>
      <c r="E615" t="s">
        <v>24</v>
      </c>
      <c r="F615" s="114">
        <v>25.44</v>
      </c>
      <c r="G615"/>
      <c r="H615" s="131" cm="1">
        <f t="array" ref="H615">SUMPRODUCT(Tracking[Amount], -- (Tracking[[Date ]]&lt;= Tracking[[#This Row],[Date ]]), (Tracking[[Type ]]&lt;&gt;"Income")*(-1) + (Tracking[[Type ]]="Income"))</f>
        <v>3765.0699999999993</v>
      </c>
      <c r="I61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45681</v>
      </c>
    </row>
    <row r="616" spans="3:9" x14ac:dyDescent="0.3">
      <c r="C616" s="112">
        <v>45717</v>
      </c>
      <c r="D616" t="s">
        <v>9</v>
      </c>
      <c r="E616" t="s">
        <v>20</v>
      </c>
      <c r="F616" s="114">
        <v>23.82</v>
      </c>
      <c r="G616"/>
      <c r="H616" s="131" cm="1">
        <f t="array" ref="H616">SUMPRODUCT(Tracking[Amount], -- (Tracking[[Date ]]&lt;= Tracking[[#This Row],[Date ]]), (Tracking[[Type ]]&lt;&gt;"Income")*(-1) + (Tracking[[Type ]]="Income"))</f>
        <v>4499.1200000000008</v>
      </c>
      <c r="I61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45717</v>
      </c>
    </row>
    <row r="617" spans="3:9" x14ac:dyDescent="0.3">
      <c r="C617" s="112">
        <v>45717</v>
      </c>
      <c r="D617" t="s">
        <v>6</v>
      </c>
      <c r="E617" t="s">
        <v>19</v>
      </c>
      <c r="F617" s="114">
        <v>1175.77</v>
      </c>
      <c r="G617"/>
      <c r="H617" s="131" cm="1">
        <f t="array" ref="H617">SUMPRODUCT(Tracking[Amount], -- (Tracking[[Date ]]&lt;= Tracking[[#This Row],[Date ]]), (Tracking[[Type ]]&lt;&gt;"Income")*(-1) + (Tracking[[Type ]]="Income"))</f>
        <v>4499.1200000000008</v>
      </c>
      <c r="I61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45717</v>
      </c>
    </row>
    <row r="618" spans="3:9" x14ac:dyDescent="0.3">
      <c r="C618" s="112">
        <v>45717</v>
      </c>
      <c r="D618" t="s">
        <v>9</v>
      </c>
      <c r="E618" t="s">
        <v>26</v>
      </c>
      <c r="F618" s="114">
        <v>5.9</v>
      </c>
      <c r="G618"/>
      <c r="H618" s="131" cm="1">
        <f t="array" ref="H618">SUMPRODUCT(Tracking[Amount], -- (Tracking[[Date ]]&lt;= Tracking[[#This Row],[Date ]]), (Tracking[[Type ]]&lt;&gt;"Income")*(-1) + (Tracking[[Type ]]="Income"))</f>
        <v>4499.1200000000008</v>
      </c>
      <c r="I61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45717</v>
      </c>
    </row>
    <row r="619" spans="3:9" x14ac:dyDescent="0.3">
      <c r="C619" s="112">
        <v>45717</v>
      </c>
      <c r="D619" t="s">
        <v>9</v>
      </c>
      <c r="E619" t="s">
        <v>131</v>
      </c>
      <c r="F619" s="114">
        <v>400</v>
      </c>
      <c r="G619"/>
      <c r="H619" s="131" cm="1">
        <f t="array" ref="H619">SUMPRODUCT(Tracking[Amount], -- (Tracking[[Date ]]&lt;= Tracking[[#This Row],[Date ]]), (Tracking[[Type ]]&lt;&gt;"Income")*(-1) + (Tracking[[Type ]]="Income"))</f>
        <v>4499.1200000000008</v>
      </c>
      <c r="I61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45717</v>
      </c>
    </row>
    <row r="620" spans="3:9" x14ac:dyDescent="0.3">
      <c r="C620" s="112">
        <v>45718</v>
      </c>
      <c r="D620" t="s">
        <v>9</v>
      </c>
      <c r="E620" t="s">
        <v>26</v>
      </c>
      <c r="F620" s="114">
        <v>29.6</v>
      </c>
      <c r="G620"/>
      <c r="H620" s="131" cm="1">
        <f t="array" ref="H620">SUMPRODUCT(Tracking[Amount], -- (Tracking[[Date ]]&lt;= Tracking[[#This Row],[Date ]]), (Tracking[[Type ]]&lt;&gt;"Income")*(-1) + (Tracking[[Type ]]="Income"))</f>
        <v>4469.5200000000004</v>
      </c>
      <c r="I62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45718</v>
      </c>
    </row>
    <row r="621" spans="3:9" x14ac:dyDescent="0.3">
      <c r="C621" s="112">
        <v>45719</v>
      </c>
      <c r="D621" t="s">
        <v>9</v>
      </c>
      <c r="E621" t="s">
        <v>26</v>
      </c>
      <c r="F621" s="114">
        <v>22</v>
      </c>
      <c r="G621"/>
      <c r="H621" s="131" cm="1">
        <f t="array" ref="H621">SUMPRODUCT(Tracking[Amount], -- (Tracking[[Date ]]&lt;= Tracking[[#This Row],[Date ]]), (Tracking[[Type ]]&lt;&gt;"Income")*(-1) + (Tracking[[Type ]]="Income"))</f>
        <v>4447.5200000000004</v>
      </c>
      <c r="I62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45719</v>
      </c>
    </row>
    <row r="622" spans="3:9" x14ac:dyDescent="0.3">
      <c r="C622" s="112">
        <v>45721</v>
      </c>
      <c r="D622" t="s">
        <v>9</v>
      </c>
      <c r="E622" t="s">
        <v>140</v>
      </c>
      <c r="F622" s="114">
        <v>17.57</v>
      </c>
      <c r="G622"/>
      <c r="H622" s="131" cm="1">
        <f t="array" ref="H622">SUMPRODUCT(Tracking[Amount], -- (Tracking[[Date ]]&lt;= Tracking[[#This Row],[Date ]]), (Tracking[[Type ]]&lt;&gt;"Income")*(-1) + (Tracking[[Type ]]="Income"))</f>
        <v>4429.9500000000007</v>
      </c>
      <c r="I62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45721</v>
      </c>
    </row>
    <row r="623" spans="3:9" x14ac:dyDescent="0.3">
      <c r="C623" s="112">
        <v>45723</v>
      </c>
      <c r="D623" t="s">
        <v>9</v>
      </c>
      <c r="E623" t="s">
        <v>20</v>
      </c>
      <c r="F623" s="114">
        <v>6.93</v>
      </c>
      <c r="G623"/>
      <c r="H623" s="131" cm="1">
        <f t="array" ref="H623">SUMPRODUCT(Tracking[Amount], -- (Tracking[[Date ]]&lt;= Tracking[[#This Row],[Date ]]), (Tracking[[Type ]]&lt;&gt;"Income")*(-1) + (Tracking[[Type ]]="Income"))</f>
        <v>4386.93</v>
      </c>
      <c r="I62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45723</v>
      </c>
    </row>
    <row r="624" spans="3:9" x14ac:dyDescent="0.3">
      <c r="C624" s="112">
        <v>45723</v>
      </c>
      <c r="D624" t="s">
        <v>9</v>
      </c>
      <c r="E624" t="s">
        <v>116</v>
      </c>
      <c r="F624" s="114">
        <v>36.090000000000003</v>
      </c>
      <c r="G624"/>
      <c r="H624" s="131" cm="1">
        <f t="array" ref="H624">SUMPRODUCT(Tracking[Amount], -- (Tracking[[Date ]]&lt;= Tracking[[#This Row],[Date ]]), (Tracking[[Type ]]&lt;&gt;"Income")*(-1) + (Tracking[[Type ]]="Income"))</f>
        <v>4386.93</v>
      </c>
      <c r="I62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45723</v>
      </c>
    </row>
    <row r="625" spans="3:9" x14ac:dyDescent="0.3">
      <c r="C625" s="112">
        <v>45689</v>
      </c>
      <c r="D625" t="s">
        <v>9</v>
      </c>
      <c r="E625" t="s">
        <v>21</v>
      </c>
      <c r="F625" s="114">
        <v>32</v>
      </c>
      <c r="G625"/>
      <c r="H625" s="131" cm="1">
        <f t="array" ref="H625">SUMPRODUCT(Tracking[Amount], -- (Tracking[[Date ]]&lt;= Tracking[[#This Row],[Date ]]), (Tracking[[Type ]]&lt;&gt;"Income")*(-1) + (Tracking[[Type ]]="Income"))</f>
        <v>4236.4400000000005</v>
      </c>
      <c r="I62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45689</v>
      </c>
    </row>
    <row r="626" spans="3:9" x14ac:dyDescent="0.3">
      <c r="C626" s="112">
        <v>45689</v>
      </c>
      <c r="D626" t="s">
        <v>9</v>
      </c>
      <c r="E626" t="s">
        <v>24</v>
      </c>
      <c r="F626" s="114">
        <v>25.44</v>
      </c>
      <c r="G626"/>
      <c r="H626" s="131" cm="1">
        <f t="array" ref="H626">SUMPRODUCT(Tracking[Amount], -- (Tracking[[Date ]]&lt;= Tracking[[#This Row],[Date ]]), (Tracking[[Type ]]&lt;&gt;"Income")*(-1) + (Tracking[[Type ]]="Income"))</f>
        <v>4236.4400000000005</v>
      </c>
      <c r="I62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45689</v>
      </c>
    </row>
    <row r="627" spans="3:9" x14ac:dyDescent="0.3">
      <c r="C627" s="112">
        <v>45730</v>
      </c>
      <c r="D627" t="s">
        <v>9</v>
      </c>
      <c r="E627" t="s">
        <v>116</v>
      </c>
      <c r="F627" s="114">
        <v>8.9</v>
      </c>
      <c r="G627"/>
      <c r="H627" s="131" cm="1">
        <f t="array" ref="H627">SUMPRODUCT(Tracking[Amount], -- (Tracking[[Date ]]&lt;= Tracking[[#This Row],[Date ]]), (Tracking[[Type ]]&lt;&gt;"Income")*(-1) + (Tracking[[Type ]]="Income"))</f>
        <v>4378.0300000000007</v>
      </c>
      <c r="I62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45730</v>
      </c>
    </row>
    <row r="628" spans="3:9" x14ac:dyDescent="0.3">
      <c r="C628" s="112">
        <v>45731</v>
      </c>
      <c r="D628" t="s">
        <v>9</v>
      </c>
      <c r="E628" t="s">
        <v>20</v>
      </c>
      <c r="F628" s="114">
        <v>25.4</v>
      </c>
      <c r="G628"/>
      <c r="H628" s="131" cm="1">
        <f t="array" ref="H628">SUMPRODUCT(Tracking[Amount], -- (Tracking[[Date ]]&lt;= Tracking[[#This Row],[Date ]]), (Tracking[[Type ]]&lt;&gt;"Income")*(-1) + (Tracking[[Type ]]="Income"))</f>
        <v>4319.130000000001</v>
      </c>
      <c r="I62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45731</v>
      </c>
    </row>
    <row r="629" spans="3:9" x14ac:dyDescent="0.3">
      <c r="C629" s="112">
        <v>45731</v>
      </c>
      <c r="D629" t="s">
        <v>9</v>
      </c>
      <c r="E629" t="s">
        <v>116</v>
      </c>
      <c r="F629" s="114">
        <v>13.5</v>
      </c>
      <c r="G629" t="s">
        <v>159</v>
      </c>
      <c r="H629" s="131" cm="1">
        <f t="array" ref="H629">SUMPRODUCT(Tracking[Amount], -- (Tracking[[Date ]]&lt;= Tracking[[#This Row],[Date ]]), (Tracking[[Type ]]&lt;&gt;"Income")*(-1) + (Tracking[[Type ]]="Income"))</f>
        <v>4319.130000000001</v>
      </c>
      <c r="I62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45731</v>
      </c>
    </row>
    <row r="630" spans="3:9" x14ac:dyDescent="0.3">
      <c r="C630" s="112">
        <v>45731</v>
      </c>
      <c r="D630" t="s">
        <v>9</v>
      </c>
      <c r="E630" t="s">
        <v>121</v>
      </c>
      <c r="F630" s="114">
        <v>20</v>
      </c>
      <c r="G630"/>
      <c r="H630" s="131" cm="1">
        <f t="array" ref="H630">SUMPRODUCT(Tracking[Amount], -- (Tracking[[Date ]]&lt;= Tracking[[#This Row],[Date ]]), (Tracking[[Type ]]&lt;&gt;"Income")*(-1) + (Tracking[[Type ]]="Income"))</f>
        <v>4319.130000000001</v>
      </c>
      <c r="I63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45731</v>
      </c>
    </row>
    <row r="631" spans="3:9" x14ac:dyDescent="0.3">
      <c r="C631" s="112">
        <v>45732</v>
      </c>
      <c r="D631" t="s">
        <v>9</v>
      </c>
      <c r="E631" t="s">
        <v>26</v>
      </c>
      <c r="F631" s="114">
        <v>8</v>
      </c>
      <c r="G631"/>
      <c r="H631" s="131" cm="1">
        <f t="array" ref="H631">SUMPRODUCT(Tracking[Amount], -- (Tracking[[Date ]]&lt;= Tracking[[#This Row],[Date ]]), (Tracking[[Type ]]&lt;&gt;"Income")*(-1) + (Tracking[[Type ]]="Income"))</f>
        <v>4311.130000000001</v>
      </c>
      <c r="I63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45732</v>
      </c>
    </row>
    <row r="632" spans="3:9" x14ac:dyDescent="0.3">
      <c r="C632" s="112">
        <v>45734</v>
      </c>
      <c r="D632" t="s">
        <v>9</v>
      </c>
      <c r="E632" t="s">
        <v>26</v>
      </c>
      <c r="F632" s="114">
        <v>5</v>
      </c>
      <c r="G632"/>
      <c r="H632" s="131" cm="1">
        <f t="array" ref="H632">SUMPRODUCT(Tracking[Amount], -- (Tracking[[Date ]]&lt;= Tracking[[#This Row],[Date ]]), (Tracking[[Type ]]&lt;&gt;"Income")*(-1) + (Tracking[[Type ]]="Income"))</f>
        <v>4290.3400000000011</v>
      </c>
      <c r="I63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45734</v>
      </c>
    </row>
    <row r="633" spans="3:9" x14ac:dyDescent="0.3">
      <c r="C633" s="112">
        <v>45734</v>
      </c>
      <c r="D633" t="s">
        <v>9</v>
      </c>
      <c r="E633" t="s">
        <v>20</v>
      </c>
      <c r="F633" s="114">
        <v>15.79</v>
      </c>
      <c r="G633"/>
      <c r="H633" s="131" cm="1">
        <f t="array" ref="H633">SUMPRODUCT(Tracking[Amount], -- (Tracking[[Date ]]&lt;= Tracking[[#This Row],[Date ]]), (Tracking[[Type ]]&lt;&gt;"Income")*(-1) + (Tracking[[Type ]]="Income"))</f>
        <v>4290.3400000000011</v>
      </c>
      <c r="I63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45734</v>
      </c>
    </row>
    <row r="634" spans="3:9" x14ac:dyDescent="0.3">
      <c r="C634" s="112">
        <v>45736</v>
      </c>
      <c r="D634" t="s">
        <v>9</v>
      </c>
      <c r="E634" t="s">
        <v>116</v>
      </c>
      <c r="F634" s="114">
        <v>14</v>
      </c>
      <c r="G634"/>
      <c r="H634" s="131" cm="1">
        <f t="array" ref="H634">SUMPRODUCT(Tracking[Amount], -- (Tracking[[Date ]]&lt;= Tracking[[#This Row],[Date ]]), (Tracking[[Type ]]&lt;&gt;"Income")*(-1) + (Tracking[[Type ]]="Income"))</f>
        <v>4276.3400000000011</v>
      </c>
      <c r="I63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45736</v>
      </c>
    </row>
    <row r="635" spans="3:9" x14ac:dyDescent="0.3">
      <c r="C635" s="112">
        <v>45737</v>
      </c>
      <c r="D635" t="s">
        <v>9</v>
      </c>
      <c r="E635" t="s">
        <v>27</v>
      </c>
      <c r="F635" s="114">
        <v>34.43</v>
      </c>
      <c r="G635"/>
      <c r="H635" s="131" cm="1">
        <f t="array" ref="H635">SUMPRODUCT(Tracking[Amount], -- (Tracking[[Date ]]&lt;= Tracking[[#This Row],[Date ]]), (Tracking[[Type ]]&lt;&gt;"Income")*(-1) + (Tracking[[Type ]]="Income"))</f>
        <v>4241.9100000000008</v>
      </c>
      <c r="I63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45737</v>
      </c>
    </row>
    <row r="636" spans="3:9" x14ac:dyDescent="0.3">
      <c r="C636" s="112">
        <v>45738</v>
      </c>
      <c r="D636" t="s">
        <v>9</v>
      </c>
      <c r="E636" t="s">
        <v>20</v>
      </c>
      <c r="F636" s="114">
        <v>27.3</v>
      </c>
      <c r="G636"/>
      <c r="H636" s="131" cm="1">
        <f t="array" ref="H636">SUMPRODUCT(Tracking[Amount], -- (Tracking[[Date ]]&lt;= Tracking[[#This Row],[Date ]]), (Tracking[[Type ]]&lt;&gt;"Income")*(-1) + (Tracking[[Type ]]="Income"))</f>
        <v>4175.7300000000005</v>
      </c>
      <c r="I63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45738</v>
      </c>
    </row>
    <row r="637" spans="3:9" x14ac:dyDescent="0.3">
      <c r="C637" s="112">
        <v>45738</v>
      </c>
      <c r="D637" t="s">
        <v>9</v>
      </c>
      <c r="E637" t="s">
        <v>140</v>
      </c>
      <c r="F637" s="114">
        <v>15.38</v>
      </c>
      <c r="G637"/>
      <c r="H637" s="131" cm="1">
        <f t="array" ref="H637">SUMPRODUCT(Tracking[Amount], -- (Tracking[[Date ]]&lt;= Tracking[[#This Row],[Date ]]), (Tracking[[Type ]]&lt;&gt;"Income")*(-1) + (Tracking[[Type ]]="Income"))</f>
        <v>4175.7300000000005</v>
      </c>
      <c r="I63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45738</v>
      </c>
    </row>
    <row r="638" spans="3:9" x14ac:dyDescent="0.3">
      <c r="C638" s="112">
        <v>45738</v>
      </c>
      <c r="D638" t="s">
        <v>9</v>
      </c>
      <c r="E638" t="s">
        <v>26</v>
      </c>
      <c r="F638" s="114">
        <v>23.5</v>
      </c>
      <c r="G638"/>
      <c r="H638" s="131" cm="1">
        <f t="array" ref="H638">SUMPRODUCT(Tracking[Amount], -- (Tracking[[Date ]]&lt;= Tracking[[#This Row],[Date ]]), (Tracking[[Type ]]&lt;&gt;"Income")*(-1) + (Tracking[[Type ]]="Income"))</f>
        <v>4175.7300000000005</v>
      </c>
      <c r="I63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45738</v>
      </c>
    </row>
    <row r="639" spans="3:9" x14ac:dyDescent="0.3">
      <c r="C639" s="112">
        <v>45739</v>
      </c>
      <c r="D639" t="s">
        <v>9</v>
      </c>
      <c r="E639" t="s">
        <v>25</v>
      </c>
      <c r="F639" s="114">
        <v>13</v>
      </c>
      <c r="G639"/>
      <c r="H639" s="131" cm="1">
        <f t="array" ref="H639">SUMPRODUCT(Tracking[Amount], -- (Tracking[[Date ]]&lt;= Tracking[[#This Row],[Date ]]), (Tracking[[Type ]]&lt;&gt;"Income")*(-1) + (Tracking[[Type ]]="Income"))</f>
        <v>4162.7300000000005</v>
      </c>
      <c r="I63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45739</v>
      </c>
    </row>
    <row r="640" spans="3:9" x14ac:dyDescent="0.3">
      <c r="C640" s="112">
        <v>45741</v>
      </c>
      <c r="D640" t="s">
        <v>9</v>
      </c>
      <c r="E640" t="s">
        <v>121</v>
      </c>
      <c r="F640" s="114">
        <v>17</v>
      </c>
      <c r="G640"/>
      <c r="H640" s="131" cm="1">
        <f t="array" ref="H640">SUMPRODUCT(Tracking[Amount], -- (Tracking[[Date ]]&lt;= Tracking[[#This Row],[Date ]]), (Tracking[[Type ]]&lt;&gt;"Income")*(-1) + (Tracking[[Type ]]="Income"))</f>
        <v>4145.7300000000005</v>
      </c>
      <c r="I64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45741</v>
      </c>
    </row>
    <row r="641" spans="3:9" x14ac:dyDescent="0.3">
      <c r="C641" s="112">
        <v>45748</v>
      </c>
      <c r="D641" t="s">
        <v>6</v>
      </c>
      <c r="E641" t="s">
        <v>19</v>
      </c>
      <c r="F641" s="114">
        <v>1155.77</v>
      </c>
      <c r="G641"/>
      <c r="H641" s="131" cm="1">
        <f t="array" ref="H641">SUMPRODUCT(Tracking[Amount], -- (Tracking[[Date ]]&lt;= Tracking[[#This Row],[Date ]]), (Tracking[[Type ]]&lt;&gt;"Income")*(-1) + (Tracking[[Type ]]="Income"))</f>
        <v>4673.9900000000007</v>
      </c>
      <c r="I64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45748</v>
      </c>
    </row>
    <row r="642" spans="3:9" x14ac:dyDescent="0.3">
      <c r="C642" s="112">
        <v>45744</v>
      </c>
      <c r="D642" t="s">
        <v>9</v>
      </c>
      <c r="E642" t="s">
        <v>20</v>
      </c>
      <c r="F642" s="114">
        <v>72.88</v>
      </c>
      <c r="G642"/>
      <c r="H642" s="131" cm="1">
        <f t="array" ref="H642">SUMPRODUCT(Tracking[Amount], -- (Tracking[[Date ]]&lt;= Tracking[[#This Row],[Date ]]), (Tracking[[Type ]]&lt;&gt;"Income")*(-1) + (Tracking[[Type ]]="Income"))</f>
        <v>4057.35</v>
      </c>
      <c r="I64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45744</v>
      </c>
    </row>
    <row r="643" spans="3:9" x14ac:dyDescent="0.3">
      <c r="C643" s="112">
        <v>45744</v>
      </c>
      <c r="D643" t="s">
        <v>9</v>
      </c>
      <c r="E643" t="s">
        <v>26</v>
      </c>
      <c r="F643" s="114">
        <v>15.5</v>
      </c>
      <c r="G643"/>
      <c r="H643" s="131" cm="1">
        <f t="array" ref="H643">SUMPRODUCT(Tracking[Amount], -- (Tracking[[Date ]]&lt;= Tracking[[#This Row],[Date ]]), (Tracking[[Type ]]&lt;&gt;"Income")*(-1) + (Tracking[[Type ]]="Income"))</f>
        <v>4057.35</v>
      </c>
      <c r="I64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45744</v>
      </c>
    </row>
    <row r="644" spans="3:9" x14ac:dyDescent="0.3">
      <c r="C644" s="112">
        <v>45745</v>
      </c>
      <c r="D644" t="s">
        <v>9</v>
      </c>
      <c r="E644" t="s">
        <v>20</v>
      </c>
      <c r="F644" s="114">
        <v>9.09</v>
      </c>
      <c r="G644"/>
      <c r="H644" s="131" cm="1">
        <f t="array" ref="H644">SUMPRODUCT(Tracking[Amount], -- (Tracking[[Date ]]&lt;= Tracking[[#This Row],[Date ]]), (Tracking[[Type ]]&lt;&gt;"Income")*(-1) + (Tracking[[Type ]]="Income"))</f>
        <v>4044.2599999999998</v>
      </c>
      <c r="I64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45745</v>
      </c>
    </row>
    <row r="645" spans="3:9" x14ac:dyDescent="0.3">
      <c r="C645" s="112">
        <v>45776</v>
      </c>
      <c r="D645" t="s">
        <v>9</v>
      </c>
      <c r="E645" t="s">
        <v>116</v>
      </c>
      <c r="F645" s="114">
        <v>7</v>
      </c>
      <c r="G645"/>
      <c r="H645" s="131" cm="1">
        <f t="array" ref="H645">SUMPRODUCT(Tracking[Amount], -- (Tracking[[Date ]]&lt;= Tracking[[#This Row],[Date ]]), (Tracking[[Type ]]&lt;&gt;"Income")*(-1) + (Tracking[[Type ]]="Income"))</f>
        <v>4235.9500000000007</v>
      </c>
      <c r="I64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45776</v>
      </c>
    </row>
    <row r="646" spans="3:9" x14ac:dyDescent="0.3">
      <c r="C646" s="112">
        <v>45745</v>
      </c>
      <c r="D646" t="s">
        <v>9</v>
      </c>
      <c r="E646" t="s">
        <v>26</v>
      </c>
      <c r="F646" s="114">
        <v>4</v>
      </c>
      <c r="G646"/>
      <c r="H646" s="131" cm="1">
        <f t="array" ref="H646">SUMPRODUCT(Tracking[Amount], -- (Tracking[[Date ]]&lt;= Tracking[[#This Row],[Date ]]), (Tracking[[Type ]]&lt;&gt;"Income")*(-1) + (Tracking[[Type ]]="Income"))</f>
        <v>4044.2599999999998</v>
      </c>
      <c r="I64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45745</v>
      </c>
    </row>
    <row r="647" spans="3:9" x14ac:dyDescent="0.3">
      <c r="C647" s="112">
        <v>45747</v>
      </c>
      <c r="D647" t="s">
        <v>9</v>
      </c>
      <c r="E647" t="s">
        <v>116</v>
      </c>
      <c r="F647" s="114">
        <v>59.1</v>
      </c>
      <c r="G647"/>
      <c r="H647" s="131" cm="1">
        <f t="array" ref="H647">SUMPRODUCT(Tracking[Amount], -- (Tracking[[Date ]]&lt;= Tracking[[#This Row],[Date ]]), (Tracking[[Type ]]&lt;&gt;"Income")*(-1) + (Tracking[[Type ]]="Income"))</f>
        <v>3985.16</v>
      </c>
      <c r="I64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45747</v>
      </c>
    </row>
    <row r="648" spans="3:9" x14ac:dyDescent="0.3">
      <c r="C648" s="112">
        <v>45748</v>
      </c>
      <c r="D648" t="s">
        <v>9</v>
      </c>
      <c r="E648" t="s">
        <v>131</v>
      </c>
      <c r="F648" s="114">
        <v>400</v>
      </c>
      <c r="G648"/>
      <c r="H648" s="131" cm="1">
        <f t="array" ref="H648">SUMPRODUCT(Tracking[Amount], -- (Tracking[[Date ]]&lt;= Tracking[[#This Row],[Date ]]), (Tracking[[Type ]]&lt;&gt;"Income")*(-1) + (Tracking[[Type ]]="Income"))</f>
        <v>4673.9900000000007</v>
      </c>
      <c r="I64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45748</v>
      </c>
    </row>
    <row r="649" spans="3:9" x14ac:dyDescent="0.3">
      <c r="C649" s="112">
        <v>45748</v>
      </c>
      <c r="D649" t="s">
        <v>9</v>
      </c>
      <c r="E649" t="s">
        <v>116</v>
      </c>
      <c r="F649" s="114">
        <v>9.5</v>
      </c>
      <c r="G649" t="s">
        <v>166</v>
      </c>
      <c r="H649" s="131" cm="1">
        <f t="array" ref="H649">SUMPRODUCT(Tracking[Amount], -- (Tracking[[Date ]]&lt;= Tracking[[#This Row],[Date ]]), (Tracking[[Type ]]&lt;&gt;"Income")*(-1) + (Tracking[[Type ]]="Income"))</f>
        <v>4673.9900000000007</v>
      </c>
      <c r="I64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45748</v>
      </c>
    </row>
    <row r="650" spans="3:9" x14ac:dyDescent="0.3">
      <c r="C650" s="112">
        <v>45749</v>
      </c>
      <c r="D650" t="s">
        <v>9</v>
      </c>
      <c r="E650" t="s">
        <v>20</v>
      </c>
      <c r="F650" s="114">
        <v>27.4</v>
      </c>
      <c r="G650"/>
      <c r="H650" s="131" cm="1">
        <f t="array" ref="H650">SUMPRODUCT(Tracking[Amount], -- (Tracking[[Date ]]&lt;= Tracking[[#This Row],[Date ]]), (Tracking[[Type ]]&lt;&gt;"Income")*(-1) + (Tracking[[Type ]]="Income"))</f>
        <v>4646.5900000000011</v>
      </c>
      <c r="I65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45749</v>
      </c>
    </row>
    <row r="651" spans="3:9" x14ac:dyDescent="0.3">
      <c r="C651" s="112">
        <v>45751</v>
      </c>
      <c r="D651" t="s">
        <v>9</v>
      </c>
      <c r="E651" t="s">
        <v>20</v>
      </c>
      <c r="F651" s="114">
        <v>25.18</v>
      </c>
      <c r="G651"/>
      <c r="H651" s="131" cm="1">
        <f t="array" ref="H651">SUMPRODUCT(Tracking[Amount], -- (Tracking[[Date ]]&lt;= Tracking[[#This Row],[Date ]]), (Tracking[[Type ]]&lt;&gt;"Income")*(-1) + (Tracking[[Type ]]="Income"))</f>
        <v>4591.4100000000008</v>
      </c>
      <c r="I65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45751</v>
      </c>
    </row>
    <row r="652" spans="3:9" x14ac:dyDescent="0.3">
      <c r="C652" s="112">
        <v>45717</v>
      </c>
      <c r="D652" t="s">
        <v>9</v>
      </c>
      <c r="E652" t="s">
        <v>21</v>
      </c>
      <c r="F652" s="114">
        <v>37</v>
      </c>
      <c r="G652"/>
      <c r="H652" s="131" cm="1">
        <f t="array" ref="H652">SUMPRODUCT(Tracking[Amount], -- (Tracking[[Date ]]&lt;= Tracking[[#This Row],[Date ]]), (Tracking[[Type ]]&lt;&gt;"Income")*(-1) + (Tracking[[Type ]]="Income"))</f>
        <v>4499.1200000000008</v>
      </c>
      <c r="I65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45717</v>
      </c>
    </row>
    <row r="653" spans="3:9" x14ac:dyDescent="0.3">
      <c r="C653" s="112">
        <v>45751</v>
      </c>
      <c r="D653" t="s">
        <v>9</v>
      </c>
      <c r="E653" t="s">
        <v>26</v>
      </c>
      <c r="F653" s="114">
        <v>30</v>
      </c>
      <c r="G653"/>
      <c r="H653" s="131" cm="1">
        <f t="array" ref="H653">SUMPRODUCT(Tracking[Amount], -- (Tracking[[Date ]]&lt;= Tracking[[#This Row],[Date ]]), (Tracking[[Type ]]&lt;&gt;"Income")*(-1) + (Tracking[[Type ]]="Income"))</f>
        <v>4591.4100000000008</v>
      </c>
      <c r="I65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45751</v>
      </c>
    </row>
    <row r="654" spans="3:9" x14ac:dyDescent="0.3">
      <c r="C654" s="112">
        <v>45753</v>
      </c>
      <c r="D654" t="s">
        <v>9</v>
      </c>
      <c r="E654" t="s">
        <v>26</v>
      </c>
      <c r="F654" s="114">
        <v>29.2</v>
      </c>
      <c r="G654"/>
      <c r="H654" s="131" cm="1">
        <f t="array" ref="H654">SUMPRODUCT(Tracking[Amount], -- (Tracking[[Date ]]&lt;= Tracking[[#This Row],[Date ]]), (Tracking[[Type ]]&lt;&gt;"Income")*(-1) + (Tracking[[Type ]]="Income"))</f>
        <v>4562.2100000000009</v>
      </c>
      <c r="I65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45753</v>
      </c>
    </row>
    <row r="655" spans="3:9" x14ac:dyDescent="0.3">
      <c r="C655" s="112">
        <v>45754</v>
      </c>
      <c r="D655" t="s">
        <v>9</v>
      </c>
      <c r="E655" t="s">
        <v>20</v>
      </c>
      <c r="F655" s="114">
        <v>9.5</v>
      </c>
      <c r="G655"/>
      <c r="H655" s="131" cm="1">
        <f t="array" ref="H655">SUMPRODUCT(Tracking[Amount], -- (Tracking[[Date ]]&lt;= Tracking[[#This Row],[Date ]]), (Tracking[[Type ]]&lt;&gt;"Income")*(-1) + (Tracking[[Type ]]="Income"))</f>
        <v>4552.7100000000009</v>
      </c>
      <c r="I65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45754</v>
      </c>
    </row>
    <row r="656" spans="3:9" x14ac:dyDescent="0.3">
      <c r="C656" s="112">
        <v>45755</v>
      </c>
      <c r="D656" t="s">
        <v>9</v>
      </c>
      <c r="E656" t="s">
        <v>121</v>
      </c>
      <c r="F656" s="114">
        <v>11.8</v>
      </c>
      <c r="G656"/>
      <c r="H656" s="131" cm="1">
        <f t="array" ref="H656">SUMPRODUCT(Tracking[Amount], -- (Tracking[[Date ]]&lt;= Tracking[[#This Row],[Date ]]), (Tracking[[Type ]]&lt;&gt;"Income")*(-1) + (Tracking[[Type ]]="Income"))</f>
        <v>4540.9100000000008</v>
      </c>
      <c r="I65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45755</v>
      </c>
    </row>
    <row r="657" spans="3:9" x14ac:dyDescent="0.3">
      <c r="C657" s="112">
        <v>45756</v>
      </c>
      <c r="D657" t="s">
        <v>9</v>
      </c>
      <c r="E657" t="s">
        <v>26</v>
      </c>
      <c r="F657" s="114">
        <v>6</v>
      </c>
      <c r="G657"/>
      <c r="H657" s="131" cm="1">
        <f t="array" ref="H657">SUMPRODUCT(Tracking[Amount], -- (Tracking[[Date ]]&lt;= Tracking[[#This Row],[Date ]]), (Tracking[[Type ]]&lt;&gt;"Income")*(-1) + (Tracking[[Type ]]="Income"))</f>
        <v>4534.9100000000008</v>
      </c>
      <c r="I65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45756</v>
      </c>
    </row>
    <row r="658" spans="3:9" x14ac:dyDescent="0.3">
      <c r="C658" s="112">
        <v>45717</v>
      </c>
      <c r="D658" t="s">
        <v>9</v>
      </c>
      <c r="E658" t="s">
        <v>24</v>
      </c>
      <c r="F658" s="114">
        <v>25.44</v>
      </c>
      <c r="G658"/>
      <c r="H658" s="131" cm="1">
        <f t="array" ref="H658">SUMPRODUCT(Tracking[Amount], -- (Tracking[[Date ]]&lt;= Tracking[[#This Row],[Date ]]), (Tracking[[Type ]]&lt;&gt;"Income")*(-1) + (Tracking[[Type ]]="Income"))</f>
        <v>4499.1200000000008</v>
      </c>
      <c r="I65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45717</v>
      </c>
    </row>
    <row r="659" spans="3:9" x14ac:dyDescent="0.3">
      <c r="C659" s="112">
        <v>45759</v>
      </c>
      <c r="D659" t="s">
        <v>9</v>
      </c>
      <c r="E659" t="s">
        <v>121</v>
      </c>
      <c r="F659" s="114">
        <v>5.5</v>
      </c>
      <c r="G659"/>
      <c r="H659" s="131" cm="1">
        <f t="array" ref="H659">SUMPRODUCT(Tracking[Amount], -- (Tracking[[Date ]]&lt;= Tracking[[#This Row],[Date ]]), (Tracking[[Type ]]&lt;&gt;"Income")*(-1) + (Tracking[[Type ]]="Income"))</f>
        <v>4490.7300000000005</v>
      </c>
      <c r="I65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45759</v>
      </c>
    </row>
    <row r="660" spans="3:9" x14ac:dyDescent="0.3">
      <c r="C660" s="112">
        <v>45759</v>
      </c>
      <c r="D660" t="s">
        <v>9</v>
      </c>
      <c r="E660" t="s">
        <v>143</v>
      </c>
      <c r="F660" s="114">
        <v>14</v>
      </c>
      <c r="G660"/>
      <c r="H660" s="131" cm="1">
        <f t="array" ref="H660">SUMPRODUCT(Tracking[Amount], -- (Tracking[[Date ]]&lt;= Tracking[[#This Row],[Date ]]), (Tracking[[Type ]]&lt;&gt;"Income")*(-1) + (Tracking[[Type ]]="Income"))</f>
        <v>4490.7300000000005</v>
      </c>
      <c r="I66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45759</v>
      </c>
    </row>
    <row r="661" spans="3:9" x14ac:dyDescent="0.3">
      <c r="C661" s="112">
        <v>45759</v>
      </c>
      <c r="D661" t="s">
        <v>9</v>
      </c>
      <c r="E661" t="s">
        <v>20</v>
      </c>
      <c r="F661" s="114">
        <v>24.68</v>
      </c>
      <c r="G661"/>
      <c r="H661" s="131" cm="1">
        <f t="array" ref="H661">SUMPRODUCT(Tracking[Amount], -- (Tracking[[Date ]]&lt;= Tracking[[#This Row],[Date ]]), (Tracking[[Type ]]&lt;&gt;"Income")*(-1) + (Tracking[[Type ]]="Income"))</f>
        <v>4490.7300000000005</v>
      </c>
      <c r="I66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45759</v>
      </c>
    </row>
    <row r="662" spans="3:9" x14ac:dyDescent="0.3">
      <c r="C662" s="112">
        <v>45760</v>
      </c>
      <c r="D662" t="s">
        <v>9</v>
      </c>
      <c r="E662" t="s">
        <v>26</v>
      </c>
      <c r="F662" s="114">
        <v>18.5</v>
      </c>
      <c r="G662"/>
      <c r="H662" s="131" cm="1">
        <f t="array" ref="H662">SUMPRODUCT(Tracking[Amount], -- (Tracking[[Date ]]&lt;= Tracking[[#This Row],[Date ]]), (Tracking[[Type ]]&lt;&gt;"Income")*(-1) + (Tracking[[Type ]]="Income"))</f>
        <v>4472.2300000000005</v>
      </c>
      <c r="I66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45760</v>
      </c>
    </row>
    <row r="663" spans="3:9" x14ac:dyDescent="0.3">
      <c r="C663" s="112">
        <v>45761</v>
      </c>
      <c r="D663" t="s">
        <v>9</v>
      </c>
      <c r="E663" t="s">
        <v>116</v>
      </c>
      <c r="F663" s="114">
        <v>5</v>
      </c>
      <c r="G663" t="s">
        <v>159</v>
      </c>
      <c r="H663" s="131" cm="1">
        <f t="array" ref="H663">SUMPRODUCT(Tracking[Amount], -- (Tracking[[Date ]]&lt;= Tracking[[#This Row],[Date ]]), (Tracking[[Type ]]&lt;&gt;"Income")*(-1) + (Tracking[[Type ]]="Income"))</f>
        <v>4467.2300000000005</v>
      </c>
      <c r="I66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45761</v>
      </c>
    </row>
    <row r="664" spans="3:9" x14ac:dyDescent="0.3">
      <c r="C664" s="112">
        <v>45764</v>
      </c>
      <c r="D664" t="s">
        <v>9</v>
      </c>
      <c r="E664" t="s">
        <v>121</v>
      </c>
      <c r="F664" s="114">
        <v>12.5</v>
      </c>
      <c r="G664"/>
      <c r="H664" s="131" cm="1">
        <f t="array" ref="H664">SUMPRODUCT(Tracking[Amount], -- (Tracking[[Date ]]&lt;= Tracking[[#This Row],[Date ]]), (Tracking[[Type ]]&lt;&gt;"Income")*(-1) + (Tracking[[Type ]]="Income"))</f>
        <v>4454.7300000000005</v>
      </c>
      <c r="I66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45764</v>
      </c>
    </row>
    <row r="665" spans="3:9" x14ac:dyDescent="0.3">
      <c r="C665" s="112">
        <v>45765</v>
      </c>
      <c r="D665" t="s">
        <v>9</v>
      </c>
      <c r="E665" t="s">
        <v>26</v>
      </c>
      <c r="F665" s="114">
        <v>4.5</v>
      </c>
      <c r="G665"/>
      <c r="H665" s="131" cm="1">
        <f t="array" ref="H665">SUMPRODUCT(Tracking[Amount], -- (Tracking[[Date ]]&lt;= Tracking[[#This Row],[Date ]]), (Tracking[[Type ]]&lt;&gt;"Income")*(-1) + (Tracking[[Type ]]="Income"))</f>
        <v>4450.2300000000005</v>
      </c>
      <c r="I66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45765</v>
      </c>
    </row>
    <row r="666" spans="3:9" x14ac:dyDescent="0.3">
      <c r="C666" s="112">
        <v>45767</v>
      </c>
      <c r="D666" t="s">
        <v>9</v>
      </c>
      <c r="E666" t="s">
        <v>121</v>
      </c>
      <c r="F666" s="114">
        <v>5</v>
      </c>
      <c r="G666"/>
      <c r="H666" s="131" cm="1">
        <f t="array" ref="H666">SUMPRODUCT(Tracking[Amount], -- (Tracking[[Date ]]&lt;= Tracking[[#This Row],[Date ]]), (Tracking[[Type ]]&lt;&gt;"Income")*(-1) + (Tracking[[Type ]]="Income"))</f>
        <v>4415.2300000000005</v>
      </c>
      <c r="I66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45767</v>
      </c>
    </row>
    <row r="667" spans="3:9" x14ac:dyDescent="0.3">
      <c r="C667" s="112">
        <v>45767</v>
      </c>
      <c r="D667" t="s">
        <v>9</v>
      </c>
      <c r="E667" t="s">
        <v>116</v>
      </c>
      <c r="F667" s="114">
        <v>30</v>
      </c>
      <c r="G667"/>
      <c r="H667" s="131" cm="1">
        <f t="array" ref="H667">SUMPRODUCT(Tracking[Amount], -- (Tracking[[Date ]]&lt;= Tracking[[#This Row],[Date ]]), (Tracking[[Type ]]&lt;&gt;"Income")*(-1) + (Tracking[[Type ]]="Income"))</f>
        <v>4415.2300000000005</v>
      </c>
      <c r="I66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45767</v>
      </c>
    </row>
    <row r="668" spans="3:9" x14ac:dyDescent="0.3">
      <c r="C668" s="112">
        <v>45768</v>
      </c>
      <c r="D668" t="s">
        <v>9</v>
      </c>
      <c r="E668" t="s">
        <v>26</v>
      </c>
      <c r="F668" s="114">
        <v>4.5</v>
      </c>
      <c r="G668"/>
      <c r="H668" s="131" cm="1">
        <f t="array" ref="H668">SUMPRODUCT(Tracking[Amount], -- (Tracking[[Date ]]&lt;= Tracking[[#This Row],[Date ]]), (Tracking[[Type ]]&lt;&gt;"Income")*(-1) + (Tracking[[Type ]]="Income"))</f>
        <v>4397.7300000000005</v>
      </c>
      <c r="I66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45768</v>
      </c>
    </row>
    <row r="669" spans="3:9" x14ac:dyDescent="0.3">
      <c r="C669" s="112">
        <v>45768</v>
      </c>
      <c r="D669" t="s">
        <v>9</v>
      </c>
      <c r="E669" t="s">
        <v>25</v>
      </c>
      <c r="F669" s="114">
        <v>13</v>
      </c>
      <c r="G669"/>
      <c r="H669" s="131" cm="1">
        <f t="array" ref="H669">SUMPRODUCT(Tracking[Amount], -- (Tracking[[Date ]]&lt;= Tracking[[#This Row],[Date ]]), (Tracking[[Type ]]&lt;&gt;"Income")*(-1) + (Tracking[[Type ]]="Income"))</f>
        <v>4397.7300000000005</v>
      </c>
      <c r="I66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45768</v>
      </c>
    </row>
    <row r="670" spans="3:9" x14ac:dyDescent="0.3">
      <c r="C670" s="112">
        <v>45770</v>
      </c>
      <c r="D670" t="s">
        <v>9</v>
      </c>
      <c r="E670" t="s">
        <v>116</v>
      </c>
      <c r="F670" s="114">
        <v>4.63</v>
      </c>
      <c r="G670"/>
      <c r="H670" s="131" cm="1">
        <f t="array" ref="H670">SUMPRODUCT(Tracking[Amount], -- (Tracking[[Date ]]&lt;= Tracking[[#This Row],[Date ]]), (Tracking[[Type ]]&lt;&gt;"Income")*(-1) + (Tracking[[Type ]]="Income"))</f>
        <v>4381.1000000000004</v>
      </c>
      <c r="I67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45770</v>
      </c>
    </row>
    <row r="671" spans="3:9" x14ac:dyDescent="0.3">
      <c r="C671" s="112">
        <v>45770</v>
      </c>
      <c r="D671" t="s">
        <v>9</v>
      </c>
      <c r="E671" t="s">
        <v>26</v>
      </c>
      <c r="F671" s="114">
        <v>12</v>
      </c>
      <c r="G671"/>
      <c r="H671" s="131" cm="1">
        <f t="array" ref="H671">SUMPRODUCT(Tracking[Amount], -- (Tracking[[Date ]]&lt;= Tracking[[#This Row],[Date ]]), (Tracking[[Type ]]&lt;&gt;"Income")*(-1) + (Tracking[[Type ]]="Income"))</f>
        <v>4381.1000000000004</v>
      </c>
      <c r="I67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45770</v>
      </c>
    </row>
    <row r="672" spans="3:9" x14ac:dyDescent="0.3">
      <c r="C672" s="112">
        <v>45778</v>
      </c>
      <c r="D672" t="s">
        <v>6</v>
      </c>
      <c r="E672" t="s">
        <v>19</v>
      </c>
      <c r="F672" s="114">
        <v>1180.8499999999999</v>
      </c>
      <c r="G672"/>
      <c r="H672" s="131" cm="1">
        <f t="array" ref="H672">SUMPRODUCT(Tracking[Amount], -- (Tracking[[Date ]]&lt;= Tracking[[#This Row],[Date ]]), (Tracking[[Type ]]&lt;&gt;"Income")*(-1) + (Tracking[[Type ]]="Income"))</f>
        <v>4926.1600000000008</v>
      </c>
      <c r="I67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45778</v>
      </c>
    </row>
    <row r="673" spans="3:9" x14ac:dyDescent="0.3">
      <c r="C673" s="112">
        <v>45773</v>
      </c>
      <c r="D673" t="s">
        <v>9</v>
      </c>
      <c r="E673" t="s">
        <v>26</v>
      </c>
      <c r="F673" s="114">
        <v>6</v>
      </c>
      <c r="G673"/>
      <c r="H673" s="131" cm="1">
        <f t="array" ref="H673">SUMPRODUCT(Tracking[Amount], -- (Tracking[[Date ]]&lt;= Tracking[[#This Row],[Date ]]), (Tracking[[Type ]]&lt;&gt;"Income")*(-1) + (Tracking[[Type ]]="Income"))</f>
        <v>4351.5700000000006</v>
      </c>
      <c r="I67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45773</v>
      </c>
    </row>
    <row r="674" spans="3:9" x14ac:dyDescent="0.3">
      <c r="C674" s="112">
        <v>45772</v>
      </c>
      <c r="D674" t="s">
        <v>9</v>
      </c>
      <c r="E674" t="s">
        <v>22</v>
      </c>
      <c r="F674" s="114">
        <v>11.54</v>
      </c>
      <c r="G674"/>
      <c r="H674" s="131" cm="1">
        <f t="array" ref="H674">SUMPRODUCT(Tracking[Amount], -- (Tracking[[Date ]]&lt;= Tracking[[#This Row],[Date ]]), (Tracking[[Type ]]&lt;&gt;"Income")*(-1) + (Tracking[[Type ]]="Income"))</f>
        <v>4369.5600000000004</v>
      </c>
      <c r="I67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45772</v>
      </c>
    </row>
    <row r="675" spans="3:9" x14ac:dyDescent="0.3">
      <c r="C675" s="112">
        <v>45773</v>
      </c>
      <c r="D675" t="s">
        <v>9</v>
      </c>
      <c r="E675" t="s">
        <v>20</v>
      </c>
      <c r="F675" s="114">
        <v>11.99</v>
      </c>
      <c r="G675"/>
      <c r="H675" s="131" cm="1">
        <f t="array" ref="H675">SUMPRODUCT(Tracking[Amount], -- (Tracking[[Date ]]&lt;= Tracking[[#This Row],[Date ]]), (Tracking[[Type ]]&lt;&gt;"Income")*(-1) + (Tracking[[Type ]]="Income"))</f>
        <v>4351.5700000000006</v>
      </c>
      <c r="I67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45773</v>
      </c>
    </row>
    <row r="676" spans="3:9" x14ac:dyDescent="0.3">
      <c r="C676" s="112">
        <v>45774</v>
      </c>
      <c r="D676" t="s">
        <v>9</v>
      </c>
      <c r="E676" t="s">
        <v>116</v>
      </c>
      <c r="F676" s="114">
        <v>22.54</v>
      </c>
      <c r="G676"/>
      <c r="H676" s="131" cm="1">
        <f t="array" ref="H676">SUMPRODUCT(Tracking[Amount], -- (Tracking[[Date ]]&lt;= Tracking[[#This Row],[Date ]]), (Tracking[[Type ]]&lt;&gt;"Income")*(-1) + (Tracking[[Type ]]="Income"))</f>
        <v>4329.0300000000007</v>
      </c>
      <c r="I67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45774</v>
      </c>
    </row>
    <row r="677" spans="3:9" x14ac:dyDescent="0.3">
      <c r="C677" s="112">
        <v>45775</v>
      </c>
      <c r="D677" t="s">
        <v>9</v>
      </c>
      <c r="E677" t="s">
        <v>116</v>
      </c>
      <c r="F677" s="114">
        <v>23.3</v>
      </c>
      <c r="G677" t="s">
        <v>126</v>
      </c>
      <c r="H677" s="131" cm="1">
        <f t="array" ref="H677">SUMPRODUCT(Tracking[Amount], -- (Tracking[[Date ]]&lt;= Tracking[[#This Row],[Date ]]), (Tracking[[Type ]]&lt;&gt;"Income")*(-1) + (Tracking[[Type ]]="Income"))</f>
        <v>4285.2300000000005</v>
      </c>
      <c r="I67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45775</v>
      </c>
    </row>
    <row r="678" spans="3:9" x14ac:dyDescent="0.3">
      <c r="C678" s="112">
        <v>45775</v>
      </c>
      <c r="D678" t="s">
        <v>9</v>
      </c>
      <c r="E678" t="s">
        <v>26</v>
      </c>
      <c r="F678" s="114">
        <v>5</v>
      </c>
      <c r="G678"/>
      <c r="H678" s="131" cm="1">
        <f t="array" ref="H678">SUMPRODUCT(Tracking[Amount], -- (Tracking[[Date ]]&lt;= Tracking[[#This Row],[Date ]]), (Tracking[[Type ]]&lt;&gt;"Income")*(-1) + (Tracking[[Type ]]="Income"))</f>
        <v>4285.2300000000005</v>
      </c>
      <c r="I67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45775</v>
      </c>
    </row>
    <row r="679" spans="3:9" x14ac:dyDescent="0.3">
      <c r="C679" s="112">
        <v>45775</v>
      </c>
      <c r="D679" t="s">
        <v>9</v>
      </c>
      <c r="E679" t="s">
        <v>26</v>
      </c>
      <c r="F679" s="114">
        <v>15.5</v>
      </c>
      <c r="G679"/>
      <c r="H679" s="131" cm="1">
        <f t="array" ref="H679">SUMPRODUCT(Tracking[Amount], -- (Tracking[[Date ]]&lt;= Tracking[[#This Row],[Date ]]), (Tracking[[Type ]]&lt;&gt;"Income")*(-1) + (Tracking[[Type ]]="Income"))</f>
        <v>4285.2300000000005</v>
      </c>
      <c r="I67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45775</v>
      </c>
    </row>
    <row r="680" spans="3:9" x14ac:dyDescent="0.3">
      <c r="C680" s="112">
        <v>45776</v>
      </c>
      <c r="D680" t="s">
        <v>9</v>
      </c>
      <c r="E680" t="s">
        <v>26</v>
      </c>
      <c r="F680" s="114">
        <v>5</v>
      </c>
      <c r="G680"/>
      <c r="H680" s="131" cm="1">
        <f t="array" ref="H680">SUMPRODUCT(Tracking[Amount], -- (Tracking[[Date ]]&lt;= Tracking[[#This Row],[Date ]]), (Tracking[[Type ]]&lt;&gt;"Income")*(-1) + (Tracking[[Type ]]="Income"))</f>
        <v>4235.9500000000007</v>
      </c>
      <c r="I68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45776</v>
      </c>
    </row>
    <row r="681" spans="3:9" x14ac:dyDescent="0.3">
      <c r="C681" s="112">
        <v>45776</v>
      </c>
      <c r="D681" t="s">
        <v>9</v>
      </c>
      <c r="E681" t="s">
        <v>20</v>
      </c>
      <c r="F681" s="114">
        <v>37.28</v>
      </c>
      <c r="G681"/>
      <c r="H681" s="131" cm="1">
        <f t="array" ref="H681">SUMPRODUCT(Tracking[Amount], -- (Tracking[[Date ]]&lt;= Tracking[[#This Row],[Date ]]), (Tracking[[Type ]]&lt;&gt;"Income")*(-1) + (Tracking[[Type ]]="Income"))</f>
        <v>4235.9500000000007</v>
      </c>
      <c r="I68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45776</v>
      </c>
    </row>
    <row r="682" spans="3:9" x14ac:dyDescent="0.3">
      <c r="C682" s="112">
        <v>45778</v>
      </c>
      <c r="D682" t="s">
        <v>9</v>
      </c>
      <c r="E682" t="s">
        <v>121</v>
      </c>
      <c r="F682" s="114">
        <v>36.200000000000003</v>
      </c>
      <c r="G682"/>
      <c r="H682" s="131" cm="1">
        <f t="array" ref="H682">SUMPRODUCT(Tracking[Amount], -- (Tracking[[Date ]]&lt;= Tracking[[#This Row],[Date ]]), (Tracking[[Type ]]&lt;&gt;"Income")*(-1) + (Tracking[[Type ]]="Income"))</f>
        <v>4926.1600000000008</v>
      </c>
      <c r="I68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45778</v>
      </c>
    </row>
    <row r="683" spans="3:9" x14ac:dyDescent="0.3">
      <c r="C683" s="112">
        <v>45778</v>
      </c>
      <c r="D683" t="s">
        <v>9</v>
      </c>
      <c r="E683" t="s">
        <v>131</v>
      </c>
      <c r="F683" s="114">
        <v>400</v>
      </c>
      <c r="G683"/>
      <c r="H683" s="131" cm="1">
        <f t="array" ref="H683">SUMPRODUCT(Tracking[Amount], -- (Tracking[[Date ]]&lt;= Tracking[[#This Row],[Date ]]), (Tracking[[Type ]]&lt;&gt;"Income")*(-1) + (Tracking[[Type ]]="Income"))</f>
        <v>4926.1600000000008</v>
      </c>
      <c r="I68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45778</v>
      </c>
    </row>
    <row r="684" spans="3:9" x14ac:dyDescent="0.3">
      <c r="C684" s="112">
        <v>45779</v>
      </c>
      <c r="D684" t="s">
        <v>9</v>
      </c>
      <c r="E684" t="s">
        <v>20</v>
      </c>
      <c r="F684" s="114">
        <v>21.84</v>
      </c>
      <c r="G684"/>
      <c r="H684" s="131" cm="1">
        <f t="array" ref="H684">SUMPRODUCT(Tracking[Amount], -- (Tracking[[Date ]]&lt;= Tracking[[#This Row],[Date ]]), (Tracking[[Type ]]&lt;&gt;"Income")*(-1) + (Tracking[[Type ]]="Income"))</f>
        <v>4890.8200000000006</v>
      </c>
      <c r="I68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45779</v>
      </c>
    </row>
    <row r="685" spans="3:9" x14ac:dyDescent="0.3">
      <c r="C685" s="112">
        <v>45779</v>
      </c>
      <c r="D685" t="s">
        <v>9</v>
      </c>
      <c r="E685" t="s">
        <v>116</v>
      </c>
      <c r="F685" s="114">
        <v>13.5</v>
      </c>
      <c r="G685" t="s">
        <v>159</v>
      </c>
      <c r="H685" s="131" cm="1">
        <f t="array" ref="H685">SUMPRODUCT(Tracking[Amount], -- (Tracking[[Date ]]&lt;= Tracking[[#This Row],[Date ]]), (Tracking[[Type ]]&lt;&gt;"Income")*(-1) + (Tracking[[Type ]]="Income"))</f>
        <v>4890.8200000000006</v>
      </c>
      <c r="I68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45779</v>
      </c>
    </row>
    <row r="686" spans="3:9" x14ac:dyDescent="0.3">
      <c r="C686" s="112">
        <v>45780</v>
      </c>
      <c r="D686" t="s">
        <v>9</v>
      </c>
      <c r="E686" t="s">
        <v>26</v>
      </c>
      <c r="F686" s="114">
        <v>8</v>
      </c>
      <c r="G686"/>
      <c r="H686" s="131" cm="1">
        <f t="array" ref="H686">SUMPRODUCT(Tracking[Amount], -- (Tracking[[Date ]]&lt;= Tracking[[#This Row],[Date ]]), (Tracking[[Type ]]&lt;&gt;"Income")*(-1) + (Tracking[[Type ]]="Income"))</f>
        <v>4882.8200000000006</v>
      </c>
      <c r="I68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45780</v>
      </c>
    </row>
    <row r="687" spans="3:9" x14ac:dyDescent="0.3">
      <c r="C687" s="112">
        <v>45781</v>
      </c>
      <c r="D687" t="s">
        <v>9</v>
      </c>
      <c r="E687" t="s">
        <v>26</v>
      </c>
      <c r="F687" s="114">
        <v>16</v>
      </c>
      <c r="G687"/>
      <c r="H687" s="131" cm="1">
        <f t="array" ref="H687">SUMPRODUCT(Tracking[Amount], -- (Tracking[[Date ]]&lt;= Tracking[[#This Row],[Date ]]), (Tracking[[Type ]]&lt;&gt;"Income")*(-1) + (Tracking[[Type ]]="Income"))</f>
        <v>4866.8200000000006</v>
      </c>
      <c r="I68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45781</v>
      </c>
    </row>
    <row r="688" spans="3:9" x14ac:dyDescent="0.3">
      <c r="C688" s="112">
        <v>45783</v>
      </c>
      <c r="D688" t="s">
        <v>9</v>
      </c>
      <c r="E688" t="s">
        <v>116</v>
      </c>
      <c r="F688" s="114">
        <v>5</v>
      </c>
      <c r="G688" t="s">
        <v>166</v>
      </c>
      <c r="H688" s="131" cm="1">
        <f t="array" ref="H688">SUMPRODUCT(Tracking[Amount], -- (Tracking[[Date ]]&lt;= Tracking[[#This Row],[Date ]]), (Tracking[[Type ]]&lt;&gt;"Income")*(-1) + (Tracking[[Type ]]="Income"))</f>
        <v>4839.380000000001</v>
      </c>
      <c r="I68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45783</v>
      </c>
    </row>
    <row r="689" spans="3:9" x14ac:dyDescent="0.3">
      <c r="C689" s="112">
        <v>45783</v>
      </c>
      <c r="D689" t="s">
        <v>9</v>
      </c>
      <c r="E689" t="s">
        <v>20</v>
      </c>
      <c r="F689" s="114">
        <v>22.44</v>
      </c>
      <c r="G689"/>
      <c r="H689" s="131" cm="1">
        <f t="array" ref="H689">SUMPRODUCT(Tracking[Amount], -- (Tracking[[Date ]]&lt;= Tracking[[#This Row],[Date ]]), (Tracking[[Type ]]&lt;&gt;"Income")*(-1) + (Tracking[[Type ]]="Income"))</f>
        <v>4839.380000000001</v>
      </c>
      <c r="I68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45783</v>
      </c>
    </row>
    <row r="690" spans="3:9" x14ac:dyDescent="0.3">
      <c r="C690" s="112">
        <v>45784</v>
      </c>
      <c r="D690" t="s">
        <v>9</v>
      </c>
      <c r="E690" t="s">
        <v>26</v>
      </c>
      <c r="F690" s="114">
        <v>4</v>
      </c>
      <c r="G690"/>
      <c r="H690" s="131" cm="1">
        <f t="array" ref="H690">SUMPRODUCT(Tracking[Amount], -- (Tracking[[Date ]]&lt;= Tracking[[#This Row],[Date ]]), (Tracking[[Type ]]&lt;&gt;"Income")*(-1) + (Tracking[[Type ]]="Income"))</f>
        <v>4835.380000000001</v>
      </c>
      <c r="I69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45784</v>
      </c>
    </row>
    <row r="691" spans="3:9" x14ac:dyDescent="0.3">
      <c r="C691" s="112">
        <v>45748</v>
      </c>
      <c r="D691" t="s">
        <v>9</v>
      </c>
      <c r="E691" t="s">
        <v>24</v>
      </c>
      <c r="F691" s="114">
        <v>25.44</v>
      </c>
      <c r="G691"/>
      <c r="H691" s="131" cm="1">
        <f t="array" ref="H691">SUMPRODUCT(Tracking[Amount], -- (Tracking[[Date ]]&lt;= Tracking[[#This Row],[Date ]]), (Tracking[[Type ]]&lt;&gt;"Income")*(-1) + (Tracking[[Type ]]="Income"))</f>
        <v>4673.9900000000007</v>
      </c>
      <c r="I69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45748</v>
      </c>
    </row>
    <row r="692" spans="3:9" x14ac:dyDescent="0.3">
      <c r="C692" s="112">
        <v>45748</v>
      </c>
      <c r="D692" t="s">
        <v>9</v>
      </c>
      <c r="E692" t="s">
        <v>21</v>
      </c>
      <c r="F692" s="114">
        <v>32</v>
      </c>
      <c r="G692"/>
      <c r="H692" s="131" cm="1">
        <f t="array" ref="H692">SUMPRODUCT(Tracking[Amount], -- (Tracking[[Date ]]&lt;= Tracking[[#This Row],[Date ]]), (Tracking[[Type ]]&lt;&gt;"Income")*(-1) + (Tracking[[Type ]]="Income"))</f>
        <v>4673.9900000000007</v>
      </c>
      <c r="I69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45748</v>
      </c>
    </row>
    <row r="693" spans="3:9" x14ac:dyDescent="0.3">
      <c r="C693" s="112">
        <v>45787</v>
      </c>
      <c r="D693" t="s">
        <v>9</v>
      </c>
      <c r="E693" t="s">
        <v>20</v>
      </c>
      <c r="F693" s="114">
        <v>26.68</v>
      </c>
      <c r="G693"/>
      <c r="H693" s="131" cm="1">
        <f t="array" ref="H693">SUMPRODUCT(Tracking[Amount], -- (Tracking[[Date ]]&lt;= Tracking[[#This Row],[Date ]]), (Tracking[[Type ]]&lt;&gt;"Income")*(-1) + (Tracking[[Type ]]="Income"))</f>
        <v>4808.7000000000007</v>
      </c>
      <c r="I69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45787</v>
      </c>
    </row>
    <row r="694" spans="3:9" x14ac:dyDescent="0.3">
      <c r="C694" s="112">
        <v>45788</v>
      </c>
      <c r="D694" t="s">
        <v>9</v>
      </c>
      <c r="E694" t="s">
        <v>116</v>
      </c>
      <c r="F694" s="114">
        <v>16.559999999999999</v>
      </c>
      <c r="G694"/>
      <c r="H694" s="131" cm="1">
        <f t="array" ref="H694">SUMPRODUCT(Tracking[Amount], -- (Tracking[[Date ]]&lt;= Tracking[[#This Row],[Date ]]), (Tracking[[Type ]]&lt;&gt;"Income")*(-1) + (Tracking[[Type ]]="Income"))</f>
        <v>4792.1400000000003</v>
      </c>
      <c r="I69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45788</v>
      </c>
    </row>
    <row r="695" spans="3:9" x14ac:dyDescent="0.3">
      <c r="C695" s="112">
        <v>45791</v>
      </c>
      <c r="D695" t="s">
        <v>9</v>
      </c>
      <c r="E695" t="s">
        <v>20</v>
      </c>
      <c r="F695" s="114">
        <v>13.2</v>
      </c>
      <c r="G695"/>
      <c r="H695" s="131" cm="1">
        <f t="array" ref="H695">SUMPRODUCT(Tracking[Amount], -- (Tracking[[Date ]]&lt;= Tracking[[#This Row],[Date ]]), (Tracking[[Type ]]&lt;&gt;"Income")*(-1) + (Tracking[[Type ]]="Income"))</f>
        <v>4778.9400000000005</v>
      </c>
      <c r="I69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45791</v>
      </c>
    </row>
    <row r="696" spans="3:9" x14ac:dyDescent="0.3">
      <c r="C696" s="112">
        <v>45794</v>
      </c>
      <c r="D696" t="s">
        <v>9</v>
      </c>
      <c r="E696" t="s">
        <v>26</v>
      </c>
      <c r="F696" s="114">
        <v>38.5</v>
      </c>
      <c r="G696"/>
      <c r="H696" s="131" cm="1">
        <f t="array" ref="H696">SUMPRODUCT(Tracking[Amount], -- (Tracking[[Date ]]&lt;= Tracking[[#This Row],[Date ]]), (Tracking[[Type ]]&lt;&gt;"Income")*(-1) + (Tracking[[Type ]]="Income"))</f>
        <v>4740.4400000000005</v>
      </c>
      <c r="I69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45794</v>
      </c>
    </row>
    <row r="697" spans="3:9" x14ac:dyDescent="0.3">
      <c r="C697" s="112">
        <v>45795</v>
      </c>
      <c r="D697" t="s">
        <v>9</v>
      </c>
      <c r="E697" t="s">
        <v>26</v>
      </c>
      <c r="F697" s="114">
        <v>37.5</v>
      </c>
      <c r="G697"/>
      <c r="H697" s="131" cm="1">
        <f t="array" ref="H697">SUMPRODUCT(Tracking[Amount], -- (Tracking[[Date ]]&lt;= Tracking[[#This Row],[Date ]]), (Tracking[[Type ]]&lt;&gt;"Income")*(-1) + (Tracking[[Type ]]="Income"))</f>
        <v>4702.9400000000005</v>
      </c>
      <c r="I69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45795</v>
      </c>
    </row>
    <row r="698" spans="3:9" x14ac:dyDescent="0.3">
      <c r="C698" s="112">
        <v>45797</v>
      </c>
      <c r="D698" t="s">
        <v>9</v>
      </c>
      <c r="E698" t="s">
        <v>25</v>
      </c>
      <c r="F698" s="114">
        <v>13</v>
      </c>
      <c r="G698"/>
      <c r="H698" s="131" cm="1">
        <f t="array" ref="H698">SUMPRODUCT(Tracking[Amount], -- (Tracking[[Date ]]&lt;= Tracking[[#This Row],[Date ]]), (Tracking[[Type ]]&lt;&gt;"Income")*(-1) + (Tracking[[Type ]]="Income"))</f>
        <v>4649.6500000000005</v>
      </c>
      <c r="I69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45797</v>
      </c>
    </row>
    <row r="699" spans="3:9" x14ac:dyDescent="0.3">
      <c r="C699" s="112">
        <v>45796</v>
      </c>
      <c r="D699" t="s">
        <v>9</v>
      </c>
      <c r="E699" t="s">
        <v>20</v>
      </c>
      <c r="F699" s="114">
        <v>40.29</v>
      </c>
      <c r="G699"/>
      <c r="H699" s="131" cm="1">
        <f t="array" ref="H699">SUMPRODUCT(Tracking[Amount], -- (Tracking[[Date ]]&lt;= Tracking[[#This Row],[Date ]]), (Tracking[[Type ]]&lt;&gt;"Income")*(-1) + (Tracking[[Type ]]="Income"))</f>
        <v>4662.6500000000005</v>
      </c>
      <c r="I69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45796</v>
      </c>
    </row>
    <row r="700" spans="3:9" x14ac:dyDescent="0.3">
      <c r="C700" s="112">
        <v>45798</v>
      </c>
      <c r="D700" t="s">
        <v>9</v>
      </c>
      <c r="E700" t="s">
        <v>121</v>
      </c>
      <c r="F700" s="114">
        <v>12</v>
      </c>
      <c r="G700"/>
      <c r="H700" s="131" cm="1">
        <f t="array" ref="H700">SUMPRODUCT(Tracking[Amount], -- (Tracking[[Date ]]&lt;= Tracking[[#This Row],[Date ]]), (Tracking[[Type ]]&lt;&gt;"Income")*(-1) + (Tracking[[Type ]]="Income"))</f>
        <v>4637.6500000000005</v>
      </c>
      <c r="I70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45798</v>
      </c>
    </row>
    <row r="701" spans="3:9" x14ac:dyDescent="0.3">
      <c r="C701" s="112">
        <v>45801</v>
      </c>
      <c r="D701" t="s">
        <v>9</v>
      </c>
      <c r="E701" t="s">
        <v>116</v>
      </c>
      <c r="F701" s="114">
        <v>20</v>
      </c>
      <c r="G701" t="s">
        <v>178</v>
      </c>
      <c r="H701" s="131" cm="1">
        <f t="array" ref="H701">SUMPRODUCT(Tracking[Amount], -- (Tracking[[Date ]]&lt;= Tracking[[#This Row],[Date ]]), (Tracking[[Type ]]&lt;&gt;"Income")*(-1) + (Tracking[[Type ]]="Income"))</f>
        <v>4591.1500000000005</v>
      </c>
      <c r="I70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45801</v>
      </c>
    </row>
    <row r="702" spans="3:9" x14ac:dyDescent="0.3">
      <c r="C702" s="112">
        <v>45800</v>
      </c>
      <c r="D702" t="s">
        <v>9</v>
      </c>
      <c r="E702" t="s">
        <v>26</v>
      </c>
      <c r="F702" s="114">
        <v>14.5</v>
      </c>
      <c r="G702"/>
      <c r="H702" s="131" cm="1">
        <f t="array" ref="H702">SUMPRODUCT(Tracking[Amount], -- (Tracking[[Date ]]&lt;= Tracking[[#This Row],[Date ]]), (Tracking[[Type ]]&lt;&gt;"Income")*(-1) + (Tracking[[Type ]]="Income"))</f>
        <v>4611.1500000000005</v>
      </c>
      <c r="I70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45800</v>
      </c>
    </row>
    <row r="703" spans="3:9" x14ac:dyDescent="0.3">
      <c r="C703" s="112">
        <v>45799</v>
      </c>
      <c r="D703" t="s">
        <v>9</v>
      </c>
      <c r="E703" t="s">
        <v>143</v>
      </c>
      <c r="F703" s="114">
        <v>12</v>
      </c>
      <c r="G703"/>
      <c r="H703" s="131" cm="1">
        <f t="array" ref="H703">SUMPRODUCT(Tracking[Amount], -- (Tracking[[Date ]]&lt;= Tracking[[#This Row],[Date ]]), (Tracking[[Type ]]&lt;&gt;"Income")*(-1) + (Tracking[[Type ]]="Income"))</f>
        <v>4625.6500000000005</v>
      </c>
      <c r="I70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45799</v>
      </c>
    </row>
    <row r="704" spans="3:9" x14ac:dyDescent="0.3">
      <c r="C704" s="112">
        <v>45802</v>
      </c>
      <c r="D704" t="s">
        <v>9</v>
      </c>
      <c r="E704" t="s">
        <v>26</v>
      </c>
      <c r="F704" s="114">
        <v>13.5</v>
      </c>
      <c r="G704"/>
      <c r="H704" s="131" cm="1">
        <f t="array" ref="H704">SUMPRODUCT(Tracking[Amount], -- (Tracking[[Date ]]&lt;= Tracking[[#This Row],[Date ]]), (Tracking[[Type ]]&lt;&gt;"Income")*(-1) + (Tracking[[Type ]]="Income"))</f>
        <v>4577.6500000000005</v>
      </c>
      <c r="I70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45802</v>
      </c>
    </row>
    <row r="705" spans="3:9" x14ac:dyDescent="0.3">
      <c r="C705" s="112">
        <v>45803</v>
      </c>
      <c r="D705" t="s">
        <v>9</v>
      </c>
      <c r="E705" t="s">
        <v>116</v>
      </c>
      <c r="F705" s="114">
        <v>31.3</v>
      </c>
      <c r="G705"/>
      <c r="H705" s="131" cm="1">
        <f t="array" ref="H705">SUMPRODUCT(Tracking[Amount], -- (Tracking[[Date ]]&lt;= Tracking[[#This Row],[Date ]]), (Tracking[[Type ]]&lt;&gt;"Income")*(-1) + (Tracking[[Type ]]="Income"))</f>
        <v>4521.08</v>
      </c>
      <c r="I70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45803</v>
      </c>
    </row>
    <row r="706" spans="3:9" x14ac:dyDescent="0.3">
      <c r="C706" s="112">
        <v>45803</v>
      </c>
      <c r="D706" t="s">
        <v>9</v>
      </c>
      <c r="E706" t="s">
        <v>20</v>
      </c>
      <c r="F706" s="114">
        <v>25.27</v>
      </c>
      <c r="G706"/>
      <c r="H706" s="131" cm="1">
        <f t="array" ref="H706">SUMPRODUCT(Tracking[Amount], -- (Tracking[[Date ]]&lt;= Tracking[[#This Row],[Date ]]), (Tracking[[Type ]]&lt;&gt;"Income")*(-1) + (Tracking[[Type ]]="Income"))</f>
        <v>4521.08</v>
      </c>
      <c r="I70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45803</v>
      </c>
    </row>
    <row r="707" spans="3:9" x14ac:dyDescent="0.3">
      <c r="C707" s="112">
        <v>45804</v>
      </c>
      <c r="D707" t="s">
        <v>9</v>
      </c>
      <c r="E707" t="s">
        <v>116</v>
      </c>
      <c r="F707" s="114">
        <v>23</v>
      </c>
      <c r="G707"/>
      <c r="H707" s="131" cm="1">
        <f t="array" ref="H707">SUMPRODUCT(Tracking[Amount], -- (Tracking[[Date ]]&lt;= Tracking[[#This Row],[Date ]]), (Tracking[[Type ]]&lt;&gt;"Income")*(-1) + (Tracking[[Type ]]="Income"))</f>
        <v>4498.08</v>
      </c>
      <c r="I70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45804</v>
      </c>
    </row>
    <row r="708" spans="3:9" x14ac:dyDescent="0.3">
      <c r="C708" s="112">
        <v>45809</v>
      </c>
      <c r="D708" t="s">
        <v>6</v>
      </c>
      <c r="E708" t="s">
        <v>19</v>
      </c>
      <c r="F708" s="114">
        <v>1174.26</v>
      </c>
      <c r="G708"/>
      <c r="H708" s="131" cm="1">
        <f t="array" ref="H708">SUMPRODUCT(Tracking[Amount], -- (Tracking[[Date ]]&lt;= Tracking[[#This Row],[Date ]]), (Tracking[[Type ]]&lt;&gt;"Income")*(-1) + (Tracking[[Type ]]="Income"))</f>
        <v>4502.6899999999996</v>
      </c>
      <c r="I70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45809</v>
      </c>
    </row>
    <row r="709" spans="3:9" x14ac:dyDescent="0.3">
      <c r="C709" s="112">
        <v>45805</v>
      </c>
      <c r="D709" t="s">
        <v>9</v>
      </c>
      <c r="E709" t="s">
        <v>26</v>
      </c>
      <c r="F709" s="114">
        <v>8</v>
      </c>
      <c r="G709"/>
      <c r="H709" s="131" cm="1">
        <f t="array" ref="H709">SUMPRODUCT(Tracking[Amount], -- (Tracking[[Date ]]&lt;= Tracking[[#This Row],[Date ]]), (Tracking[[Type ]]&lt;&gt;"Income")*(-1) + (Tracking[[Type ]]="Income"))</f>
        <v>3809.8199999999993</v>
      </c>
      <c r="I70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45805</v>
      </c>
    </row>
    <row r="710" spans="3:9" x14ac:dyDescent="0.3">
      <c r="C710" s="112">
        <v>45805</v>
      </c>
      <c r="D710" t="s">
        <v>9</v>
      </c>
      <c r="E710" t="s">
        <v>116</v>
      </c>
      <c r="F710" s="114">
        <v>550</v>
      </c>
      <c r="G710"/>
      <c r="H710" s="131" cm="1">
        <f t="array" ref="H710">SUMPRODUCT(Tracking[Amount], -- (Tracking[[Date ]]&lt;= Tracking[[#This Row],[Date ]]), (Tracking[[Type ]]&lt;&gt;"Income")*(-1) + (Tracking[[Type ]]="Income"))</f>
        <v>3809.8199999999993</v>
      </c>
      <c r="I71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45805</v>
      </c>
    </row>
    <row r="711" spans="3:9" x14ac:dyDescent="0.3">
      <c r="C711" s="112">
        <v>45805</v>
      </c>
      <c r="D711" t="s">
        <v>9</v>
      </c>
      <c r="E711" t="s">
        <v>20</v>
      </c>
      <c r="F711" s="114">
        <v>7.52</v>
      </c>
      <c r="G711"/>
      <c r="H711" s="131" cm="1">
        <f t="array" ref="H711">SUMPRODUCT(Tracking[Amount], -- (Tracking[[Date ]]&lt;= Tracking[[#This Row],[Date ]]), (Tracking[[Type ]]&lt;&gt;"Income")*(-1) + (Tracking[[Type ]]="Income"))</f>
        <v>3809.8199999999993</v>
      </c>
      <c r="I71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45805</v>
      </c>
    </row>
    <row r="712" spans="3:9" x14ac:dyDescent="0.3">
      <c r="C712" s="112">
        <v>45805</v>
      </c>
      <c r="D712" t="s">
        <v>9</v>
      </c>
      <c r="E712" t="s">
        <v>116</v>
      </c>
      <c r="F712" s="114">
        <v>104.94</v>
      </c>
      <c r="G712" t="s">
        <v>179</v>
      </c>
      <c r="H712" s="131" cm="1">
        <f t="array" ref="H712">SUMPRODUCT(Tracking[Amount], -- (Tracking[[Date ]]&lt;= Tracking[[#This Row],[Date ]]), (Tracking[[Type ]]&lt;&gt;"Income")*(-1) + (Tracking[[Type ]]="Income"))</f>
        <v>3809.8199999999993</v>
      </c>
      <c r="I71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45805</v>
      </c>
    </row>
    <row r="713" spans="3:9" x14ac:dyDescent="0.3">
      <c r="C713" s="112">
        <v>45805</v>
      </c>
      <c r="D713" t="s">
        <v>9</v>
      </c>
      <c r="E713" t="s">
        <v>26</v>
      </c>
      <c r="F713" s="114">
        <v>17.8</v>
      </c>
      <c r="G713"/>
      <c r="H713" s="131" cm="1">
        <f t="array" ref="H713">SUMPRODUCT(Tracking[Amount], -- (Tracking[[Date ]]&lt;= Tracking[[#This Row],[Date ]]), (Tracking[[Type ]]&lt;&gt;"Income")*(-1) + (Tracking[[Type ]]="Income"))</f>
        <v>3809.8199999999993</v>
      </c>
      <c r="I71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45805</v>
      </c>
    </row>
    <row r="714" spans="3:9" x14ac:dyDescent="0.3">
      <c r="C714" s="112">
        <v>45807</v>
      </c>
      <c r="D714" t="s">
        <v>9</v>
      </c>
      <c r="E714" t="s">
        <v>26</v>
      </c>
      <c r="F714" s="114">
        <v>8</v>
      </c>
      <c r="G714"/>
      <c r="H714" s="131" cm="1">
        <f t="array" ref="H714">SUMPRODUCT(Tracking[Amount], -- (Tracking[[Date ]]&lt;= Tracking[[#This Row],[Date ]]), (Tracking[[Type ]]&lt;&gt;"Income")*(-1) + (Tracking[[Type ]]="Income"))</f>
        <v>3801.8199999999993</v>
      </c>
      <c r="I71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45807</v>
      </c>
    </row>
    <row r="715" spans="3:9" x14ac:dyDescent="0.3">
      <c r="C715" s="112">
        <v>45808</v>
      </c>
      <c r="D715" t="s">
        <v>9</v>
      </c>
      <c r="E715" t="s">
        <v>26</v>
      </c>
      <c r="F715" s="114">
        <v>58</v>
      </c>
      <c r="G715"/>
      <c r="H715" s="131" cm="1">
        <f t="array" ref="H715">SUMPRODUCT(Tracking[Amount], -- (Tracking[[Date ]]&lt;= Tracking[[#This Row],[Date ]]), (Tracking[[Type ]]&lt;&gt;"Income")*(-1) + (Tracking[[Type ]]="Income"))</f>
        <v>3743.8199999999993</v>
      </c>
      <c r="I71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45808</v>
      </c>
    </row>
    <row r="716" spans="3:9" x14ac:dyDescent="0.3">
      <c r="C716" s="112">
        <v>45809</v>
      </c>
      <c r="D716" t="s">
        <v>9</v>
      </c>
      <c r="E716" t="s">
        <v>131</v>
      </c>
      <c r="F716" s="114">
        <v>400</v>
      </c>
      <c r="G716"/>
      <c r="H716" s="131" cm="1">
        <f t="array" ref="H716">SUMPRODUCT(Tracking[Amount], -- (Tracking[[Date ]]&lt;= Tracking[[#This Row],[Date ]]), (Tracking[[Type ]]&lt;&gt;"Income")*(-1) + (Tracking[[Type ]]="Income"))</f>
        <v>4502.6899999999996</v>
      </c>
      <c r="I71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45809</v>
      </c>
    </row>
    <row r="717" spans="3:9" x14ac:dyDescent="0.3">
      <c r="C717" s="112">
        <v>45809</v>
      </c>
      <c r="D717" t="s">
        <v>9</v>
      </c>
      <c r="E717" t="s">
        <v>20</v>
      </c>
      <c r="F717" s="114">
        <v>1.89</v>
      </c>
      <c r="G717"/>
      <c r="H717" s="131" cm="1">
        <f t="array" ref="H717">SUMPRODUCT(Tracking[Amount], -- (Tracking[[Date ]]&lt;= Tracking[[#This Row],[Date ]]), (Tracking[[Type ]]&lt;&gt;"Income")*(-1) + (Tracking[[Type ]]="Income"))</f>
        <v>4502.6899999999996</v>
      </c>
      <c r="I71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45809</v>
      </c>
    </row>
    <row r="718" spans="3:9" x14ac:dyDescent="0.3">
      <c r="C718" s="112">
        <v>45809</v>
      </c>
      <c r="D718" t="s">
        <v>9</v>
      </c>
      <c r="E718" t="s">
        <v>116</v>
      </c>
      <c r="F718" s="114">
        <v>13.5</v>
      </c>
      <c r="G718" t="s">
        <v>159</v>
      </c>
      <c r="H718" s="131" cm="1">
        <f t="array" ref="H718">SUMPRODUCT(Tracking[Amount], -- (Tracking[[Date ]]&lt;= Tracking[[#This Row],[Date ]]), (Tracking[[Type ]]&lt;&gt;"Income")*(-1) + (Tracking[[Type ]]="Income"))</f>
        <v>4502.6899999999996</v>
      </c>
      <c r="I71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45809</v>
      </c>
    </row>
    <row r="719" spans="3:9" x14ac:dyDescent="0.3">
      <c r="C719" s="112">
        <v>45810</v>
      </c>
      <c r="D719" t="s">
        <v>9</v>
      </c>
      <c r="E719" t="s">
        <v>20</v>
      </c>
      <c r="F719" s="114">
        <v>78.53</v>
      </c>
      <c r="G719"/>
      <c r="H719" s="131" cm="1">
        <f t="array" ref="H719">SUMPRODUCT(Tracking[Amount], -- (Tracking[[Date ]]&lt;= Tracking[[#This Row],[Date ]]), (Tracking[[Type ]]&lt;&gt;"Income")*(-1) + (Tracking[[Type ]]="Income"))</f>
        <v>4424.16</v>
      </c>
      <c r="I71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45810</v>
      </c>
    </row>
    <row r="720" spans="3:9" x14ac:dyDescent="0.3">
      <c r="C720" s="112">
        <v>45811</v>
      </c>
      <c r="D720" t="s">
        <v>9</v>
      </c>
      <c r="E720" t="s">
        <v>116</v>
      </c>
      <c r="F720" s="114">
        <v>5</v>
      </c>
      <c r="G720" t="s">
        <v>166</v>
      </c>
      <c r="H720" s="131" cm="1">
        <f t="array" ref="H720">SUMPRODUCT(Tracking[Amount], -- (Tracking[[Date ]]&lt;= Tracking[[#This Row],[Date ]]), (Tracking[[Type ]]&lt;&gt;"Income")*(-1) + (Tracking[[Type ]]="Income"))</f>
        <v>4419.16</v>
      </c>
      <c r="I72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45811</v>
      </c>
    </row>
    <row r="721" spans="3:9" x14ac:dyDescent="0.3">
      <c r="C721" s="112">
        <v>45778</v>
      </c>
      <c r="D721" t="s">
        <v>9</v>
      </c>
      <c r="E721" t="s">
        <v>21</v>
      </c>
      <c r="F721" s="114">
        <v>29</v>
      </c>
      <c r="G721"/>
      <c r="H721" s="131" cm="1">
        <f t="array" ref="H721">SUMPRODUCT(Tracking[Amount], -- (Tracking[[Date ]]&lt;= Tracking[[#This Row],[Date ]]), (Tracking[[Type ]]&lt;&gt;"Income")*(-1) + (Tracking[[Type ]]="Income"))</f>
        <v>4926.1600000000008</v>
      </c>
      <c r="I72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45778</v>
      </c>
    </row>
    <row r="722" spans="3:9" x14ac:dyDescent="0.3">
      <c r="C722" s="112">
        <v>45815</v>
      </c>
      <c r="D722" t="s">
        <v>9</v>
      </c>
      <c r="E722" t="s">
        <v>20</v>
      </c>
      <c r="F722" s="114">
        <v>18.690000000000001</v>
      </c>
      <c r="G722"/>
      <c r="H722" s="131" cm="1">
        <f t="array" ref="H722">SUMPRODUCT(Tracking[Amount], -- (Tracking[[Date ]]&lt;= Tracking[[#This Row],[Date ]]), (Tracking[[Type ]]&lt;&gt;"Income")*(-1) + (Tracking[[Type ]]="Income"))</f>
        <v>4400.47</v>
      </c>
      <c r="I72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45815</v>
      </c>
    </row>
    <row r="723" spans="3:9" x14ac:dyDescent="0.3">
      <c r="C723" s="112">
        <v>45816</v>
      </c>
      <c r="D723" t="s">
        <v>9</v>
      </c>
      <c r="E723" t="s">
        <v>26</v>
      </c>
      <c r="F723" s="114">
        <v>46.75</v>
      </c>
      <c r="G723"/>
      <c r="H723" s="131" cm="1">
        <f t="array" ref="H723">SUMPRODUCT(Tracking[Amount], -- (Tracking[[Date ]]&lt;= Tracking[[#This Row],[Date ]]), (Tracking[[Type ]]&lt;&gt;"Income")*(-1) + (Tracking[[Type ]]="Income"))</f>
        <v>4353.72</v>
      </c>
      <c r="I72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45816</v>
      </c>
    </row>
    <row r="724" spans="3:9" x14ac:dyDescent="0.3">
      <c r="C724" s="112">
        <v>45818</v>
      </c>
      <c r="D724" t="s">
        <v>9</v>
      </c>
      <c r="E724" t="s">
        <v>20</v>
      </c>
      <c r="F724" s="114">
        <v>19.7</v>
      </c>
      <c r="G724"/>
      <c r="H724" s="131" cm="1">
        <f t="array" ref="H724">SUMPRODUCT(Tracking[Amount], -- (Tracking[[Date ]]&lt;= Tracking[[#This Row],[Date ]]), (Tracking[[Type ]]&lt;&gt;"Income")*(-1) + (Tracking[[Type ]]="Income"))</f>
        <v>4334.0200000000004</v>
      </c>
      <c r="I72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45818</v>
      </c>
    </row>
    <row r="725" spans="3:9" x14ac:dyDescent="0.3">
      <c r="C725" s="112">
        <v>45778</v>
      </c>
      <c r="D725" t="s">
        <v>9</v>
      </c>
      <c r="E725" t="s">
        <v>24</v>
      </c>
      <c r="F725" s="114">
        <v>25.44</v>
      </c>
      <c r="G725"/>
      <c r="H725" s="131" cm="1">
        <f t="array" ref="H725">SUMPRODUCT(Tracking[Amount], -- (Tracking[[Date ]]&lt;= Tracking[[#This Row],[Date ]]), (Tracking[[Type ]]&lt;&gt;"Income")*(-1) + (Tracking[[Type ]]="Income"))</f>
        <v>4926.1600000000008</v>
      </c>
      <c r="I72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45778</v>
      </c>
    </row>
    <row r="726" spans="3:9" x14ac:dyDescent="0.3">
      <c r="C726" s="112">
        <v>45821</v>
      </c>
      <c r="D726" t="s">
        <v>9</v>
      </c>
      <c r="E726" t="s">
        <v>26</v>
      </c>
      <c r="F726" s="114">
        <v>24.5</v>
      </c>
      <c r="G726"/>
      <c r="H726" s="131" cm="1">
        <f t="array" ref="H726">SUMPRODUCT(Tracking[Amount], -- (Tracking[[Date ]]&lt;= Tracking[[#This Row],[Date ]]), (Tracking[[Type ]]&lt;&gt;"Income")*(-1) + (Tracking[[Type ]]="Income"))</f>
        <v>4309.5200000000004</v>
      </c>
      <c r="I72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45821</v>
      </c>
    </row>
    <row r="727" spans="3:9" x14ac:dyDescent="0.3">
      <c r="C727" s="112">
        <v>45822</v>
      </c>
      <c r="D727" t="s">
        <v>9</v>
      </c>
      <c r="E727" t="s">
        <v>20</v>
      </c>
      <c r="F727" s="114">
        <v>20.93</v>
      </c>
      <c r="G727"/>
      <c r="H727" s="131" cm="1">
        <f t="array" ref="H727">SUMPRODUCT(Tracking[Amount], -- (Tracking[[Date ]]&lt;= Tracking[[#This Row],[Date ]]), (Tracking[[Type ]]&lt;&gt;"Income")*(-1) + (Tracking[[Type ]]="Income"))</f>
        <v>4267.59</v>
      </c>
      <c r="I72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45822</v>
      </c>
    </row>
    <row r="728" spans="3:9" x14ac:dyDescent="0.3">
      <c r="C728" s="112">
        <v>45822</v>
      </c>
      <c r="D728" t="s">
        <v>9</v>
      </c>
      <c r="E728" t="s">
        <v>26</v>
      </c>
      <c r="F728" s="114">
        <v>21</v>
      </c>
      <c r="G728"/>
      <c r="H728" s="131" cm="1">
        <f t="array" ref="H728">SUMPRODUCT(Tracking[Amount], -- (Tracking[[Date ]]&lt;= Tracking[[#This Row],[Date ]]), (Tracking[[Type ]]&lt;&gt;"Income")*(-1) + (Tracking[[Type ]]="Income"))</f>
        <v>4267.59</v>
      </c>
      <c r="I72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45822</v>
      </c>
    </row>
    <row r="729" spans="3:9" x14ac:dyDescent="0.3">
      <c r="C729" s="112">
        <v>45823</v>
      </c>
      <c r="D729" t="s">
        <v>9</v>
      </c>
      <c r="E729" t="s">
        <v>26</v>
      </c>
      <c r="F729" s="114">
        <v>41.4</v>
      </c>
      <c r="G729"/>
      <c r="H729" s="131" cm="1">
        <f t="array" ref="H729">SUMPRODUCT(Tracking[Amount], -- (Tracking[[Date ]]&lt;= Tracking[[#This Row],[Date ]]), (Tracking[[Type ]]&lt;&gt;"Income")*(-1) + (Tracking[[Type ]]="Income"))</f>
        <v>4226.1900000000005</v>
      </c>
      <c r="I72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45823</v>
      </c>
    </row>
    <row r="730" spans="3:9" x14ac:dyDescent="0.3">
      <c r="C730" s="112">
        <v>45824</v>
      </c>
      <c r="D730" t="s">
        <v>9</v>
      </c>
      <c r="E730" t="s">
        <v>26</v>
      </c>
      <c r="F730" s="114">
        <v>16.32</v>
      </c>
      <c r="G730"/>
      <c r="H730" s="131" cm="1">
        <f t="array" ref="H730">SUMPRODUCT(Tracking[Amount], -- (Tracking[[Date ]]&lt;= Tracking[[#This Row],[Date ]]), (Tracking[[Type ]]&lt;&gt;"Income")*(-1) + (Tracking[[Type ]]="Income"))</f>
        <v>4209.8700000000008</v>
      </c>
      <c r="I73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45824</v>
      </c>
    </row>
    <row r="731" spans="3:9" x14ac:dyDescent="0.3">
      <c r="C731" s="112">
        <v>45826</v>
      </c>
      <c r="D731" t="s">
        <v>9</v>
      </c>
      <c r="E731" t="s">
        <v>25</v>
      </c>
      <c r="F731" s="114">
        <v>9.5</v>
      </c>
      <c r="G731"/>
      <c r="H731" s="131" cm="1">
        <f t="array" ref="H731">SUMPRODUCT(Tracking[Amount], -- (Tracking[[Date ]]&lt;= Tracking[[#This Row],[Date ]]), (Tracking[[Type ]]&lt;&gt;"Income")*(-1) + (Tracking[[Type ]]="Income"))</f>
        <v>4200.3700000000008</v>
      </c>
      <c r="I73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45826</v>
      </c>
    </row>
    <row r="732" spans="3:9" x14ac:dyDescent="0.3">
      <c r="C732" s="112">
        <v>45827</v>
      </c>
      <c r="D732" t="s">
        <v>9</v>
      </c>
      <c r="E732" t="s">
        <v>20</v>
      </c>
      <c r="F732" s="114">
        <v>18.420000000000002</v>
      </c>
      <c r="G732"/>
      <c r="H732" s="131" cm="1">
        <f t="array" ref="H732">SUMPRODUCT(Tracking[Amount], -- (Tracking[[Date ]]&lt;= Tracking[[#This Row],[Date ]]), (Tracking[[Type ]]&lt;&gt;"Income")*(-1) + (Tracking[[Type ]]="Income"))</f>
        <v>4181.9500000000007</v>
      </c>
      <c r="I73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45827</v>
      </c>
    </row>
    <row r="733" spans="3:9" x14ac:dyDescent="0.3">
      <c r="C733" s="112">
        <v>45829</v>
      </c>
      <c r="D733" t="s">
        <v>9</v>
      </c>
      <c r="E733" t="s">
        <v>20</v>
      </c>
      <c r="F733" s="114">
        <v>38.6</v>
      </c>
      <c r="G733"/>
      <c r="H733" s="131" cm="1">
        <f t="array" ref="H733">SUMPRODUCT(Tracking[Amount], -- (Tracking[[Date ]]&lt;= Tracking[[#This Row],[Date ]]), (Tracking[[Type ]]&lt;&gt;"Income")*(-1) + (Tracking[[Type ]]="Income"))</f>
        <v>4128.3500000000004</v>
      </c>
      <c r="I73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45829</v>
      </c>
    </row>
    <row r="734" spans="3:9" x14ac:dyDescent="0.3">
      <c r="C734" s="112">
        <v>45829</v>
      </c>
      <c r="D734" t="s">
        <v>9</v>
      </c>
      <c r="E734" t="s">
        <v>26</v>
      </c>
      <c r="F734" s="114">
        <v>15</v>
      </c>
      <c r="G734"/>
      <c r="H734" s="131" cm="1">
        <f t="array" ref="H734">SUMPRODUCT(Tracking[Amount], -- (Tracking[[Date ]]&lt;= Tracking[[#This Row],[Date ]]), (Tracking[[Type ]]&lt;&gt;"Income")*(-1) + (Tracking[[Type ]]="Income"))</f>
        <v>4128.3500000000004</v>
      </c>
      <c r="I73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45829</v>
      </c>
    </row>
    <row r="735" spans="3:9" x14ac:dyDescent="0.3">
      <c r="C735" s="112">
        <v>45832</v>
      </c>
      <c r="D735" t="s">
        <v>9</v>
      </c>
      <c r="E735" t="s">
        <v>116</v>
      </c>
      <c r="F735" s="114">
        <v>3.7</v>
      </c>
      <c r="G735"/>
      <c r="H735" s="131" cm="1">
        <f t="array" ref="H735">SUMPRODUCT(Tracking[Amount], -- (Tracking[[Date ]]&lt;= Tracking[[#This Row],[Date ]]), (Tracking[[Type ]]&lt;&gt;"Income")*(-1) + (Tracking[[Type ]]="Income"))</f>
        <v>4124.6500000000005</v>
      </c>
      <c r="I73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45832</v>
      </c>
    </row>
    <row r="736" spans="3:9" x14ac:dyDescent="0.3">
      <c r="C736" s="112">
        <v>45833</v>
      </c>
      <c r="D736" t="s">
        <v>9</v>
      </c>
      <c r="E736" t="s">
        <v>121</v>
      </c>
      <c r="F736" s="114">
        <v>20.5</v>
      </c>
      <c r="G736"/>
      <c r="H736" s="131" cm="1">
        <f t="array" ref="H736">SUMPRODUCT(Tracking[Amount], -- (Tracking[[Date ]]&lt;= Tracking[[#This Row],[Date ]]), (Tracking[[Type ]]&lt;&gt;"Income")*(-1) + (Tracking[[Type ]]="Income"))</f>
        <v>4104.1500000000005</v>
      </c>
      <c r="I73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45833</v>
      </c>
    </row>
    <row r="737" spans="3:9" x14ac:dyDescent="0.3">
      <c r="C737" s="112">
        <v>45835</v>
      </c>
      <c r="D737" t="s">
        <v>9</v>
      </c>
      <c r="E737" t="s">
        <v>116</v>
      </c>
      <c r="F737" s="114">
        <v>23</v>
      </c>
      <c r="G737"/>
      <c r="H737" s="131" cm="1">
        <f t="array" ref="H737">SUMPRODUCT(Tracking[Amount], -- (Tracking[[Date ]]&lt;= Tracking[[#This Row],[Date ]]), (Tracking[[Type ]]&lt;&gt;"Income")*(-1) + (Tracking[[Type ]]="Income"))</f>
        <v>4081.1500000000005</v>
      </c>
      <c r="I73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45835</v>
      </c>
    </row>
    <row r="738" spans="3:9" x14ac:dyDescent="0.3">
      <c r="C738" s="112">
        <v>45839</v>
      </c>
      <c r="D738" t="s">
        <v>6</v>
      </c>
      <c r="E738" t="s">
        <v>19</v>
      </c>
      <c r="F738" s="114">
        <v>1237.1400000000001</v>
      </c>
      <c r="G738"/>
      <c r="H738" s="131" cm="1">
        <f t="array" ref="H738">SUMPRODUCT(Tracking[Amount], -- (Tracking[[Date ]]&lt;= Tracking[[#This Row],[Date ]]), (Tracking[[Type ]]&lt;&gt;"Income")*(-1) + (Tracking[[Type ]]="Income"))</f>
        <v>4771.18</v>
      </c>
      <c r="I73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45839</v>
      </c>
    </row>
    <row r="739" spans="3:9" x14ac:dyDescent="0.3">
      <c r="C739" s="112">
        <v>45836</v>
      </c>
      <c r="D739" t="s">
        <v>9</v>
      </c>
      <c r="E739" t="s">
        <v>20</v>
      </c>
      <c r="F739" s="114">
        <v>32.43</v>
      </c>
      <c r="G739"/>
      <c r="H739" s="131" cm="1">
        <f t="array" ref="H739">SUMPRODUCT(Tracking[Amount], -- (Tracking[[Date ]]&lt;= Tracking[[#This Row],[Date ]]), (Tracking[[Type ]]&lt;&gt;"Income")*(-1) + (Tracking[[Type ]]="Income"))</f>
        <v>4043.2200000000007</v>
      </c>
      <c r="I73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45836</v>
      </c>
    </row>
    <row r="740" spans="3:9" x14ac:dyDescent="0.3">
      <c r="C740" s="112">
        <v>45836</v>
      </c>
      <c r="D740" t="s">
        <v>9</v>
      </c>
      <c r="E740" t="s">
        <v>121</v>
      </c>
      <c r="F740" s="114">
        <v>5.5</v>
      </c>
      <c r="G740"/>
      <c r="H740" s="131" cm="1">
        <f t="array" ref="H740">SUMPRODUCT(Tracking[Amount], -- (Tracking[[Date ]]&lt;= Tracking[[#This Row],[Date ]]), (Tracking[[Type ]]&lt;&gt;"Income")*(-1) + (Tracking[[Type ]]="Income"))</f>
        <v>4043.2200000000007</v>
      </c>
      <c r="I74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45836</v>
      </c>
    </row>
    <row r="741" spans="3:9" x14ac:dyDescent="0.3">
      <c r="C741" s="112">
        <v>45837</v>
      </c>
      <c r="D741" t="s">
        <v>9</v>
      </c>
      <c r="E741" t="s">
        <v>26</v>
      </c>
      <c r="F741" s="114">
        <v>32.799999999999997</v>
      </c>
      <c r="G741"/>
      <c r="H741" s="131" cm="1">
        <f t="array" ref="H741">SUMPRODUCT(Tracking[Amount], -- (Tracking[[Date ]]&lt;= Tracking[[#This Row],[Date ]]), (Tracking[[Type ]]&lt;&gt;"Income")*(-1) + (Tracking[[Type ]]="Income"))</f>
        <v>3973.4200000000005</v>
      </c>
      <c r="I74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45837</v>
      </c>
    </row>
    <row r="742" spans="3:9" x14ac:dyDescent="0.3">
      <c r="C742" s="112">
        <v>45838</v>
      </c>
      <c r="D742" t="s">
        <v>9</v>
      </c>
      <c r="E742" t="s">
        <v>20</v>
      </c>
      <c r="F742" s="114">
        <v>11.64</v>
      </c>
      <c r="G742"/>
      <c r="H742" s="131" cm="1">
        <f t="array" ref="H742">SUMPRODUCT(Tracking[Amount], -- (Tracking[[Date ]]&lt;= Tracking[[#This Row],[Date ]]), (Tracking[[Type ]]&lt;&gt;"Income")*(-1) + (Tracking[[Type ]]="Income"))</f>
        <v>3936.3400000000006</v>
      </c>
      <c r="I74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45838</v>
      </c>
    </row>
    <row r="743" spans="3:9" x14ac:dyDescent="0.3">
      <c r="C743" s="112">
        <v>45839</v>
      </c>
      <c r="D743" t="s">
        <v>9</v>
      </c>
      <c r="E743" t="s">
        <v>116</v>
      </c>
      <c r="F743" s="114">
        <v>2.2999999999999998</v>
      </c>
      <c r="G743"/>
      <c r="H743" s="131" cm="1">
        <f t="array" ref="H743">SUMPRODUCT(Tracking[Amount], -- (Tracking[[Date ]]&lt;= Tracking[[#This Row],[Date ]]), (Tracking[[Type ]]&lt;&gt;"Income")*(-1) + (Tracking[[Type ]]="Income"))</f>
        <v>4771.18</v>
      </c>
      <c r="I74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45839</v>
      </c>
    </row>
    <row r="744" spans="3:9" x14ac:dyDescent="0.3">
      <c r="C744" s="112">
        <v>45839</v>
      </c>
      <c r="D744" t="s">
        <v>9</v>
      </c>
      <c r="E744" t="s">
        <v>131</v>
      </c>
      <c r="F744" s="114">
        <v>400</v>
      </c>
      <c r="G744"/>
      <c r="H744" s="131" cm="1">
        <f t="array" ref="H744">SUMPRODUCT(Tracking[Amount], -- (Tracking[[Date ]]&lt;= Tracking[[#This Row],[Date ]]), (Tracking[[Type ]]&lt;&gt;"Income")*(-1) + (Tracking[[Type ]]="Income"))</f>
        <v>4771.18</v>
      </c>
      <c r="I74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45839</v>
      </c>
    </row>
    <row r="745" spans="3:9" x14ac:dyDescent="0.3">
      <c r="C745" s="112">
        <v>45840</v>
      </c>
      <c r="D745" t="s">
        <v>9</v>
      </c>
      <c r="E745" t="s">
        <v>116</v>
      </c>
      <c r="F745" s="114">
        <v>5</v>
      </c>
      <c r="G745" t="s">
        <v>166</v>
      </c>
      <c r="H745" s="131" cm="1">
        <f t="array" ref="H745">SUMPRODUCT(Tracking[Amount], -- (Tracking[[Date ]]&lt;= Tracking[[#This Row],[Date ]]), (Tracking[[Type ]]&lt;&gt;"Income")*(-1) + (Tracking[[Type ]]="Income"))</f>
        <v>4752.68</v>
      </c>
      <c r="I74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45840</v>
      </c>
    </row>
    <row r="746" spans="3:9" x14ac:dyDescent="0.3">
      <c r="C746" s="112">
        <v>45840</v>
      </c>
      <c r="D746" t="s">
        <v>9</v>
      </c>
      <c r="E746" t="s">
        <v>116</v>
      </c>
      <c r="F746" s="114">
        <v>13.5</v>
      </c>
      <c r="G746" t="s">
        <v>159</v>
      </c>
      <c r="H746" s="131" cm="1">
        <f t="array" ref="H746">SUMPRODUCT(Tracking[Amount], -- (Tracking[[Date ]]&lt;= Tracking[[#This Row],[Date ]]), (Tracking[[Type ]]&lt;&gt;"Income")*(-1) + (Tracking[[Type ]]="Income"))</f>
        <v>4752.68</v>
      </c>
      <c r="I74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45840</v>
      </c>
    </row>
    <row r="747" spans="3:9" x14ac:dyDescent="0.3">
      <c r="C747" s="112">
        <v>45837</v>
      </c>
      <c r="D747" t="s">
        <v>9</v>
      </c>
      <c r="E747" t="s">
        <v>21</v>
      </c>
      <c r="F747" s="114">
        <v>37</v>
      </c>
      <c r="G747"/>
      <c r="H747" s="131" cm="1">
        <f t="array" ref="H747">SUMPRODUCT(Tracking[Amount], -- (Tracking[[Date ]]&lt;= Tracking[[#This Row],[Date ]]), (Tracking[[Type ]]&lt;&gt;"Income")*(-1) + (Tracking[[Type ]]="Income"))</f>
        <v>3973.4200000000005</v>
      </c>
      <c r="I74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45837</v>
      </c>
    </row>
    <row r="748" spans="3:9" x14ac:dyDescent="0.3">
      <c r="C748" s="112">
        <v>45843</v>
      </c>
      <c r="D748" t="s">
        <v>9</v>
      </c>
      <c r="E748" t="s">
        <v>26</v>
      </c>
      <c r="F748" s="114">
        <v>41</v>
      </c>
      <c r="G748"/>
      <c r="H748" s="131" cm="1">
        <f t="array" ref="H748">SUMPRODUCT(Tracking[Amount], -- (Tracking[[Date ]]&lt;= Tracking[[#This Row],[Date ]]), (Tracking[[Type ]]&lt;&gt;"Income")*(-1) + (Tracking[[Type ]]="Income"))</f>
        <v>4696.68</v>
      </c>
      <c r="I74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45843</v>
      </c>
    </row>
    <row r="749" spans="3:9" x14ac:dyDescent="0.3">
      <c r="C749" s="112">
        <v>45843</v>
      </c>
      <c r="D749" t="s">
        <v>9</v>
      </c>
      <c r="E749" t="s">
        <v>116</v>
      </c>
      <c r="F749" s="114">
        <v>15</v>
      </c>
      <c r="G749"/>
      <c r="H749" s="131" cm="1">
        <f t="array" ref="H749">SUMPRODUCT(Tracking[Amount], -- (Tracking[[Date ]]&lt;= Tracking[[#This Row],[Date ]]), (Tracking[[Type ]]&lt;&gt;"Income")*(-1) + (Tracking[[Type ]]="Income"))</f>
        <v>4696.68</v>
      </c>
      <c r="I74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45843</v>
      </c>
    </row>
    <row r="750" spans="3:9" x14ac:dyDescent="0.3">
      <c r="C750" s="112">
        <v>45844</v>
      </c>
      <c r="D750" t="s">
        <v>9</v>
      </c>
      <c r="E750" t="s">
        <v>121</v>
      </c>
      <c r="F750" s="114">
        <v>9.89</v>
      </c>
      <c r="G750"/>
      <c r="H750" s="131" cm="1">
        <f t="array" ref="H750">SUMPRODUCT(Tracking[Amount], -- (Tracking[[Date ]]&lt;= Tracking[[#This Row],[Date ]]), (Tracking[[Type ]]&lt;&gt;"Income")*(-1) + (Tracking[[Type ]]="Income"))</f>
        <v>4680.59</v>
      </c>
      <c r="I75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45844</v>
      </c>
    </row>
    <row r="751" spans="3:9" x14ac:dyDescent="0.3">
      <c r="C751" s="112">
        <v>45844</v>
      </c>
      <c r="D751" t="s">
        <v>9</v>
      </c>
      <c r="E751" t="s">
        <v>116</v>
      </c>
      <c r="F751" s="114">
        <v>6.2</v>
      </c>
      <c r="G751"/>
      <c r="H751" s="131" cm="1">
        <f t="array" ref="H751">SUMPRODUCT(Tracking[Amount], -- (Tracking[[Date ]]&lt;= Tracking[[#This Row],[Date ]]), (Tracking[[Type ]]&lt;&gt;"Income")*(-1) + (Tracking[[Type ]]="Income"))</f>
        <v>4680.59</v>
      </c>
      <c r="I75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45844</v>
      </c>
    </row>
    <row r="752" spans="3:9" x14ac:dyDescent="0.3">
      <c r="C752" s="112">
        <v>45845</v>
      </c>
      <c r="D752" t="s">
        <v>9</v>
      </c>
      <c r="E752" t="s">
        <v>20</v>
      </c>
      <c r="F752" s="114">
        <v>8.49</v>
      </c>
      <c r="G752"/>
      <c r="H752" s="131" cm="1">
        <f t="array" ref="H752">SUMPRODUCT(Tracking[Amount], -- (Tracking[[Date ]]&lt;= Tracking[[#This Row],[Date ]]), (Tracking[[Type ]]&lt;&gt;"Income")*(-1) + (Tracking[[Type ]]="Income"))</f>
        <v>4672.1000000000004</v>
      </c>
      <c r="I75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45845</v>
      </c>
    </row>
    <row r="753" spans="3:9" x14ac:dyDescent="0.3">
      <c r="C753" s="112">
        <v>45838</v>
      </c>
      <c r="D753" t="s">
        <v>9</v>
      </c>
      <c r="E753" t="s">
        <v>24</v>
      </c>
      <c r="F753" s="114">
        <v>25.44</v>
      </c>
      <c r="G753"/>
      <c r="H753" s="131" cm="1">
        <f t="array" ref="H753">SUMPRODUCT(Tracking[Amount], -- (Tracking[[Date ]]&lt;= Tracking[[#This Row],[Date ]]), (Tracking[[Type ]]&lt;&gt;"Income")*(-1) + (Tracking[[Type ]]="Income"))</f>
        <v>3936.3400000000006</v>
      </c>
      <c r="I75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45838</v>
      </c>
    </row>
    <row r="754" spans="3:9" x14ac:dyDescent="0.3">
      <c r="C754" s="112">
        <v>45848</v>
      </c>
      <c r="D754" t="s">
        <v>9</v>
      </c>
      <c r="E754" t="s">
        <v>121</v>
      </c>
      <c r="F754" s="114">
        <v>4</v>
      </c>
      <c r="G754"/>
      <c r="H754" s="131" cm="1">
        <f t="array" ref="H754">SUMPRODUCT(Tracking[Amount], -- (Tracking[[Date ]]&lt;= Tracking[[#This Row],[Date ]]), (Tracking[[Type ]]&lt;&gt;"Income")*(-1) + (Tracking[[Type ]]="Income"))</f>
        <v>4668.1000000000004</v>
      </c>
      <c r="I75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45848</v>
      </c>
    </row>
    <row r="755" spans="3:9" x14ac:dyDescent="0.3">
      <c r="C755" s="112">
        <v>45849</v>
      </c>
      <c r="D755" t="s">
        <v>9</v>
      </c>
      <c r="E755" t="s">
        <v>20</v>
      </c>
      <c r="F755" s="114">
        <v>25.38</v>
      </c>
      <c r="G755"/>
      <c r="H755" s="131" cm="1">
        <f t="array" ref="H755">SUMPRODUCT(Tracking[Amount], -- (Tracking[[Date ]]&lt;= Tracking[[#This Row],[Date ]]), (Tracking[[Type ]]&lt;&gt;"Income")*(-1) + (Tracking[[Type ]]="Income"))</f>
        <v>4642.72</v>
      </c>
      <c r="I75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45849</v>
      </c>
    </row>
    <row r="756" spans="3:9" x14ac:dyDescent="0.3">
      <c r="C756" s="112">
        <v>45850</v>
      </c>
      <c r="D756" t="s">
        <v>9</v>
      </c>
      <c r="E756" t="s">
        <v>26</v>
      </c>
      <c r="F756" s="114">
        <v>65.599999999999994</v>
      </c>
      <c r="G756"/>
      <c r="H756" s="131" cm="1">
        <f t="array" ref="H756">SUMPRODUCT(Tracking[Amount], -- (Tracking[[Date ]]&lt;= Tracking[[#This Row],[Date ]]), (Tracking[[Type ]]&lt;&gt;"Income")*(-1) + (Tracking[[Type ]]="Income"))</f>
        <v>4577.12</v>
      </c>
      <c r="I75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45850</v>
      </c>
    </row>
    <row r="757" spans="3:9" x14ac:dyDescent="0.3">
      <c r="C757" s="112">
        <v>45852</v>
      </c>
      <c r="D757" t="s">
        <v>9</v>
      </c>
      <c r="E757" t="s">
        <v>26</v>
      </c>
      <c r="F757" s="114">
        <v>43.6</v>
      </c>
      <c r="G757"/>
      <c r="H757" s="131" cm="1">
        <f t="array" ref="H757">SUMPRODUCT(Tracking[Amount], -- (Tracking[[Date ]]&lt;= Tracking[[#This Row],[Date ]]), (Tracking[[Type ]]&lt;&gt;"Income")*(-1) + (Tracking[[Type ]]="Income"))</f>
        <v>4533.5199999999995</v>
      </c>
      <c r="I75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45852</v>
      </c>
    </row>
    <row r="758" spans="3:9" x14ac:dyDescent="0.3">
      <c r="C758" s="112">
        <v>45854</v>
      </c>
      <c r="D758" t="s">
        <v>9</v>
      </c>
      <c r="E758" t="s">
        <v>20</v>
      </c>
      <c r="F758" s="114">
        <v>1.55</v>
      </c>
      <c r="G758"/>
      <c r="H758" s="131" cm="1">
        <f t="array" ref="H758">SUMPRODUCT(Tracking[Amount], -- (Tracking[[Date ]]&lt;= Tracking[[#This Row],[Date ]]), (Tracking[[Type ]]&lt;&gt;"Income")*(-1) + (Tracking[[Type ]]="Income"))</f>
        <v>4460.6699999999992</v>
      </c>
      <c r="I75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45854</v>
      </c>
    </row>
    <row r="759" spans="3:9" x14ac:dyDescent="0.3">
      <c r="C759" s="112">
        <v>45854</v>
      </c>
      <c r="D759" t="s">
        <v>9</v>
      </c>
      <c r="E759" t="s">
        <v>27</v>
      </c>
      <c r="F759" s="114">
        <v>58.3</v>
      </c>
      <c r="G759"/>
      <c r="H759" s="131" cm="1">
        <f t="array" ref="H759">SUMPRODUCT(Tracking[Amount], -- (Tracking[[Date ]]&lt;= Tracking[[#This Row],[Date ]]), (Tracking[[Type ]]&lt;&gt;"Income")*(-1) + (Tracking[[Type ]]="Income"))</f>
        <v>4460.6699999999992</v>
      </c>
      <c r="I75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45854</v>
      </c>
    </row>
    <row r="760" spans="3:9" x14ac:dyDescent="0.3">
      <c r="C760" s="112">
        <v>45854</v>
      </c>
      <c r="D760" t="s">
        <v>9</v>
      </c>
      <c r="E760" t="s">
        <v>25</v>
      </c>
      <c r="F760" s="114">
        <v>13</v>
      </c>
      <c r="G760"/>
      <c r="H760" s="131" cm="1">
        <f t="array" ref="H760">SUMPRODUCT(Tracking[Amount], -- (Tracking[[Date ]]&lt;= Tracking[[#This Row],[Date ]]), (Tracking[[Type ]]&lt;&gt;"Income")*(-1) + (Tracking[[Type ]]="Income"))</f>
        <v>4460.6699999999992</v>
      </c>
      <c r="I76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45854</v>
      </c>
    </row>
    <row r="761" spans="3:9" x14ac:dyDescent="0.3">
      <c r="C761" s="112">
        <v>45855</v>
      </c>
      <c r="D761" t="s">
        <v>9</v>
      </c>
      <c r="E761" t="s">
        <v>143</v>
      </c>
      <c r="F761" s="114">
        <v>12</v>
      </c>
      <c r="G761"/>
      <c r="H761" s="131" cm="1">
        <f t="array" ref="H761">SUMPRODUCT(Tracking[Amount], -- (Tracking[[Date ]]&lt;= Tracking[[#This Row],[Date ]]), (Tracking[[Type ]]&lt;&gt;"Income")*(-1) + (Tracking[[Type ]]="Income"))</f>
        <v>4448.6699999999992</v>
      </c>
      <c r="I76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45855</v>
      </c>
    </row>
    <row r="762" spans="3:9" x14ac:dyDescent="0.3">
      <c r="C762" s="112">
        <v>45856</v>
      </c>
      <c r="D762" t="s">
        <v>9</v>
      </c>
      <c r="E762" t="s">
        <v>26</v>
      </c>
      <c r="F762" s="114">
        <v>8</v>
      </c>
      <c r="G762"/>
      <c r="H762" s="131" cm="1">
        <f t="array" ref="H762">SUMPRODUCT(Tracking[Amount], -- (Tracking[[Date ]]&lt;= Tracking[[#This Row],[Date ]]), (Tracking[[Type ]]&lt;&gt;"Income")*(-1) + (Tracking[[Type ]]="Income"))</f>
        <v>4440.6699999999992</v>
      </c>
      <c r="I76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45856</v>
      </c>
    </row>
    <row r="763" spans="3:9" x14ac:dyDescent="0.3">
      <c r="C763" s="112">
        <v>45857</v>
      </c>
      <c r="D763" t="s">
        <v>9</v>
      </c>
      <c r="E763" t="s">
        <v>26</v>
      </c>
      <c r="F763" s="114">
        <v>39.5</v>
      </c>
      <c r="G763"/>
      <c r="H763" s="131" cm="1">
        <f t="array" ref="H763">SUMPRODUCT(Tracking[Amount], -- (Tracking[[Date ]]&lt;= Tracking[[#This Row],[Date ]]), (Tracking[[Type ]]&lt;&gt;"Income")*(-1) + (Tracking[[Type ]]="Income"))</f>
        <v>4401.1699999999992</v>
      </c>
      <c r="I76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45857</v>
      </c>
    </row>
    <row r="764" spans="3:9" x14ac:dyDescent="0.3">
      <c r="C764" s="112">
        <v>45858</v>
      </c>
      <c r="D764" t="s">
        <v>9</v>
      </c>
      <c r="E764" t="s">
        <v>26</v>
      </c>
      <c r="F764" s="114">
        <v>30</v>
      </c>
      <c r="G764"/>
      <c r="H764" s="131" cm="1">
        <f t="array" ref="H764">SUMPRODUCT(Tracking[Amount], -- (Tracking[[Date ]]&lt;= Tracking[[#This Row],[Date ]]), (Tracking[[Type ]]&lt;&gt;"Income")*(-1) + (Tracking[[Type ]]="Income"))</f>
        <v>4213.3499999999995</v>
      </c>
      <c r="I76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45858</v>
      </c>
    </row>
    <row r="765" spans="3:9" x14ac:dyDescent="0.3">
      <c r="C765" s="112">
        <v>45858</v>
      </c>
      <c r="D765" t="s">
        <v>9</v>
      </c>
      <c r="E765" t="s">
        <v>116</v>
      </c>
      <c r="F765" s="114">
        <v>157.82</v>
      </c>
      <c r="G765" t="s">
        <v>180</v>
      </c>
      <c r="H765" s="131" cm="1">
        <f t="array" ref="H765">SUMPRODUCT(Tracking[Amount], -- (Tracking[[Date ]]&lt;= Tracking[[#This Row],[Date ]]), (Tracking[[Type ]]&lt;&gt;"Income")*(-1) + (Tracking[[Type ]]="Income"))</f>
        <v>4213.3499999999995</v>
      </c>
      <c r="I76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45858</v>
      </c>
    </row>
    <row r="766" spans="3:9" x14ac:dyDescent="0.3">
      <c r="C766" s="112">
        <v>45859</v>
      </c>
      <c r="D766" t="s">
        <v>9</v>
      </c>
      <c r="E766" t="s">
        <v>20</v>
      </c>
      <c r="F766" s="114">
        <v>43.02</v>
      </c>
      <c r="G766"/>
      <c r="H766" s="131" cm="1">
        <f t="array" ref="H766">SUMPRODUCT(Tracking[Amount], -- (Tracking[[Date ]]&lt;= Tracking[[#This Row],[Date ]]), (Tracking[[Type ]]&lt;&gt;"Income")*(-1) + (Tracking[[Type ]]="Income"))</f>
        <v>4170.329999999999</v>
      </c>
      <c r="I76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45859</v>
      </c>
    </row>
    <row r="767" spans="3:9" x14ac:dyDescent="0.3">
      <c r="C767" s="112">
        <v>45861</v>
      </c>
      <c r="D767" t="s">
        <v>9</v>
      </c>
      <c r="E767" t="s">
        <v>22</v>
      </c>
      <c r="F767" s="114">
        <v>12.02</v>
      </c>
      <c r="G767"/>
      <c r="H767" s="131" cm="1">
        <f t="array" ref="H767">SUMPRODUCT(Tracking[Amount], -- (Tracking[[Date ]]&lt;= Tracking[[#This Row],[Date ]]), (Tracking[[Type ]]&lt;&gt;"Income")*(-1) + (Tracking[[Type ]]="Income"))</f>
        <v>4128.9099999999989</v>
      </c>
      <c r="I76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45861</v>
      </c>
    </row>
    <row r="768" spans="3:9" x14ac:dyDescent="0.3">
      <c r="C768" s="112">
        <v>45861</v>
      </c>
      <c r="D768" t="s">
        <v>9</v>
      </c>
      <c r="E768" t="s">
        <v>26</v>
      </c>
      <c r="F768" s="114">
        <v>29.4</v>
      </c>
      <c r="G768"/>
      <c r="H768" s="131" cm="1">
        <f t="array" ref="H768">SUMPRODUCT(Tracking[Amount], -- (Tracking[[Date ]]&lt;= Tracking[[#This Row],[Date ]]), (Tracking[[Type ]]&lt;&gt;"Income")*(-1) + (Tracking[[Type ]]="Income"))</f>
        <v>4128.9099999999989</v>
      </c>
      <c r="I76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45861</v>
      </c>
    </row>
    <row r="769" spans="3:9" x14ac:dyDescent="0.3">
      <c r="C769" s="112">
        <v>45863</v>
      </c>
      <c r="D769" t="s">
        <v>9</v>
      </c>
      <c r="E769" t="s">
        <v>20</v>
      </c>
      <c r="F769" s="114">
        <v>24.91</v>
      </c>
      <c r="G769"/>
      <c r="H769" s="131" cm="1">
        <f t="array" ref="H769">SUMPRODUCT(Tracking[Amount], -- (Tracking[[Date ]]&lt;= Tracking[[#This Row],[Date ]]), (Tracking[[Type ]]&lt;&gt;"Income")*(-1) + (Tracking[[Type ]]="Income"))</f>
        <v>4103.9999999999991</v>
      </c>
      <c r="I76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45863</v>
      </c>
    </row>
    <row r="770" spans="3:9" x14ac:dyDescent="0.3">
      <c r="C770" s="112">
        <v>45864</v>
      </c>
      <c r="D770" t="s">
        <v>9</v>
      </c>
      <c r="E770" t="s">
        <v>26</v>
      </c>
      <c r="F770" s="114">
        <v>6</v>
      </c>
      <c r="G770"/>
      <c r="H770" s="131" cm="1">
        <f t="array" ref="H770">SUMPRODUCT(Tracking[Amount], -- (Tracking[[Date ]]&lt;= Tracking[[#This Row],[Date ]]), (Tracking[[Type ]]&lt;&gt;"Income")*(-1) + (Tracking[[Type ]]="Income"))</f>
        <v>4097.9999999999991</v>
      </c>
      <c r="I77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45864</v>
      </c>
    </row>
    <row r="771" spans="3:9" x14ac:dyDescent="0.3">
      <c r="C771" s="112">
        <v>45870</v>
      </c>
      <c r="D771" t="s">
        <v>6</v>
      </c>
      <c r="E771" t="s">
        <v>19</v>
      </c>
      <c r="F771" s="114">
        <v>1167.1400000000001</v>
      </c>
      <c r="G771"/>
      <c r="H771" s="131" cm="1">
        <f t="array" ref="H771">SUMPRODUCT(Tracking[Amount], -- (Tracking[[Date ]]&lt;= Tracking[[#This Row],[Date ]]), (Tracking[[Type ]]&lt;&gt;"Income")*(-1) + (Tracking[[Type ]]="Income"))</f>
        <v>4665.83</v>
      </c>
      <c r="I77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45870</v>
      </c>
    </row>
    <row r="772" spans="3:9" x14ac:dyDescent="0.3">
      <c r="C772" s="112">
        <v>45865</v>
      </c>
      <c r="D772" t="s">
        <v>9</v>
      </c>
      <c r="E772" t="s">
        <v>26</v>
      </c>
      <c r="F772" s="114">
        <v>21.9</v>
      </c>
      <c r="G772"/>
      <c r="H772" s="131" cm="1">
        <f t="array" ref="H772">SUMPRODUCT(Tracking[Amount], -- (Tracking[[Date ]]&lt;= Tracking[[#This Row],[Date ]]), (Tracking[[Type ]]&lt;&gt;"Income")*(-1) + (Tracking[[Type ]]="Income"))</f>
        <v>4076.099999999999</v>
      </c>
      <c r="I77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45865</v>
      </c>
    </row>
    <row r="773" spans="3:9" x14ac:dyDescent="0.3">
      <c r="C773" s="112">
        <v>45867</v>
      </c>
      <c r="D773" t="s">
        <v>9</v>
      </c>
      <c r="E773" t="s">
        <v>26</v>
      </c>
      <c r="F773" s="114">
        <v>9</v>
      </c>
      <c r="G773"/>
      <c r="H773" s="131" cm="1">
        <f t="array" ref="H773">SUMPRODUCT(Tracking[Amount], -- (Tracking[[Date ]]&lt;= Tracking[[#This Row],[Date ]]), (Tracking[[Type ]]&lt;&gt;"Income")*(-1) + (Tracking[[Type ]]="Income"))</f>
        <v>4067.099999999999</v>
      </c>
      <c r="I77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45867</v>
      </c>
    </row>
    <row r="774" spans="3:9" x14ac:dyDescent="0.3">
      <c r="C774" s="112">
        <v>45868</v>
      </c>
      <c r="D774" t="s">
        <v>9</v>
      </c>
      <c r="E774" t="s">
        <v>116</v>
      </c>
      <c r="F774" s="114">
        <v>13.5</v>
      </c>
      <c r="G774" t="s">
        <v>159</v>
      </c>
      <c r="H774" s="131" cm="1">
        <f t="array" ref="H774">SUMPRODUCT(Tracking[Amount], -- (Tracking[[Date ]]&lt;= Tracking[[#This Row],[Date ]]), (Tracking[[Type ]]&lt;&gt;"Income")*(-1) + (Tracking[[Type ]]="Income"))</f>
        <v>3984.1599999999989</v>
      </c>
      <c r="I77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45868</v>
      </c>
    </row>
    <row r="775" spans="3:9" x14ac:dyDescent="0.3">
      <c r="C775" s="112">
        <v>45869</v>
      </c>
      <c r="D775" t="s">
        <v>9</v>
      </c>
      <c r="E775" t="s">
        <v>27</v>
      </c>
      <c r="F775" s="114">
        <v>46.04</v>
      </c>
      <c r="G775"/>
      <c r="H775" s="131" cm="1">
        <f t="array" ref="H775">SUMPRODUCT(Tracking[Amount], -- (Tracking[[Date ]]&lt;= Tracking[[#This Row],[Date ]]), (Tracking[[Type ]]&lt;&gt;"Income")*(-1) + (Tracking[[Type ]]="Income"))</f>
        <v>3938.119999999999</v>
      </c>
      <c r="I77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45869</v>
      </c>
    </row>
    <row r="776" spans="3:9" x14ac:dyDescent="0.3">
      <c r="C776" s="112">
        <v>45870</v>
      </c>
      <c r="D776" t="s">
        <v>9</v>
      </c>
      <c r="E776" t="s">
        <v>131</v>
      </c>
      <c r="F776" s="114">
        <v>400</v>
      </c>
      <c r="G776"/>
      <c r="H776" s="131" cm="1">
        <f t="array" ref="H776">SUMPRODUCT(Tracking[Amount], -- (Tracking[[Date ]]&lt;= Tracking[[#This Row],[Date ]]), (Tracking[[Type ]]&lt;&gt;"Income")*(-1) + (Tracking[[Type ]]="Income"))</f>
        <v>4665.83</v>
      </c>
      <c r="I77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45870</v>
      </c>
    </row>
    <row r="777" spans="3:9" x14ac:dyDescent="0.3">
      <c r="C777" s="112">
        <v>45870</v>
      </c>
      <c r="D777" t="s">
        <v>9</v>
      </c>
      <c r="E777" t="s">
        <v>116</v>
      </c>
      <c r="F777" s="114">
        <v>5</v>
      </c>
      <c r="G777" t="s">
        <v>166</v>
      </c>
      <c r="H777" s="131" cm="1">
        <f t="array" ref="H777">SUMPRODUCT(Tracking[Amount], -- (Tracking[[Date ]]&lt;= Tracking[[#This Row],[Date ]]), (Tracking[[Type ]]&lt;&gt;"Income")*(-1) + (Tracking[[Type ]]="Income"))</f>
        <v>4665.83</v>
      </c>
      <c r="I77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45870</v>
      </c>
    </row>
    <row r="778" spans="3:9" x14ac:dyDescent="0.3">
      <c r="C778" s="112">
        <v>45870</v>
      </c>
      <c r="D778" t="s">
        <v>9</v>
      </c>
      <c r="E778" t="s">
        <v>20</v>
      </c>
      <c r="F778" s="114">
        <v>34.43</v>
      </c>
      <c r="G778"/>
      <c r="H778" s="131" cm="1">
        <f t="array" ref="H778">SUMPRODUCT(Tracking[Amount], -- (Tracking[[Date ]]&lt;= Tracking[[#This Row],[Date ]]), (Tracking[[Type ]]&lt;&gt;"Income")*(-1) + (Tracking[[Type ]]="Income"))</f>
        <v>4665.83</v>
      </c>
      <c r="I77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45870</v>
      </c>
    </row>
    <row r="779" spans="3:9" x14ac:dyDescent="0.3">
      <c r="C779" s="112">
        <v>45872</v>
      </c>
      <c r="D779" t="s">
        <v>9</v>
      </c>
      <c r="E779" t="s">
        <v>26</v>
      </c>
      <c r="F779" s="114">
        <v>112.1</v>
      </c>
      <c r="G779"/>
      <c r="H779" s="131" cm="1">
        <f t="array" ref="H779">SUMPRODUCT(Tracking[Amount], -- (Tracking[[Date ]]&lt;= Tracking[[#This Row],[Date ]]), (Tracking[[Type ]]&lt;&gt;"Income")*(-1) + (Tracking[[Type ]]="Income"))</f>
        <v>4547.7299999999996</v>
      </c>
      <c r="I77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45872</v>
      </c>
    </row>
    <row r="780" spans="3:9" x14ac:dyDescent="0.3">
      <c r="C780" s="112">
        <v>45868</v>
      </c>
      <c r="D780" t="s">
        <v>9</v>
      </c>
      <c r="E780" t="s">
        <v>21</v>
      </c>
      <c r="F780" s="114">
        <v>44</v>
      </c>
      <c r="G780"/>
      <c r="H780" s="131" cm="1">
        <f t="array" ref="H780">SUMPRODUCT(Tracking[Amount], -- (Tracking[[Date ]]&lt;= Tracking[[#This Row],[Date ]]), (Tracking[[Type ]]&lt;&gt;"Income")*(-1) + (Tracking[[Type ]]="Income"))</f>
        <v>3984.1599999999989</v>
      </c>
      <c r="I78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45868</v>
      </c>
    </row>
    <row r="781" spans="3:9" x14ac:dyDescent="0.3">
      <c r="C781" s="112">
        <v>45872</v>
      </c>
      <c r="D781" t="s">
        <v>9</v>
      </c>
      <c r="E781" t="s">
        <v>26</v>
      </c>
      <c r="F781" s="114">
        <v>6</v>
      </c>
      <c r="G781"/>
      <c r="H781" s="131" cm="1">
        <f t="array" ref="H781">SUMPRODUCT(Tracking[Amount], -- (Tracking[[Date ]]&lt;= Tracking[[#This Row],[Date ]]), (Tracking[[Type ]]&lt;&gt;"Income")*(-1) + (Tracking[[Type ]]="Income"))</f>
        <v>4547.7299999999996</v>
      </c>
      <c r="I78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45872</v>
      </c>
    </row>
    <row r="782" spans="3:9" x14ac:dyDescent="0.3">
      <c r="C782" s="112">
        <v>45868</v>
      </c>
      <c r="D782" t="s">
        <v>9</v>
      </c>
      <c r="E782" t="s">
        <v>24</v>
      </c>
      <c r="F782" s="114">
        <v>25.44</v>
      </c>
      <c r="G782"/>
      <c r="H782" s="131" cm="1">
        <f t="array" ref="H782">SUMPRODUCT(Tracking[Amount], -- (Tracking[[Date ]]&lt;= Tracking[[#This Row],[Date ]]), (Tracking[[Type ]]&lt;&gt;"Income")*(-1) + (Tracking[[Type ]]="Income"))</f>
        <v>3984.1599999999989</v>
      </c>
      <c r="I78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45868</v>
      </c>
    </row>
    <row r="783" spans="3:9" x14ac:dyDescent="0.3">
      <c r="C783" s="112">
        <v>45874</v>
      </c>
      <c r="D783" t="s">
        <v>9</v>
      </c>
      <c r="E783" t="s">
        <v>20</v>
      </c>
      <c r="F783" s="114">
        <v>4.2300000000000004</v>
      </c>
      <c r="G783"/>
      <c r="H783" s="131" cm="1">
        <f t="array" ref="H783">SUMPRODUCT(Tracking[Amount], -- (Tracking[[Date ]]&lt;= Tracking[[#This Row],[Date ]]), (Tracking[[Type ]]&lt;&gt;"Income")*(-1) + (Tracking[[Type ]]="Income"))</f>
        <v>4543.5</v>
      </c>
      <c r="I78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45874</v>
      </c>
    </row>
    <row r="784" spans="3:9" x14ac:dyDescent="0.3">
      <c r="C784" s="112">
        <v>45875</v>
      </c>
      <c r="D784" t="s">
        <v>9</v>
      </c>
      <c r="E784" t="s">
        <v>116</v>
      </c>
      <c r="F784" s="114">
        <v>23.3</v>
      </c>
      <c r="G784" t="s">
        <v>126</v>
      </c>
      <c r="H784" s="131" cm="1">
        <f t="array" ref="H784">SUMPRODUCT(Tracking[Amount], -- (Tracking[[Date ]]&lt;= Tracking[[#This Row],[Date ]]), (Tracking[[Type ]]&lt;&gt;"Income")*(-1) + (Tracking[[Type ]]="Income"))</f>
        <v>4520.2</v>
      </c>
      <c r="I78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45875</v>
      </c>
    </row>
    <row r="785" spans="3:9" x14ac:dyDescent="0.3">
      <c r="C785" s="112">
        <v>45876</v>
      </c>
      <c r="D785" t="s">
        <v>9</v>
      </c>
      <c r="E785" t="s">
        <v>116</v>
      </c>
      <c r="F785" s="114">
        <v>7</v>
      </c>
      <c r="G785"/>
      <c r="H785" s="131" cm="1">
        <f t="array" ref="H785">SUMPRODUCT(Tracking[Amount], -- (Tracking[[Date ]]&lt;= Tracking[[#This Row],[Date ]]), (Tracking[[Type ]]&lt;&gt;"Income")*(-1) + (Tracking[[Type ]]="Income"))</f>
        <v>4513.2</v>
      </c>
      <c r="I78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45876</v>
      </c>
    </row>
    <row r="786" spans="3:9" x14ac:dyDescent="0.3">
      <c r="C786" s="112">
        <v>45879</v>
      </c>
      <c r="D786" t="s">
        <v>9</v>
      </c>
      <c r="E786" t="s">
        <v>116</v>
      </c>
      <c r="F786" s="114">
        <v>11.11</v>
      </c>
      <c r="G786"/>
      <c r="H786" s="131" cm="1">
        <f t="array" ref="H786">SUMPRODUCT(Tracking[Amount], -- (Tracking[[Date ]]&lt;= Tracking[[#This Row],[Date ]]), (Tracking[[Type ]]&lt;&gt;"Income")*(-1) + (Tracking[[Type ]]="Income"))</f>
        <v>4485.59</v>
      </c>
      <c r="I78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45879</v>
      </c>
    </row>
    <row r="787" spans="3:9" x14ac:dyDescent="0.3">
      <c r="C787" s="112">
        <v>45879</v>
      </c>
      <c r="D787" t="s">
        <v>9</v>
      </c>
      <c r="E787" t="s">
        <v>26</v>
      </c>
      <c r="F787" s="114">
        <v>6</v>
      </c>
      <c r="G787"/>
      <c r="H787" s="131" cm="1">
        <f t="array" ref="H787">SUMPRODUCT(Tracking[Amount], -- (Tracking[[Date ]]&lt;= Tracking[[#This Row],[Date ]]), (Tracking[[Type ]]&lt;&gt;"Income")*(-1) + (Tracking[[Type ]]="Income"))</f>
        <v>4485.59</v>
      </c>
      <c r="I78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45879</v>
      </c>
    </row>
    <row r="788" spans="3:9" x14ac:dyDescent="0.3">
      <c r="C788" s="112">
        <v>45879</v>
      </c>
      <c r="D788" t="s">
        <v>9</v>
      </c>
      <c r="E788" t="s">
        <v>116</v>
      </c>
      <c r="F788" s="114">
        <v>10.5</v>
      </c>
      <c r="G788"/>
      <c r="H788" s="131" cm="1">
        <f t="array" ref="H788">SUMPRODUCT(Tracking[Amount], -- (Tracking[[Date ]]&lt;= Tracking[[#This Row],[Date ]]), (Tracking[[Type ]]&lt;&gt;"Income")*(-1) + (Tracking[[Type ]]="Income"))</f>
        <v>4485.59</v>
      </c>
      <c r="I78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45879</v>
      </c>
    </row>
    <row r="789" spans="3:9" x14ac:dyDescent="0.3">
      <c r="C789" s="112">
        <v>45880</v>
      </c>
      <c r="D789" t="s">
        <v>9</v>
      </c>
      <c r="E789" t="s">
        <v>26</v>
      </c>
      <c r="F789" s="114">
        <v>4</v>
      </c>
      <c r="G789"/>
      <c r="H789" s="131" cm="1">
        <f t="array" ref="H789">SUMPRODUCT(Tracking[Amount], -- (Tracking[[Date ]]&lt;= Tracking[[#This Row],[Date ]]), (Tracking[[Type ]]&lt;&gt;"Income")*(-1) + (Tracking[[Type ]]="Income"))</f>
        <v>4481.59</v>
      </c>
      <c r="I78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45880</v>
      </c>
    </row>
    <row r="790" spans="3:9" x14ac:dyDescent="0.3">
      <c r="C790" s="112">
        <v>45884</v>
      </c>
      <c r="D790" t="s">
        <v>9</v>
      </c>
      <c r="E790" t="s">
        <v>25</v>
      </c>
      <c r="F790" s="114">
        <v>13</v>
      </c>
      <c r="G790"/>
      <c r="H790" s="131" cm="1">
        <f t="array" ref="H790">SUMPRODUCT(Tracking[Amount], -- (Tracking[[Date ]]&lt;= Tracking[[#This Row],[Date ]]), (Tracking[[Type ]]&lt;&gt;"Income")*(-1) + (Tracking[[Type ]]="Income"))</f>
        <v>4468.59</v>
      </c>
      <c r="I79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45884</v>
      </c>
    </row>
    <row r="791" spans="3:9" x14ac:dyDescent="0.3">
      <c r="C791" s="112"/>
      <c r="D791"/>
      <c r="E791"/>
      <c r="F791" s="114"/>
      <c r="G791"/>
      <c r="H791" s="131" cm="1">
        <f t="array" ref="H791">SUMPRODUCT(Tracking[Amount], -- (Tracking[[Date ]]&lt;= Tracking[[#This Row],[Date ]]), (Tracking[[Type ]]&lt;&gt;"Income")*(-1) + (Tracking[[Type ]]="Income"))</f>
        <v>0</v>
      </c>
      <c r="I79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792" spans="3:9" x14ac:dyDescent="0.3">
      <c r="C792" s="112"/>
      <c r="D792"/>
      <c r="E792"/>
      <c r="F792" s="114"/>
      <c r="G792"/>
      <c r="H792" s="131" cm="1">
        <f t="array" ref="H792">SUMPRODUCT(Tracking[Amount], -- (Tracking[[Date ]]&lt;= Tracking[[#This Row],[Date ]]), (Tracking[[Type ]]&lt;&gt;"Income")*(-1) + (Tracking[[Type ]]="Income"))</f>
        <v>0</v>
      </c>
      <c r="I79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793" spans="3:9" x14ac:dyDescent="0.3">
      <c r="C793" s="112"/>
      <c r="D793"/>
      <c r="E793"/>
      <c r="F793" s="114"/>
      <c r="G793"/>
      <c r="H793" s="131" cm="1">
        <f t="array" ref="H793">SUMPRODUCT(Tracking[Amount], -- (Tracking[[Date ]]&lt;= Tracking[[#This Row],[Date ]]), (Tracking[[Type ]]&lt;&gt;"Income")*(-1) + (Tracking[[Type ]]="Income"))</f>
        <v>0</v>
      </c>
      <c r="I79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794" spans="3:9" x14ac:dyDescent="0.3">
      <c r="C794" s="112"/>
      <c r="D794"/>
      <c r="E794"/>
      <c r="F794" s="114"/>
      <c r="G794"/>
      <c r="H794" s="131" cm="1">
        <f t="array" ref="H794">SUMPRODUCT(Tracking[Amount], -- (Tracking[[Date ]]&lt;= Tracking[[#This Row],[Date ]]), (Tracking[[Type ]]&lt;&gt;"Income")*(-1) + (Tracking[[Type ]]="Income"))</f>
        <v>0</v>
      </c>
      <c r="I79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795" spans="3:9" x14ac:dyDescent="0.3">
      <c r="C795" s="112"/>
      <c r="D795"/>
      <c r="E795"/>
      <c r="F795" s="114"/>
      <c r="G795"/>
      <c r="H795" s="131" cm="1">
        <f t="array" ref="H795">SUMPRODUCT(Tracking[Amount], -- (Tracking[[Date ]]&lt;= Tracking[[#This Row],[Date ]]), (Tracking[[Type ]]&lt;&gt;"Income")*(-1) + (Tracking[[Type ]]="Income"))</f>
        <v>0</v>
      </c>
      <c r="I79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796" spans="3:9" x14ac:dyDescent="0.3">
      <c r="C796" s="112"/>
      <c r="D796"/>
      <c r="E796"/>
      <c r="F796" s="114"/>
      <c r="G796"/>
      <c r="H796" s="131" cm="1">
        <f t="array" ref="H796">SUMPRODUCT(Tracking[Amount], -- (Tracking[[Date ]]&lt;= Tracking[[#This Row],[Date ]]), (Tracking[[Type ]]&lt;&gt;"Income")*(-1) + (Tracking[[Type ]]="Income"))</f>
        <v>0</v>
      </c>
      <c r="I79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797" spans="3:9" x14ac:dyDescent="0.3">
      <c r="C797" s="112"/>
      <c r="D797"/>
      <c r="E797"/>
      <c r="F797" s="114"/>
      <c r="G797"/>
      <c r="H797" s="131" cm="1">
        <f t="array" ref="H797">SUMPRODUCT(Tracking[Amount], -- (Tracking[[Date ]]&lt;= Tracking[[#This Row],[Date ]]), (Tracking[[Type ]]&lt;&gt;"Income")*(-1) + (Tracking[[Type ]]="Income"))</f>
        <v>0</v>
      </c>
      <c r="I79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798" spans="3:9" x14ac:dyDescent="0.3">
      <c r="C798" s="112"/>
      <c r="D798"/>
      <c r="E798"/>
      <c r="F798" s="114"/>
      <c r="G798"/>
      <c r="H798" s="131" cm="1">
        <f t="array" ref="H798">SUMPRODUCT(Tracking[Amount], -- (Tracking[[Date ]]&lt;= Tracking[[#This Row],[Date ]]), (Tracking[[Type ]]&lt;&gt;"Income")*(-1) + (Tracking[[Type ]]="Income"))</f>
        <v>0</v>
      </c>
      <c r="I79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799" spans="3:9" x14ac:dyDescent="0.3">
      <c r="C799" s="112"/>
      <c r="D799"/>
      <c r="E799"/>
      <c r="F799" s="114"/>
      <c r="G799"/>
      <c r="H799" s="131" cm="1">
        <f t="array" ref="H799">SUMPRODUCT(Tracking[Amount], -- (Tracking[[Date ]]&lt;= Tracking[[#This Row],[Date ]]), (Tracking[[Type ]]&lt;&gt;"Income")*(-1) + (Tracking[[Type ]]="Income"))</f>
        <v>0</v>
      </c>
      <c r="I79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0" spans="3:9" x14ac:dyDescent="0.3">
      <c r="C800" s="112"/>
      <c r="D800"/>
      <c r="E800"/>
      <c r="F800" s="114"/>
      <c r="G800"/>
      <c r="H800" s="131" cm="1">
        <f t="array" ref="H800">SUMPRODUCT(Tracking[Amount], -- (Tracking[[Date ]]&lt;= Tracking[[#This Row],[Date ]]), (Tracking[[Type ]]&lt;&gt;"Income")*(-1) + (Tracking[[Type ]]="Income"))</f>
        <v>0</v>
      </c>
      <c r="I80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1" spans="3:9" x14ac:dyDescent="0.3">
      <c r="C801" s="112"/>
      <c r="D801"/>
      <c r="E801"/>
      <c r="F801" s="114"/>
      <c r="G801"/>
      <c r="H801" s="131" cm="1">
        <f t="array" ref="H801">SUMPRODUCT(Tracking[Amount], -- (Tracking[[Date ]]&lt;= Tracking[[#This Row],[Date ]]), (Tracking[[Type ]]&lt;&gt;"Income")*(-1) + (Tracking[[Type ]]="Income"))</f>
        <v>0</v>
      </c>
      <c r="I80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2" spans="3:9" x14ac:dyDescent="0.3">
      <c r="C802" s="112"/>
      <c r="D802"/>
      <c r="E802"/>
      <c r="F802" s="114"/>
      <c r="G802"/>
      <c r="H802" s="131" cm="1">
        <f t="array" ref="H802">SUMPRODUCT(Tracking[Amount], -- (Tracking[[Date ]]&lt;= Tracking[[#This Row],[Date ]]), (Tracking[[Type ]]&lt;&gt;"Income")*(-1) + (Tracking[[Type ]]="Income"))</f>
        <v>0</v>
      </c>
      <c r="I80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3" spans="3:9" x14ac:dyDescent="0.3">
      <c r="C803" s="112"/>
      <c r="D803"/>
      <c r="E803"/>
      <c r="F803" s="114"/>
      <c r="G803"/>
      <c r="H803" s="131" cm="1">
        <f t="array" ref="H803">SUMPRODUCT(Tracking[Amount], -- (Tracking[[Date ]]&lt;= Tracking[[#This Row],[Date ]]), (Tracking[[Type ]]&lt;&gt;"Income")*(-1) + (Tracking[[Type ]]="Income"))</f>
        <v>0</v>
      </c>
      <c r="I80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4" spans="3:9" x14ac:dyDescent="0.3">
      <c r="C804" s="112"/>
      <c r="D804"/>
      <c r="E804"/>
      <c r="F804" s="114"/>
      <c r="G804"/>
      <c r="H804" s="131" cm="1">
        <f t="array" ref="H804">SUMPRODUCT(Tracking[Amount], -- (Tracking[[Date ]]&lt;= Tracking[[#This Row],[Date ]]), (Tracking[[Type ]]&lt;&gt;"Income")*(-1) + (Tracking[[Type ]]="Income"))</f>
        <v>0</v>
      </c>
      <c r="I80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5" spans="3:9" x14ac:dyDescent="0.3">
      <c r="C805" s="112"/>
      <c r="D805"/>
      <c r="E805"/>
      <c r="F805" s="114"/>
      <c r="G805"/>
      <c r="H805" s="131" cm="1">
        <f t="array" ref="H805">SUMPRODUCT(Tracking[Amount], -- (Tracking[[Date ]]&lt;= Tracking[[#This Row],[Date ]]), (Tracking[[Type ]]&lt;&gt;"Income")*(-1) + (Tracking[[Type ]]="Income"))</f>
        <v>0</v>
      </c>
      <c r="I80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6" spans="3:9" x14ac:dyDescent="0.3">
      <c r="C806" s="112"/>
      <c r="D806"/>
      <c r="E806"/>
      <c r="F806" s="114"/>
      <c r="G806"/>
      <c r="H806" s="131" cm="1">
        <f t="array" ref="H806">SUMPRODUCT(Tracking[Amount], -- (Tracking[[Date ]]&lt;= Tracking[[#This Row],[Date ]]), (Tracking[[Type ]]&lt;&gt;"Income")*(-1) + (Tracking[[Type ]]="Income"))</f>
        <v>0</v>
      </c>
      <c r="I80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7" spans="3:9" x14ac:dyDescent="0.3">
      <c r="C807" s="112"/>
      <c r="D807"/>
      <c r="E807"/>
      <c r="F807" s="114"/>
      <c r="G807"/>
      <c r="H807" s="131" cm="1">
        <f t="array" ref="H807">SUMPRODUCT(Tracking[Amount], -- (Tracking[[Date ]]&lt;= Tracking[[#This Row],[Date ]]), (Tracking[[Type ]]&lt;&gt;"Income")*(-1) + (Tracking[[Type ]]="Income"))</f>
        <v>0</v>
      </c>
      <c r="I80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8" spans="3:9" x14ac:dyDescent="0.3">
      <c r="C808" s="112"/>
      <c r="D808"/>
      <c r="E808"/>
      <c r="F808" s="114"/>
      <c r="G808"/>
      <c r="H808" s="131" cm="1">
        <f t="array" ref="H808">SUMPRODUCT(Tracking[Amount], -- (Tracking[[Date ]]&lt;= Tracking[[#This Row],[Date ]]), (Tracking[[Type ]]&lt;&gt;"Income")*(-1) + (Tracking[[Type ]]="Income"))</f>
        <v>0</v>
      </c>
      <c r="I80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09" spans="3:9" x14ac:dyDescent="0.3">
      <c r="C809" s="112"/>
      <c r="D809"/>
      <c r="E809"/>
      <c r="F809" s="114"/>
      <c r="G809"/>
      <c r="H809" s="131" cm="1">
        <f t="array" ref="H809">SUMPRODUCT(Tracking[Amount], -- (Tracking[[Date ]]&lt;= Tracking[[#This Row],[Date ]]), (Tracking[[Type ]]&lt;&gt;"Income")*(-1) + (Tracking[[Type ]]="Income"))</f>
        <v>0</v>
      </c>
      <c r="I80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0" spans="3:9" x14ac:dyDescent="0.3">
      <c r="C810" s="112"/>
      <c r="D810"/>
      <c r="E810"/>
      <c r="F810" s="114"/>
      <c r="G810"/>
      <c r="H810" s="131" cm="1">
        <f t="array" ref="H810">SUMPRODUCT(Tracking[Amount], -- (Tracking[[Date ]]&lt;= Tracking[[#This Row],[Date ]]), (Tracking[[Type ]]&lt;&gt;"Income")*(-1) + (Tracking[[Type ]]="Income"))</f>
        <v>0</v>
      </c>
      <c r="I81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1" spans="3:9" x14ac:dyDescent="0.3">
      <c r="C811" s="112"/>
      <c r="D811"/>
      <c r="E811"/>
      <c r="F811" s="114"/>
      <c r="G811"/>
      <c r="H811" s="131" cm="1">
        <f t="array" ref="H811">SUMPRODUCT(Tracking[Amount], -- (Tracking[[Date ]]&lt;= Tracking[[#This Row],[Date ]]), (Tracking[[Type ]]&lt;&gt;"Income")*(-1) + (Tracking[[Type ]]="Income"))</f>
        <v>0</v>
      </c>
      <c r="I81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2" spans="3:9" x14ac:dyDescent="0.3">
      <c r="C812" s="112"/>
      <c r="D812"/>
      <c r="E812"/>
      <c r="F812" s="114"/>
      <c r="G812"/>
      <c r="H812" s="131" cm="1">
        <f t="array" ref="H812">SUMPRODUCT(Tracking[Amount], -- (Tracking[[Date ]]&lt;= Tracking[[#This Row],[Date ]]), (Tracking[[Type ]]&lt;&gt;"Income")*(-1) + (Tracking[[Type ]]="Income"))</f>
        <v>0</v>
      </c>
      <c r="I81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3" spans="3:9" x14ac:dyDescent="0.3">
      <c r="C813" s="112"/>
      <c r="D813"/>
      <c r="E813"/>
      <c r="F813" s="114"/>
      <c r="G813"/>
      <c r="H813" s="131" cm="1">
        <f t="array" ref="H813">SUMPRODUCT(Tracking[Amount], -- (Tracking[[Date ]]&lt;= Tracking[[#This Row],[Date ]]), (Tracking[[Type ]]&lt;&gt;"Income")*(-1) + (Tracking[[Type ]]="Income"))</f>
        <v>0</v>
      </c>
      <c r="I81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4" spans="3:9" x14ac:dyDescent="0.3">
      <c r="C814" s="112"/>
      <c r="D814"/>
      <c r="E814"/>
      <c r="F814" s="114"/>
      <c r="G814"/>
      <c r="H814" s="131" cm="1">
        <f t="array" ref="H814">SUMPRODUCT(Tracking[Amount], -- (Tracking[[Date ]]&lt;= Tracking[[#This Row],[Date ]]), (Tracking[[Type ]]&lt;&gt;"Income")*(-1) + (Tracking[[Type ]]="Income"))</f>
        <v>0</v>
      </c>
      <c r="I81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5" spans="3:9" x14ac:dyDescent="0.3">
      <c r="C815" s="112"/>
      <c r="D815"/>
      <c r="E815"/>
      <c r="F815" s="114"/>
      <c r="G815"/>
      <c r="H815" s="131" cm="1">
        <f t="array" ref="H815">SUMPRODUCT(Tracking[Amount], -- (Tracking[[Date ]]&lt;= Tracking[[#This Row],[Date ]]), (Tracking[[Type ]]&lt;&gt;"Income")*(-1) + (Tracking[[Type ]]="Income"))</f>
        <v>0</v>
      </c>
      <c r="I81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6" spans="3:9" x14ac:dyDescent="0.3">
      <c r="C816" s="112"/>
      <c r="D816"/>
      <c r="E816"/>
      <c r="F816" s="114"/>
      <c r="G816"/>
      <c r="H816" s="131" cm="1">
        <f t="array" ref="H816">SUMPRODUCT(Tracking[Amount], -- (Tracking[[Date ]]&lt;= Tracking[[#This Row],[Date ]]), (Tracking[[Type ]]&lt;&gt;"Income")*(-1) + (Tracking[[Type ]]="Income"))</f>
        <v>0</v>
      </c>
      <c r="I81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7" spans="3:9" x14ac:dyDescent="0.3">
      <c r="C817" s="112"/>
      <c r="D817"/>
      <c r="E817"/>
      <c r="F817" s="114"/>
      <c r="G817"/>
      <c r="H817" s="131" cm="1">
        <f t="array" ref="H817">SUMPRODUCT(Tracking[Amount], -- (Tracking[[Date ]]&lt;= Tracking[[#This Row],[Date ]]), (Tracking[[Type ]]&lt;&gt;"Income")*(-1) + (Tracking[[Type ]]="Income"))</f>
        <v>0</v>
      </c>
      <c r="I81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8" spans="3:9" x14ac:dyDescent="0.3">
      <c r="C818" s="112"/>
      <c r="D818"/>
      <c r="E818"/>
      <c r="F818" s="114"/>
      <c r="G818"/>
      <c r="H818" s="131" cm="1">
        <f t="array" ref="H818">SUMPRODUCT(Tracking[Amount], -- (Tracking[[Date ]]&lt;= Tracking[[#This Row],[Date ]]), (Tracking[[Type ]]&lt;&gt;"Income")*(-1) + (Tracking[[Type ]]="Income"))</f>
        <v>0</v>
      </c>
      <c r="I81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19" spans="3:9" x14ac:dyDescent="0.3">
      <c r="C819" s="112"/>
      <c r="D819"/>
      <c r="E819"/>
      <c r="F819" s="114"/>
      <c r="G819"/>
      <c r="H819" s="131" cm="1">
        <f t="array" ref="H819">SUMPRODUCT(Tracking[Amount], -- (Tracking[[Date ]]&lt;= Tracking[[#This Row],[Date ]]), (Tracking[[Type ]]&lt;&gt;"Income")*(-1) + (Tracking[[Type ]]="Income"))</f>
        <v>0</v>
      </c>
      <c r="I81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0" spans="3:9" x14ac:dyDescent="0.3">
      <c r="C820" s="112"/>
      <c r="D820"/>
      <c r="E820"/>
      <c r="F820" s="114"/>
      <c r="G820"/>
      <c r="H820" s="131" cm="1">
        <f t="array" ref="H820">SUMPRODUCT(Tracking[Amount], -- (Tracking[[Date ]]&lt;= Tracking[[#This Row],[Date ]]), (Tracking[[Type ]]&lt;&gt;"Income")*(-1) + (Tracking[[Type ]]="Income"))</f>
        <v>0</v>
      </c>
      <c r="I82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1" spans="3:9" x14ac:dyDescent="0.3">
      <c r="C821" s="112"/>
      <c r="D821"/>
      <c r="E821"/>
      <c r="F821" s="114"/>
      <c r="G821"/>
      <c r="H821" s="131" cm="1">
        <f t="array" ref="H821">SUMPRODUCT(Tracking[Amount], -- (Tracking[[Date ]]&lt;= Tracking[[#This Row],[Date ]]), (Tracking[[Type ]]&lt;&gt;"Income")*(-1) + (Tracking[[Type ]]="Income"))</f>
        <v>0</v>
      </c>
      <c r="I82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2" spans="3:9" x14ac:dyDescent="0.3">
      <c r="C822" s="112"/>
      <c r="D822"/>
      <c r="E822"/>
      <c r="F822" s="114"/>
      <c r="G822"/>
      <c r="H822" s="131" cm="1">
        <f t="array" ref="H822">SUMPRODUCT(Tracking[Amount], -- (Tracking[[Date ]]&lt;= Tracking[[#This Row],[Date ]]), (Tracking[[Type ]]&lt;&gt;"Income")*(-1) + (Tracking[[Type ]]="Income"))</f>
        <v>0</v>
      </c>
      <c r="I82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3" spans="3:9" x14ac:dyDescent="0.3">
      <c r="C823" s="112"/>
      <c r="D823"/>
      <c r="E823"/>
      <c r="F823" s="114"/>
      <c r="G823"/>
      <c r="H823" s="131" cm="1">
        <f t="array" ref="H823">SUMPRODUCT(Tracking[Amount], -- (Tracking[[Date ]]&lt;= Tracking[[#This Row],[Date ]]), (Tracking[[Type ]]&lt;&gt;"Income")*(-1) + (Tracking[[Type ]]="Income"))</f>
        <v>0</v>
      </c>
      <c r="I82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4" spans="3:9" x14ac:dyDescent="0.3">
      <c r="C824" s="112"/>
      <c r="D824"/>
      <c r="E824"/>
      <c r="F824" s="114"/>
      <c r="G824"/>
      <c r="H824" s="131" cm="1">
        <f t="array" ref="H824">SUMPRODUCT(Tracking[Amount], -- (Tracking[[Date ]]&lt;= Tracking[[#This Row],[Date ]]), (Tracking[[Type ]]&lt;&gt;"Income")*(-1) + (Tracking[[Type ]]="Income"))</f>
        <v>0</v>
      </c>
      <c r="I82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5" spans="3:9" x14ac:dyDescent="0.3">
      <c r="C825" s="112"/>
      <c r="D825"/>
      <c r="E825"/>
      <c r="F825" s="114"/>
      <c r="G825"/>
      <c r="H825" s="131" cm="1">
        <f t="array" ref="H825">SUMPRODUCT(Tracking[Amount], -- (Tracking[[Date ]]&lt;= Tracking[[#This Row],[Date ]]), (Tracking[[Type ]]&lt;&gt;"Income")*(-1) + (Tracking[[Type ]]="Income"))</f>
        <v>0</v>
      </c>
      <c r="I82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6" spans="3:9" x14ac:dyDescent="0.3">
      <c r="C826" s="112"/>
      <c r="D826"/>
      <c r="E826"/>
      <c r="F826" s="114"/>
      <c r="G826"/>
      <c r="H826" s="131" cm="1">
        <f t="array" ref="H826">SUMPRODUCT(Tracking[Amount], -- (Tracking[[Date ]]&lt;= Tracking[[#This Row],[Date ]]), (Tracking[[Type ]]&lt;&gt;"Income")*(-1) + (Tracking[[Type ]]="Income"))</f>
        <v>0</v>
      </c>
      <c r="I82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7" spans="3:9" x14ac:dyDescent="0.3">
      <c r="C827" s="112"/>
      <c r="D827"/>
      <c r="E827"/>
      <c r="F827" s="114"/>
      <c r="G827"/>
      <c r="H827" s="131" cm="1">
        <f t="array" ref="H827">SUMPRODUCT(Tracking[Amount], -- (Tracking[[Date ]]&lt;= Tracking[[#This Row],[Date ]]), (Tracking[[Type ]]&lt;&gt;"Income")*(-1) + (Tracking[[Type ]]="Income"))</f>
        <v>0</v>
      </c>
      <c r="I82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8" spans="3:9" x14ac:dyDescent="0.3">
      <c r="C828" s="112"/>
      <c r="D828"/>
      <c r="E828"/>
      <c r="F828" s="114"/>
      <c r="G828"/>
      <c r="H828" s="131" cm="1">
        <f t="array" ref="H828">SUMPRODUCT(Tracking[Amount], -- (Tracking[[Date ]]&lt;= Tracking[[#This Row],[Date ]]), (Tracking[[Type ]]&lt;&gt;"Income")*(-1) + (Tracking[[Type ]]="Income"))</f>
        <v>0</v>
      </c>
      <c r="I82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29" spans="3:9" x14ac:dyDescent="0.3">
      <c r="C829" s="112"/>
      <c r="D829"/>
      <c r="E829"/>
      <c r="F829" s="114"/>
      <c r="G829"/>
      <c r="H829" s="131" cm="1">
        <f t="array" ref="H829">SUMPRODUCT(Tracking[Amount], -- (Tracking[[Date ]]&lt;= Tracking[[#This Row],[Date ]]), (Tracking[[Type ]]&lt;&gt;"Income")*(-1) + (Tracking[[Type ]]="Income"))</f>
        <v>0</v>
      </c>
      <c r="I82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0" spans="3:9" x14ac:dyDescent="0.3">
      <c r="C830" s="112"/>
      <c r="D830"/>
      <c r="E830"/>
      <c r="F830" s="114"/>
      <c r="G830"/>
      <c r="H830" s="131" cm="1">
        <f t="array" ref="H830">SUMPRODUCT(Tracking[Amount], -- (Tracking[[Date ]]&lt;= Tracking[[#This Row],[Date ]]), (Tracking[[Type ]]&lt;&gt;"Income")*(-1) + (Tracking[[Type ]]="Income"))</f>
        <v>0</v>
      </c>
      <c r="I83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1" spans="3:9" x14ac:dyDescent="0.3">
      <c r="C831" s="112"/>
      <c r="D831"/>
      <c r="E831"/>
      <c r="F831" s="114"/>
      <c r="G831"/>
      <c r="H831" s="131" cm="1">
        <f t="array" ref="H831">SUMPRODUCT(Tracking[Amount], -- (Tracking[[Date ]]&lt;= Tracking[[#This Row],[Date ]]), (Tracking[[Type ]]&lt;&gt;"Income")*(-1) + (Tracking[[Type ]]="Income"))</f>
        <v>0</v>
      </c>
      <c r="I83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2" spans="3:9" x14ac:dyDescent="0.3">
      <c r="C832" s="112"/>
      <c r="D832"/>
      <c r="E832"/>
      <c r="F832" s="114"/>
      <c r="G832"/>
      <c r="H832" s="131" cm="1">
        <f t="array" ref="H832">SUMPRODUCT(Tracking[Amount], -- (Tracking[[Date ]]&lt;= Tracking[[#This Row],[Date ]]), (Tracking[[Type ]]&lt;&gt;"Income")*(-1) + (Tracking[[Type ]]="Income"))</f>
        <v>0</v>
      </c>
      <c r="I83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3" spans="3:9" x14ac:dyDescent="0.3">
      <c r="C833" s="112"/>
      <c r="D833"/>
      <c r="E833"/>
      <c r="F833" s="114"/>
      <c r="G833"/>
      <c r="H833" s="131" cm="1">
        <f t="array" ref="H833">SUMPRODUCT(Tracking[Amount], -- (Tracking[[Date ]]&lt;= Tracking[[#This Row],[Date ]]), (Tracking[[Type ]]&lt;&gt;"Income")*(-1) + (Tracking[[Type ]]="Income"))</f>
        <v>0</v>
      </c>
      <c r="I83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4" spans="3:9" x14ac:dyDescent="0.3">
      <c r="C834" s="112"/>
      <c r="D834"/>
      <c r="E834"/>
      <c r="F834" s="114"/>
      <c r="G834"/>
      <c r="H834" s="131" cm="1">
        <f t="array" ref="H834">SUMPRODUCT(Tracking[Amount], -- (Tracking[[Date ]]&lt;= Tracking[[#This Row],[Date ]]), (Tracking[[Type ]]&lt;&gt;"Income")*(-1) + (Tracking[[Type ]]="Income"))</f>
        <v>0</v>
      </c>
      <c r="I83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5" spans="3:9" x14ac:dyDescent="0.3">
      <c r="C835" s="112"/>
      <c r="D835"/>
      <c r="E835"/>
      <c r="F835" s="114"/>
      <c r="G835"/>
      <c r="H835" s="131" cm="1">
        <f t="array" ref="H835">SUMPRODUCT(Tracking[Amount], -- (Tracking[[Date ]]&lt;= Tracking[[#This Row],[Date ]]), (Tracking[[Type ]]&lt;&gt;"Income")*(-1) + (Tracking[[Type ]]="Income"))</f>
        <v>0</v>
      </c>
      <c r="I83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6" spans="3:9" x14ac:dyDescent="0.3">
      <c r="C836" s="112"/>
      <c r="D836"/>
      <c r="E836"/>
      <c r="F836" s="114"/>
      <c r="G836"/>
      <c r="H836" s="131" cm="1">
        <f t="array" ref="H836">SUMPRODUCT(Tracking[Amount], -- (Tracking[[Date ]]&lt;= Tracking[[#This Row],[Date ]]), (Tracking[[Type ]]&lt;&gt;"Income")*(-1) + (Tracking[[Type ]]="Income"))</f>
        <v>0</v>
      </c>
      <c r="I83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7" spans="3:9" x14ac:dyDescent="0.3">
      <c r="C837" s="112"/>
      <c r="D837"/>
      <c r="E837"/>
      <c r="F837" s="114"/>
      <c r="G837"/>
      <c r="H837" s="131" cm="1">
        <f t="array" ref="H837">SUMPRODUCT(Tracking[Amount], -- (Tracking[[Date ]]&lt;= Tracking[[#This Row],[Date ]]), (Tracking[[Type ]]&lt;&gt;"Income")*(-1) + (Tracking[[Type ]]="Income"))</f>
        <v>0</v>
      </c>
      <c r="I837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8" spans="3:9" x14ac:dyDescent="0.3">
      <c r="C838" s="112"/>
      <c r="D838"/>
      <c r="E838"/>
      <c r="F838" s="114"/>
      <c r="G838"/>
      <c r="H838" s="131" cm="1">
        <f t="array" ref="H838">SUMPRODUCT(Tracking[Amount], -- (Tracking[[Date ]]&lt;= Tracking[[#This Row],[Date ]]), (Tracking[[Type ]]&lt;&gt;"Income")*(-1) + (Tracking[[Type ]]="Income"))</f>
        <v>0</v>
      </c>
      <c r="I838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39" spans="3:9" x14ac:dyDescent="0.3">
      <c r="C839" s="112"/>
      <c r="D839"/>
      <c r="E839"/>
      <c r="F839" s="114"/>
      <c r="G839"/>
      <c r="H839" s="131" cm="1">
        <f t="array" ref="H839">SUMPRODUCT(Tracking[Amount], -- (Tracking[[Date ]]&lt;= Tracking[[#This Row],[Date ]]), (Tracking[[Type ]]&lt;&gt;"Income")*(-1) + (Tracking[[Type ]]="Income"))</f>
        <v>0</v>
      </c>
      <c r="I839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40" spans="3:9" x14ac:dyDescent="0.3">
      <c r="C840" s="112"/>
      <c r="D840"/>
      <c r="E840"/>
      <c r="F840" s="114"/>
      <c r="G840"/>
      <c r="H840" s="131" cm="1">
        <f t="array" ref="H840">SUMPRODUCT(Tracking[Amount], -- (Tracking[[Date ]]&lt;= Tracking[[#This Row],[Date ]]), (Tracking[[Type ]]&lt;&gt;"Income")*(-1) + (Tracking[[Type ]]="Income"))</f>
        <v>0</v>
      </c>
      <c r="I840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41" spans="3:9" x14ac:dyDescent="0.3">
      <c r="C841" s="112"/>
      <c r="D841"/>
      <c r="E841"/>
      <c r="F841" s="114"/>
      <c r="G841"/>
      <c r="H841" s="131" cm="1">
        <f t="array" ref="H841">SUMPRODUCT(Tracking[Amount], -- (Tracking[[Date ]]&lt;= Tracking[[#This Row],[Date ]]), (Tracking[[Type ]]&lt;&gt;"Income")*(-1) + (Tracking[[Type ]]="Income"))</f>
        <v>0</v>
      </c>
      <c r="I841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42" spans="3:9" x14ac:dyDescent="0.3">
      <c r="C842" s="112"/>
      <c r="D842"/>
      <c r="E842"/>
      <c r="F842" s="114"/>
      <c r="G842"/>
      <c r="H842" s="131" cm="1">
        <f t="array" ref="H842">SUMPRODUCT(Tracking[Amount], -- (Tracking[[Date ]]&lt;= Tracking[[#This Row],[Date ]]), (Tracking[[Type ]]&lt;&gt;"Income")*(-1) + (Tracking[[Type ]]="Income"))</f>
        <v>0</v>
      </c>
      <c r="I842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43" spans="3:9" x14ac:dyDescent="0.3">
      <c r="C843" s="112"/>
      <c r="D843"/>
      <c r="E843"/>
      <c r="F843" s="114"/>
      <c r="G843"/>
      <c r="H843" s="131" cm="1">
        <f t="array" ref="H843">SUMPRODUCT(Tracking[Amount], -- (Tracking[[Date ]]&lt;= Tracking[[#This Row],[Date ]]), (Tracking[[Type ]]&lt;&gt;"Income")*(-1) + (Tracking[[Type ]]="Income"))</f>
        <v>0</v>
      </c>
      <c r="I843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44" spans="3:9" x14ac:dyDescent="0.3">
      <c r="C844" s="112"/>
      <c r="D844"/>
      <c r="E844"/>
      <c r="F844" s="114"/>
      <c r="G844"/>
      <c r="H844" s="131" cm="1">
        <f t="array" ref="H844">SUMPRODUCT(Tracking[Amount], -- (Tracking[[Date ]]&lt;= Tracking[[#This Row],[Date ]]), (Tracking[[Type ]]&lt;&gt;"Income")*(-1) + (Tracking[[Type ]]="Income"))</f>
        <v>0</v>
      </c>
      <c r="I844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45" spans="3:9" x14ac:dyDescent="0.3">
      <c r="C845" s="112"/>
      <c r="D845"/>
      <c r="E845"/>
      <c r="F845" s="114"/>
      <c r="G845"/>
      <c r="H845" s="131" cm="1">
        <f t="array" ref="H845">SUMPRODUCT(Tracking[Amount], -- (Tracking[[Date ]]&lt;= Tracking[[#This Row],[Date ]]), (Tracking[[Type ]]&lt;&gt;"Income")*(-1) + (Tracking[[Type ]]="Income"))</f>
        <v>0</v>
      </c>
      <c r="I845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  <row r="846" spans="3:9" x14ac:dyDescent="0.3">
      <c r="C846" s="112"/>
      <c r="D846"/>
      <c r="E846"/>
      <c r="F846" s="114"/>
      <c r="G846"/>
      <c r="H846" s="131" cm="1">
        <f t="array" ref="H846">SUMPRODUCT(Tracking[Amount], -- (Tracking[[Date ]]&lt;= Tracking[[#This Row],[Date ]]), (Tracking[[Type ]]&lt;&gt;"Income")*(-1) + (Tracking[[Type ]]="Income"))</f>
        <v>0</v>
      </c>
      <c r="I846" s="127">
        <f>IF(AND(Tracking[[#This Row],[Type ]]="Income",shift_late_income_status="Active",DAY(Tracking[[#This Row],[Date ]])&gt;=shift_late_income_starting_date),DATE(YEAR(Tracking[[#This Row],[Date ]]),MONTH(Tracking[[#This Row],[Date ]])+1,1),Tracking[[#This Row],[Date ]])</f>
        <v>0</v>
      </c>
    </row>
  </sheetData>
  <conditionalFormatting sqref="E13:E846">
    <cfRule type="expression" dxfId="37" priority="13">
      <formula>ISNA(MATCH(E13,INDIRECT(D13),0))</formula>
    </cfRule>
  </conditionalFormatting>
  <conditionalFormatting sqref="F13:F393 F396:F846">
    <cfRule type="expression" dxfId="36" priority="7">
      <formula>D13 = "Expenses"</formula>
    </cfRule>
    <cfRule type="expression" dxfId="35" priority="11">
      <formula>D13 = "Savings"</formula>
    </cfRule>
    <cfRule type="expression" dxfId="34" priority="12">
      <formula>D13 = "Income"</formula>
    </cfRule>
  </conditionalFormatting>
  <conditionalFormatting sqref="F395">
    <cfRule type="expression" dxfId="33" priority="68">
      <formula>D394 = "Expenses"</formula>
    </cfRule>
    <cfRule type="expression" dxfId="32" priority="69">
      <formula>D394 = "Savings"</formula>
    </cfRule>
    <cfRule type="expression" dxfId="31" priority="70">
      <formula>D394 = "Income"</formula>
    </cfRule>
  </conditionalFormatting>
  <conditionalFormatting sqref="F573">
    <cfRule type="expression" dxfId="30" priority="72">
      <formula>ISNA(MATCH(F573,INDIRECT(D573),0))</formula>
    </cfRule>
  </conditionalFormatting>
  <conditionalFormatting sqref="H13:H846">
    <cfRule type="expression" dxfId="29" priority="5">
      <formula>H13&lt;0</formula>
    </cfRule>
    <cfRule type="expression" dxfId="28" priority="6">
      <formula>H13&gt;0</formula>
    </cfRule>
  </conditionalFormatting>
  <conditionalFormatting sqref="I13:I846">
    <cfRule type="expression" dxfId="27" priority="4" stopIfTrue="1">
      <formula>AND(D13="Income",shift_late_income_status="Active",DAY(C13)&gt;=shift_late_income_starting_date)</formula>
    </cfRule>
  </conditionalFormatting>
  <dataValidations count="4">
    <dataValidation type="list" allowBlank="1" showInputMessage="1" showErrorMessage="1" sqref="D13:D846" xr:uid="{7E856917-289D-4CCC-BB5D-C9ED61049FD0}">
      <formula1>"Income, Expenses, Savings"</formula1>
    </dataValidation>
    <dataValidation type="date" operator="greaterThan" allowBlank="1" showInputMessage="1" showErrorMessage="1" sqref="C13:C846" xr:uid="{BA369C98-A2CE-4C15-8BA4-7F85E5FE54A9}">
      <formula1>1</formula1>
    </dataValidation>
    <dataValidation type="custom" allowBlank="1" showInputMessage="1" showErrorMessage="1" sqref="F13:F393 F395:F471" xr:uid="{98D05CCC-2568-44D5-86A7-C78CFC896612}">
      <formula1>ISNUMBER(F13)</formula1>
    </dataValidation>
    <dataValidation type="list" allowBlank="1" showInputMessage="1" showErrorMessage="1" sqref="E13:E846" xr:uid="{9B5D80CE-2B78-40E8-AABA-7B0C1F798C37}">
      <formula1>INDIRECT(D13)</formula1>
    </dataValidation>
  </dataValidations>
  <pageMargins left="0.7" right="0.7" top="0.75" bottom="0.75" header="0.3" footer="0.3"/>
  <pageSetup paperSize="9" orientation="portrait" horizontalDpi="90" verticalDpi="9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7427-F11E-49AB-8268-B47095691D63}">
  <sheetPr codeName="Φύλλο4"/>
  <dimension ref="A1:AT52"/>
  <sheetViews>
    <sheetView tabSelected="1" zoomScale="70" zoomScaleNormal="70" workbookViewId="0">
      <selection activeCell="AC18" sqref="AC18"/>
    </sheetView>
  </sheetViews>
  <sheetFormatPr defaultRowHeight="14.4" x14ac:dyDescent="0.3"/>
  <cols>
    <col min="1" max="2" width="8.88671875" style="1"/>
    <col min="3" max="3" width="6.109375" style="1" hidden="1" customWidth="1"/>
    <col min="4" max="4" width="12.33203125" style="1" hidden="1" customWidth="1"/>
    <col min="5" max="5" width="8.5546875" style="1" hidden="1" customWidth="1"/>
    <col min="6" max="6" width="9.6640625" style="1" hidden="1" customWidth="1"/>
    <col min="7" max="7" width="6.77734375" style="1" hidden="1" customWidth="1"/>
    <col min="8" max="8" width="7.88671875" style="1" hidden="1" customWidth="1"/>
    <col min="9" max="9" width="9" style="1" hidden="1" customWidth="1"/>
    <col min="10" max="10" width="15.21875" style="1" hidden="1" customWidth="1"/>
    <col min="11" max="11" width="7.21875" style="1" hidden="1" customWidth="1"/>
    <col min="12" max="12" width="6.77734375" style="1" hidden="1" customWidth="1"/>
    <col min="13" max="13" width="11.33203125" style="1" hidden="1" customWidth="1"/>
    <col min="14" max="14" width="11.6640625" style="1" hidden="1" customWidth="1"/>
    <col min="15" max="15" width="12.6640625" style="1" hidden="1" customWidth="1"/>
    <col min="16" max="16" width="10.88671875" style="1" hidden="1" customWidth="1"/>
    <col min="17" max="17" width="12" style="1" hidden="1" customWidth="1"/>
    <col min="18" max="18" width="10.44140625" style="1" hidden="1" customWidth="1"/>
    <col min="19" max="19" width="10.21875" style="1" hidden="1" customWidth="1"/>
    <col min="20" max="20" width="15.5546875" style="1" hidden="1" customWidth="1"/>
    <col min="21" max="21" width="15.21875" style="1" hidden="1" customWidth="1"/>
    <col min="22" max="22" width="24.21875" style="1" hidden="1" customWidth="1"/>
    <col min="23" max="23" width="16.44140625" style="1" hidden="1" customWidth="1"/>
    <col min="24" max="24" width="11.88671875" style="1" hidden="1" customWidth="1"/>
    <col min="25" max="25" width="15.21875" style="36" hidden="1" customWidth="1"/>
    <col min="26" max="26" width="12.44140625" style="1" customWidth="1"/>
    <col min="27" max="27" width="12.6640625" style="1" customWidth="1"/>
    <col min="28" max="28" width="8" style="66" bestFit="1" customWidth="1"/>
    <col min="29" max="29" width="12.6640625" style="1" bestFit="1" customWidth="1"/>
    <col min="30" max="30" width="13.77734375" style="1" bestFit="1" customWidth="1"/>
    <col min="31" max="31" width="4.109375" style="1" customWidth="1"/>
    <col min="32" max="32" width="8.88671875" style="1" customWidth="1"/>
    <col min="33" max="33" width="23.77734375" style="1" customWidth="1"/>
    <col min="34" max="34" width="2.44140625" style="1" customWidth="1"/>
    <col min="35" max="35" width="18.33203125" style="1" customWidth="1"/>
    <col min="36" max="36" width="10.21875" style="1" bestFit="1" customWidth="1"/>
    <col min="37" max="37" width="8.88671875" style="1" customWidth="1"/>
    <col min="38" max="38" width="4" style="1" customWidth="1"/>
    <col min="39" max="39" width="8.88671875" style="1"/>
    <col min="40" max="40" width="18.5546875" style="1" customWidth="1"/>
    <col min="41" max="41" width="2.77734375" style="1" customWidth="1"/>
    <col min="42" max="42" width="18.33203125" style="1" customWidth="1"/>
    <col min="43" max="16384" width="8.88671875" style="1"/>
  </cols>
  <sheetData>
    <row r="1" spans="1:46" s="2" customFormat="1" x14ac:dyDescent="0.3">
      <c r="F1" s="2" t="s">
        <v>2</v>
      </c>
      <c r="T1" s="2" t="s">
        <v>2</v>
      </c>
      <c r="Y1" s="68"/>
      <c r="AB1" s="65"/>
    </row>
    <row r="2" spans="1:46" s="2" customFormat="1" ht="25.8" x14ac:dyDescent="0.5">
      <c r="A2" s="25" t="s">
        <v>45</v>
      </c>
      <c r="Y2" s="68"/>
      <c r="AB2" s="65"/>
    </row>
    <row r="3" spans="1:46" s="2" customFormat="1" x14ac:dyDescent="0.3">
      <c r="Y3" s="68"/>
      <c r="AB3" s="65"/>
    </row>
    <row r="5" spans="1:46" x14ac:dyDescent="0.3">
      <c r="AQ5" s="136" t="s">
        <v>46</v>
      </c>
      <c r="AR5" s="137"/>
    </row>
    <row r="6" spans="1:46" x14ac:dyDescent="0.3">
      <c r="AN6" s="139" t="s">
        <v>47</v>
      </c>
      <c r="AO6" s="139"/>
      <c r="AP6" s="139"/>
      <c r="AQ6" s="138" t="s">
        <v>52</v>
      </c>
      <c r="AR6" s="138"/>
    </row>
    <row r="7" spans="1:46" x14ac:dyDescent="0.3">
      <c r="AI7" s="1" t="s">
        <v>110</v>
      </c>
    </row>
    <row r="8" spans="1:46" x14ac:dyDescent="0.3">
      <c r="AQ8" s="136" t="s">
        <v>48</v>
      </c>
      <c r="AR8" s="137"/>
    </row>
    <row r="9" spans="1:46" x14ac:dyDescent="0.3">
      <c r="AN9" s="139" t="s">
        <v>49</v>
      </c>
      <c r="AO9" s="139"/>
      <c r="AP9" s="139"/>
      <c r="AQ9" s="140" t="s">
        <v>55</v>
      </c>
      <c r="AR9" s="140"/>
    </row>
    <row r="11" spans="1:46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35" t="str">
        <f ca="1">"Breakdown - " &amp; IF(selected_period="Total Year", selected_year &amp;" (Total Year)", selected_period_display &amp; " " &amp; selected_year)</f>
        <v>Breakdown - Αυγούστου 2025</v>
      </c>
      <c r="Z11" s="135"/>
      <c r="AA11" s="135"/>
      <c r="AB11" s="135"/>
      <c r="AC11" s="135"/>
      <c r="AD11" s="135"/>
      <c r="AF11" s="135" t="str">
        <f ca="1">"Summary - " &amp; IF(selected_period="Total Year", selected_year &amp;" (Total Year)", selected_period_display &amp; " " &amp; selected_year)</f>
        <v>Summary - Αυγούστου 2025</v>
      </c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</row>
    <row r="12" spans="1:46" x14ac:dyDescent="0.3">
      <c r="C12" s="57" t="s">
        <v>60</v>
      </c>
      <c r="D12" s="58" t="s">
        <v>61</v>
      </c>
      <c r="E12" s="57" t="s">
        <v>62</v>
      </c>
      <c r="F12" s="59" t="s">
        <v>63</v>
      </c>
      <c r="G12" s="59" t="s">
        <v>64</v>
      </c>
      <c r="H12" s="58" t="s">
        <v>65</v>
      </c>
      <c r="I12" s="57" t="s">
        <v>66</v>
      </c>
      <c r="J12" s="59" t="s">
        <v>67</v>
      </c>
      <c r="K12" s="59" t="s">
        <v>68</v>
      </c>
      <c r="L12" s="58" t="s">
        <v>69</v>
      </c>
      <c r="M12" s="57" t="s">
        <v>71</v>
      </c>
      <c r="N12" s="58" t="s">
        <v>72</v>
      </c>
      <c r="O12" s="57" t="s">
        <v>73</v>
      </c>
      <c r="P12" s="59" t="s">
        <v>74</v>
      </c>
      <c r="Q12" s="59" t="s">
        <v>75</v>
      </c>
      <c r="R12" s="58" t="s">
        <v>76</v>
      </c>
      <c r="S12" s="57" t="s">
        <v>77</v>
      </c>
      <c r="T12" s="59" t="s">
        <v>78</v>
      </c>
      <c r="U12" s="59" t="s">
        <v>79</v>
      </c>
      <c r="V12" s="59" t="s">
        <v>80</v>
      </c>
      <c r="W12" s="58" t="s">
        <v>81</v>
      </c>
      <c r="X12" s="63" t="s">
        <v>82</v>
      </c>
    </row>
    <row r="13" spans="1:46" x14ac:dyDescent="0.3">
      <c r="C13" s="60" cm="1">
        <f t="array" ref="C13">income_header_row</f>
        <v>9</v>
      </c>
      <c r="D13" s="5">
        <f t="shared" ref="D13:D37" si="0">IF(is_header,row_id,IF(NOT(is_empty),D12,-1))</f>
        <v>9</v>
      </c>
      <c r="E13" s="4" cm="1">
        <f t="array" ref="E13">1*OR(row_id=income_header_row,row_id=expenses_header_row,row_id=savings_header_row)</f>
        <v>1</v>
      </c>
      <c r="F13" s="1">
        <f t="shared" ref="F13:F37" si="1">1*NOT(OR(is_header,is_total,is_empty))</f>
        <v>0</v>
      </c>
      <c r="G13" s="1" cm="1">
        <f t="array" ref="G13">1*OR(row_id=income_total_row,row_id=expenses_total_row,row_id=savings_total_row)</f>
        <v>0</v>
      </c>
      <c r="H13" s="5">
        <f t="shared" ref="H13:H37" si="2">1*OR(row_id="/1",row_id="/2",row_id=-1)</f>
        <v>0</v>
      </c>
      <c r="I13" s="4" t="str" cm="1">
        <f t="array" ref="I13">IFERROR(INDEX('BUDGET PLANNING'!$C:$C,header_row_id),"")</f>
        <v>Income</v>
      </c>
      <c r="J13" s="1" t="str" cm="1">
        <f t="array" ref="J13">IFERROR(INDEX('BUDGET PLANNING'!$C:$C,row_id),"")</f>
        <v>Income</v>
      </c>
      <c r="K13" s="61" t="str" cm="1">
        <f t="array" ref="K13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/>
      </c>
      <c r="L13" s="62" t="str" cm="1">
        <f t="array" ref="L13">IF(OR(is_header,is_empty),"",INDEX('BUDGET PLANNING'!$E:$DK,row_id, MATCH(IF(selected_period="Total Year",selected_year,DATE(selected_year,selected_period,1)),'BUDGET PLANNING'!$E$9:$DK$9,0) ))</f>
        <v/>
      </c>
      <c r="M13" s="4" t="str" cm="1">
        <f t="array" ref="M13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13" s="5" t="str" cm="1">
        <f t="array" ref="N13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13" s="4" t="str">
        <f t="shared" ref="O13:O37" si="3">IF(is_category,ADDRESS(sort_min_row,COLUMN(tracked)) &amp; ":" &amp; ADDRESS(sort_max_row,COLUMN(tracked)),"")</f>
        <v/>
      </c>
      <c r="P13" s="1" t="str">
        <f t="shared" ref="P13:P37" ca="1" si="4">IF(is_category,RANK(tracked,INDIRECT(tracked_range),0),"")</f>
        <v/>
      </c>
      <c r="Q13" s="1" t="str">
        <f t="shared" ref="Q13:Q37" si="5">IF(is_category,ADDRESS(sort_min_row,COLUMN(budget)) &amp; ":" &amp; ADDRESS(sort_max_row,COLUMN(budget)),"")</f>
        <v/>
      </c>
      <c r="R13" s="5" t="str">
        <f t="shared" ref="R13:R37" ca="1" si="6">IF(is_category,RANK(budget,INDIRECT(budget_range),0),"")</f>
        <v/>
      </c>
      <c r="S13" s="4" t="str">
        <f t="shared" ref="S13:S37" si="7">IF(is_category,_xlfn.NUMBERVALUE(tracked_rank &amp; budget_rank),"")</f>
        <v/>
      </c>
      <c r="T13" s="1" t="str">
        <f t="shared" ref="T13:T37" si="8">IF(is_category,ADDRESS(sort_min_row,COLUMN(combo_rank)) &amp; ":" &amp; ADDRESS(sort_max_row,COLUMN(combo_rank)),"")</f>
        <v/>
      </c>
      <c r="U13" s="1" t="s">
        <v>2</v>
      </c>
      <c r="V13" s="1" t="str">
        <f t="shared" ref="V13:V37" si="9">IF(is_category,ADDRESS(sort_min_row,COLUMN(combo_rank_norm)) &amp; ":" &amp; ADDRESS(ROW(),COLUMN(combo_rank_norm)),"")</f>
        <v/>
      </c>
      <c r="W13" s="5" t="str">
        <f t="shared" ref="W13:W37" ca="1" si="10">IF(is_category,combo_rank_norm + COUNTIF(INDIRECT(combo_rank_norm_run_range), combo_rank_norm)-1,"")</f>
        <v/>
      </c>
      <c r="X13" s="64">
        <f t="shared" ref="X13:X37" si="11">IF(is_category,header_row_id+combo_rank_unique,row_id)</f>
        <v>9</v>
      </c>
      <c r="Y13" s="36" t="str">
        <f t="shared" ref="Y13:Y37" si="12">IF(is_empty,"",INDEX($J:$J,MATCH(row_id,$X:$X,0)))</f>
        <v>Income</v>
      </c>
      <c r="Z13" s="70" t="str">
        <f t="shared" ref="Z13:Z37" si="13">IF(is_empty,"",IF(is_header,"Tracked",INDEX($K:$K,MATCH(row_id,$X:$X,0))))</f>
        <v>Tracked</v>
      </c>
      <c r="AA13" s="70" t="str">
        <f t="shared" ref="AA13:AA37" si="14">IF(is_empty,"",IF(is_header,"Budget",INDEX($L:$L,MATCH(row_id,$X:$X,0))))</f>
        <v>Budget</v>
      </c>
      <c r="AB13" s="69" t="str">
        <f t="shared" ref="AB13:AB37" si="15">IF(is_empty,"",IF(is_header,"%",IFERROR(out_tracked/out_budget,"-")))</f>
        <v>%</v>
      </c>
      <c r="AC13" s="70" t="str">
        <f t="shared" ref="AC13:AC37" si="16">IF(is_empty,"",IF(is_header,"Remaining",IF(out_budget-out_tracked &gt; 0,out_budget-out_tracked,0)))</f>
        <v>Remaining</v>
      </c>
      <c r="AD13" s="70" t="str">
        <f t="shared" ref="AD13:AD37" si="17">IF(is_empty,"",IF(is_header,"Excess",IF(out_budget-out_tracked &lt; 0,out_tracked-out_budget,0)))</f>
        <v>Excess</v>
      </c>
      <c r="AF13" s="71" t="s">
        <v>2</v>
      </c>
      <c r="AG13" s="72"/>
      <c r="AH13" s="72"/>
      <c r="AI13" s="72"/>
      <c r="AJ13" s="72"/>
      <c r="AK13" s="73"/>
      <c r="AM13" s="99"/>
      <c r="AN13" s="100"/>
      <c r="AO13" s="100"/>
      <c r="AP13" s="100"/>
      <c r="AQ13" s="100"/>
      <c r="AR13" s="100"/>
      <c r="AS13" s="100"/>
      <c r="AT13" s="101"/>
    </row>
    <row r="14" spans="1:46" x14ac:dyDescent="0.3">
      <c r="C14" s="60" cm="1">
        <f t="array" ref="C14">IF(C13=-1,-1,                                                          IF(C13&lt;income_max_row,C13+1,     IF(C13=income_max_row,income_total_row,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IF(C13=income_total_row,"/1",              IF(C13="/1",expenses_header_row,       IF(C13&lt;expenses_max_row,C13+1,       IF(C13=expenses_max_row,expenses_total_row,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IF(C13=expenses_total_row,"/2",            IF(C13="/2",savings_header_row,         IF(C13&lt;savings_max_row,C13+1,         IF(C13=savings_max_row,savings_total_row,-1)))))))))))</f>
        <v>10</v>
      </c>
      <c r="D14" s="5">
        <f t="shared" si="0"/>
        <v>9</v>
      </c>
      <c r="E14" s="4" cm="1">
        <f t="array" ref="E14">1*OR(row_id=income_header_row,row_id=expenses_header_row,row_id=savings_header_row)</f>
        <v>0</v>
      </c>
      <c r="F14" s="1">
        <f t="shared" si="1"/>
        <v>1</v>
      </c>
      <c r="G14" s="1" cm="1">
        <f t="array" ref="G14">1*OR(row_id=income_total_row,row_id=expenses_total_row,row_id=savings_total_row)</f>
        <v>0</v>
      </c>
      <c r="H14" s="5">
        <f t="shared" si="2"/>
        <v>0</v>
      </c>
      <c r="I14" s="4" t="str" cm="1">
        <f t="array" ref="I14">IFERROR(INDEX('BUDGET PLANNING'!$C:$C,header_row_id),"")</f>
        <v>Income</v>
      </c>
      <c r="J14" s="1" t="str" cm="1">
        <f t="array" ref="J14">IFERROR(INDEX('BUDGET PLANNING'!$C:$C,row_id),"")</f>
        <v>Μισθός</v>
      </c>
      <c r="K14" s="61" cm="1">
        <f t="array" aca="1" ref="K14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1167.1400000000001</v>
      </c>
      <c r="L14" s="62" cm="1">
        <f t="array" aca="1" ref="L14" ca="1">IF(OR(is_header,is_empty),"",INDEX('BUDGET PLANNING'!$E:$DK,row_id, MATCH(IF(selected_period="Total Year",selected_year,DATE(selected_year,selected_period,1)),'BUDGET PLANNING'!$E$9:$DK$9,0) ))</f>
        <v>0</v>
      </c>
      <c r="M14" s="4" cm="1">
        <f t="array" ref="M14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14</v>
      </c>
      <c r="N14" s="5" cm="1">
        <f t="array" ref="N14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14</v>
      </c>
      <c r="O14" s="4" t="str">
        <f t="shared" si="3"/>
        <v>$K$14:$K$14</v>
      </c>
      <c r="P14" s="1">
        <f t="shared" ca="1" si="4"/>
        <v>1</v>
      </c>
      <c r="Q14" s="1" t="str">
        <f>IF(is_category,ADDRESS(sort_min_row,COLUMN(budget)) &amp; ":" &amp; ADDRESS(sort_max_row,COLUMN(budget)),"")</f>
        <v>$L$14:$L$14</v>
      </c>
      <c r="R14" s="5">
        <f t="shared" ca="1" si="6"/>
        <v>1</v>
      </c>
      <c r="S14" s="4">
        <f t="shared" ca="1" si="7"/>
        <v>11</v>
      </c>
      <c r="T14" s="1" t="str">
        <f t="shared" si="8"/>
        <v>$S$14:$S$14</v>
      </c>
      <c r="U14" s="1">
        <f t="shared" ref="U14:U37" ca="1" si="18">IF(is_category,RANK(combo_rank,INDIRECT(combo_rank_range),1),"")</f>
        <v>1</v>
      </c>
      <c r="V14" s="1" t="str">
        <f t="shared" si="9"/>
        <v>$U$14:$U$14</v>
      </c>
      <c r="W14" s="5">
        <f t="shared" ca="1" si="10"/>
        <v>1</v>
      </c>
      <c r="X14" s="64">
        <f t="shared" ca="1" si="11"/>
        <v>10</v>
      </c>
      <c r="Y14" s="36" t="str">
        <f t="shared" ca="1" si="12"/>
        <v>Μισθός</v>
      </c>
      <c r="Z14" s="70">
        <f ca="1">IF(is_empty,"",IF(is_header,"Tracked",INDEX($K:$K,MATCH(row_id,$X:$X,0))))</f>
        <v>1167.1400000000001</v>
      </c>
      <c r="AA14" s="70">
        <f t="shared" ca="1" si="14"/>
        <v>0</v>
      </c>
      <c r="AB14" s="69" t="str">
        <f t="shared" ca="1" si="15"/>
        <v>-</v>
      </c>
      <c r="AC14" s="70">
        <f t="shared" ca="1" si="16"/>
        <v>0</v>
      </c>
      <c r="AD14" s="70">
        <f t="shared" ca="1" si="17"/>
        <v>1167.1400000000001</v>
      </c>
      <c r="AF14" s="4"/>
      <c r="AK14" s="5"/>
      <c r="AM14" s="102"/>
      <c r="AT14" s="103"/>
    </row>
    <row r="15" spans="1:46" x14ac:dyDescent="0.3">
      <c r="C15" s="60" cm="1">
        <f t="array" ref="C15">IF(C14=-1,-1,                                                          IF(C14&lt;income_max_row,C14+1,     IF(C14=income_max_row,income_total_row,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IF(C14=income_total_row,"/1",              IF(C14="/1",expenses_header_row,       IF(C14&lt;expenses_max_row,C14+1,       IF(C14=expenses_max_row,expenses_total_row,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IF(C14=expenses_total_row,"/2",            IF(C14="/2",savings_header_row,         IF(C14&lt;savings_max_row,C14+1,         IF(C14=savings_max_row,savings_total_row,-1)))))))))))</f>
        <v>21</v>
      </c>
      <c r="D15" s="5">
        <f t="shared" si="0"/>
        <v>9</v>
      </c>
      <c r="E15" s="4" cm="1">
        <f t="array" ref="E15">1*OR(row_id=income_header_row,row_id=expenses_header_row,row_id=savings_header_row)</f>
        <v>0</v>
      </c>
      <c r="F15" s="1">
        <f t="shared" si="1"/>
        <v>0</v>
      </c>
      <c r="G15" s="1" cm="1">
        <f t="array" ref="G15">1*OR(row_id=income_total_row,row_id=expenses_total_row,row_id=savings_total_row)</f>
        <v>1</v>
      </c>
      <c r="H15" s="5">
        <f t="shared" si="2"/>
        <v>0</v>
      </c>
      <c r="I15" s="4" t="str" cm="1">
        <f t="array" ref="I15">IFERROR(INDEX('BUDGET PLANNING'!$C:$C,header_row_id),"")</f>
        <v>Income</v>
      </c>
      <c r="J15" s="1" t="str" cm="1">
        <f t="array" ref="J15">IFERROR(INDEX('BUDGET PLANNING'!$C:$C,row_id),"")</f>
        <v>Total</v>
      </c>
      <c r="K15" s="61" cm="1">
        <f t="array" aca="1" ref="K15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1167.1400000000001</v>
      </c>
      <c r="L15" s="62" cm="1">
        <f t="array" aca="1" ref="L15" ca="1">IF(OR(is_header,is_empty),"",INDEX('BUDGET PLANNING'!$E:$DK,row_id, MATCH(IF(selected_period="Total Year",selected_year,DATE(selected_year,selected_period,1)),'BUDGET PLANNING'!$E$9:$DK$9,0) ))</f>
        <v>0</v>
      </c>
      <c r="M15" s="4" t="str" cm="1">
        <f t="array" ref="M15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15" s="5" t="str" cm="1">
        <f t="array" ref="N15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15" s="4" t="str">
        <f t="shared" si="3"/>
        <v/>
      </c>
      <c r="P15" s="1" t="str">
        <f t="shared" ca="1" si="4"/>
        <v/>
      </c>
      <c r="Q15" s="1" t="str">
        <f t="shared" si="5"/>
        <v/>
      </c>
      <c r="R15" s="5" t="str">
        <f t="shared" ca="1" si="6"/>
        <v/>
      </c>
      <c r="S15" s="4" t="str">
        <f t="shared" si="7"/>
        <v/>
      </c>
      <c r="T15" s="1" t="str">
        <f t="shared" si="8"/>
        <v/>
      </c>
      <c r="U15" s="1" t="str">
        <f t="shared" ca="1" si="18"/>
        <v/>
      </c>
      <c r="V15" s="1" t="str">
        <f t="shared" si="9"/>
        <v/>
      </c>
      <c r="W15" s="5" t="str">
        <f t="shared" ca="1" si="10"/>
        <v/>
      </c>
      <c r="X15" s="64">
        <f t="shared" si="11"/>
        <v>21</v>
      </c>
      <c r="Y15" s="36" t="str">
        <f t="shared" ca="1" si="12"/>
        <v>Total</v>
      </c>
      <c r="Z15" s="70">
        <f t="shared" ca="1" si="13"/>
        <v>1167.1400000000001</v>
      </c>
      <c r="AA15" s="70">
        <f t="shared" ca="1" si="14"/>
        <v>0</v>
      </c>
      <c r="AB15" s="69" t="str">
        <f ca="1">IF(is_empty,"",IF(is_header,"%",IFERROR(out_tracked/out_budget,"-")))</f>
        <v>-</v>
      </c>
      <c r="AC15" s="70">
        <f t="shared" ca="1" si="16"/>
        <v>0</v>
      </c>
      <c r="AD15" s="70">
        <f t="shared" ca="1" si="17"/>
        <v>1167.1400000000001</v>
      </c>
      <c r="AF15" s="4"/>
      <c r="AK15" s="5"/>
      <c r="AM15" s="102"/>
      <c r="AS15" s="1" t="s">
        <v>2</v>
      </c>
      <c r="AT15" s="103"/>
    </row>
    <row r="16" spans="1:46" x14ac:dyDescent="0.3">
      <c r="C16" s="60" t="str" cm="1">
        <f t="array" ref="C16">IF(C15=-1,-1,                                                          IF(C15&lt;income_max_row,C15+1,     IF(C15=income_max_row,income_total_row,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IF(C15=income_total_row,"/1",              IF(C15="/1",expenses_header_row,       IF(C15&lt;expenses_max_row,C15+1,       IF(C15=expenses_max_row,expenses_total_row,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IF(C15=expenses_total_row,"/2",            IF(C15="/2",savings_header_row,         IF(C15&lt;savings_max_row,C15+1,         IF(C15=savings_max_row,savings_total_row,-1)))))))))))</f>
        <v>/1</v>
      </c>
      <c r="D16" s="5">
        <f t="shared" si="0"/>
        <v>-1</v>
      </c>
      <c r="E16" s="4" cm="1">
        <f t="array" ref="E16">1*OR(row_id=income_header_row,row_id=expenses_header_row,row_id=savings_header_row)</f>
        <v>0</v>
      </c>
      <c r="F16" s="1">
        <f t="shared" si="1"/>
        <v>0</v>
      </c>
      <c r="G16" s="1" cm="1">
        <f t="array" ref="G16">1*OR(row_id=income_total_row,row_id=expenses_total_row,row_id=savings_total_row)</f>
        <v>0</v>
      </c>
      <c r="H16" s="5">
        <f t="shared" si="2"/>
        <v>1</v>
      </c>
      <c r="I16" s="4" t="str" cm="1">
        <f t="array" ref="I16">IFERROR(INDEX('BUDGET PLANNING'!$C:$C,header_row_id),"")</f>
        <v/>
      </c>
      <c r="J16" s="1" t="str" cm="1">
        <f t="array" ref="J16">IFERROR(INDEX('BUDGET PLANNING'!$C:$C,row_id),"")</f>
        <v/>
      </c>
      <c r="K16" s="61" t="str" cm="1">
        <f t="array" ref="K16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/>
      </c>
      <c r="L16" s="62" t="str" cm="1">
        <f t="array" ref="L16">IF(OR(is_header,is_empty),"",INDEX('BUDGET PLANNING'!$E:$DK,row_id, MATCH(IF(selected_period="Total Year",selected_year,DATE(selected_year,selected_period,1)),'BUDGET PLANNING'!$E$9:$DK$9,0) ))</f>
        <v/>
      </c>
      <c r="M16" s="4" t="str" cm="1">
        <f t="array" ref="M16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16" s="5" t="str" cm="1">
        <f t="array" ref="N16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16" s="4" t="str">
        <f t="shared" si="3"/>
        <v/>
      </c>
      <c r="P16" s="1" t="str">
        <f t="shared" ca="1" si="4"/>
        <v/>
      </c>
      <c r="Q16" s="1" t="str">
        <f t="shared" si="5"/>
        <v/>
      </c>
      <c r="R16" s="5" t="str">
        <f t="shared" ca="1" si="6"/>
        <v/>
      </c>
      <c r="S16" s="4" t="str">
        <f t="shared" si="7"/>
        <v/>
      </c>
      <c r="T16" s="1" t="str">
        <f t="shared" si="8"/>
        <v/>
      </c>
      <c r="U16" s="1" t="str">
        <f t="shared" ca="1" si="18"/>
        <v/>
      </c>
      <c r="V16" s="1" t="str">
        <f t="shared" si="9"/>
        <v/>
      </c>
      <c r="W16" s="5" t="str">
        <f t="shared" ca="1" si="10"/>
        <v/>
      </c>
      <c r="X16" s="64" t="str">
        <f t="shared" si="11"/>
        <v>/1</v>
      </c>
      <c r="Y16" s="36" t="str">
        <f t="shared" si="12"/>
        <v/>
      </c>
      <c r="Z16" s="70" t="str">
        <f t="shared" si="13"/>
        <v/>
      </c>
      <c r="AA16" s="70" t="str">
        <f t="shared" si="14"/>
        <v/>
      </c>
      <c r="AB16" s="69" t="str">
        <f t="shared" si="15"/>
        <v/>
      </c>
      <c r="AC16" s="70" t="str">
        <f t="shared" si="16"/>
        <v/>
      </c>
      <c r="AD16" s="70" t="str">
        <f t="shared" si="17"/>
        <v/>
      </c>
      <c r="AF16" s="4"/>
      <c r="AI16" s="83" t="str">
        <f ca="1">CALCULATIONS!E35</f>
        <v>Μισθός</v>
      </c>
      <c r="AJ16" s="81">
        <f ca="1">CALCULATIONS!F35</f>
        <v>1167.1400000000001</v>
      </c>
      <c r="AK16" s="5"/>
      <c r="AM16" s="102"/>
      <c r="AT16" s="103"/>
    </row>
    <row r="17" spans="3:46" x14ac:dyDescent="0.3">
      <c r="C17" s="60" cm="1">
        <f t="array" ref="C17">IF(C16=-1,-1,                                                          IF(C16&lt;income_max_row,C16+1,     IF(C16=income_max_row,income_total_row,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IF(C16=income_total_row,"/1",              IF(C16="/1",expenses_header_row,       IF(C16&lt;expenses_max_row,C16+1,       IF(C16=expenses_max_row,expenses_total_row,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IF(C16=expenses_total_row,"/2",            IF(C16="/2",savings_header_row,         IF(C16&lt;savings_max_row,C16+1,         IF(C16=savings_max_row,savings_total_row,-1)))))))))))</f>
        <v>23</v>
      </c>
      <c r="D17" s="5">
        <f t="shared" si="0"/>
        <v>23</v>
      </c>
      <c r="E17" s="4" cm="1">
        <f t="array" ref="E17">1*OR(row_id=income_header_row,row_id=expenses_header_row,row_id=savings_header_row)</f>
        <v>1</v>
      </c>
      <c r="F17" s="1">
        <f t="shared" si="1"/>
        <v>0</v>
      </c>
      <c r="G17" s="1" cm="1">
        <f t="array" ref="G17">1*OR(row_id=income_total_row,row_id=expenses_total_row,row_id=savings_total_row)</f>
        <v>0</v>
      </c>
      <c r="H17" s="5">
        <f t="shared" si="2"/>
        <v>0</v>
      </c>
      <c r="I17" s="4" t="str" cm="1">
        <f t="array" ref="I17">IFERROR(INDEX('BUDGET PLANNING'!$C:$C,header_row_id),"")</f>
        <v>Expenses</v>
      </c>
      <c r="J17" s="1" t="str" cm="1">
        <f t="array" ref="J17">IFERROR(INDEX('BUDGET PLANNING'!$C:$C,row_id),"")</f>
        <v>Expenses</v>
      </c>
      <c r="K17" s="61" t="str" cm="1">
        <f t="array" ref="K17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/>
      </c>
      <c r="L17" s="62" t="str" cm="1">
        <f t="array" ref="L17">IF(OR(is_header,is_empty),"",INDEX('BUDGET PLANNING'!$E:$DK,row_id, MATCH(IF(selected_period="Total Year",selected_year,DATE(selected_year,selected_period,1)),'BUDGET PLANNING'!$E$9:$DK$9,0) ))</f>
        <v/>
      </c>
      <c r="M17" s="4" t="str" cm="1">
        <f t="array" ref="M17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17" s="5" t="str" cm="1">
        <f t="array" ref="N17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17" s="4" t="str">
        <f t="shared" si="3"/>
        <v/>
      </c>
      <c r="P17" s="1" t="str">
        <f t="shared" ca="1" si="4"/>
        <v/>
      </c>
      <c r="Q17" s="1" t="str">
        <f t="shared" si="5"/>
        <v/>
      </c>
      <c r="R17" s="5" t="str">
        <f t="shared" ca="1" si="6"/>
        <v/>
      </c>
      <c r="S17" s="4" t="str">
        <f t="shared" si="7"/>
        <v/>
      </c>
      <c r="T17" s="1" t="str">
        <f t="shared" si="8"/>
        <v/>
      </c>
      <c r="U17" s="1" t="str">
        <f t="shared" ca="1" si="18"/>
        <v/>
      </c>
      <c r="V17" s="1" t="str">
        <f t="shared" si="9"/>
        <v/>
      </c>
      <c r="W17" s="5" t="str">
        <f t="shared" ca="1" si="10"/>
        <v/>
      </c>
      <c r="X17" s="64">
        <f t="shared" si="11"/>
        <v>23</v>
      </c>
      <c r="Y17" s="36" t="str">
        <f t="shared" ca="1" si="12"/>
        <v>Expenses</v>
      </c>
      <c r="Z17" s="70" t="str">
        <f t="shared" si="13"/>
        <v>Tracked</v>
      </c>
      <c r="AA17" s="70" t="str">
        <f t="shared" si="14"/>
        <v>Budget</v>
      </c>
      <c r="AB17" s="69" t="str">
        <f t="shared" si="15"/>
        <v>%</v>
      </c>
      <c r="AC17" s="70" t="str">
        <f t="shared" si="16"/>
        <v>Remaining</v>
      </c>
      <c r="AD17" s="70" t="str">
        <f t="shared" si="17"/>
        <v>Excess</v>
      </c>
      <c r="AF17" s="4"/>
      <c r="AI17" s="83" t="str">
        <f>CALCULATIONS!E36</f>
        <v/>
      </c>
      <c r="AJ17" s="81" t="str">
        <f>CALCULATIONS!F36</f>
        <v/>
      </c>
      <c r="AK17" s="5"/>
      <c r="AM17" s="102"/>
      <c r="AT17" s="103"/>
    </row>
    <row r="18" spans="3:46" x14ac:dyDescent="0.3">
      <c r="C18" s="60" cm="1">
        <f t="array" ref="C18">IF(C17=-1,-1,                                                          IF(C17&lt;income_max_row,C17+1,     IF(C17=income_max_row,income_total_row,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IF(C17=income_total_row,"/1",              IF(C17="/1",expenses_header_row,       IF(C17&lt;expenses_max_row,C17+1,       IF(C17=expenses_max_row,expenses_total_row,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IF(C17=expenses_total_row,"/2",            IF(C17="/2",savings_header_row,         IF(C17&lt;savings_max_row,C17+1,         IF(C17=savings_max_row,savings_total_row,-1)))))))))))</f>
        <v>24</v>
      </c>
      <c r="D18" s="5">
        <f t="shared" si="0"/>
        <v>23</v>
      </c>
      <c r="E18" s="4" cm="1">
        <f t="array" ref="E18">1*OR(row_id=income_header_row,row_id=expenses_header_row,row_id=savings_header_row)</f>
        <v>0</v>
      </c>
      <c r="F18" s="1">
        <f t="shared" si="1"/>
        <v>1</v>
      </c>
      <c r="G18" s="1" cm="1">
        <f t="array" ref="G18">1*OR(row_id=income_total_row,row_id=expenses_total_row,row_id=savings_total_row)</f>
        <v>0</v>
      </c>
      <c r="H18" s="5">
        <f t="shared" si="2"/>
        <v>0</v>
      </c>
      <c r="I18" s="4" t="str" cm="1">
        <f t="array" ref="I18">IFERROR(INDEX('BUDGET PLANNING'!$C:$C,header_row_id),"")</f>
        <v>Expenses</v>
      </c>
      <c r="J18" s="1" t="str" cm="1">
        <f t="array" ref="J18">IFERROR(INDEX('BUDGET PLANNING'!$C:$C,row_id),"")</f>
        <v xml:space="preserve">Μάρκετ </v>
      </c>
      <c r="K18" s="61" cm="1">
        <f t="array" aca="1" ref="K18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38.659999999999997</v>
      </c>
      <c r="L18" s="62" cm="1">
        <f t="array" aca="1" ref="L18" ca="1">IF(OR(is_header,is_empty),"",INDEX('BUDGET PLANNING'!$E:$DK,row_id, MATCH(IF(selected_period="Total Year",selected_year,DATE(selected_year,selected_period,1)),'BUDGET PLANNING'!$E$9:$DK$9,0) ))</f>
        <v>0</v>
      </c>
      <c r="M18" s="4" cm="1">
        <f t="array" ref="M18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18" s="5" cm="1">
        <f t="array" ref="N18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18" s="4" t="str">
        <f t="shared" si="3"/>
        <v>$K$18:$K$30</v>
      </c>
      <c r="P18" s="1">
        <f t="shared" ca="1" si="4"/>
        <v>4</v>
      </c>
      <c r="Q18" s="1" t="str">
        <f t="shared" si="5"/>
        <v>$L$18:$L$30</v>
      </c>
      <c r="R18" s="5">
        <f t="shared" ca="1" si="6"/>
        <v>1</v>
      </c>
      <c r="S18" s="4">
        <f t="shared" ca="1" si="7"/>
        <v>41</v>
      </c>
      <c r="T18" s="1" t="str">
        <f t="shared" si="8"/>
        <v>$S$18:$S$30</v>
      </c>
      <c r="U18" s="1">
        <f t="shared" ca="1" si="18"/>
        <v>4</v>
      </c>
      <c r="V18" s="1" t="str">
        <f t="shared" si="9"/>
        <v>$U$18:$U$18</v>
      </c>
      <c r="W18" s="5">
        <f t="shared" ca="1" si="10"/>
        <v>4</v>
      </c>
      <c r="X18" s="64">
        <f t="shared" ca="1" si="11"/>
        <v>27</v>
      </c>
      <c r="Y18" s="36" t="str">
        <f t="shared" ca="1" si="12"/>
        <v>Ενοίκιο</v>
      </c>
      <c r="Z18" s="70">
        <f ca="1">IF(is_empty,"",IF(is_header,"Tracked",INDEX($K:$K,MATCH(row_id,$X:$X,0))))</f>
        <v>400</v>
      </c>
      <c r="AA18" s="70">
        <f t="shared" ca="1" si="14"/>
        <v>0</v>
      </c>
      <c r="AB18" s="69" t="str">
        <f t="shared" ca="1" si="15"/>
        <v>-</v>
      </c>
      <c r="AC18" s="70">
        <f t="shared" ca="1" si="16"/>
        <v>0</v>
      </c>
      <c r="AD18" s="70">
        <f t="shared" ca="1" si="17"/>
        <v>400</v>
      </c>
      <c r="AF18" s="4"/>
      <c r="AI18" s="83" t="str">
        <f>CALCULATIONS!E37</f>
        <v/>
      </c>
      <c r="AJ18" s="81" t="str">
        <f>CALCULATIONS!F37</f>
        <v/>
      </c>
      <c r="AK18" s="5"/>
      <c r="AM18" s="102"/>
      <c r="AT18" s="103"/>
    </row>
    <row r="19" spans="3:46" x14ac:dyDescent="0.3">
      <c r="C19" s="60" cm="1">
        <f t="array" ref="C19">IF(C18=-1,-1,                                                          IF(C18&lt;income_max_row,C18+1,     IF(C18=income_max_row,income_total_row,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IF(C18=income_total_row,"/1",              IF(C18="/1",expenses_header_row,       IF(C18&lt;expenses_max_row,C18+1,       IF(C18=expenses_max_row,expenses_total_row,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IF(C18=expenses_total_row,"/2",            IF(C18="/2",savings_header_row,         IF(C18&lt;savings_max_row,C18+1,         IF(C18=savings_max_row,savings_total_row,-1)))))))))))</f>
        <v>25</v>
      </c>
      <c r="D19" s="5">
        <f t="shared" si="0"/>
        <v>23</v>
      </c>
      <c r="E19" s="4" cm="1">
        <f t="array" ref="E19">1*OR(row_id=income_header_row,row_id=expenses_header_row,row_id=savings_header_row)</f>
        <v>0</v>
      </c>
      <c r="F19" s="1">
        <f t="shared" si="1"/>
        <v>1</v>
      </c>
      <c r="G19" s="1" cm="1">
        <f t="array" ref="G19">1*OR(row_id=income_total_row,row_id=expenses_total_row,row_id=savings_total_row)</f>
        <v>0</v>
      </c>
      <c r="H19" s="5">
        <f t="shared" si="2"/>
        <v>0</v>
      </c>
      <c r="I19" s="4" t="str" cm="1">
        <f t="array" ref="I19">IFERROR(INDEX('BUDGET PLANNING'!$C:$C,header_row_id),"")</f>
        <v>Expenses</v>
      </c>
      <c r="J19" s="1" t="str" cm="1">
        <f t="array" ref="J19">IFERROR(INDEX('BUDGET PLANNING'!$C:$C,row_id),"")</f>
        <v xml:space="preserve">Ρεύμα </v>
      </c>
      <c r="K19" s="61" cm="1">
        <f t="array" aca="1" ref="K19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19" s="62" cm="1">
        <f t="array" aca="1" ref="L19" ca="1">IF(OR(is_header,is_empty),"",INDEX('BUDGET PLANNING'!$E:$DK,row_id, MATCH(IF(selected_period="Total Year",selected_year,DATE(selected_year,selected_period,1)),'BUDGET PLANNING'!$E$9:$DK$9,0) ))</f>
        <v>0</v>
      </c>
      <c r="M19" s="4" cm="1">
        <f t="array" ref="M19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19" s="5" cm="1">
        <f t="array" ref="N19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19" s="4" t="str">
        <f t="shared" si="3"/>
        <v>$K$18:$K$30</v>
      </c>
      <c r="P19" s="1">
        <f t="shared" ca="1" si="4"/>
        <v>6</v>
      </c>
      <c r="Q19" s="1" t="str">
        <f t="shared" si="5"/>
        <v>$L$18:$L$30</v>
      </c>
      <c r="R19" s="5">
        <f t="shared" ca="1" si="6"/>
        <v>1</v>
      </c>
      <c r="S19" s="4">
        <f t="shared" ca="1" si="7"/>
        <v>61</v>
      </c>
      <c r="T19" s="1" t="str">
        <f t="shared" si="8"/>
        <v>$S$18:$S$30</v>
      </c>
      <c r="U19" s="1">
        <f t="shared" ca="1" si="18"/>
        <v>6</v>
      </c>
      <c r="V19" s="1" t="str">
        <f t="shared" si="9"/>
        <v>$U$18:$U$19</v>
      </c>
      <c r="W19" s="5">
        <f t="shared" ca="1" si="10"/>
        <v>6</v>
      </c>
      <c r="X19" s="64">
        <f t="shared" ca="1" si="11"/>
        <v>29</v>
      </c>
      <c r="Y19" s="36" t="str">
        <f t="shared" ca="1" si="12"/>
        <v>Έξοδος</v>
      </c>
      <c r="Z19" s="70">
        <f t="shared" ca="1" si="13"/>
        <v>128.1</v>
      </c>
      <c r="AA19" s="70">
        <f t="shared" ca="1" si="14"/>
        <v>0</v>
      </c>
      <c r="AB19" s="69" t="str">
        <f t="shared" ca="1" si="15"/>
        <v>-</v>
      </c>
      <c r="AC19" s="70">
        <f t="shared" ca="1" si="16"/>
        <v>0</v>
      </c>
      <c r="AD19" s="70">
        <f t="shared" ca="1" si="17"/>
        <v>128.1</v>
      </c>
      <c r="AF19" s="4"/>
      <c r="AI19" s="83" t="str">
        <f>CALCULATIONS!E38</f>
        <v/>
      </c>
      <c r="AJ19" s="81" t="str">
        <f>CALCULATIONS!F38</f>
        <v/>
      </c>
      <c r="AK19" s="5"/>
      <c r="AM19" s="102"/>
      <c r="AT19" s="103"/>
    </row>
    <row r="20" spans="3:46" x14ac:dyDescent="0.3">
      <c r="C20" s="60" cm="1">
        <f t="array" ref="C20">IF(C19=-1,-1,                                                          IF(C19&lt;income_max_row,C19+1,     IF(C19=income_max_row,income_total_row,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IF(C19=income_total_row,"/1",              IF(C19="/1",expenses_header_row,       IF(C19&lt;expenses_max_row,C19+1,       IF(C19=expenses_max_row,expenses_total_row,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IF(C19=expenses_total_row,"/2",            IF(C19="/2",savings_header_row,         IF(C19&lt;savings_max_row,C19+1,         IF(C19=savings_max_row,savings_total_row,-1)))))))))))</f>
        <v>26</v>
      </c>
      <c r="D20" s="5">
        <f t="shared" si="0"/>
        <v>23</v>
      </c>
      <c r="E20" s="4" cm="1">
        <f t="array" ref="E20">1*OR(row_id=income_header_row,row_id=expenses_header_row,row_id=savings_header_row)</f>
        <v>0</v>
      </c>
      <c r="F20" s="1">
        <f t="shared" si="1"/>
        <v>1</v>
      </c>
      <c r="G20" s="1" cm="1">
        <f t="array" ref="G20">1*OR(row_id=income_total_row,row_id=expenses_total_row,row_id=savings_total_row)</f>
        <v>0</v>
      </c>
      <c r="H20" s="5">
        <f t="shared" si="2"/>
        <v>0</v>
      </c>
      <c r="I20" s="4" t="str" cm="1">
        <f t="array" ref="I20">IFERROR(INDEX('BUDGET PLANNING'!$C:$C,header_row_id),"")</f>
        <v>Expenses</v>
      </c>
      <c r="J20" s="1" t="str" cm="1">
        <f t="array" ref="J20">IFERROR(INDEX('BUDGET PLANNING'!$C:$C,row_id),"")</f>
        <v>Νερό</v>
      </c>
      <c r="K20" s="61" cm="1">
        <f t="array" aca="1" ref="K20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20" s="62" cm="1">
        <f t="array" aca="1" ref="L20" ca="1">IF(OR(is_header,is_empty),"",INDEX('BUDGET PLANNING'!$E:$DK,row_id, MATCH(IF(selected_period="Total Year",selected_year,DATE(selected_year,selected_period,1)),'BUDGET PLANNING'!$E$9:$DK$9,0) ))</f>
        <v>0</v>
      </c>
      <c r="M20" s="4" cm="1">
        <f t="array" ref="M20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0" s="5" cm="1">
        <f t="array" ref="N20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0" s="4" t="str">
        <f t="shared" si="3"/>
        <v>$K$18:$K$30</v>
      </c>
      <c r="P20" s="1">
        <f t="shared" ca="1" si="4"/>
        <v>6</v>
      </c>
      <c r="Q20" s="1" t="str">
        <f t="shared" si="5"/>
        <v>$L$18:$L$30</v>
      </c>
      <c r="R20" s="5">
        <f t="shared" ca="1" si="6"/>
        <v>1</v>
      </c>
      <c r="S20" s="4">
        <f t="shared" ca="1" si="7"/>
        <v>61</v>
      </c>
      <c r="T20" s="1" t="str">
        <f t="shared" si="8"/>
        <v>$S$18:$S$30</v>
      </c>
      <c r="U20" s="1">
        <f t="shared" ca="1" si="18"/>
        <v>6</v>
      </c>
      <c r="V20" s="1" t="str">
        <f t="shared" si="9"/>
        <v>$U$18:$U$20</v>
      </c>
      <c r="W20" s="5">
        <f t="shared" ca="1" si="10"/>
        <v>7</v>
      </c>
      <c r="X20" s="64">
        <f t="shared" ca="1" si="11"/>
        <v>30</v>
      </c>
      <c r="Y20" s="36" t="str">
        <f t="shared" ca="1" si="12"/>
        <v>Λοιπά</v>
      </c>
      <c r="Z20" s="70">
        <f t="shared" ca="1" si="13"/>
        <v>56.91</v>
      </c>
      <c r="AA20" s="70">
        <f t="shared" ca="1" si="14"/>
        <v>0</v>
      </c>
      <c r="AB20" s="69" t="str">
        <f t="shared" ca="1" si="15"/>
        <v>-</v>
      </c>
      <c r="AC20" s="70">
        <f t="shared" ca="1" si="16"/>
        <v>0</v>
      </c>
      <c r="AD20" s="70">
        <f t="shared" ca="1" si="17"/>
        <v>56.91</v>
      </c>
      <c r="AF20" s="4"/>
      <c r="AI20" s="83" t="str">
        <f>CALCULATIONS!E39</f>
        <v/>
      </c>
      <c r="AJ20" s="81" t="str">
        <f>CALCULATIONS!F39</f>
        <v/>
      </c>
      <c r="AK20" s="5"/>
      <c r="AM20" s="102"/>
      <c r="AT20" s="103"/>
    </row>
    <row r="21" spans="3:46" x14ac:dyDescent="0.3">
      <c r="C21" s="60" cm="1">
        <f t="array" ref="C21">IF(C20=-1,-1,                                                          IF(C20&lt;income_max_row,C20+1,     IF(C20=income_max_row,income_total_row,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IF(C20=income_total_row,"/1",              IF(C20="/1",expenses_header_row,       IF(C20&lt;expenses_max_row,C20+1,       IF(C20=expenses_max_row,expenses_total_row,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IF(C20=expenses_total_row,"/2",            IF(C20="/2",savings_header_row,         IF(C20&lt;savings_max_row,C20+1,         IF(C20=savings_max_row,savings_total_row,-1)))))))))))</f>
        <v>27</v>
      </c>
      <c r="D21" s="5">
        <f t="shared" si="0"/>
        <v>23</v>
      </c>
      <c r="E21" s="4" cm="1">
        <f t="array" ref="E21">1*OR(row_id=income_header_row,row_id=expenses_header_row,row_id=savings_header_row)</f>
        <v>0</v>
      </c>
      <c r="F21" s="1">
        <f t="shared" si="1"/>
        <v>1</v>
      </c>
      <c r="G21" s="1" cm="1">
        <f t="array" ref="G21">1*OR(row_id=income_total_row,row_id=expenses_total_row,row_id=savings_total_row)</f>
        <v>0</v>
      </c>
      <c r="H21" s="5">
        <f t="shared" si="2"/>
        <v>0</v>
      </c>
      <c r="I21" s="4" t="str" cm="1">
        <f t="array" ref="I21">IFERROR(INDEX('BUDGET PLANNING'!$C:$C,header_row_id),"")</f>
        <v>Expenses</v>
      </c>
      <c r="J21" s="1" t="str" cm="1">
        <f t="array" ref="J21">IFERROR(INDEX('BUDGET PLANNING'!$C:$C,row_id),"")</f>
        <v>Φυσικό Αέριο</v>
      </c>
      <c r="K21" s="61" cm="1">
        <f t="array" aca="1" ref="K21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21" s="62" cm="1">
        <f t="array" aca="1" ref="L21" ca="1">IF(OR(is_header,is_empty),"",INDEX('BUDGET PLANNING'!$E:$DK,row_id, MATCH(IF(selected_period="Total Year",selected_year,DATE(selected_year,selected_period,1)),'BUDGET PLANNING'!$E$9:$DK$9,0) ))</f>
        <v>0</v>
      </c>
      <c r="M21" s="4" cm="1">
        <f t="array" ref="M21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1" s="5" cm="1">
        <f t="array" ref="N21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1" s="4" t="str">
        <f t="shared" si="3"/>
        <v>$K$18:$K$30</v>
      </c>
      <c r="P21" s="1">
        <f t="shared" ca="1" si="4"/>
        <v>6</v>
      </c>
      <c r="Q21" s="1" t="str">
        <f t="shared" si="5"/>
        <v>$L$18:$L$30</v>
      </c>
      <c r="R21" s="5">
        <f t="shared" ca="1" si="6"/>
        <v>1</v>
      </c>
      <c r="S21" s="4">
        <f t="shared" ca="1" si="7"/>
        <v>61</v>
      </c>
      <c r="T21" s="1" t="str">
        <f t="shared" si="8"/>
        <v>$S$18:$S$30</v>
      </c>
      <c r="U21" s="1">
        <f t="shared" ca="1" si="18"/>
        <v>6</v>
      </c>
      <c r="V21" s="1" t="str">
        <f t="shared" si="9"/>
        <v>$U$18:$U$21</v>
      </c>
      <c r="W21" s="5">
        <f t="shared" ca="1" si="10"/>
        <v>8</v>
      </c>
      <c r="X21" s="64">
        <f t="shared" ca="1" si="11"/>
        <v>31</v>
      </c>
      <c r="Y21" s="36" t="str">
        <f t="shared" ca="1" si="12"/>
        <v xml:space="preserve">Μάρκετ </v>
      </c>
      <c r="Z21" s="70">
        <f t="shared" ca="1" si="13"/>
        <v>38.659999999999997</v>
      </c>
      <c r="AA21" s="70">
        <f t="shared" ca="1" si="14"/>
        <v>0</v>
      </c>
      <c r="AB21" s="69" t="str">
        <f t="shared" ca="1" si="15"/>
        <v>-</v>
      </c>
      <c r="AC21" s="70">
        <f t="shared" ca="1" si="16"/>
        <v>0</v>
      </c>
      <c r="AD21" s="70">
        <f t="shared" ca="1" si="17"/>
        <v>38.659999999999997</v>
      </c>
      <c r="AF21" s="4"/>
      <c r="AI21" s="83" t="str">
        <f>CALCULATIONS!E40</f>
        <v>Other</v>
      </c>
      <c r="AJ21" s="81" t="str">
        <f ca="1">CALCULATIONS!F40</f>
        <v/>
      </c>
      <c r="AK21" s="5"/>
      <c r="AM21" s="102"/>
      <c r="AT21" s="103"/>
    </row>
    <row r="22" spans="3:46" x14ac:dyDescent="0.3">
      <c r="C22" s="60" cm="1">
        <f t="array" ref="C22">IF(C21=-1,-1,                                                          IF(C21&lt;income_max_row,C21+1,     IF(C21=income_max_row,income_total_row,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IF(C21=income_total_row,"/1",              IF(C21="/1",expenses_header_row,       IF(C21&lt;expenses_max_row,C21+1,       IF(C21=expenses_max_row,expenses_total_row,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IF(C21=expenses_total_row,"/2",            IF(C21="/2",savings_header_row,         IF(C21&lt;savings_max_row,C21+1,         IF(C21=savings_max_row,savings_total_row,-1)))))))))))</f>
        <v>28</v>
      </c>
      <c r="D22" s="5">
        <f t="shared" si="0"/>
        <v>23</v>
      </c>
      <c r="E22" s="4" cm="1">
        <f t="array" ref="E22">1*OR(row_id=income_header_row,row_id=expenses_header_row,row_id=savings_header_row)</f>
        <v>0</v>
      </c>
      <c r="F22" s="1">
        <f t="shared" si="1"/>
        <v>1</v>
      </c>
      <c r="G22" s="1" cm="1">
        <f t="array" ref="G22">1*OR(row_id=income_total_row,row_id=expenses_total_row,row_id=savings_total_row)</f>
        <v>0</v>
      </c>
      <c r="H22" s="5">
        <f t="shared" si="2"/>
        <v>0</v>
      </c>
      <c r="I22" s="4" t="str" cm="1">
        <f t="array" ref="I22">IFERROR(INDEX('BUDGET PLANNING'!$C:$C,header_row_id),"")</f>
        <v>Expenses</v>
      </c>
      <c r="J22" s="1" t="str" cm="1">
        <f t="array" ref="J22">IFERROR(INDEX('BUDGET PLANNING'!$C:$C,row_id),"")</f>
        <v>Ίντερνετ</v>
      </c>
      <c r="K22" s="61" cm="1">
        <f t="array" aca="1" ref="K22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22" s="62" cm="1">
        <f t="array" aca="1" ref="L22" ca="1">IF(OR(is_header,is_empty),"",INDEX('BUDGET PLANNING'!$E:$DK,row_id, MATCH(IF(selected_period="Total Year",selected_year,DATE(selected_year,selected_period,1)),'BUDGET PLANNING'!$E$9:$DK$9,0) ))</f>
        <v>0</v>
      </c>
      <c r="M22" s="4" cm="1">
        <f t="array" ref="M22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2" s="5" cm="1">
        <f t="array" ref="N22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2" s="4" t="str">
        <f t="shared" si="3"/>
        <v>$K$18:$K$30</v>
      </c>
      <c r="P22" s="1">
        <f t="shared" ca="1" si="4"/>
        <v>6</v>
      </c>
      <c r="Q22" s="1" t="str">
        <f t="shared" si="5"/>
        <v>$L$18:$L$30</v>
      </c>
      <c r="R22" s="5">
        <f t="shared" ca="1" si="6"/>
        <v>1</v>
      </c>
      <c r="S22" s="4">
        <f t="shared" ca="1" si="7"/>
        <v>61</v>
      </c>
      <c r="T22" s="1" t="str">
        <f t="shared" si="8"/>
        <v>$S$18:$S$30</v>
      </c>
      <c r="U22" s="1">
        <f t="shared" ca="1" si="18"/>
        <v>6</v>
      </c>
      <c r="V22" s="1" t="str">
        <f t="shared" si="9"/>
        <v>$U$18:$U$22</v>
      </c>
      <c r="W22" s="5">
        <f t="shared" ca="1" si="10"/>
        <v>9</v>
      </c>
      <c r="X22" s="64">
        <f t="shared" ca="1" si="11"/>
        <v>32</v>
      </c>
      <c r="Y22" s="36" t="str">
        <f t="shared" ca="1" si="12"/>
        <v>Μονάδες Κινητό</v>
      </c>
      <c r="Z22" s="70">
        <f t="shared" ca="1" si="13"/>
        <v>13</v>
      </c>
      <c r="AA22" s="70">
        <f t="shared" ca="1" si="14"/>
        <v>0</v>
      </c>
      <c r="AB22" s="69" t="str">
        <f t="shared" ca="1" si="15"/>
        <v>-</v>
      </c>
      <c r="AC22" s="70">
        <f t="shared" ca="1" si="16"/>
        <v>0</v>
      </c>
      <c r="AD22" s="70">
        <f t="shared" ca="1" si="17"/>
        <v>13</v>
      </c>
      <c r="AF22" s="4"/>
      <c r="AI22" s="84" t="str">
        <f>CALCULATIONS!E41</f>
        <v xml:space="preserve">Total </v>
      </c>
      <c r="AJ22" s="82">
        <f ca="1">CALCULATIONS!F41</f>
        <v>1167.1400000000001</v>
      </c>
      <c r="AK22" s="5"/>
      <c r="AM22" s="102"/>
      <c r="AT22" s="103"/>
    </row>
    <row r="23" spans="3:46" x14ac:dyDescent="0.3">
      <c r="C23" s="60" cm="1">
        <f t="array" ref="C23">IF(C22=-1,-1,                                                          IF(C22&lt;income_max_row,C22+1,     IF(C22=income_max_row,income_total_row,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IF(C22=income_total_row,"/1",              IF(C22="/1",expenses_header_row,       IF(C22&lt;expenses_max_row,C22+1,       IF(C22=expenses_max_row,expenses_total_row,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IF(C22=expenses_total_row,"/2",            IF(C22="/2",savings_header_row,         IF(C22&lt;savings_max_row,C22+1,         IF(C22=savings_max_row,savings_total_row,-1)))))))))))</f>
        <v>29</v>
      </c>
      <c r="D23" s="5">
        <f t="shared" si="0"/>
        <v>23</v>
      </c>
      <c r="E23" s="4" cm="1">
        <f t="array" ref="E23">1*OR(row_id=income_header_row,row_id=expenses_header_row,row_id=savings_header_row)</f>
        <v>0</v>
      </c>
      <c r="F23" s="1">
        <f t="shared" si="1"/>
        <v>1</v>
      </c>
      <c r="G23" s="1" cm="1">
        <f t="array" ref="G23">1*OR(row_id=income_total_row,row_id=expenses_total_row,row_id=savings_total_row)</f>
        <v>0</v>
      </c>
      <c r="H23" s="5">
        <f t="shared" si="2"/>
        <v>0</v>
      </c>
      <c r="I23" s="4" t="str" cm="1">
        <f t="array" ref="I23">IFERROR(INDEX('BUDGET PLANNING'!$C:$C,header_row_id),"")</f>
        <v>Expenses</v>
      </c>
      <c r="J23" s="1" t="str" cm="1">
        <f t="array" ref="J23">IFERROR(INDEX('BUDGET PLANNING'!$C:$C,row_id),"")</f>
        <v>Μονάδες Κινητό</v>
      </c>
      <c r="K23" s="61" cm="1">
        <f t="array" aca="1" ref="K23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13</v>
      </c>
      <c r="L23" s="62" cm="1">
        <f t="array" aca="1" ref="L23" ca="1">IF(OR(is_header,is_empty),"",INDEX('BUDGET PLANNING'!$E:$DK,row_id, MATCH(IF(selected_period="Total Year",selected_year,DATE(selected_year,selected_period,1)),'BUDGET PLANNING'!$E$9:$DK$9,0) ))</f>
        <v>0</v>
      </c>
      <c r="M23" s="4" cm="1">
        <f t="array" ref="M23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3" s="5" cm="1">
        <f t="array" ref="N23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3" s="4" t="str">
        <f t="shared" si="3"/>
        <v>$K$18:$K$30</v>
      </c>
      <c r="P23" s="1">
        <f t="shared" ca="1" si="4"/>
        <v>5</v>
      </c>
      <c r="Q23" s="1" t="str">
        <f t="shared" si="5"/>
        <v>$L$18:$L$30</v>
      </c>
      <c r="R23" s="5">
        <f t="shared" ca="1" si="6"/>
        <v>1</v>
      </c>
      <c r="S23" s="4">
        <f t="shared" ca="1" si="7"/>
        <v>51</v>
      </c>
      <c r="T23" s="1" t="str">
        <f t="shared" si="8"/>
        <v>$S$18:$S$30</v>
      </c>
      <c r="U23" s="1">
        <f t="shared" ca="1" si="18"/>
        <v>5</v>
      </c>
      <c r="V23" s="1" t="str">
        <f t="shared" si="9"/>
        <v>$U$18:$U$23</v>
      </c>
      <c r="W23" s="5">
        <f t="shared" ca="1" si="10"/>
        <v>5</v>
      </c>
      <c r="X23" s="64">
        <f t="shared" ca="1" si="11"/>
        <v>28</v>
      </c>
      <c r="Y23" s="36" t="str">
        <f t="shared" ca="1" si="12"/>
        <v xml:space="preserve">Ρεύμα </v>
      </c>
      <c r="Z23" s="70">
        <f t="shared" ca="1" si="13"/>
        <v>0</v>
      </c>
      <c r="AA23" s="70">
        <f t="shared" ca="1" si="14"/>
        <v>0</v>
      </c>
      <c r="AB23" s="69" t="str">
        <f t="shared" ca="1" si="15"/>
        <v>-</v>
      </c>
      <c r="AC23" s="70">
        <f t="shared" ca="1" si="16"/>
        <v>0</v>
      </c>
      <c r="AD23" s="70">
        <f t="shared" ca="1" si="17"/>
        <v>0</v>
      </c>
      <c r="AF23" s="4"/>
      <c r="AK23" s="5"/>
      <c r="AM23" s="102"/>
      <c r="AT23" s="103"/>
    </row>
    <row r="24" spans="3:46" x14ac:dyDescent="0.3">
      <c r="C24" s="60" cm="1">
        <f t="array" ref="C24">IF(C23=-1,-1,                                                          IF(C23&lt;income_max_row,C23+1,     IF(C23=income_max_row,income_total_row,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IF(C23=income_total_row,"/1",              IF(C23="/1",expenses_header_row,       IF(C23&lt;expenses_max_row,C23+1,       IF(C23=expenses_max_row,expenses_total_row,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IF(C23=expenses_total_row,"/2",            IF(C23="/2",savings_header_row,         IF(C23&lt;savings_max_row,C23+1,         IF(C23=savings_max_row,savings_total_row,-1)))))))))))</f>
        <v>30</v>
      </c>
      <c r="D24" s="5">
        <f t="shared" si="0"/>
        <v>23</v>
      </c>
      <c r="E24" s="4" cm="1">
        <f t="array" ref="E24">1*OR(row_id=income_header_row,row_id=expenses_header_row,row_id=savings_header_row)</f>
        <v>0</v>
      </c>
      <c r="F24" s="1">
        <f t="shared" si="1"/>
        <v>1</v>
      </c>
      <c r="G24" s="1" cm="1">
        <f t="array" ref="G24">1*OR(row_id=income_total_row,row_id=expenses_total_row,row_id=savings_total_row)</f>
        <v>0</v>
      </c>
      <c r="H24" s="5">
        <f t="shared" si="2"/>
        <v>0</v>
      </c>
      <c r="I24" s="4" t="str" cm="1">
        <f t="array" ref="I24">IFERROR(INDEX('BUDGET PLANNING'!$C:$C,header_row_id),"")</f>
        <v>Expenses</v>
      </c>
      <c r="J24" s="1" t="str" cm="1">
        <f t="array" ref="J24">IFERROR(INDEX('BUDGET PLANNING'!$C:$C,row_id),"")</f>
        <v>Έξοδος</v>
      </c>
      <c r="K24" s="61" cm="1">
        <f t="array" aca="1" ref="K24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128.1</v>
      </c>
      <c r="L24" s="62" cm="1">
        <f t="array" aca="1" ref="L24" ca="1">IF(OR(is_header,is_empty),"",INDEX('BUDGET PLANNING'!$E:$DK,row_id, MATCH(IF(selected_period="Total Year",selected_year,DATE(selected_year,selected_period,1)),'BUDGET PLANNING'!$E$9:$DK$9,0) ))</f>
        <v>0</v>
      </c>
      <c r="M24" s="4" cm="1">
        <f t="array" ref="M24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4" s="5" cm="1">
        <f t="array" ref="N24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4" s="4" t="str">
        <f t="shared" si="3"/>
        <v>$K$18:$K$30</v>
      </c>
      <c r="P24" s="1">
        <f t="shared" ca="1" si="4"/>
        <v>2</v>
      </c>
      <c r="Q24" s="1" t="str">
        <f t="shared" si="5"/>
        <v>$L$18:$L$30</v>
      </c>
      <c r="R24" s="5">
        <f t="shared" ca="1" si="6"/>
        <v>1</v>
      </c>
      <c r="S24" s="4">
        <f t="shared" ca="1" si="7"/>
        <v>21</v>
      </c>
      <c r="T24" s="1" t="str">
        <f t="shared" si="8"/>
        <v>$S$18:$S$30</v>
      </c>
      <c r="U24" s="1">
        <f t="shared" ca="1" si="18"/>
        <v>2</v>
      </c>
      <c r="V24" s="1" t="str">
        <f t="shared" si="9"/>
        <v>$U$18:$U$24</v>
      </c>
      <c r="W24" s="5">
        <f t="shared" ca="1" si="10"/>
        <v>2</v>
      </c>
      <c r="X24" s="64">
        <f t="shared" ca="1" si="11"/>
        <v>25</v>
      </c>
      <c r="Y24" s="36" t="str">
        <f t="shared" ca="1" si="12"/>
        <v>Νερό</v>
      </c>
      <c r="Z24" s="70">
        <f t="shared" ca="1" si="13"/>
        <v>0</v>
      </c>
      <c r="AA24" s="70">
        <f t="shared" ca="1" si="14"/>
        <v>0</v>
      </c>
      <c r="AB24" s="69" t="str">
        <f t="shared" ca="1" si="15"/>
        <v>-</v>
      </c>
      <c r="AC24" s="70">
        <f t="shared" ca="1" si="16"/>
        <v>0</v>
      </c>
      <c r="AD24" s="70">
        <f t="shared" ca="1" si="17"/>
        <v>0</v>
      </c>
      <c r="AF24" s="6"/>
      <c r="AG24" s="7"/>
      <c r="AH24" s="7"/>
      <c r="AI24" s="7"/>
      <c r="AJ24" s="7"/>
      <c r="AK24" s="8"/>
      <c r="AM24" s="104"/>
      <c r="AN24" s="105"/>
      <c r="AO24" s="105"/>
      <c r="AP24" s="105"/>
      <c r="AQ24" s="105"/>
      <c r="AR24" s="105"/>
      <c r="AS24" s="105"/>
      <c r="AT24" s="106"/>
    </row>
    <row r="25" spans="3:46" x14ac:dyDescent="0.3">
      <c r="C25" s="60" cm="1">
        <f t="array" ref="C25">IF(C24=-1,-1,                                                          IF(C24&lt;income_max_row,C24+1,     IF(C24=income_max_row,income_total_row,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IF(C24=income_total_row,"/1",              IF(C24="/1",expenses_header_row,       IF(C24&lt;expenses_max_row,C24+1,       IF(C24=expenses_max_row,expenses_total_row,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IF(C24=expenses_total_row,"/2",            IF(C24="/2",savings_header_row,         IF(C24&lt;savings_max_row,C24+1,         IF(C24=savings_max_row,savings_total_row,-1)))))))))))</f>
        <v>31</v>
      </c>
      <c r="D25" s="5">
        <f t="shared" si="0"/>
        <v>23</v>
      </c>
      <c r="E25" s="4" cm="1">
        <f t="array" ref="E25">1*OR(row_id=income_header_row,row_id=expenses_header_row,row_id=savings_header_row)</f>
        <v>0</v>
      </c>
      <c r="F25" s="1">
        <f t="shared" si="1"/>
        <v>1</v>
      </c>
      <c r="G25" s="1" cm="1">
        <f t="array" ref="G25">1*OR(row_id=income_total_row,row_id=expenses_total_row,row_id=savings_total_row)</f>
        <v>0</v>
      </c>
      <c r="H25" s="5">
        <f t="shared" si="2"/>
        <v>0</v>
      </c>
      <c r="I25" s="4" t="str" cm="1">
        <f t="array" ref="I25">IFERROR(INDEX('BUDGET PLANNING'!$C:$C,header_row_id),"")</f>
        <v>Expenses</v>
      </c>
      <c r="J25" s="1" t="str" cm="1">
        <f t="array" ref="J25">IFERROR(INDEX('BUDGET PLANNING'!$C:$C,row_id),"")</f>
        <v>Ρούχα</v>
      </c>
      <c r="K25" s="61" cm="1">
        <f t="array" aca="1" ref="K25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25" s="62" cm="1">
        <f t="array" aca="1" ref="L25" ca="1">IF(OR(is_header,is_empty),"",INDEX('BUDGET PLANNING'!$E:$DK,row_id, MATCH(IF(selected_period="Total Year",selected_year,DATE(selected_year,selected_period,1)),'BUDGET PLANNING'!$E$9:$DK$9,0) ))</f>
        <v>0</v>
      </c>
      <c r="M25" s="4" cm="1">
        <f t="array" ref="M25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5" s="5" cm="1">
        <f t="array" ref="N25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5" s="4" t="str">
        <f t="shared" si="3"/>
        <v>$K$18:$K$30</v>
      </c>
      <c r="P25" s="1">
        <f t="shared" ca="1" si="4"/>
        <v>6</v>
      </c>
      <c r="Q25" s="1" t="str">
        <f t="shared" si="5"/>
        <v>$L$18:$L$30</v>
      </c>
      <c r="R25" s="5">
        <f t="shared" ca="1" si="6"/>
        <v>1</v>
      </c>
      <c r="S25" s="4">
        <f t="shared" ca="1" si="7"/>
        <v>61</v>
      </c>
      <c r="T25" s="1" t="str">
        <f t="shared" si="8"/>
        <v>$S$18:$S$30</v>
      </c>
      <c r="U25" s="1">
        <f t="shared" ca="1" si="18"/>
        <v>6</v>
      </c>
      <c r="V25" s="1" t="str">
        <f t="shared" si="9"/>
        <v>$U$18:$U$25</v>
      </c>
      <c r="W25" s="5">
        <f t="shared" ca="1" si="10"/>
        <v>10</v>
      </c>
      <c r="X25" s="64">
        <f t="shared" ca="1" si="11"/>
        <v>33</v>
      </c>
      <c r="Y25" s="36" t="str">
        <f t="shared" ca="1" si="12"/>
        <v>Φυσικό Αέριο</v>
      </c>
      <c r="Z25" s="70">
        <f t="shared" ca="1" si="13"/>
        <v>0</v>
      </c>
      <c r="AA25" s="70">
        <f t="shared" ca="1" si="14"/>
        <v>0</v>
      </c>
      <c r="AB25" s="69" t="str">
        <f t="shared" ca="1" si="15"/>
        <v>-</v>
      </c>
      <c r="AC25" s="70">
        <f t="shared" ca="1" si="16"/>
        <v>0</v>
      </c>
      <c r="AD25" s="70">
        <f t="shared" ca="1" si="17"/>
        <v>0</v>
      </c>
    </row>
    <row r="26" spans="3:46" x14ac:dyDescent="0.3">
      <c r="C26" s="60" cm="1">
        <f t="array" ref="C26">IF(C25=-1,-1,                                                          IF(C25&lt;income_max_row,C25+1,     IF(C25=income_max_row,income_total_row,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IF(C25=income_total_row,"/1",              IF(C25="/1",expenses_header_row,       IF(C25&lt;expenses_max_row,C25+1,       IF(C25=expenses_max_row,expenses_total_row,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IF(C25=expenses_total_row,"/2",            IF(C25="/2",savings_header_row,         IF(C25&lt;savings_max_row,C25+1,         IF(C25=savings_max_row,savings_total_row,-1)))))))))))</f>
        <v>32</v>
      </c>
      <c r="D26" s="5">
        <f t="shared" si="0"/>
        <v>23</v>
      </c>
      <c r="E26" s="4" cm="1">
        <f t="array" ref="E26">1*OR(row_id=income_header_row,row_id=expenses_header_row,row_id=savings_header_row)</f>
        <v>0</v>
      </c>
      <c r="F26" s="1">
        <f t="shared" si="1"/>
        <v>1</v>
      </c>
      <c r="G26" s="1" cm="1">
        <f t="array" ref="G26">1*OR(row_id=income_total_row,row_id=expenses_total_row,row_id=savings_total_row)</f>
        <v>0</v>
      </c>
      <c r="H26" s="5">
        <f t="shared" si="2"/>
        <v>0</v>
      </c>
      <c r="I26" s="4" t="str" cm="1">
        <f t="array" ref="I26">IFERROR(INDEX('BUDGET PLANNING'!$C:$C,header_row_id),"")</f>
        <v>Expenses</v>
      </c>
      <c r="J26" s="1" t="str" cm="1">
        <f t="array" ref="J26">IFERROR(INDEX('BUDGET PLANNING'!$C:$C,row_id),"")</f>
        <v xml:space="preserve">Φαγητό </v>
      </c>
      <c r="K26" s="61" cm="1">
        <f t="array" aca="1" ref="K26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26" s="62" cm="1">
        <f t="array" aca="1" ref="L26" ca="1">IF(OR(is_header,is_empty),"",INDEX('BUDGET PLANNING'!$E:$DK,row_id, MATCH(IF(selected_period="Total Year",selected_year,DATE(selected_year,selected_period,1)),'BUDGET PLANNING'!$E$9:$DK$9,0) ))</f>
        <v>0</v>
      </c>
      <c r="M26" s="4" cm="1">
        <f t="array" ref="M26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6" s="5" cm="1">
        <f t="array" ref="N26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6" s="4" t="str">
        <f t="shared" si="3"/>
        <v>$K$18:$K$30</v>
      </c>
      <c r="P26" s="1">
        <f t="shared" ca="1" si="4"/>
        <v>6</v>
      </c>
      <c r="Q26" s="1" t="str">
        <f t="shared" si="5"/>
        <v>$L$18:$L$30</v>
      </c>
      <c r="R26" s="5">
        <f t="shared" ca="1" si="6"/>
        <v>1</v>
      </c>
      <c r="S26" s="4">
        <f t="shared" ca="1" si="7"/>
        <v>61</v>
      </c>
      <c r="T26" s="1" t="str">
        <f t="shared" si="8"/>
        <v>$S$18:$S$30</v>
      </c>
      <c r="U26" s="1">
        <f t="shared" ca="1" si="18"/>
        <v>6</v>
      </c>
      <c r="V26" s="1" t="str">
        <f t="shared" si="9"/>
        <v>$U$18:$U$26</v>
      </c>
      <c r="W26" s="5">
        <f t="shared" ca="1" si="10"/>
        <v>11</v>
      </c>
      <c r="X26" s="64">
        <f t="shared" ca="1" si="11"/>
        <v>34</v>
      </c>
      <c r="Y26" s="36" t="str">
        <f t="shared" ca="1" si="12"/>
        <v>Ίντερνετ</v>
      </c>
      <c r="Z26" s="70">
        <f t="shared" ca="1" si="13"/>
        <v>0</v>
      </c>
      <c r="AA26" s="70">
        <f t="shared" ca="1" si="14"/>
        <v>0</v>
      </c>
      <c r="AB26" s="69" t="str">
        <f t="shared" ca="1" si="15"/>
        <v>-</v>
      </c>
      <c r="AC26" s="70">
        <f t="shared" ca="1" si="16"/>
        <v>0</v>
      </c>
      <c r="AD26" s="70">
        <f ca="1">IF(is_empty,"",IF(is_header,"Excess",IF(out_budget-out_tracked &lt; 0,out_tracked-out_budget,0)))</f>
        <v>0</v>
      </c>
      <c r="AF26" s="71" t="s">
        <v>2</v>
      </c>
      <c r="AG26" s="72"/>
      <c r="AH26" s="72"/>
      <c r="AI26" s="72"/>
      <c r="AJ26" s="72"/>
      <c r="AK26" s="73"/>
      <c r="AM26" s="71" t="s">
        <v>2</v>
      </c>
      <c r="AN26" s="72"/>
      <c r="AO26" s="72"/>
      <c r="AP26" s="72"/>
      <c r="AQ26" s="72"/>
      <c r="AR26" s="73"/>
    </row>
    <row r="27" spans="3:46" x14ac:dyDescent="0.3">
      <c r="C27" s="60" cm="1">
        <f t="array" ref="C27">IF(C26=-1,-1,                                                          IF(C26&lt;income_max_row,C26+1,     IF(C26=income_max_row,income_total_row,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IF(C26=income_total_row,"/1",              IF(C26="/1",expenses_header_row,       IF(C26&lt;expenses_max_row,C26+1,       IF(C26=expenses_max_row,expenses_total_row,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IF(C26=expenses_total_row,"/2",            IF(C26="/2",savings_header_row,         IF(C26&lt;savings_max_row,C26+1,         IF(C26=savings_max_row,savings_total_row,-1)))))))))))</f>
        <v>33</v>
      </c>
      <c r="D27" s="5">
        <f t="shared" si="0"/>
        <v>23</v>
      </c>
      <c r="E27" s="4" cm="1">
        <f t="array" ref="E27">1*OR(row_id=income_header_row,row_id=expenses_header_row,row_id=savings_header_row)</f>
        <v>0</v>
      </c>
      <c r="F27" s="1">
        <f t="shared" si="1"/>
        <v>1</v>
      </c>
      <c r="G27" s="1" cm="1">
        <f t="array" ref="G27">1*OR(row_id=income_total_row,row_id=expenses_total_row,row_id=savings_total_row)</f>
        <v>0</v>
      </c>
      <c r="H27" s="5">
        <f t="shared" si="2"/>
        <v>0</v>
      </c>
      <c r="I27" s="4" t="str" cm="1">
        <f t="array" ref="I27">IFERROR(INDEX('BUDGET PLANNING'!$C:$C,header_row_id),"")</f>
        <v>Expenses</v>
      </c>
      <c r="J27" s="1" t="str" cm="1">
        <f t="array" ref="J27">IFERROR(INDEX('BUDGET PLANNING'!$C:$C,row_id),"")</f>
        <v>Λοιπά</v>
      </c>
      <c r="K27" s="61" cm="1">
        <f t="array" aca="1" ref="K27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56.91</v>
      </c>
      <c r="L27" s="62" cm="1">
        <f t="array" aca="1" ref="L27" ca="1">IF(OR(is_header,is_empty),"",INDEX('BUDGET PLANNING'!$E:$DK,row_id, MATCH(IF(selected_period="Total Year",selected_year,DATE(selected_year,selected_period,1)),'BUDGET PLANNING'!$E$9:$DK$9,0) ))</f>
        <v>0</v>
      </c>
      <c r="M27" s="4" cm="1">
        <f t="array" ref="M27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7" s="5" cm="1">
        <f t="array" ref="N27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7" s="4" t="str">
        <f t="shared" si="3"/>
        <v>$K$18:$K$30</v>
      </c>
      <c r="P27" s="1">
        <f t="shared" ca="1" si="4"/>
        <v>3</v>
      </c>
      <c r="Q27" s="1" t="str">
        <f t="shared" si="5"/>
        <v>$L$18:$L$30</v>
      </c>
      <c r="R27" s="5">
        <f t="shared" ca="1" si="6"/>
        <v>1</v>
      </c>
      <c r="S27" s="4">
        <f t="shared" ca="1" si="7"/>
        <v>31</v>
      </c>
      <c r="T27" s="1" t="str">
        <f t="shared" si="8"/>
        <v>$S$18:$S$30</v>
      </c>
      <c r="U27" s="1">
        <f t="shared" ca="1" si="18"/>
        <v>3</v>
      </c>
      <c r="V27" s="1" t="str">
        <f t="shared" si="9"/>
        <v>$U$18:$U$27</v>
      </c>
      <c r="W27" s="5">
        <f t="shared" ca="1" si="10"/>
        <v>3</v>
      </c>
      <c r="X27" s="64">
        <f t="shared" ca="1" si="11"/>
        <v>26</v>
      </c>
      <c r="Y27" s="36" t="str">
        <f t="shared" ca="1" si="12"/>
        <v>Ρούχα</v>
      </c>
      <c r="Z27" s="70">
        <f t="shared" ca="1" si="13"/>
        <v>0</v>
      </c>
      <c r="AA27" s="70">
        <f t="shared" ca="1" si="14"/>
        <v>0</v>
      </c>
      <c r="AB27" s="69" t="str">
        <f t="shared" ca="1" si="15"/>
        <v>-</v>
      </c>
      <c r="AC27" s="70">
        <f t="shared" ca="1" si="16"/>
        <v>0</v>
      </c>
      <c r="AD27" s="70">
        <f t="shared" ca="1" si="17"/>
        <v>0</v>
      </c>
      <c r="AF27" s="4"/>
      <c r="AK27" s="5"/>
      <c r="AM27" s="4"/>
      <c r="AR27" s="5"/>
    </row>
    <row r="28" spans="3:46" x14ac:dyDescent="0.3">
      <c r="C28" s="60" cm="1">
        <f t="array" ref="C28">IF(C27=-1,-1,                                                          IF(C27&lt;income_max_row,C27+1,     IF(C27=income_max_row,income_total_row,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IF(C27=income_total_row,"/1",              IF(C27="/1",expenses_header_row,       IF(C27&lt;expenses_max_row,C27+1,       IF(C27=expenses_max_row,expenses_total_row,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IF(C27=expenses_total_row,"/2",            IF(C27="/2",savings_header_row,         IF(C27&lt;savings_max_row,C27+1,         IF(C27=savings_max_row,savings_total_row,-1)))))))))))</f>
        <v>34</v>
      </c>
      <c r="D28" s="5">
        <f t="shared" si="0"/>
        <v>23</v>
      </c>
      <c r="E28" s="4" cm="1">
        <f t="array" ref="E28">1*OR(row_id=income_header_row,row_id=expenses_header_row,row_id=savings_header_row)</f>
        <v>0</v>
      </c>
      <c r="F28" s="1">
        <f t="shared" si="1"/>
        <v>1</v>
      </c>
      <c r="G28" s="1" cm="1">
        <f t="array" ref="G28">1*OR(row_id=income_total_row,row_id=expenses_total_row,row_id=savings_total_row)</f>
        <v>0</v>
      </c>
      <c r="H28" s="5">
        <f t="shared" si="2"/>
        <v>0</v>
      </c>
      <c r="I28" s="4" t="str" cm="1">
        <f t="array" ref="I28">IFERROR(INDEX('BUDGET PLANNING'!$C:$C,header_row_id),"")</f>
        <v>Expenses</v>
      </c>
      <c r="J28" s="1" t="str" cm="1">
        <f t="array" ref="J28">IFERROR(INDEX('BUDGET PLANNING'!$C:$C,row_id),"")</f>
        <v>Ενοίκιο</v>
      </c>
      <c r="K28" s="61" cm="1">
        <f t="array" aca="1" ref="K28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400</v>
      </c>
      <c r="L28" s="62" cm="1">
        <f t="array" aca="1" ref="L28" ca="1">IF(OR(is_header,is_empty),"",INDEX('BUDGET PLANNING'!$E:$DK,row_id, MATCH(IF(selected_period="Total Year",selected_year,DATE(selected_year,selected_period,1)),'BUDGET PLANNING'!$E$9:$DK$9,0) ))</f>
        <v>0</v>
      </c>
      <c r="M28" s="4" cm="1">
        <f t="array" ref="M28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8" s="5" cm="1">
        <f t="array" ref="N28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8" s="4" t="str">
        <f t="shared" si="3"/>
        <v>$K$18:$K$30</v>
      </c>
      <c r="P28" s="1">
        <f t="shared" ca="1" si="4"/>
        <v>1</v>
      </c>
      <c r="Q28" s="1" t="str">
        <f t="shared" si="5"/>
        <v>$L$18:$L$30</v>
      </c>
      <c r="R28" s="5">
        <f t="shared" ca="1" si="6"/>
        <v>1</v>
      </c>
      <c r="S28" s="4">
        <f t="shared" ca="1" si="7"/>
        <v>11</v>
      </c>
      <c r="T28" s="1" t="str">
        <f t="shared" si="8"/>
        <v>$S$18:$S$30</v>
      </c>
      <c r="U28" s="1">
        <f t="shared" ca="1" si="18"/>
        <v>1</v>
      </c>
      <c r="V28" s="1" t="str">
        <f t="shared" si="9"/>
        <v>$U$18:$U$28</v>
      </c>
      <c r="W28" s="5">
        <f t="shared" ca="1" si="10"/>
        <v>1</v>
      </c>
      <c r="X28" s="64">
        <f t="shared" ca="1" si="11"/>
        <v>24</v>
      </c>
      <c r="Y28" s="36" t="str">
        <f t="shared" ca="1" si="12"/>
        <v xml:space="preserve">Φαγητό </v>
      </c>
      <c r="Z28" s="70">
        <f t="shared" ca="1" si="13"/>
        <v>0</v>
      </c>
      <c r="AA28" s="70">
        <f t="shared" ca="1" si="14"/>
        <v>0</v>
      </c>
      <c r="AB28" s="69" t="str">
        <f t="shared" ca="1" si="15"/>
        <v>-</v>
      </c>
      <c r="AC28" s="70">
        <f t="shared" ca="1" si="16"/>
        <v>0</v>
      </c>
      <c r="AD28" s="70">
        <f t="shared" ca="1" si="17"/>
        <v>0</v>
      </c>
      <c r="AF28" s="4"/>
      <c r="AK28" s="5"/>
      <c r="AM28" s="4"/>
      <c r="AR28" s="5"/>
    </row>
    <row r="29" spans="3:46" x14ac:dyDescent="0.3">
      <c r="C29" s="60" cm="1">
        <f t="array" ref="C29">IF(C28=-1,-1,                                                          IF(C28&lt;income_max_row,C28+1,     IF(C28=income_max_row,income_total_row,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IF(C28=income_total_row,"/1",              IF(C28="/1",expenses_header_row,       IF(C28&lt;expenses_max_row,C28+1,       IF(C28=expenses_max_row,expenses_total_row,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IF(C28=expenses_total_row,"/2",            IF(C28="/2",savings_header_row,         IF(C28&lt;savings_max_row,C28+1,         IF(C28=savings_max_row,savings_total_row,-1)))))))))))</f>
        <v>35</v>
      </c>
      <c r="D29" s="5">
        <f t="shared" si="0"/>
        <v>23</v>
      </c>
      <c r="E29" s="4" cm="1">
        <f t="array" ref="E29">1*OR(row_id=income_header_row,row_id=expenses_header_row,row_id=savings_header_row)</f>
        <v>0</v>
      </c>
      <c r="F29" s="1">
        <f t="shared" si="1"/>
        <v>1</v>
      </c>
      <c r="G29" s="1" cm="1">
        <f t="array" ref="G29">1*OR(row_id=income_total_row,row_id=expenses_total_row,row_id=savings_total_row)</f>
        <v>0</v>
      </c>
      <c r="H29" s="5">
        <f t="shared" si="2"/>
        <v>0</v>
      </c>
      <c r="I29" s="4" t="str" cm="1">
        <f t="array" ref="I29">IFERROR(INDEX('BUDGET PLANNING'!$C:$C,header_row_id),"")</f>
        <v>Expenses</v>
      </c>
      <c r="J29" s="1" t="str" cm="1">
        <f t="array" ref="J29">IFERROR(INDEX('BUDGET PLANNING'!$C:$C,row_id),"")</f>
        <v>Φαρμακείο</v>
      </c>
      <c r="K29" s="61" cm="1">
        <f t="array" aca="1" ref="K29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29" s="62" cm="1">
        <f t="array" aca="1" ref="L29" ca="1">IF(OR(is_header,is_empty),"",INDEX('BUDGET PLANNING'!$E:$DK,row_id, MATCH(IF(selected_period="Total Year",selected_year,DATE(selected_year,selected_period,1)),'BUDGET PLANNING'!$E$9:$DK$9,0) ))</f>
        <v>0</v>
      </c>
      <c r="M29" s="4" cm="1">
        <f t="array" ref="M29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29" s="5" cm="1">
        <f t="array" ref="N29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29" s="4" t="str">
        <f t="shared" si="3"/>
        <v>$K$18:$K$30</v>
      </c>
      <c r="P29" s="1">
        <f t="shared" ca="1" si="4"/>
        <v>6</v>
      </c>
      <c r="Q29" s="1" t="str">
        <f t="shared" si="5"/>
        <v>$L$18:$L$30</v>
      </c>
      <c r="R29" s="5">
        <f t="shared" ca="1" si="6"/>
        <v>1</v>
      </c>
      <c r="S29" s="4">
        <f t="shared" ca="1" si="7"/>
        <v>61</v>
      </c>
      <c r="T29" s="1" t="str">
        <f t="shared" si="8"/>
        <v>$S$18:$S$30</v>
      </c>
      <c r="U29" s="1">
        <f t="shared" ca="1" si="18"/>
        <v>6</v>
      </c>
      <c r="V29" s="1" t="str">
        <f t="shared" si="9"/>
        <v>$U$18:$U$29</v>
      </c>
      <c r="W29" s="5">
        <f t="shared" ca="1" si="10"/>
        <v>12</v>
      </c>
      <c r="X29" s="64">
        <f t="shared" ca="1" si="11"/>
        <v>35</v>
      </c>
      <c r="Y29" s="36" t="str">
        <f t="shared" ca="1" si="12"/>
        <v>Φαρμακείο</v>
      </c>
      <c r="Z29" s="70">
        <f t="shared" ca="1" si="13"/>
        <v>0</v>
      </c>
      <c r="AA29" s="70">
        <f t="shared" ca="1" si="14"/>
        <v>0</v>
      </c>
      <c r="AB29" s="69" t="str">
        <f t="shared" ca="1" si="15"/>
        <v>-</v>
      </c>
      <c r="AC29" s="70">
        <f t="shared" ca="1" si="16"/>
        <v>0</v>
      </c>
      <c r="AD29" s="70">
        <f t="shared" ca="1" si="17"/>
        <v>0</v>
      </c>
      <c r="AF29" s="4"/>
      <c r="AI29" s="83" t="str">
        <f ca="1">CALCULATIONS!I35</f>
        <v>Ενοίκιο</v>
      </c>
      <c r="AJ29" s="81">
        <f ca="1">CALCULATIONS!J35</f>
        <v>400</v>
      </c>
      <c r="AK29" s="5"/>
      <c r="AM29" s="4"/>
      <c r="AP29" s="83" t="str">
        <f ca="1">CALCULATIONS!M35</f>
        <v/>
      </c>
      <c r="AQ29" s="81" t="str">
        <f ca="1">CALCULATIONS!N35</f>
        <v/>
      </c>
      <c r="AR29" s="5"/>
    </row>
    <row r="30" spans="3:46" x14ac:dyDescent="0.3">
      <c r="C30" s="60" cm="1">
        <f t="array" ref="C30">IF(C29=-1,-1,                                                          IF(C29&lt;income_max_row,C29+1,     IF(C29=income_max_row,income_total_row,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IF(C29=income_total_row,"/1",              IF(C29="/1",expenses_header_row,       IF(C29&lt;expenses_max_row,C29+1,       IF(C29=expenses_max_row,expenses_total_row,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IF(C29=expenses_total_row,"/2",            IF(C29="/2",savings_header_row,         IF(C29&lt;savings_max_row,C29+1,         IF(C29=savings_max_row,savings_total_row,-1)))))))))))</f>
        <v>36</v>
      </c>
      <c r="D30" s="5">
        <f t="shared" si="0"/>
        <v>23</v>
      </c>
      <c r="E30" s="4" cm="1">
        <f t="array" ref="E30">1*OR(row_id=income_header_row,row_id=expenses_header_row,row_id=savings_header_row)</f>
        <v>0</v>
      </c>
      <c r="F30" s="1">
        <f t="shared" si="1"/>
        <v>1</v>
      </c>
      <c r="G30" s="1" cm="1">
        <f t="array" ref="G30">1*OR(row_id=income_total_row,row_id=expenses_total_row,row_id=savings_total_row)</f>
        <v>0</v>
      </c>
      <c r="H30" s="5">
        <f t="shared" si="2"/>
        <v>0</v>
      </c>
      <c r="I30" s="4" t="str" cm="1">
        <f t="array" ref="I30">IFERROR(INDEX('BUDGET PLANNING'!$C:$C,header_row_id),"")</f>
        <v>Expenses</v>
      </c>
      <c r="J30" s="1" t="str" cm="1">
        <f t="array" ref="J30">IFERROR(INDEX('BUDGET PLANNING'!$C:$C,row_id),"")</f>
        <v>Κούρεμα</v>
      </c>
      <c r="K30" s="61" cm="1">
        <f t="array" aca="1" ref="K30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30" s="62" cm="1">
        <f t="array" aca="1" ref="L30" ca="1">IF(OR(is_header,is_empty),"",INDEX('BUDGET PLANNING'!$E:$DK,row_id, MATCH(IF(selected_period="Total Year",selected_year,DATE(selected_year,selected_period,1)),'BUDGET PLANNING'!$E$9:$DK$9,0) ))</f>
        <v>0</v>
      </c>
      <c r="M30" s="4" cm="1">
        <f t="array" ref="M30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18</v>
      </c>
      <c r="N30" s="5" cm="1">
        <f t="array" ref="N30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30</v>
      </c>
      <c r="O30" s="4" t="str">
        <f t="shared" si="3"/>
        <v>$K$18:$K$30</v>
      </c>
      <c r="P30" s="1">
        <f t="shared" ca="1" si="4"/>
        <v>6</v>
      </c>
      <c r="Q30" s="1" t="str">
        <f t="shared" si="5"/>
        <v>$L$18:$L$30</v>
      </c>
      <c r="R30" s="5">
        <f t="shared" ca="1" si="6"/>
        <v>1</v>
      </c>
      <c r="S30" s="4">
        <f t="shared" ca="1" si="7"/>
        <v>61</v>
      </c>
      <c r="T30" s="1" t="str">
        <f t="shared" si="8"/>
        <v>$S$18:$S$30</v>
      </c>
      <c r="U30" s="1">
        <f t="shared" ca="1" si="18"/>
        <v>6</v>
      </c>
      <c r="V30" s="1" t="str">
        <f t="shared" si="9"/>
        <v>$U$18:$U$30</v>
      </c>
      <c r="W30" s="5">
        <f t="shared" ca="1" si="10"/>
        <v>13</v>
      </c>
      <c r="X30" s="64">
        <f t="shared" ca="1" si="11"/>
        <v>36</v>
      </c>
      <c r="Y30" s="36" t="str">
        <f t="shared" ca="1" si="12"/>
        <v>Κούρεμα</v>
      </c>
      <c r="Z30" s="70">
        <f t="shared" ca="1" si="13"/>
        <v>0</v>
      </c>
      <c r="AA30" s="70">
        <f t="shared" ca="1" si="14"/>
        <v>0</v>
      </c>
      <c r="AB30" s="69" t="str">
        <f t="shared" ca="1" si="15"/>
        <v>-</v>
      </c>
      <c r="AC30" s="70">
        <f t="shared" ca="1" si="16"/>
        <v>0</v>
      </c>
      <c r="AD30" s="70">
        <f t="shared" ca="1" si="17"/>
        <v>0</v>
      </c>
      <c r="AF30" s="4"/>
      <c r="AI30" s="83" t="str">
        <f ca="1">CALCULATIONS!I36</f>
        <v>Έξοδος</v>
      </c>
      <c r="AJ30" s="81">
        <f ca="1">CALCULATIONS!J36</f>
        <v>128.1</v>
      </c>
      <c r="AK30" s="5"/>
      <c r="AM30" s="4"/>
      <c r="AP30" s="83" t="str">
        <f>CALCULATIONS!M36</f>
        <v/>
      </c>
      <c r="AQ30" s="81" t="str">
        <f>CALCULATIONS!N36</f>
        <v/>
      </c>
      <c r="AR30" s="5"/>
    </row>
    <row r="31" spans="3:46" x14ac:dyDescent="0.3">
      <c r="C31" s="60" cm="1">
        <f t="array" ref="C31">IF(C30=-1,-1,                                                          IF(C30&lt;income_max_row,C30+1,     IF(C30=income_max_row,income_total_row,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IF(C30=income_total_row,"/1",              IF(C30="/1",expenses_header_row,       IF(C30&lt;expenses_max_row,C30+1,       IF(C30=expenses_max_row,expenses_total_row,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IF(C30=expenses_total_row,"/2",            IF(C30="/2",savings_header_row,         IF(C30&lt;savings_max_row,C30+1,         IF(C30=savings_max_row,savings_total_row,-1)))))))))))</f>
        <v>37</v>
      </c>
      <c r="D31" s="5">
        <f t="shared" si="0"/>
        <v>23</v>
      </c>
      <c r="E31" s="4" cm="1">
        <f t="array" ref="E31">1*OR(row_id=income_header_row,row_id=expenses_header_row,row_id=savings_header_row)</f>
        <v>0</v>
      </c>
      <c r="F31" s="1">
        <f t="shared" si="1"/>
        <v>0</v>
      </c>
      <c r="G31" s="1" cm="1">
        <f t="array" ref="G31">1*OR(row_id=income_total_row,row_id=expenses_total_row,row_id=savings_total_row)</f>
        <v>1</v>
      </c>
      <c r="H31" s="5">
        <f t="shared" si="2"/>
        <v>0</v>
      </c>
      <c r="I31" s="4" t="str" cm="1">
        <f t="array" ref="I31">IFERROR(INDEX('BUDGET PLANNING'!$C:$C,header_row_id),"")</f>
        <v>Expenses</v>
      </c>
      <c r="J31" s="1" t="str" cm="1">
        <f t="array" ref="J31">IFERROR(INDEX('BUDGET PLANNING'!$C:$C,row_id),"")</f>
        <v>Total</v>
      </c>
      <c r="K31" s="61" cm="1">
        <f t="array" aca="1" ref="K31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636.66999999999996</v>
      </c>
      <c r="L31" s="62" cm="1">
        <f t="array" aca="1" ref="L31" ca="1">IF(OR(is_header,is_empty),"",INDEX('BUDGET PLANNING'!$E:$DK,row_id, MATCH(IF(selected_period="Total Year",selected_year,DATE(selected_year,selected_period,1)),'BUDGET PLANNING'!$E$9:$DK$9,0) ))</f>
        <v>0</v>
      </c>
      <c r="M31" s="4" t="str" cm="1">
        <f t="array" ref="M31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31" s="5" t="str" cm="1">
        <f t="array" ref="N31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31" s="4" t="str">
        <f t="shared" si="3"/>
        <v/>
      </c>
      <c r="P31" s="1" t="str">
        <f t="shared" ca="1" si="4"/>
        <v/>
      </c>
      <c r="Q31" s="1" t="str">
        <f t="shared" si="5"/>
        <v/>
      </c>
      <c r="R31" s="5" t="str">
        <f t="shared" ca="1" si="6"/>
        <v/>
      </c>
      <c r="S31" s="4" t="str">
        <f t="shared" si="7"/>
        <v/>
      </c>
      <c r="T31" s="1" t="str">
        <f t="shared" si="8"/>
        <v/>
      </c>
      <c r="U31" s="1" t="str">
        <f t="shared" ca="1" si="18"/>
        <v/>
      </c>
      <c r="V31" s="1" t="str">
        <f t="shared" si="9"/>
        <v/>
      </c>
      <c r="W31" s="5" t="str">
        <f t="shared" ca="1" si="10"/>
        <v/>
      </c>
      <c r="X31" s="64">
        <f t="shared" si="11"/>
        <v>37</v>
      </c>
      <c r="Y31" s="118" t="str">
        <f t="shared" ca="1" si="12"/>
        <v>Total</v>
      </c>
      <c r="Z31" s="119">
        <f t="shared" ca="1" si="13"/>
        <v>636.66999999999996</v>
      </c>
      <c r="AA31" s="119">
        <f t="shared" ca="1" si="14"/>
        <v>0</v>
      </c>
      <c r="AB31" s="120" t="str">
        <f t="shared" ca="1" si="15"/>
        <v>-</v>
      </c>
      <c r="AC31" s="119">
        <f t="shared" ca="1" si="16"/>
        <v>0</v>
      </c>
      <c r="AD31" s="125">
        <f ca="1">IF(is_empty,"",IF(is_header,"Excess",IF(out_budget-out_tracked &lt; 0,out_tracked-out_budget,0)))</f>
        <v>636.66999999999996</v>
      </c>
      <c r="AF31" s="4"/>
      <c r="AI31" s="83" t="str">
        <f ca="1">CALCULATIONS!I37</f>
        <v>Λοιπά</v>
      </c>
      <c r="AJ31" s="81">
        <f ca="1">CALCULATIONS!J37</f>
        <v>56.91</v>
      </c>
      <c r="AK31" s="5"/>
      <c r="AM31" s="4"/>
      <c r="AP31" s="83" t="str">
        <f>CALCULATIONS!M37</f>
        <v/>
      </c>
      <c r="AQ31" s="81" t="str">
        <f>CALCULATIONS!N37</f>
        <v/>
      </c>
      <c r="AR31" s="5"/>
    </row>
    <row r="32" spans="3:46" x14ac:dyDescent="0.3">
      <c r="C32" s="60" t="str" cm="1">
        <f t="array" ref="C32">IF(C31=-1,-1,                                                          IF(C31&lt;income_max_row,C31+1,     IF(C31=income_max_row,income_total_row,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IF(C31=income_total_row,"/1",              IF(C31="/1",expenses_header_row,       IF(C31&lt;expenses_max_row,C31+1,       IF(C31=expenses_max_row,expenses_total_row,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IF(C31=expenses_total_row,"/2",            IF(C31="/2",savings_header_row,         IF(C31&lt;savings_max_row,C31+1,         IF(C31=savings_max_row,savings_total_row,-1)))))))))))</f>
        <v>/2</v>
      </c>
      <c r="D32" s="5">
        <f t="shared" si="0"/>
        <v>-1</v>
      </c>
      <c r="E32" s="4" cm="1">
        <f t="array" ref="E32">1*OR(row_id=income_header_row,row_id=expenses_header_row,row_id=savings_header_row)</f>
        <v>0</v>
      </c>
      <c r="F32" s="1">
        <f t="shared" si="1"/>
        <v>0</v>
      </c>
      <c r="G32" s="1" cm="1">
        <f t="array" ref="G32">1*OR(row_id=income_total_row,row_id=expenses_total_row,row_id=savings_total_row)</f>
        <v>0</v>
      </c>
      <c r="H32" s="5">
        <f t="shared" si="2"/>
        <v>1</v>
      </c>
      <c r="I32" s="4" t="str" cm="1">
        <f t="array" ref="I32">IFERROR(INDEX('BUDGET PLANNING'!$C:$C,header_row_id),"")</f>
        <v/>
      </c>
      <c r="J32" s="1" t="str" cm="1">
        <f t="array" ref="J32">IFERROR(INDEX('BUDGET PLANNING'!$C:$C,row_id),"")</f>
        <v/>
      </c>
      <c r="K32" s="61" t="str" cm="1">
        <f t="array" ref="K32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/>
      </c>
      <c r="L32" s="62" t="str" cm="1">
        <f t="array" ref="L32">IF(OR(is_header,is_empty),"",INDEX('BUDGET PLANNING'!$E:$DK,row_id, MATCH(IF(selected_period="Total Year",selected_year,DATE(selected_year,selected_period,1)),'BUDGET PLANNING'!$E$9:$DK$9,0) ))</f>
        <v/>
      </c>
      <c r="M32" s="4" t="str" cm="1">
        <f t="array" ref="M32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32" s="5" t="str" cm="1">
        <f t="array" ref="N32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32" s="4" t="str">
        <f t="shared" si="3"/>
        <v/>
      </c>
      <c r="P32" s="1" t="str">
        <f t="shared" ca="1" si="4"/>
        <v/>
      </c>
      <c r="Q32" s="1" t="str">
        <f t="shared" si="5"/>
        <v/>
      </c>
      <c r="R32" s="5" t="str">
        <f t="shared" ca="1" si="6"/>
        <v/>
      </c>
      <c r="S32" s="4" t="str">
        <f t="shared" si="7"/>
        <v/>
      </c>
      <c r="T32" s="1" t="str">
        <f t="shared" si="8"/>
        <v/>
      </c>
      <c r="U32" s="1" t="str">
        <f t="shared" ca="1" si="18"/>
        <v/>
      </c>
      <c r="V32" s="1" t="str">
        <f t="shared" si="9"/>
        <v/>
      </c>
      <c r="W32" s="5" t="str">
        <f t="shared" ca="1" si="10"/>
        <v/>
      </c>
      <c r="X32" s="64" t="str">
        <f t="shared" si="11"/>
        <v>/2</v>
      </c>
      <c r="Y32" s="36" t="str">
        <f t="shared" si="12"/>
        <v/>
      </c>
      <c r="Z32" s="1" t="str">
        <f>IF(is_empty,"",IF(is_header,"Tracked",INDEX($K:$K,MATCH(row_id,$X:$X,0))))</f>
        <v/>
      </c>
      <c r="AA32" s="1" t="str">
        <f>IF(is_empty,"",IF(is_header,"Budget",INDEX($L:$L,MATCH(row_id,$X:$X,0))))</f>
        <v/>
      </c>
      <c r="AB32" s="67" t="str">
        <f t="shared" si="15"/>
        <v/>
      </c>
      <c r="AC32" s="1" t="str">
        <f t="shared" si="16"/>
        <v/>
      </c>
      <c r="AD32" s="1" t="str">
        <f t="shared" si="17"/>
        <v/>
      </c>
      <c r="AF32" s="4"/>
      <c r="AI32" s="83" t="str">
        <f ca="1">CALCULATIONS!I38</f>
        <v xml:space="preserve">Μάρκετ </v>
      </c>
      <c r="AJ32" s="81">
        <f ca="1">CALCULATIONS!J38</f>
        <v>38.659999999999997</v>
      </c>
      <c r="AK32" s="5"/>
      <c r="AM32" s="4"/>
      <c r="AP32" s="83" t="str">
        <f>CALCULATIONS!M38</f>
        <v/>
      </c>
      <c r="AQ32" s="81" t="str">
        <f>CALCULATIONS!N38</f>
        <v/>
      </c>
      <c r="AR32" s="5"/>
    </row>
    <row r="33" spans="3:44" x14ac:dyDescent="0.3">
      <c r="C33" s="60" cm="1">
        <f t="array" ref="C33">IF(C32=-1,-1,                                                          IF(C32&lt;income_max_row,C32+1,     IF(C32=income_max_row,income_total_row,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IF(C32=income_total_row,"/1",              IF(C32="/1",expenses_header_row,       IF(C32&lt;expenses_max_row,C32+1,       IF(C32=expenses_max_row,expenses_total_row,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IF(C32=expenses_total_row,"/2",            IF(C32="/2",savings_header_row,         IF(C32&lt;savings_max_row,C32+1,         IF(C32=savings_max_row,savings_total_row,-1)))))))))))</f>
        <v>39</v>
      </c>
      <c r="D33" s="5">
        <f t="shared" si="0"/>
        <v>39</v>
      </c>
      <c r="E33" s="4" cm="1">
        <f t="array" ref="E33">1*OR(row_id=income_header_row,row_id=expenses_header_row,row_id=savings_header_row)</f>
        <v>1</v>
      </c>
      <c r="F33" s="1">
        <f t="shared" si="1"/>
        <v>0</v>
      </c>
      <c r="G33" s="1" cm="1">
        <f t="array" ref="G33">1*OR(row_id=income_total_row,row_id=expenses_total_row,row_id=savings_total_row)</f>
        <v>0</v>
      </c>
      <c r="H33" s="5">
        <f t="shared" si="2"/>
        <v>0</v>
      </c>
      <c r="I33" s="4" t="str" cm="1">
        <f t="array" ref="I33">IFERROR(INDEX('BUDGET PLANNING'!$C:$C,header_row_id),"")</f>
        <v>Savings</v>
      </c>
      <c r="J33" s="1" t="str" cm="1">
        <f t="array" ref="J33">IFERROR(INDEX('BUDGET PLANNING'!$C:$C,row_id),"")</f>
        <v>Savings</v>
      </c>
      <c r="K33" s="61" t="str" cm="1">
        <f t="array" ref="K33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/>
      </c>
      <c r="L33" s="62" t="str" cm="1">
        <f t="array" ref="L33">IF(OR(is_header,is_empty),"",INDEX('BUDGET PLANNING'!$E:$DK,row_id, MATCH(IF(selected_period="Total Year",selected_year,DATE(selected_year,selected_period,1)),'BUDGET PLANNING'!$E$9:$DK$9,0) ))</f>
        <v/>
      </c>
      <c r="M33" s="4" t="str" cm="1">
        <f t="array" ref="M33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33" s="5" t="str" cm="1">
        <f t="array" ref="N33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33" s="4" t="str">
        <f t="shared" si="3"/>
        <v/>
      </c>
      <c r="P33" s="1" t="str">
        <f t="shared" ca="1" si="4"/>
        <v/>
      </c>
      <c r="Q33" s="1" t="str">
        <f t="shared" si="5"/>
        <v/>
      </c>
      <c r="R33" s="5" t="str">
        <f t="shared" ca="1" si="6"/>
        <v/>
      </c>
      <c r="S33" s="4" t="str">
        <f t="shared" si="7"/>
        <v/>
      </c>
      <c r="T33" s="1" t="str">
        <f t="shared" si="8"/>
        <v/>
      </c>
      <c r="U33" s="1" t="str">
        <f t="shared" ca="1" si="18"/>
        <v/>
      </c>
      <c r="V33" s="1" t="str">
        <f t="shared" si="9"/>
        <v/>
      </c>
      <c r="W33" s="5" t="str">
        <f t="shared" ca="1" si="10"/>
        <v/>
      </c>
      <c r="X33" s="64">
        <f t="shared" si="11"/>
        <v>39</v>
      </c>
      <c r="Y33" s="116" t="str">
        <f t="shared" ca="1" si="12"/>
        <v>Savings</v>
      </c>
      <c r="Z33" s="116" t="str">
        <f t="shared" si="13"/>
        <v>Tracked</v>
      </c>
      <c r="AA33" s="116" t="str">
        <f t="shared" si="14"/>
        <v>Budget</v>
      </c>
      <c r="AB33" s="117" t="str">
        <f t="shared" si="15"/>
        <v>%</v>
      </c>
      <c r="AC33" s="116" t="str">
        <f t="shared" si="16"/>
        <v>Remaining</v>
      </c>
      <c r="AD33" s="116" t="str">
        <f t="shared" si="17"/>
        <v>Excess</v>
      </c>
      <c r="AF33" s="4"/>
      <c r="AI33" s="83" t="str">
        <f ca="1">CALCULATIONS!I39</f>
        <v>Μονάδες Κινητό</v>
      </c>
      <c r="AJ33" s="81">
        <f ca="1">CALCULATIONS!J39</f>
        <v>13</v>
      </c>
      <c r="AK33" s="5"/>
      <c r="AM33" s="4"/>
      <c r="AP33" s="83" t="str">
        <f>CALCULATIONS!M39</f>
        <v/>
      </c>
      <c r="AQ33" s="81" t="str">
        <f>CALCULATIONS!N39</f>
        <v/>
      </c>
      <c r="AR33" s="5"/>
    </row>
    <row r="34" spans="3:44" x14ac:dyDescent="0.3">
      <c r="C34" s="60" cm="1">
        <f t="array" ref="C34">IF(C33=-1,-1,                                                          IF(C33&lt;income_max_row,C33+1,     IF(C33=income_max_row,income_total_row,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IF(C33=income_total_row,"/1",              IF(C33="/1",expenses_header_row,       IF(C33&lt;expenses_max_row,C33+1,       IF(C33=expenses_max_row,expenses_total_row,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IF(C33=expenses_total_row,"/2",            IF(C33="/2",savings_header_row,         IF(C33&lt;savings_max_row,C33+1,         IF(C33=savings_max_row,savings_total_row,-1)))))))))))</f>
        <v>40</v>
      </c>
      <c r="D34" s="5">
        <f t="shared" si="0"/>
        <v>39</v>
      </c>
      <c r="E34" s="4" cm="1">
        <f t="array" ref="E34">1*OR(row_id=income_header_row,row_id=expenses_header_row,row_id=savings_header_row)</f>
        <v>0</v>
      </c>
      <c r="F34" s="1">
        <f t="shared" si="1"/>
        <v>1</v>
      </c>
      <c r="G34" s="1" cm="1">
        <f t="array" ref="G34">1*OR(row_id=income_total_row,row_id=expenses_total_row,row_id=savings_total_row)</f>
        <v>0</v>
      </c>
      <c r="H34" s="5">
        <f t="shared" si="2"/>
        <v>0</v>
      </c>
      <c r="I34" s="4" t="str" cm="1">
        <f t="array" ref="I34">IFERROR(INDEX('BUDGET PLANNING'!$C:$C,header_row_id),"")</f>
        <v>Savings</v>
      </c>
      <c r="J34" s="1" t="str" cm="1">
        <f t="array" ref="J34">IFERROR(INDEX('BUDGET PLANNING'!$C:$C,row_id),"")</f>
        <v>Τράπεζα</v>
      </c>
      <c r="K34" s="61" cm="1">
        <f t="array" aca="1" ref="K34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34" s="62" cm="1">
        <f t="array" aca="1" ref="L34" ca="1">IF(OR(is_header,is_empty),"",INDEX('BUDGET PLANNING'!$E:$DK,row_id, MATCH(IF(selected_period="Total Year",selected_year,DATE(selected_year,selected_period,1)),'BUDGET PLANNING'!$E$9:$DK$9,0) ))</f>
        <v>0</v>
      </c>
      <c r="M34" s="4" cm="1">
        <f t="array" ref="M34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>34</v>
      </c>
      <c r="N34" s="5" cm="1">
        <f t="array" ref="N34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>34</v>
      </c>
      <c r="O34" s="4" t="str">
        <f t="shared" si="3"/>
        <v>$K$34:$K$34</v>
      </c>
      <c r="P34" s="1">
        <f t="shared" ca="1" si="4"/>
        <v>1</v>
      </c>
      <c r="Q34" s="1" t="str">
        <f t="shared" si="5"/>
        <v>$L$34:$L$34</v>
      </c>
      <c r="R34" s="5">
        <f t="shared" ca="1" si="6"/>
        <v>1</v>
      </c>
      <c r="S34" s="4">
        <f t="shared" ca="1" si="7"/>
        <v>11</v>
      </c>
      <c r="T34" s="1" t="str">
        <f t="shared" si="8"/>
        <v>$S$34:$S$34</v>
      </c>
      <c r="U34" s="1">
        <f t="shared" ca="1" si="18"/>
        <v>1</v>
      </c>
      <c r="V34" s="1" t="str">
        <f t="shared" si="9"/>
        <v>$U$34:$U$34</v>
      </c>
      <c r="W34" s="5">
        <f t="shared" ca="1" si="10"/>
        <v>1</v>
      </c>
      <c r="X34" s="64">
        <f t="shared" ca="1" si="11"/>
        <v>40</v>
      </c>
      <c r="Y34" s="36" t="str">
        <f t="shared" ca="1" si="12"/>
        <v>Τράπεζα</v>
      </c>
      <c r="Z34" s="1">
        <f t="shared" ca="1" si="13"/>
        <v>0</v>
      </c>
      <c r="AA34" s="1">
        <f t="shared" ca="1" si="14"/>
        <v>0</v>
      </c>
      <c r="AB34" s="67" t="str">
        <f t="shared" ca="1" si="15"/>
        <v>-</v>
      </c>
      <c r="AC34" s="1">
        <f t="shared" ca="1" si="16"/>
        <v>0</v>
      </c>
      <c r="AD34" s="1">
        <f t="shared" ca="1" si="17"/>
        <v>0</v>
      </c>
      <c r="AF34" s="4"/>
      <c r="AI34" s="83" t="str">
        <f>CALCULATIONS!I40</f>
        <v>Other</v>
      </c>
      <c r="AJ34" s="81" t="str">
        <f ca="1">CALCULATIONS!J40</f>
        <v/>
      </c>
      <c r="AK34" s="5"/>
      <c r="AM34" s="4"/>
      <c r="AP34" s="83" t="str">
        <f>CALCULATIONS!M40</f>
        <v>Other</v>
      </c>
      <c r="AQ34" s="81" t="str">
        <f ca="1">CALCULATIONS!N40</f>
        <v/>
      </c>
      <c r="AR34" s="5"/>
    </row>
    <row r="35" spans="3:44" x14ac:dyDescent="0.3">
      <c r="C35" s="60" cm="1">
        <f t="array" ref="C35">IF(C34=-1,-1,                                                          IF(C34&lt;income_max_row,C34+1,     IF(C34=income_max_row,income_total_row,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IF(C34=income_total_row,"/1",              IF(C34="/1",expenses_header_row,       IF(C34&lt;expenses_max_row,C34+1,       IF(C34=expenses_max_row,expenses_total_row,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IF(C34=expenses_total_row,"/2",            IF(C34="/2",savings_header_row,         IF(C34&lt;savings_max_row,C34+1,         IF(C34=savings_max_row,savings_total_row,-1)))))))))))</f>
        <v>51</v>
      </c>
      <c r="D35" s="5">
        <f t="shared" si="0"/>
        <v>39</v>
      </c>
      <c r="E35" s="4" cm="1">
        <f t="array" ref="E35">1*OR(row_id=income_header_row,row_id=expenses_header_row,row_id=savings_header_row)</f>
        <v>0</v>
      </c>
      <c r="F35" s="1">
        <f t="shared" si="1"/>
        <v>0</v>
      </c>
      <c r="G35" s="1" cm="1">
        <f t="array" ref="G35">1*OR(row_id=income_total_row,row_id=expenses_total_row,row_id=savings_total_row)</f>
        <v>1</v>
      </c>
      <c r="H35" s="5">
        <f t="shared" si="2"/>
        <v>0</v>
      </c>
      <c r="I35" s="4" t="str" cm="1">
        <f t="array" ref="I35">IFERROR(INDEX('BUDGET PLANNING'!$C:$C,header_row_id),"")</f>
        <v>Savings</v>
      </c>
      <c r="J35" s="1" t="str" cm="1">
        <f t="array" ref="J35">IFERROR(INDEX('BUDGET PLANNING'!$C:$C,row_id),"")</f>
        <v>Total</v>
      </c>
      <c r="K35" s="61" cm="1">
        <f t="array" aca="1" ref="K35" ca="1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>0</v>
      </c>
      <c r="L35" s="62" cm="1">
        <f t="array" aca="1" ref="L35" ca="1">IF(OR(is_header,is_empty),"",INDEX('BUDGET PLANNING'!$E:$DK,row_id, MATCH(IF(selected_period="Total Year",selected_year,DATE(selected_year,selected_period,1)),'BUDGET PLANNING'!$E$9:$DK$9,0) ))</f>
        <v>0</v>
      </c>
      <c r="M35" s="4" t="str" cm="1">
        <f t="array" ref="M35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35" s="5" t="str" cm="1">
        <f t="array" ref="N35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35" s="4" t="str">
        <f t="shared" si="3"/>
        <v/>
      </c>
      <c r="P35" s="1" t="str">
        <f t="shared" ca="1" si="4"/>
        <v/>
      </c>
      <c r="Q35" s="1" t="str">
        <f t="shared" si="5"/>
        <v/>
      </c>
      <c r="R35" s="5" t="str">
        <f t="shared" ca="1" si="6"/>
        <v/>
      </c>
      <c r="S35" s="4" t="str">
        <f t="shared" si="7"/>
        <v/>
      </c>
      <c r="T35" s="1" t="str">
        <f t="shared" si="8"/>
        <v/>
      </c>
      <c r="U35" s="1" t="str">
        <f t="shared" ca="1" si="18"/>
        <v/>
      </c>
      <c r="V35" s="1" t="str">
        <f t="shared" si="9"/>
        <v/>
      </c>
      <c r="W35" s="5" t="str">
        <f t="shared" ca="1" si="10"/>
        <v/>
      </c>
      <c r="X35" s="64">
        <f t="shared" si="11"/>
        <v>51</v>
      </c>
      <c r="Y35" s="118" t="str">
        <f t="shared" ca="1" si="12"/>
        <v>Total</v>
      </c>
      <c r="Z35" s="121">
        <f t="shared" ca="1" si="13"/>
        <v>0</v>
      </c>
      <c r="AA35" s="121">
        <f t="shared" ca="1" si="14"/>
        <v>0</v>
      </c>
      <c r="AB35" s="122" t="str">
        <f t="shared" ca="1" si="15"/>
        <v>-</v>
      </c>
      <c r="AC35" s="121">
        <f t="shared" ca="1" si="16"/>
        <v>0</v>
      </c>
      <c r="AD35" s="121">
        <f t="shared" ca="1" si="17"/>
        <v>0</v>
      </c>
      <c r="AF35" s="4"/>
      <c r="AI35" s="83" t="str">
        <f>CALCULATIONS!I41</f>
        <v xml:space="preserve">Total </v>
      </c>
      <c r="AJ35" s="82">
        <f ca="1">CALCULATIONS!J41</f>
        <v>636.66999999999996</v>
      </c>
      <c r="AK35" s="5"/>
      <c r="AM35" s="4"/>
      <c r="AP35" s="83" t="str">
        <f>CALCULATIONS!M41</f>
        <v xml:space="preserve">Total </v>
      </c>
      <c r="AQ35" s="82">
        <f ca="1">CALCULATIONS!N41</f>
        <v>0</v>
      </c>
      <c r="AR35" s="5"/>
    </row>
    <row r="36" spans="3:44" x14ac:dyDescent="0.3">
      <c r="C36" s="60" cm="1">
        <f t="array" ref="C36">IF(C35=-1,-1,                                                          IF(C35&lt;income_max_row,C35+1,     IF(C35=income_max_row,income_total_row,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IF(C35=income_total_row,"/1",              IF(C35="/1",expenses_header_row,       IF(C35&lt;expenses_max_row,C35+1,       IF(C35=expenses_max_row,expenses_total_row,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IF(C35=expenses_total_row,"/2",            IF(C35="/2",savings_header_row,         IF(C35&lt;savings_max_row,C35+1,         IF(C35=savings_max_row,savings_total_row,-1)))))))))))</f>
        <v>-1</v>
      </c>
      <c r="D36" s="5">
        <f t="shared" si="0"/>
        <v>-1</v>
      </c>
      <c r="E36" s="4" cm="1">
        <f t="array" ref="E36">1*OR(row_id=income_header_row,row_id=expenses_header_row,row_id=savings_header_row)</f>
        <v>0</v>
      </c>
      <c r="F36" s="1">
        <f t="shared" si="1"/>
        <v>0</v>
      </c>
      <c r="G36" s="1" cm="1">
        <f t="array" ref="G36">1*OR(row_id=income_total_row,row_id=expenses_total_row,row_id=savings_total_row)</f>
        <v>0</v>
      </c>
      <c r="H36" s="5">
        <f t="shared" si="2"/>
        <v>1</v>
      </c>
      <c r="I36" s="4" t="str" cm="1">
        <f t="array" ref="I36">IFERROR(INDEX('BUDGET PLANNING'!$C:$C,header_row_id),"")</f>
        <v/>
      </c>
      <c r="J36" s="1" t="str" cm="1">
        <f t="array" ref="J36">IFERROR(INDEX('BUDGET PLANNING'!$C:$C,row_id),"")</f>
        <v/>
      </c>
      <c r="K36" s="61" t="str" cm="1">
        <f t="array" ref="K36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/>
      </c>
      <c r="L36" s="62" t="str" cm="1">
        <f t="array" ref="L36">IF(OR(is_header,is_empty),"",INDEX('BUDGET PLANNING'!$E:$DK,row_id, MATCH(IF(selected_period="Total Year",selected_year,DATE(selected_year,selected_period,1)),'BUDGET PLANNING'!$E$9:$DK$9,0) ))</f>
        <v/>
      </c>
      <c r="M36" s="4" t="str" cm="1">
        <f t="array" ref="M36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36" s="5" t="str" cm="1">
        <f t="array" ref="N36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36" s="4" t="str">
        <f t="shared" si="3"/>
        <v/>
      </c>
      <c r="P36" s="1" t="str">
        <f t="shared" ca="1" si="4"/>
        <v/>
      </c>
      <c r="Q36" s="1" t="str">
        <f t="shared" si="5"/>
        <v/>
      </c>
      <c r="R36" s="5" t="str">
        <f t="shared" ca="1" si="6"/>
        <v/>
      </c>
      <c r="S36" s="4" t="str">
        <f t="shared" si="7"/>
        <v/>
      </c>
      <c r="T36" s="1" t="str">
        <f t="shared" si="8"/>
        <v/>
      </c>
      <c r="U36" s="1" t="str">
        <f t="shared" ca="1" si="18"/>
        <v/>
      </c>
      <c r="V36" s="1" t="str">
        <f t="shared" si="9"/>
        <v/>
      </c>
      <c r="W36" s="5" t="str">
        <f t="shared" ca="1" si="10"/>
        <v/>
      </c>
      <c r="X36" s="64">
        <f t="shared" si="11"/>
        <v>-1</v>
      </c>
      <c r="Y36" s="36" t="str">
        <f t="shared" si="12"/>
        <v/>
      </c>
      <c r="Z36" s="1" t="str">
        <f t="shared" si="13"/>
        <v/>
      </c>
      <c r="AA36" s="1" t="str">
        <f t="shared" si="14"/>
        <v/>
      </c>
      <c r="AB36" s="67" t="str">
        <f t="shared" si="15"/>
        <v/>
      </c>
      <c r="AC36" s="1" t="str">
        <f t="shared" si="16"/>
        <v/>
      </c>
      <c r="AD36" s="1" t="str">
        <f t="shared" si="17"/>
        <v/>
      </c>
      <c r="AF36" s="4"/>
      <c r="AK36" s="5"/>
      <c r="AM36" s="4"/>
      <c r="AR36" s="5"/>
    </row>
    <row r="37" spans="3:44" x14ac:dyDescent="0.3">
      <c r="C37" s="60" cm="1">
        <f t="array" ref="C37">IF(C36=-1,-1,                                                          IF(C36&lt;income_max_row,C36+1,     IF(C36=income_max_row,income_total_row,                                                                                                                                                                                                                                                      IF(C36=income_total_row,"/1",              IF(C36="/1",expenses_header_row,       IF(C36&lt;expenses_max_row,C36+1,       IF(C36=expenses_max_row,expenses_total_row,                                                                                                                                                                                                                                                IF(C36=expenses_total_row,"/2",            IF(C36="/2",savings_header_row,         IF(C36&lt;savings_max_row,C36+1,         IF(C36=savings_max_row,savings_total_row,-1)))))))))))</f>
        <v>-1</v>
      </c>
      <c r="D37" s="5">
        <f t="shared" si="0"/>
        <v>-1</v>
      </c>
      <c r="E37" s="4" cm="1">
        <f t="array" ref="E37">1*OR(row_id=income_header_row,row_id=expenses_header_row,row_id=savings_header_row)</f>
        <v>0</v>
      </c>
      <c r="F37" s="1">
        <f t="shared" si="1"/>
        <v>0</v>
      </c>
      <c r="G37" s="1" cm="1">
        <f t="array" ref="G37">1*OR(row_id=income_total_row,row_id=expenses_total_row,row_id=savings_total_row)</f>
        <v>0</v>
      </c>
      <c r="H37" s="5">
        <f t="shared" si="2"/>
        <v>1</v>
      </c>
      <c r="I37" s="4" t="str" cm="1">
        <f t="array" ref="I37">IFERROR(INDEX('BUDGET PLANNING'!$C:$C,header_row_id),"")</f>
        <v/>
      </c>
      <c r="J37" s="1" t="str" cm="1">
        <f t="array" ref="J37">IFERROR(INDEX('BUDGET PLANNING'!$C:$C,row_id),"")</f>
        <v/>
      </c>
      <c r="K37" s="61" t="str" cm="1">
        <f t="array" ref="K37">IF(OR(is_header,is_empty),"", IF(is_total,IF(selected_period="Total Year",SUM(Tracking[Amount]*(Tracking[[Type ]]=type)*(YEAR(Tracking[[Date ]])=selected_year)),SUM(Tracking[Amount]*(Tracking[[Type ]]=type)*(YEAR(Tracking[[Date ]])=selected_year)*(MONTH(Tracking[[Date ]])=selected_period))),IF(selected_period="Total Year",SUM(Tracking[Amount]*(Tracking[[Type ]]=type)*(Tracking[[Category ]]=item)*(YEAR(Tracking[[Date ]])=selected_year)),SUM(Tracking[Amount]*(Tracking[[Type ]]=type)*(Tracking[[Category ]]=item)*(YEAR(Tracking[[Date ]])=selected_year)*(MONTH(Tracking[[Date ]])=selected_period)))))</f>
        <v/>
      </c>
      <c r="L37" s="62" t="str" cm="1">
        <f t="array" ref="L37">IF(OR(is_header,is_empty),"",INDEX('BUDGET PLANNING'!$E:$DK,row_id, MATCH(IF(selected_period="Total Year",selected_year,DATE(selected_year,selected_period,1)),'BUDGET PLANNING'!$E$9:$DK$9,0) ))</f>
        <v/>
      </c>
      <c r="M37" s="4" t="str" cm="1">
        <f t="array" ref="M37">IF(is_category,                                              IF(header_row_id=income_header_row,MATCH(income_min_row,$C:$C,0),                                                                                                                                                                                        IF(header_row_id=expenses_header_row,MATCH(expenses_min_row,$C:$C,0),                                                                                                                                                                                            IF(header_row_id=savings_header_row,MATCH(savings_min_row,$C:$C,0),""))),"")</f>
        <v/>
      </c>
      <c r="N37" s="5" t="str" cm="1">
        <f t="array" ref="N37">IF(is_category,                                              IF(header_row_id=income_header_row,MATCH(income_max_row,$C:$C,0),                                                                                                                                                                                        IF(header_row_id=expenses_header_row,MATCH(expenses_max_row,$C:$C,0),                                                                                                                                                                                            IF(header_row_id=savings_header_row,MATCH(savings_max_row,$C:$C,0),""))),"")</f>
        <v/>
      </c>
      <c r="O37" s="4" t="str">
        <f t="shared" si="3"/>
        <v/>
      </c>
      <c r="P37" s="1" t="str">
        <f t="shared" ca="1" si="4"/>
        <v/>
      </c>
      <c r="Q37" s="1" t="str">
        <f t="shared" si="5"/>
        <v/>
      </c>
      <c r="R37" s="5" t="str">
        <f t="shared" ca="1" si="6"/>
        <v/>
      </c>
      <c r="S37" s="4" t="str">
        <f t="shared" si="7"/>
        <v/>
      </c>
      <c r="T37" s="1" t="str">
        <f t="shared" si="8"/>
        <v/>
      </c>
      <c r="U37" s="1" t="str">
        <f t="shared" ca="1" si="18"/>
        <v/>
      </c>
      <c r="V37" s="1" t="str">
        <f t="shared" si="9"/>
        <v/>
      </c>
      <c r="W37" s="5" t="str">
        <f t="shared" ca="1" si="10"/>
        <v/>
      </c>
      <c r="X37" s="64">
        <f t="shared" si="11"/>
        <v>-1</v>
      </c>
      <c r="Y37" s="36" t="str">
        <f t="shared" si="12"/>
        <v/>
      </c>
      <c r="Z37" s="1" t="str">
        <f t="shared" si="13"/>
        <v/>
      </c>
      <c r="AA37" s="1" t="str">
        <f t="shared" si="14"/>
        <v/>
      </c>
      <c r="AB37" s="67" t="str">
        <f t="shared" si="15"/>
        <v/>
      </c>
      <c r="AC37" s="1" t="str">
        <f t="shared" si="16"/>
        <v/>
      </c>
      <c r="AD37" s="1" t="str">
        <f t="shared" si="17"/>
        <v/>
      </c>
      <c r="AF37" s="6"/>
      <c r="AG37" s="7"/>
      <c r="AH37" s="7"/>
      <c r="AI37" s="7"/>
      <c r="AJ37" s="7"/>
      <c r="AK37" s="8"/>
      <c r="AM37" s="6"/>
      <c r="AN37" s="7"/>
      <c r="AO37" s="7"/>
      <c r="AP37" s="7"/>
      <c r="AQ37" s="7"/>
      <c r="AR37" s="8"/>
    </row>
    <row r="49" spans="5:5" x14ac:dyDescent="0.3">
      <c r="E49" s="1" t="b">
        <v>0</v>
      </c>
    </row>
    <row r="50" spans="5:5" x14ac:dyDescent="0.3">
      <c r="E50" s="1" t="b">
        <v>0</v>
      </c>
    </row>
    <row r="51" spans="5:5" x14ac:dyDescent="0.3">
      <c r="E51" s="1" t="b">
        <v>0</v>
      </c>
    </row>
    <row r="52" spans="5:5" x14ac:dyDescent="0.3">
      <c r="E52" s="1" t="b">
        <v>1</v>
      </c>
    </row>
  </sheetData>
  <mergeCells count="8">
    <mergeCell ref="Y11:AD11"/>
    <mergeCell ref="AF11:AR11"/>
    <mergeCell ref="AQ5:AR5"/>
    <mergeCell ref="AQ6:AR6"/>
    <mergeCell ref="AN6:AP6"/>
    <mergeCell ref="AQ8:AR8"/>
    <mergeCell ref="AN9:AP9"/>
    <mergeCell ref="AQ9:AR9"/>
  </mergeCells>
  <conditionalFormatting sqref="Y13:AD30">
    <cfRule type="expression" dxfId="26" priority="19" stopIfTrue="1">
      <formula>row_id=savings_header_row</formula>
    </cfRule>
    <cfRule type="expression" dxfId="25" priority="20" stopIfTrue="1">
      <formula>row_id=expenses_header_row</formula>
    </cfRule>
    <cfRule type="expression" dxfId="24" priority="21" stopIfTrue="1">
      <formula>row_id=income_header_row</formula>
    </cfRule>
    <cfRule type="expression" dxfId="23" priority="22" stopIfTrue="1">
      <formula>is_total</formula>
    </cfRule>
  </conditionalFormatting>
  <conditionalFormatting sqref="AB1:AB1048576">
    <cfRule type="expression" dxfId="22" priority="23" stopIfTrue="1">
      <formula>AND(OR(is_category,is_total),out_budget &gt; 0,out_percentage_completed &gt;= 1,header_row_id=income_header_row)</formula>
    </cfRule>
    <cfRule type="expression" dxfId="21" priority="24" stopIfTrue="1">
      <formula>AND(OR(is_category,is_total), out_budget &gt; 0, out_percentage_completed &gt;=1, header_row_id=expenses_header_row)</formula>
    </cfRule>
    <cfRule type="expression" dxfId="20" priority="25" stopIfTrue="1">
      <formula>AND(OR(is_category,is_total), out_budget &gt; 0, out_percentage_completed &gt;=1, header_row_id=savings_header_row)</formula>
    </cfRule>
    <cfRule type="dataBar" priority="2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{4690D31D-F92E-4912-BECB-0F49C38DDA9C}</x14:id>
        </ext>
      </extLst>
    </cfRule>
  </conditionalFormatting>
  <conditionalFormatting sqref="AH16">
    <cfRule type="expression" dxfId="19" priority="13">
      <formula>AI16 &lt;&gt;""</formula>
    </cfRule>
  </conditionalFormatting>
  <conditionalFormatting sqref="AH17">
    <cfRule type="expression" dxfId="18" priority="14">
      <formula>AI17 &lt;&gt;""</formula>
    </cfRule>
  </conditionalFormatting>
  <conditionalFormatting sqref="AH18">
    <cfRule type="expression" dxfId="17" priority="15">
      <formula>AI18 &lt;&gt;""</formula>
    </cfRule>
  </conditionalFormatting>
  <conditionalFormatting sqref="AH19">
    <cfRule type="expression" dxfId="16" priority="16">
      <formula>AI19 &lt;&gt;""</formula>
    </cfRule>
  </conditionalFormatting>
  <conditionalFormatting sqref="AH20">
    <cfRule type="expression" dxfId="15" priority="17">
      <formula>AI20 &lt;&gt;""</formula>
    </cfRule>
  </conditionalFormatting>
  <conditionalFormatting sqref="AH21">
    <cfRule type="expression" dxfId="14" priority="18">
      <formula>AI21 &lt;&gt;""</formula>
    </cfRule>
  </conditionalFormatting>
  <conditionalFormatting sqref="AH29">
    <cfRule type="expression" dxfId="13" priority="7">
      <formula>AI29 &lt;&gt;""</formula>
    </cfRule>
  </conditionalFormatting>
  <conditionalFormatting sqref="AH30">
    <cfRule type="expression" dxfId="12" priority="8">
      <formula>AI30 &lt;&gt;""</formula>
    </cfRule>
  </conditionalFormatting>
  <conditionalFormatting sqref="AH31">
    <cfRule type="expression" dxfId="11" priority="9">
      <formula>AI31 &lt;&gt;""</formula>
    </cfRule>
  </conditionalFormatting>
  <conditionalFormatting sqref="AH32">
    <cfRule type="expression" dxfId="10" priority="10">
      <formula>AI32 &lt;&gt;""</formula>
    </cfRule>
  </conditionalFormatting>
  <conditionalFormatting sqref="AH33">
    <cfRule type="expression" dxfId="9" priority="11">
      <formula>AI33 &lt;&gt;""</formula>
    </cfRule>
  </conditionalFormatting>
  <conditionalFormatting sqref="AH34">
    <cfRule type="expression" dxfId="8" priority="12">
      <formula>AI34 &lt;&gt;""</formula>
    </cfRule>
  </conditionalFormatting>
  <conditionalFormatting sqref="AO29">
    <cfRule type="expression" dxfId="7" priority="1">
      <formula>AP29 &lt;&gt;""</formula>
    </cfRule>
  </conditionalFormatting>
  <conditionalFormatting sqref="AO30">
    <cfRule type="expression" dxfId="6" priority="2">
      <formula>AP30 &lt;&gt;""</formula>
    </cfRule>
  </conditionalFormatting>
  <conditionalFormatting sqref="AO31">
    <cfRule type="expression" dxfId="5" priority="3">
      <formula>AP31 &lt;&gt;""</formula>
    </cfRule>
  </conditionalFormatting>
  <conditionalFormatting sqref="AO32">
    <cfRule type="expression" dxfId="4" priority="4">
      <formula>AP32 &lt;&gt;""</formula>
    </cfRule>
  </conditionalFormatting>
  <conditionalFormatting sqref="AO33">
    <cfRule type="expression" dxfId="3" priority="5">
      <formula>AP33 &lt;&gt;""</formula>
    </cfRule>
  </conditionalFormatting>
  <conditionalFormatting sqref="AO34">
    <cfRule type="expression" dxfId="2" priority="6">
      <formula>AP34 &lt;&gt;""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43</xdr:col>
                    <xdr:colOff>502920</xdr:colOff>
                    <xdr:row>12</xdr:row>
                    <xdr:rowOff>144780</xdr:rowOff>
                  </from>
                  <to>
                    <xdr:col>45</xdr:col>
                    <xdr:colOff>45720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43</xdr:col>
                    <xdr:colOff>495300</xdr:colOff>
                    <xdr:row>14</xdr:row>
                    <xdr:rowOff>15240</xdr:rowOff>
                  </from>
                  <to>
                    <xdr:col>44</xdr:col>
                    <xdr:colOff>525780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43</xdr:col>
                    <xdr:colOff>510540</xdr:colOff>
                    <xdr:row>15</xdr:row>
                    <xdr:rowOff>76200</xdr:rowOff>
                  </from>
                  <to>
                    <xdr:col>44</xdr:col>
                    <xdr:colOff>541020</xdr:colOff>
                    <xdr:row>16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44</xdr:col>
                    <xdr:colOff>571500</xdr:colOff>
                    <xdr:row>12</xdr:row>
                    <xdr:rowOff>144780</xdr:rowOff>
                  </from>
                  <to>
                    <xdr:col>45</xdr:col>
                    <xdr:colOff>525780</xdr:colOff>
                    <xdr:row>14</xdr:row>
                    <xdr:rowOff>30480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90D31D-F92E-4912-BECB-0F49C38DDA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AB1:AB1048576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33EEF-619B-49BE-8693-638F027A4E8F}">
          <x14:formula1>
            <xm:f>'DROPDOWN DATA'!$C$8:$C$16</xm:f>
          </x14:formula1>
          <xm:sqref>AQ6:AR6</xm:sqref>
        </x14:dataValidation>
        <x14:dataValidation type="list" allowBlank="1" showInputMessage="1" showErrorMessage="1" xr:uid="{97E57754-551A-4A68-AFD9-1BAFDFADE6AF}">
          <x14:formula1>
            <xm:f>'DROPDOWN DATA'!$E$8:$E$21</xm:f>
          </x14:formula1>
          <xm:sqref>AQ9:AR9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C1F8-383C-4DB3-9C48-8B560E902A65}">
  <sheetPr codeName="Φύλλο5"/>
  <dimension ref="A1:T102"/>
  <sheetViews>
    <sheetView topLeftCell="A18" zoomScale="55" zoomScaleNormal="55" workbookViewId="0">
      <selection activeCell="D21" sqref="D21"/>
    </sheetView>
  </sheetViews>
  <sheetFormatPr defaultRowHeight="14.4" x14ac:dyDescent="0.3"/>
  <cols>
    <col min="1" max="1" width="3" style="1" customWidth="1"/>
    <col min="2" max="2" width="3.21875" style="1" customWidth="1"/>
    <col min="3" max="3" width="21.5546875" style="1" bestFit="1" customWidth="1"/>
    <col min="4" max="4" width="23.6640625" style="1" customWidth="1"/>
    <col min="5" max="5" width="20.5546875" style="1" customWidth="1"/>
    <col min="6" max="6" width="20.109375" style="1" customWidth="1"/>
    <col min="7" max="7" width="11.109375" style="1" customWidth="1"/>
    <col min="8" max="8" width="21.33203125" style="1" customWidth="1"/>
    <col min="9" max="9" width="22.44140625" style="1" customWidth="1"/>
    <col min="10" max="10" width="15.5546875" style="1" customWidth="1"/>
    <col min="11" max="11" width="13" style="1" customWidth="1"/>
    <col min="12" max="12" width="23.6640625" style="1" customWidth="1"/>
    <col min="13" max="13" width="18.21875" style="1" customWidth="1"/>
    <col min="14" max="14" width="13.33203125" style="1" bestFit="1" customWidth="1"/>
    <col min="15" max="15" width="12.6640625" style="1" customWidth="1"/>
    <col min="16" max="16" width="18.21875" style="1" customWidth="1"/>
    <col min="17" max="17" width="13.33203125" style="1" bestFit="1" customWidth="1"/>
    <col min="18" max="18" width="12.6640625" style="1" customWidth="1"/>
    <col min="19" max="16384" width="8.88671875" style="1"/>
  </cols>
  <sheetData>
    <row r="1" spans="1:20" s="2" customFormat="1" x14ac:dyDescent="0.3">
      <c r="F1" s="2" t="s">
        <v>2</v>
      </c>
      <c r="T1" s="2" t="s">
        <v>2</v>
      </c>
    </row>
    <row r="2" spans="1:20" s="2" customFormat="1" ht="25.8" x14ac:dyDescent="0.5">
      <c r="A2" s="25" t="s">
        <v>36</v>
      </c>
    </row>
    <row r="3" spans="1:20" s="2" customFormat="1" x14ac:dyDescent="0.3"/>
    <row r="6" spans="1:20" x14ac:dyDescent="0.3">
      <c r="C6" s="144" t="s">
        <v>37</v>
      </c>
      <c r="D6" s="144"/>
      <c r="E6" s="144"/>
      <c r="F6" s="144"/>
    </row>
    <row r="8" spans="1:20" x14ac:dyDescent="0.3">
      <c r="C8" s="40" t="s">
        <v>38</v>
      </c>
      <c r="D8" s="41" cm="1">
        <f t="array" aca="1" ref="D8" ca="1">current_date</f>
        <v>45884</v>
      </c>
    </row>
    <row r="9" spans="1:20" x14ac:dyDescent="0.3">
      <c r="C9" s="40" t="s">
        <v>39</v>
      </c>
      <c r="D9" s="41">
        <f>MAX(Tracking[[Date ]])</f>
        <v>45884</v>
      </c>
    </row>
    <row r="10" spans="1:20" x14ac:dyDescent="0.3">
      <c r="C10" s="40" t="s">
        <v>40</v>
      </c>
      <c r="D10" s="36" t="str">
        <f ca="1">IF(D9=0,"", "(Πριν " &amp;_xlfn.DAYS(D8,D9) &amp; " ημέρες)")</f>
        <v>(Πριν 0 ημέρες)</v>
      </c>
    </row>
    <row r="11" spans="1:20" x14ac:dyDescent="0.3">
      <c r="C11" s="40" t="s">
        <v>41</v>
      </c>
      <c r="D11" s="1">
        <f>COUNT(Tracking[[Date ]])</f>
        <v>778</v>
      </c>
      <c r="I11"/>
    </row>
    <row r="12" spans="1:20" x14ac:dyDescent="0.3">
      <c r="C12" s="40" t="s">
        <v>42</v>
      </c>
      <c r="D12" s="1" t="str" cm="1">
        <f t="array" aca="1" ref="D12" ca="1">"(" &amp; SUMPRODUCT(--(YEAR(Tracking[[Date ]])=YEAR(current_date))) &amp; " φέτος)"</f>
        <v>(231 φέτος)</v>
      </c>
      <c r="I12" s="37"/>
    </row>
    <row r="13" spans="1:20" x14ac:dyDescent="0.3">
      <c r="C13" s="40" t="s">
        <v>43</v>
      </c>
      <c r="D13" s="61">
        <f>_xlfn.IFNA(INDEX(Tracking[Balance],MATCH(CALCULATIONS!D9,Tracking[[Date ]],0)),"-")</f>
        <v>4468.59</v>
      </c>
      <c r="I13" s="37"/>
    </row>
    <row r="14" spans="1:20" x14ac:dyDescent="0.3">
      <c r="C14" s="40" t="s">
        <v>44</v>
      </c>
      <c r="D14" s="1" t="str">
        <f>IF(D13&gt;=0, "income to be allocated", "allocated not covered by income")</f>
        <v>income to be allocated</v>
      </c>
      <c r="I14" s="37"/>
    </row>
    <row r="15" spans="1:20" x14ac:dyDescent="0.3">
      <c r="I15" s="37"/>
    </row>
    <row r="17" spans="3:14" x14ac:dyDescent="0.3">
      <c r="C17" s="144" t="s">
        <v>56</v>
      </c>
      <c r="D17" s="144"/>
      <c r="E17" s="144"/>
      <c r="F17" s="144"/>
      <c r="G17" s="39"/>
    </row>
    <row r="18" spans="3:14" x14ac:dyDescent="0.3">
      <c r="C18" s="37"/>
      <c r="D18" s="36"/>
      <c r="E18" s="36"/>
      <c r="F18" s="38"/>
      <c r="G18" s="39"/>
    </row>
    <row r="19" spans="3:14" x14ac:dyDescent="0.3">
      <c r="C19" s="53" t="s">
        <v>57</v>
      </c>
      <c r="D19" s="54" cm="1">
        <f t="array" aca="1" ref="D19" ca="1">IF('BUDGET DASHBOARD'!AQ6="Current year", YEAR(current_date), 'BUDGET DASHBOARD'!AQ6)</f>
        <v>2025</v>
      </c>
      <c r="E19" s="36"/>
      <c r="F19" s="38"/>
      <c r="G19" s="39"/>
    </row>
    <row r="20" spans="3:14" x14ac:dyDescent="0.3">
      <c r="C20" s="51" t="s">
        <v>58</v>
      </c>
      <c r="D20" s="52" cm="1">
        <f t="array" aca="1" ref="D20" ca="1">IF('BUDGET DASHBOARD'!AQ9="Total Year", "Total Year", IF('BUDGET DASHBOARD'!AQ9="Current Month",MONTH(current_date),MONTH('BUDGET DASHBOARD'!AQ9)))</f>
        <v>8</v>
      </c>
      <c r="E20" s="36"/>
      <c r="F20" s="38"/>
      <c r="G20" s="39"/>
    </row>
    <row r="21" spans="3:14" x14ac:dyDescent="0.3">
      <c r="C21" s="55" t="s">
        <v>59</v>
      </c>
      <c r="D21" s="56" t="str">
        <f ca="1">IF(selected_period="Total Year","Total Year",TEXT(DATE(selected_year,selected_period,1), "μμμμ"))</f>
        <v>Αυγούστου</v>
      </c>
      <c r="E21" s="36"/>
      <c r="F21" s="38"/>
      <c r="G21" s="39"/>
    </row>
    <row r="22" spans="3:14" x14ac:dyDescent="0.3">
      <c r="C22" s="55" t="s">
        <v>106</v>
      </c>
      <c r="D22" s="98">
        <f ca="1">IF(selected_period="Total Year",DATE(selected_year,12,31)-DATE(selected_year-1,12,31),DAY(EOMONTH(DATE(selected_year,selected_period,1),0)))</f>
        <v>31</v>
      </c>
      <c r="E22" s="36"/>
      <c r="F22" s="38"/>
      <c r="G22" s="39"/>
    </row>
    <row r="23" spans="3:14" x14ac:dyDescent="0.3">
      <c r="C23" s="55" t="s">
        <v>107</v>
      </c>
      <c r="D23" s="1" cm="1">
        <f t="array" aca="1" ref="D23" ca="1">IF(selected_year=YEAR(current_date),IF(selected_period="Total Year",current_date-DATE(selected_year-1,12,31), IF(selected_period=MONTH(current_date),DAY(current_date),IF(selected_period&lt;MONTH(current_date),D22,0))),IF(selected_year&lt;YEAR(current_date),D22,0))</f>
        <v>15</v>
      </c>
    </row>
    <row r="24" spans="3:14" x14ac:dyDescent="0.3">
      <c r="C24" s="55" t="s">
        <v>108</v>
      </c>
      <c r="D24" s="111">
        <f ca="1">D23/D22</f>
        <v>0.4838709677419355</v>
      </c>
    </row>
    <row r="25" spans="3:14" x14ac:dyDescent="0.3">
      <c r="C25" s="40" t="s">
        <v>109</v>
      </c>
      <c r="D25" s="107">
        <f ca="1">F41-(J41+N41)</f>
        <v>530.47000000000014</v>
      </c>
    </row>
    <row r="26" spans="3:14" x14ac:dyDescent="0.3">
      <c r="C26" s="40" t="s">
        <v>44</v>
      </c>
      <c r="D26" s="36" t="str">
        <f ca="1">IF(D25&gt;=0, "income to be allocated", "allocated not covered by income")</f>
        <v>income to be allocated</v>
      </c>
    </row>
    <row r="27" spans="3:14" x14ac:dyDescent="0.3">
      <c r="C27" s="40" t="s">
        <v>111</v>
      </c>
      <c r="D27" s="111">
        <f ca="1">IFERROR(IF(savings_rate_type="% allocated to Savings",CALCULATIONS!F41/CALCULATIONS!N41,(CALCULATIONS!F41-CALCULATIONS!J41)/CALCULATIONS!F41),"-")</f>
        <v>0.45450417259283382</v>
      </c>
    </row>
    <row r="32" spans="3:14" x14ac:dyDescent="0.3">
      <c r="D32" s="75" t="s">
        <v>83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</row>
    <row r="34" spans="4:14" x14ac:dyDescent="0.3">
      <c r="D34" s="76" t="s">
        <v>6</v>
      </c>
      <c r="E34" s="76" t="s">
        <v>84</v>
      </c>
      <c r="F34" s="76" t="s">
        <v>17</v>
      </c>
      <c r="H34" s="76" t="s">
        <v>9</v>
      </c>
      <c r="I34" s="76" t="s">
        <v>84</v>
      </c>
      <c r="J34" s="76" t="s">
        <v>17</v>
      </c>
      <c r="L34" s="76" t="s">
        <v>10</v>
      </c>
      <c r="M34" s="76" t="s">
        <v>84</v>
      </c>
      <c r="N34" s="76" t="s">
        <v>17</v>
      </c>
    </row>
    <row r="35" spans="4:14" x14ac:dyDescent="0.3">
      <c r="D35" s="43">
        <v>1</v>
      </c>
      <c r="E35" s="43" t="str" cm="1">
        <f t="array" aca="1" ref="E35" ca="1">IF(F35="","",INDEX('BUDGET DASHBOARD'!$J:$J,MATCH(income_header_row +CALCULATIONS!D35,'BUDGET DASHBOARD'!$X:$X,0)))</f>
        <v>Μισθός</v>
      </c>
      <c r="F35" s="70" cm="1">
        <f t="array" aca="1" ref="F35" ca="1">IF(D35&gt;COUNTA(Income[]),"",IF(INDEX('BUDGET DASHBOARD'!$K:$K,MATCH(income_header_row +CALCULATIONS!D35,'BUDGET DASHBOARD'!$X:$X,0))=0,"",INDEX('BUDGET DASHBOARD'!$K:$K,MATCH(income_header_row +CALCULATIONS!D35,'BUDGET DASHBOARD'!$X:$X,0))))</f>
        <v>1167.1400000000001</v>
      </c>
      <c r="H35" s="43">
        <v>1</v>
      </c>
      <c r="I35" s="43" t="str" cm="1">
        <f t="array" aca="1" ref="I35" ca="1">IF(J35="","",INDEX('BUDGET DASHBOARD'!$J:$J,MATCH(expenses_header_row +CALCULATIONS!H35,'BUDGET DASHBOARD'!$X:$X,0)))</f>
        <v>Ενοίκιο</v>
      </c>
      <c r="J35" s="70" cm="1">
        <f t="array" aca="1" ref="J35" ca="1">IF(H35&gt;COUNTA(Expenses[]),"",IF(INDEX('BUDGET DASHBOARD'!$K:$K,MATCH(expenses_header_row +CALCULATIONS!H35,'BUDGET DASHBOARD'!$X:$X,0))=0,"",INDEX('BUDGET DASHBOARD'!$K:$K,MATCH(expenses_header_row +CALCULATIONS!H35,'BUDGET DASHBOARD'!$X:$X,0))))</f>
        <v>400</v>
      </c>
      <c r="L35" s="43">
        <v>1</v>
      </c>
      <c r="M35" s="43" t="str" cm="1">
        <f t="array" aca="1" ref="M35" ca="1">IF(N35="","",INDEX('BUDGET DASHBOARD'!$J:$J,MATCH(savings_header_row +CALCULATIONS!L35,'BUDGET DASHBOARD'!$X:$X,0)))</f>
        <v/>
      </c>
      <c r="N35" s="70" t="str" cm="1">
        <f t="array" aca="1" ref="N35" ca="1">IF(L35&gt;COUNTA(Savings[]),"",IF(INDEX('BUDGET DASHBOARD'!$K:$K,MATCH(savings_header_row +CALCULATIONS!L35,'BUDGET DASHBOARD'!$X:$X,0))=0,"",INDEX('BUDGET DASHBOARD'!$K:$K,MATCH(savings_header_row +CALCULATIONS!L35,'BUDGET DASHBOARD'!$X:$X,0))))</f>
        <v/>
      </c>
    </row>
    <row r="36" spans="4:14" x14ac:dyDescent="0.3">
      <c r="D36" s="43">
        <v>2</v>
      </c>
      <c r="E36" s="43" t="str" cm="1">
        <f t="array" ref="E36">IF(F36="","",INDEX('BUDGET DASHBOARD'!$J:$J,MATCH(income_header_row +CALCULATIONS!D36,'BUDGET DASHBOARD'!$X:$X,0)))</f>
        <v/>
      </c>
      <c r="F36" s="70" t="str" cm="1">
        <f t="array" ref="F36">IF(D36&gt;COUNTA(Income[]),"",IF(INDEX('BUDGET DASHBOARD'!$K:$K,MATCH(income_header_row +CALCULATIONS!D36,'BUDGET DASHBOARD'!$X:$X,0))=0,"",INDEX('BUDGET DASHBOARD'!$K:$K,MATCH(income_header_row +CALCULATIONS!D36,'BUDGET DASHBOARD'!$X:$X,0))))</f>
        <v/>
      </c>
      <c r="H36" s="43">
        <v>2</v>
      </c>
      <c r="I36" s="43" t="str" cm="1">
        <f t="array" aca="1" ref="I36" ca="1">IF(J36="","",INDEX('BUDGET DASHBOARD'!$J:$J,MATCH(expenses_header_row +CALCULATIONS!H36,'BUDGET DASHBOARD'!$X:$X,0)))</f>
        <v>Έξοδος</v>
      </c>
      <c r="J36" s="70" cm="1">
        <f t="array" aca="1" ref="J36" ca="1">IF(H36&gt;COUNTA(Expenses[]),"",IF(INDEX('BUDGET DASHBOARD'!$K:$K,MATCH(expenses_header_row +CALCULATIONS!H36,'BUDGET DASHBOARD'!$X:$X,0))=0,"",INDEX('BUDGET DASHBOARD'!$K:$K,MATCH(expenses_header_row +CALCULATIONS!H36,'BUDGET DASHBOARD'!$X:$X,0))))</f>
        <v>128.1</v>
      </c>
      <c r="L36" s="43">
        <v>2</v>
      </c>
      <c r="M36" s="43" t="str" cm="1">
        <f t="array" ref="M36">IF(N36="","",INDEX('BUDGET DASHBOARD'!$J:$J,MATCH(savings_header_row +CALCULATIONS!L36,'BUDGET DASHBOARD'!$X:$X,0)))</f>
        <v/>
      </c>
      <c r="N36" s="70" t="str" cm="1">
        <f t="array" ref="N36">IF(L36&gt;COUNTA(Savings[]),"",IF(INDEX('BUDGET DASHBOARD'!$K:$K,MATCH(savings_header_row +CALCULATIONS!L36,'BUDGET DASHBOARD'!$X:$X,0))=0,"",INDEX('BUDGET DASHBOARD'!$K:$K,MATCH(savings_header_row +CALCULATIONS!L36,'BUDGET DASHBOARD'!$X:$X,0))))</f>
        <v/>
      </c>
    </row>
    <row r="37" spans="4:14" x14ac:dyDescent="0.3">
      <c r="D37" s="43">
        <v>3</v>
      </c>
      <c r="E37" s="43" t="str" cm="1">
        <f t="array" ref="E37">IF(F37="","",INDEX('BUDGET DASHBOARD'!$J:$J,MATCH(income_header_row +CALCULATIONS!D37,'BUDGET DASHBOARD'!$X:$X,0)))</f>
        <v/>
      </c>
      <c r="F37" s="70" t="str" cm="1">
        <f t="array" ref="F37">IF(D37&gt;COUNTA(Income[]),"",IF(INDEX('BUDGET DASHBOARD'!$K:$K,MATCH(income_header_row +CALCULATIONS!D37,'BUDGET DASHBOARD'!$X:$X,0))=0,"",INDEX('BUDGET DASHBOARD'!$K:$K,MATCH(income_header_row +CALCULATIONS!D37,'BUDGET DASHBOARD'!$X:$X,0))))</f>
        <v/>
      </c>
      <c r="H37" s="43">
        <v>3</v>
      </c>
      <c r="I37" s="43" t="str" cm="1">
        <f t="array" aca="1" ref="I37" ca="1">IF(J37="","",INDEX('BUDGET DASHBOARD'!$J:$J,MATCH(expenses_header_row +CALCULATIONS!H37,'BUDGET DASHBOARD'!$X:$X,0)))</f>
        <v>Λοιπά</v>
      </c>
      <c r="J37" s="70" cm="1">
        <f t="array" aca="1" ref="J37" ca="1">IF(H37&gt;COUNTA(Expenses[]),"",IF(INDEX('BUDGET DASHBOARD'!$K:$K,MATCH(expenses_header_row +CALCULATIONS!H37,'BUDGET DASHBOARD'!$X:$X,0))=0,"",INDEX('BUDGET DASHBOARD'!$K:$K,MATCH(expenses_header_row +CALCULATIONS!H37,'BUDGET DASHBOARD'!$X:$X,0))))</f>
        <v>56.91</v>
      </c>
      <c r="L37" s="43">
        <v>3</v>
      </c>
      <c r="M37" s="43" t="str" cm="1">
        <f t="array" ref="M37">IF(N37="","",INDEX('BUDGET DASHBOARD'!$J:$J,MATCH(savings_header_row +CALCULATIONS!L37,'BUDGET DASHBOARD'!$X:$X,0)))</f>
        <v/>
      </c>
      <c r="N37" s="70" t="str" cm="1">
        <f t="array" ref="N37">IF(L37&gt;COUNTA(Savings[]),"",IF(INDEX('BUDGET DASHBOARD'!$K:$K,MATCH(savings_header_row +CALCULATIONS!L37,'BUDGET DASHBOARD'!$X:$X,0))=0,"",INDEX('BUDGET DASHBOARD'!$K:$K,MATCH(savings_header_row +CALCULATIONS!L37,'BUDGET DASHBOARD'!$X:$X,0))))</f>
        <v/>
      </c>
    </row>
    <row r="38" spans="4:14" x14ac:dyDescent="0.3">
      <c r="D38" s="43">
        <v>4</v>
      </c>
      <c r="E38" s="43" t="str" cm="1">
        <f t="array" ref="E38">IF(F38="","",INDEX('BUDGET DASHBOARD'!$J:$J,MATCH(income_header_row +CALCULATIONS!D38,'BUDGET DASHBOARD'!$X:$X,0)))</f>
        <v/>
      </c>
      <c r="F38" s="70" t="str" cm="1">
        <f t="array" ref="F38">IF(D38&gt;COUNTA(Income[]),"",IF(INDEX('BUDGET DASHBOARD'!$K:$K,MATCH(income_header_row +CALCULATIONS!D38,'BUDGET DASHBOARD'!$X:$X,0))=0,"",INDEX('BUDGET DASHBOARD'!$K:$K,MATCH(income_header_row +CALCULATIONS!D38,'BUDGET DASHBOARD'!$X:$X,0))))</f>
        <v/>
      </c>
      <c r="H38" s="43">
        <v>4</v>
      </c>
      <c r="I38" s="43" t="str" cm="1">
        <f t="array" aca="1" ref="I38" ca="1">IF(J38="","",INDEX('BUDGET DASHBOARD'!$J:$J,MATCH(expenses_header_row +CALCULATIONS!H38,'BUDGET DASHBOARD'!$X:$X,0)))</f>
        <v xml:space="preserve">Μάρκετ </v>
      </c>
      <c r="J38" s="70" cm="1">
        <f t="array" aca="1" ref="J38" ca="1">IF(H38&gt;COUNTA(Expenses[]),"",IF(INDEX('BUDGET DASHBOARD'!$K:$K,MATCH(expenses_header_row +CALCULATIONS!H38,'BUDGET DASHBOARD'!$X:$X,0))=0,"",INDEX('BUDGET DASHBOARD'!$K:$K,MATCH(expenses_header_row +CALCULATIONS!H38,'BUDGET DASHBOARD'!$X:$X,0))))</f>
        <v>38.659999999999997</v>
      </c>
      <c r="L38" s="43">
        <v>4</v>
      </c>
      <c r="M38" s="43" t="str" cm="1">
        <f t="array" ref="M38">IF(N38="","",INDEX('BUDGET DASHBOARD'!$J:$J,MATCH(savings_header_row +CALCULATIONS!L38,'BUDGET DASHBOARD'!$X:$X,0)))</f>
        <v/>
      </c>
      <c r="N38" s="70" t="str" cm="1">
        <f t="array" ref="N38">IF(L38&gt;COUNTA(Savings[]),"",IF(INDEX('BUDGET DASHBOARD'!$K:$K,MATCH(savings_header_row +CALCULATIONS!L38,'BUDGET DASHBOARD'!$X:$X,0))=0,"",INDEX('BUDGET DASHBOARD'!$K:$K,MATCH(savings_header_row +CALCULATIONS!L38,'BUDGET DASHBOARD'!$X:$X,0))))</f>
        <v/>
      </c>
    </row>
    <row r="39" spans="4:14" x14ac:dyDescent="0.3">
      <c r="D39" s="43">
        <v>5</v>
      </c>
      <c r="E39" s="43" t="str" cm="1">
        <f t="array" ref="E39">IF(F39="","",INDEX('BUDGET DASHBOARD'!$J:$J,MATCH(income_header_row +CALCULATIONS!D39,'BUDGET DASHBOARD'!$X:$X,0)))</f>
        <v/>
      </c>
      <c r="F39" s="70" t="str" cm="1">
        <f t="array" ref="F39">IF(D39&gt;COUNTA(Income[]),"",IF(INDEX('BUDGET DASHBOARD'!$K:$K,MATCH(income_header_row +CALCULATIONS!D39,'BUDGET DASHBOARD'!$X:$X,0))=0,"",INDEX('BUDGET DASHBOARD'!$K:$K,MATCH(income_header_row +CALCULATIONS!D39,'BUDGET DASHBOARD'!$X:$X,0))))</f>
        <v/>
      </c>
      <c r="H39" s="43">
        <v>5</v>
      </c>
      <c r="I39" s="43" t="str" cm="1">
        <f t="array" aca="1" ref="I39" ca="1">IF(J39="","",INDEX('BUDGET DASHBOARD'!$J:$J,MATCH(expenses_header_row +CALCULATIONS!H39,'BUDGET DASHBOARD'!$X:$X,0)))</f>
        <v>Μονάδες Κινητό</v>
      </c>
      <c r="J39" s="70" cm="1">
        <f t="array" aca="1" ref="J39" ca="1">IF(H39&gt;COUNTA(Expenses[]),"",IF(INDEX('BUDGET DASHBOARD'!$K:$K,MATCH(expenses_header_row +CALCULATIONS!H39,'BUDGET DASHBOARD'!$X:$X,0))=0,"",INDEX('BUDGET DASHBOARD'!$K:$K,MATCH(expenses_header_row +CALCULATIONS!H39,'BUDGET DASHBOARD'!$X:$X,0))))</f>
        <v>13</v>
      </c>
      <c r="L39" s="43">
        <v>5</v>
      </c>
      <c r="M39" s="43" t="str" cm="1">
        <f t="array" ref="M39">IF(N39="","",INDEX('BUDGET DASHBOARD'!$J:$J,MATCH(savings_header_row +CALCULATIONS!L39,'BUDGET DASHBOARD'!$X:$X,0)))</f>
        <v/>
      </c>
      <c r="N39" s="70" t="str" cm="1">
        <f t="array" ref="N39">IF(L39&gt;COUNTA(Savings[]),"",IF(INDEX('BUDGET DASHBOARD'!$K:$K,MATCH(savings_header_row +CALCULATIONS!L39,'BUDGET DASHBOARD'!$X:$X,0))=0,"",INDEX('BUDGET DASHBOARD'!$K:$K,MATCH(savings_header_row +CALCULATIONS!L39,'BUDGET DASHBOARD'!$X:$X,0))))</f>
        <v/>
      </c>
    </row>
    <row r="40" spans="4:14" ht="15" thickBot="1" x14ac:dyDescent="0.35">
      <c r="D40" s="77">
        <v>6</v>
      </c>
      <c r="E40" s="77" t="s">
        <v>105</v>
      </c>
      <c r="F40" s="79" t="str">
        <f ca="1">IF(F41-SUM(F35:F39)=0,"",F41-SUM(F35:F39))</f>
        <v/>
      </c>
      <c r="H40" s="77">
        <v>6</v>
      </c>
      <c r="I40" s="77" t="s">
        <v>105</v>
      </c>
      <c r="J40" s="79" t="str">
        <f ca="1">IF(J41-SUM(J35:J39)=0,"",J41-SUM(J35:J39))</f>
        <v/>
      </c>
      <c r="L40" s="77">
        <v>6</v>
      </c>
      <c r="M40" s="77" t="s">
        <v>105</v>
      </c>
      <c r="N40" s="79" t="str">
        <f ca="1">IF(N41-SUM(N35:N39)=0,"",N41-SUM(N35:N39))</f>
        <v/>
      </c>
    </row>
    <row r="41" spans="4:14" ht="15" thickTop="1" x14ac:dyDescent="0.3">
      <c r="D41" s="43"/>
      <c r="E41" s="78" t="s">
        <v>85</v>
      </c>
      <c r="F41" s="80" cm="1">
        <f t="array" aca="1" ref="F41" ca="1">INDEX('BUDGET DASHBOARD'!$K:$K,MATCH(income_total_row,'BUDGET DASHBOARD'!$X:$X,0))</f>
        <v>1167.1400000000001</v>
      </c>
      <c r="H41" s="43"/>
      <c r="I41" s="78" t="s">
        <v>85</v>
      </c>
      <c r="J41" s="80" cm="1">
        <f t="array" aca="1" ref="J41" ca="1">INDEX('BUDGET DASHBOARD'!$K:$K,MATCH(expenses_total_row,'BUDGET DASHBOARD'!$X:$X,0))</f>
        <v>636.66999999999996</v>
      </c>
      <c r="L41" s="43"/>
      <c r="M41" s="78" t="s">
        <v>85</v>
      </c>
      <c r="N41" s="80" cm="1">
        <f t="array" aca="1" ref="N41" ca="1">INDEX('BUDGET DASHBOARD'!$K:$K,MATCH(savings_total_row,'BUDGET DASHBOARD'!$X:$X,0))</f>
        <v>0</v>
      </c>
    </row>
    <row r="47" spans="4:14" x14ac:dyDescent="0.3">
      <c r="D47" s="75" t="s">
        <v>86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</row>
    <row r="49" spans="4:18" x14ac:dyDescent="0.3">
      <c r="D49" s="9" t="s">
        <v>101</v>
      </c>
      <c r="E49" s="1" t="b">
        <v>1</v>
      </c>
    </row>
    <row r="50" spans="4:18" x14ac:dyDescent="0.3">
      <c r="D50" s="9" t="s">
        <v>102</v>
      </c>
      <c r="E50" s="1" t="b">
        <v>1</v>
      </c>
    </row>
    <row r="51" spans="4:18" x14ac:dyDescent="0.3">
      <c r="D51" s="9" t="s">
        <v>103</v>
      </c>
      <c r="E51" s="1" t="b">
        <v>1</v>
      </c>
    </row>
    <row r="52" spans="4:18" x14ac:dyDescent="0.3">
      <c r="D52" s="9" t="s">
        <v>104</v>
      </c>
      <c r="E52" s="1" t="b">
        <v>1</v>
      </c>
    </row>
    <row r="53" spans="4:18" x14ac:dyDescent="0.3">
      <c r="M53" s="145" t="s">
        <v>96</v>
      </c>
      <c r="N53" s="145"/>
      <c r="O53" s="145"/>
      <c r="P53" s="146" t="s">
        <v>100</v>
      </c>
      <c r="Q53" s="146"/>
      <c r="R53" s="146"/>
    </row>
    <row r="54" spans="4:18" s="85" customFormat="1" x14ac:dyDescent="0.3">
      <c r="D54" s="86" t="s">
        <v>87</v>
      </c>
      <c r="E54" s="86" t="s">
        <v>88</v>
      </c>
      <c r="F54" s="86" t="s">
        <v>89</v>
      </c>
      <c r="G54" s="86" t="s">
        <v>90</v>
      </c>
      <c r="H54" s="86" t="s">
        <v>91</v>
      </c>
      <c r="I54" s="86" t="s">
        <v>92</v>
      </c>
      <c r="J54" s="86" t="s">
        <v>93</v>
      </c>
      <c r="K54" s="86" t="s">
        <v>94</v>
      </c>
      <c r="L54" s="86" t="s">
        <v>95</v>
      </c>
      <c r="M54" s="86" t="s">
        <v>97</v>
      </c>
      <c r="N54" s="86" t="s">
        <v>98</v>
      </c>
      <c r="O54" s="86" t="s">
        <v>99</v>
      </c>
      <c r="P54" s="86" t="s">
        <v>97</v>
      </c>
      <c r="Q54" s="86" t="s">
        <v>98</v>
      </c>
      <c r="R54" s="86" t="s">
        <v>99</v>
      </c>
    </row>
    <row r="55" spans="4:18" x14ac:dyDescent="0.3">
      <c r="D55" s="141">
        <f ca="1">DATE(selected_year,1,1)</f>
        <v>45658</v>
      </c>
      <c r="E55" s="87" t="s">
        <v>6</v>
      </c>
      <c r="F55" s="87">
        <f ca="1">MONTH(D55)</f>
        <v>1</v>
      </c>
      <c r="G55" s="87">
        <f ca="1">IF(selected_period="Total Year",1,IF(selected_period=cc_month_number,1,0))</f>
        <v>0</v>
      </c>
      <c r="H55" s="87">
        <f>1*$E$49</f>
        <v>1</v>
      </c>
      <c r="I55" s="87">
        <f>1*$E$52</f>
        <v>1</v>
      </c>
      <c r="J55" s="92" cm="1">
        <f t="array" aca="1" ref="J55" ca="1">SUM(Tracking[Amount]*(Tracking[[Type ]]=cc_type)*(YEAR(Tracking[[Date ]])=selected_year)*(MONTH(Tracking[[Date ]])=cc_month_number))</f>
        <v>1151.6099999999999</v>
      </c>
      <c r="K55" s="92" cm="1">
        <f t="array" aca="1" ref="K55" ca="1">INDEX('BUDGET PLANNING'!$E:$DK,income_total_row, MATCH(DATE(selected_year,cc_month_number,1),'BUDGET PLANNING'!$E$9:$DK$9,0))</f>
        <v>0</v>
      </c>
      <c r="L55" s="93">
        <f ca="1">cc_budget-cc_tracked</f>
        <v>-1151.6099999999999</v>
      </c>
      <c r="M55" s="90">
        <f ca="1">cc_in_focus*cc_show_type*MIN(cc_tracked,cc_budget)</f>
        <v>0</v>
      </c>
      <c r="N55" s="90">
        <f ca="1">cc_in_focus*cc_show_type*cc_show_remaining_budget*IF(cc_delta&gt;0,cc_delta,0)</f>
        <v>0</v>
      </c>
      <c r="O55" s="90">
        <f ca="1">cc_in_focus*cc_show_type*IF(cc_delta&lt;0,ABS(cc_delta),0)</f>
        <v>0</v>
      </c>
      <c r="P55" s="90">
        <f ca="1">NOT(cc_in_focus)*cc_show_type*MIN(cc_tracked,cc_budget)</f>
        <v>0</v>
      </c>
      <c r="Q55" s="90">
        <f ca="1">NOT(cc_in_focus)*cc_show_type*cc_show_remaining_budget*IF(cc_delta&gt;0,cc_delta,0)</f>
        <v>0</v>
      </c>
      <c r="R55" s="90">
        <f ca="1">NOT(cc_in_focus)*cc_show_type*IF(cc_delta&lt;0,ABS(cc_delta),0)</f>
        <v>1151.6099999999999</v>
      </c>
    </row>
    <row r="56" spans="4:18" x14ac:dyDescent="0.3">
      <c r="D56" s="142"/>
      <c r="E56" s="88" t="s">
        <v>9</v>
      </c>
      <c r="F56" s="88">
        <f ca="1">MONTH(D55)</f>
        <v>1</v>
      </c>
      <c r="G56" s="88">
        <f ca="1">IF(selected_period="Total Year",1,IF(selected_period=cc_month_number,1,0))</f>
        <v>0</v>
      </c>
      <c r="H56" s="88">
        <f>1*$E$50</f>
        <v>1</v>
      </c>
      <c r="I56" s="88">
        <f t="shared" ref="I56" si="0">1*$E$52</f>
        <v>1</v>
      </c>
      <c r="J56" s="94" cm="1">
        <f t="array" aca="1" ref="J56" ca="1">SUM(Tracking[Amount]*(Tracking[[Type ]]=cc_type)*(YEAR(Tracking[[Date ]])=selected_year)*(MONTH(Tracking[[Date ]])=cc_month_number))</f>
        <v>1061.3400000000001</v>
      </c>
      <c r="K56" s="94" cm="1">
        <f t="array" aca="1" ref="K56" ca="1">INDEX('BUDGET PLANNING'!$E:$DK,expenses_total_row, MATCH(DATE(selected_year,cc_month_number,1),'BUDGET PLANNING'!$E$9:$DK$9,0))</f>
        <v>0</v>
      </c>
      <c r="L56" s="95">
        <f ca="1">cc_budget-cc_tracked</f>
        <v>-1061.3400000000001</v>
      </c>
      <c r="M56" s="91">
        <f ca="1">cc_in_focus*cc_show_type*MIN(cc_tracked,cc_budget)</f>
        <v>0</v>
      </c>
      <c r="N56" s="91">
        <f ca="1">cc_in_focus*cc_show_type*cc_show_remaining_budget*IF(cc_delta&gt;0,cc_delta,0)</f>
        <v>0</v>
      </c>
      <c r="O56" s="91">
        <f ca="1">cc_in_focus*cc_show_type*IF(cc_delta&lt;0,ABS(cc_delta),0)</f>
        <v>0</v>
      </c>
      <c r="P56" s="91">
        <f ca="1">NOT(cc_in_focus)*cc_show_type*MIN(cc_tracked,cc_budget)</f>
        <v>0</v>
      </c>
      <c r="Q56" s="91">
        <f ca="1">NOT(cc_in_focus)*cc_show_type*cc_show_remaining_budget*IF(cc_delta&gt;0,cc_delta,0)</f>
        <v>0</v>
      </c>
      <c r="R56" s="91">
        <f ca="1">NOT(cc_in_focus)*cc_show_type*IF(cc_delta&lt;0,ABS(cc_delta),0)</f>
        <v>1061.3400000000001</v>
      </c>
    </row>
    <row r="57" spans="4:18" x14ac:dyDescent="0.3">
      <c r="D57" s="142"/>
      <c r="E57" s="88" t="s">
        <v>10</v>
      </c>
      <c r="F57" s="88">
        <f ca="1">MONTH(D55)</f>
        <v>1</v>
      </c>
      <c r="G57" s="88">
        <f ca="1">IF(selected_period="Total Year",1,IF(selected_period=cc_month_number,1,0))</f>
        <v>0</v>
      </c>
      <c r="H57" s="88">
        <f>1*$E$51</f>
        <v>1</v>
      </c>
      <c r="I57" s="88">
        <f>1*$E$52</f>
        <v>1</v>
      </c>
      <c r="J57" s="94" cm="1">
        <f t="array" aca="1" ref="J57" ca="1">SUM(Tracking[Amount]*(Tracking[[Type ]]=cc_type)*(YEAR(Tracking[[Date ]])=selected_year)*(MONTH(Tracking[[Date ]])=cc_month_number))</f>
        <v>0</v>
      </c>
      <c r="K57" s="94" cm="1">
        <f t="array" aca="1" ref="K57" ca="1">INDEX('BUDGET PLANNING'!$E:$DK,savings_total_row, MATCH(DATE(selected_year,cc_month_number,1),'BUDGET PLANNING'!$E$9:$DK$9,0))</f>
        <v>0</v>
      </c>
      <c r="L57" s="95">
        <f ca="1">cc_budget-cc_tracked</f>
        <v>0</v>
      </c>
      <c r="M57" s="91">
        <f ca="1">cc_in_focus*cc_show_type*MIN(cc_tracked,cc_budget)</f>
        <v>0</v>
      </c>
      <c r="N57" s="91">
        <f ca="1">cc_in_focus*cc_show_type*cc_show_remaining_budget*IF(cc_delta&gt;0,cc_delta,0)</f>
        <v>0</v>
      </c>
      <c r="O57" s="91">
        <f ca="1">cc_in_focus*cc_show_type*IF(cc_delta&lt;0,ABS(cc_delta),0)</f>
        <v>0</v>
      </c>
      <c r="P57" s="91">
        <f ca="1">NOT(cc_in_focus)*cc_show_type*MIN(cc_tracked,cc_budget)</f>
        <v>0</v>
      </c>
      <c r="Q57" s="91">
        <f ca="1">NOT(cc_in_focus)*cc_show_type*cc_show_remaining_budget*IF(cc_delta&gt;0,cc_delta,0)</f>
        <v>0</v>
      </c>
      <c r="R57" s="91">
        <f ca="1">NOT(cc_in_focus)*cc_show_type*IF(cc_delta&lt;0,ABS(cc_delta),0)</f>
        <v>0</v>
      </c>
    </row>
    <row r="58" spans="4:18" x14ac:dyDescent="0.3">
      <c r="D58" s="143"/>
      <c r="E58" s="89"/>
      <c r="F58" s="89"/>
      <c r="G58" s="89"/>
      <c r="H58" s="89"/>
      <c r="I58" s="89"/>
      <c r="J58" s="96"/>
      <c r="K58" s="96"/>
      <c r="L58" s="97"/>
      <c r="M58" s="89"/>
      <c r="N58" s="89"/>
      <c r="O58" s="89"/>
      <c r="P58" s="89"/>
      <c r="Q58" s="89"/>
      <c r="R58" s="89"/>
    </row>
    <row r="59" spans="4:18" x14ac:dyDescent="0.3">
      <c r="D59" s="141">
        <f ca="1">DATE(selected_year,2,1)</f>
        <v>45689</v>
      </c>
      <c r="E59" s="87" t="s">
        <v>6</v>
      </c>
      <c r="F59" s="87">
        <f t="shared" ref="F59" ca="1" si="1">MONTH(D59)</f>
        <v>2</v>
      </c>
      <c r="G59" s="87">
        <f ca="1">IF(selected_period="Total Year",1,IF(selected_period=cc_month_number,1,0))</f>
        <v>0</v>
      </c>
      <c r="H59" s="87">
        <f t="shared" ref="H59" si="2">1*$E$49</f>
        <v>1</v>
      </c>
      <c r="I59" s="87">
        <f t="shared" ref="I59:I101" si="3">1*$E$52</f>
        <v>1</v>
      </c>
      <c r="J59" s="92" cm="1">
        <f t="array" aca="1" ref="J59" ca="1">SUM(Tracking[Amount]*(Tracking[[Type ]]=cc_type)*(YEAR(Tracking[[Date ]])=selected_year)*(MONTH(Tracking[[Date ]])=cc_month_number))</f>
        <v>1151.6099999999999</v>
      </c>
      <c r="K59" s="92" cm="1">
        <f t="array" aca="1" ref="K59" ca="1">INDEX('BUDGET PLANNING'!$E:$DK,income_total_row, MATCH(DATE(selected_year,cc_month_number,1),'BUDGET PLANNING'!$E$9:$DK$9,0))</f>
        <v>0</v>
      </c>
      <c r="L59" s="93">
        <f ca="1">cc_budget-cc_tracked</f>
        <v>-1151.6099999999999</v>
      </c>
      <c r="M59" s="90">
        <f ca="1">cc_in_focus*cc_show_type*MIN(cc_tracked,cc_budget)</f>
        <v>0</v>
      </c>
      <c r="N59" s="90">
        <f ca="1">cc_in_focus*cc_show_type*cc_show_remaining_budget*IF(cc_delta&gt;0,cc_delta,0)</f>
        <v>0</v>
      </c>
      <c r="O59" s="90">
        <f ca="1">cc_in_focus*cc_show_type*IF(cc_delta&lt;0,ABS(cc_delta),0)</f>
        <v>0</v>
      </c>
      <c r="P59" s="90">
        <f ca="1">NOT(cc_in_focus)*cc_show_type*MIN(cc_tracked,cc_budget)</f>
        <v>0</v>
      </c>
      <c r="Q59" s="90">
        <f ca="1">NOT(cc_in_focus)*cc_show_type*cc_show_remaining_budget*IF(cc_delta&gt;0,cc_delta,0)</f>
        <v>0</v>
      </c>
      <c r="R59" s="90">
        <f ca="1">NOT(cc_in_focus)*cc_show_type*IF(cc_delta&lt;0,ABS(cc_delta),0)</f>
        <v>1151.6099999999999</v>
      </c>
    </row>
    <row r="60" spans="4:18" x14ac:dyDescent="0.3">
      <c r="D60" s="142"/>
      <c r="E60" s="88" t="s">
        <v>9</v>
      </c>
      <c r="F60" s="88">
        <f t="shared" ref="F60" ca="1" si="4">MONTH(D59)</f>
        <v>2</v>
      </c>
      <c r="G60" s="88">
        <f ca="1">IF(selected_period="Total Year",1,IF(selected_period=cc_month_number,1,0))</f>
        <v>0</v>
      </c>
      <c r="H60" s="88">
        <f t="shared" ref="H60" si="5">1*$E$50</f>
        <v>1</v>
      </c>
      <c r="I60" s="88">
        <f t="shared" si="3"/>
        <v>1</v>
      </c>
      <c r="J60" s="94" cm="1">
        <f t="array" aca="1" ref="J60" ca="1">SUM(Tracking[Amount]*(Tracking[[Type ]]=cc_type)*(YEAR(Tracking[[Date ]])=selected_year)*(MONTH(Tracking[[Date ]])=cc_month_number))</f>
        <v>888.37</v>
      </c>
      <c r="K60" s="94" cm="1">
        <f t="array" aca="1" ref="K60" ca="1">INDEX('BUDGET PLANNING'!$E:$DK,expenses_total_row, MATCH(DATE(selected_year,cc_month_number,1),'BUDGET PLANNING'!$E$9:$DK$9,0))</f>
        <v>0</v>
      </c>
      <c r="L60" s="95">
        <f ca="1">cc_budget-cc_tracked</f>
        <v>-888.37</v>
      </c>
      <c r="M60" s="91">
        <f ca="1">cc_in_focus*cc_show_type*MIN(cc_tracked,cc_budget)</f>
        <v>0</v>
      </c>
      <c r="N60" s="91">
        <f ca="1">cc_in_focus*cc_show_type*cc_show_remaining_budget*IF(cc_delta&gt;0,cc_delta,0)</f>
        <v>0</v>
      </c>
      <c r="O60" s="91">
        <f ca="1">cc_in_focus*cc_show_type*IF(cc_delta&lt;0,ABS(cc_delta),0)</f>
        <v>0</v>
      </c>
      <c r="P60" s="91">
        <f ca="1">NOT(cc_in_focus)*cc_show_type*MIN(cc_tracked,cc_budget)</f>
        <v>0</v>
      </c>
      <c r="Q60" s="91">
        <f ca="1">NOT(cc_in_focus)*cc_show_type*cc_show_remaining_budget*IF(cc_delta&gt;0,cc_delta,0)</f>
        <v>0</v>
      </c>
      <c r="R60" s="91">
        <f ca="1">NOT(cc_in_focus)*cc_show_type*IF(cc_delta&lt;0,ABS(cc_delta),0)</f>
        <v>888.37</v>
      </c>
    </row>
    <row r="61" spans="4:18" x14ac:dyDescent="0.3">
      <c r="D61" s="142"/>
      <c r="E61" s="88" t="s">
        <v>10</v>
      </c>
      <c r="F61" s="88">
        <f t="shared" ref="F61" ca="1" si="6">MONTH(D59)</f>
        <v>2</v>
      </c>
      <c r="G61" s="88">
        <f ca="1">IF(selected_period="Total Year",1,IF(selected_period=cc_month_number,1,0))</f>
        <v>0</v>
      </c>
      <c r="H61" s="88">
        <f t="shared" ref="H61" si="7">1*$E$51</f>
        <v>1</v>
      </c>
      <c r="I61" s="88">
        <f t="shared" si="3"/>
        <v>1</v>
      </c>
      <c r="J61" s="94" cm="1">
        <f t="array" aca="1" ref="J61" ca="1">SUM(Tracking[Amount]*(Tracking[[Type ]]=cc_type)*(YEAR(Tracking[[Date ]])=selected_year)*(MONTH(Tracking[[Date ]])=cc_month_number))</f>
        <v>0</v>
      </c>
      <c r="K61" s="94" cm="1">
        <f t="array" aca="1" ref="K61" ca="1">INDEX('BUDGET PLANNING'!$E:$DK,savings_total_row, MATCH(DATE(selected_year,cc_month_number,1),'BUDGET PLANNING'!$E$9:$DK$9,0))</f>
        <v>0</v>
      </c>
      <c r="L61" s="95">
        <f ca="1">cc_budget-cc_tracked</f>
        <v>0</v>
      </c>
      <c r="M61" s="91">
        <f ca="1">cc_in_focus*cc_show_type*MIN(cc_tracked,cc_budget)</f>
        <v>0</v>
      </c>
      <c r="N61" s="91">
        <f ca="1">cc_in_focus*cc_show_type*cc_show_remaining_budget*IF(cc_delta&gt;0,cc_delta,0)</f>
        <v>0</v>
      </c>
      <c r="O61" s="91">
        <f ca="1">cc_in_focus*cc_show_type*IF(cc_delta&lt;0,ABS(cc_delta),0)</f>
        <v>0</v>
      </c>
      <c r="P61" s="91">
        <f ca="1">NOT(cc_in_focus)*cc_show_type*MIN(cc_tracked,cc_budget)</f>
        <v>0</v>
      </c>
      <c r="Q61" s="91">
        <f ca="1">NOT(cc_in_focus)*cc_show_type*cc_show_remaining_budget*IF(cc_delta&gt;0,cc_delta,0)</f>
        <v>0</v>
      </c>
      <c r="R61" s="91">
        <f ca="1">NOT(cc_in_focus)*cc_show_type*IF(cc_delta&lt;0,ABS(cc_delta),0)</f>
        <v>0</v>
      </c>
    </row>
    <row r="62" spans="4:18" x14ac:dyDescent="0.3">
      <c r="D62" s="143"/>
      <c r="E62" s="89"/>
      <c r="F62" s="89"/>
      <c r="G62" s="89"/>
      <c r="H62" s="89"/>
      <c r="I62" s="89"/>
      <c r="J62" s="96"/>
      <c r="K62" s="96"/>
      <c r="L62" s="97"/>
      <c r="M62" s="89"/>
      <c r="N62" s="89"/>
      <c r="O62" s="89"/>
      <c r="P62" s="89"/>
      <c r="Q62" s="89"/>
      <c r="R62" s="89"/>
    </row>
    <row r="63" spans="4:18" x14ac:dyDescent="0.3">
      <c r="D63" s="141">
        <f ca="1">DATE(selected_year,3,1)</f>
        <v>45717</v>
      </c>
      <c r="E63" s="87" t="s">
        <v>6</v>
      </c>
      <c r="F63" s="87">
        <f t="shared" ref="F63" ca="1" si="8">MONTH(D63)</f>
        <v>3</v>
      </c>
      <c r="G63" s="87">
        <f ca="1">IF(selected_period="Total Year",1,IF(selected_period=cc_month_number,1,0))</f>
        <v>0</v>
      </c>
      <c r="H63" s="87">
        <f t="shared" ref="H63" si="9">1*$E$49</f>
        <v>1</v>
      </c>
      <c r="I63" s="87">
        <f t="shared" ref="I63" si="10">1*$E$52</f>
        <v>1</v>
      </c>
      <c r="J63" s="92" cm="1">
        <f t="array" aca="1" ref="J63" ca="1">SUM(Tracking[Amount]*(Tracking[[Type ]]=cc_type)*(YEAR(Tracking[[Date ]])=selected_year)*(MONTH(Tracking[[Date ]])=cc_month_number))</f>
        <v>1175.77</v>
      </c>
      <c r="K63" s="92" cm="1">
        <f t="array" aca="1" ref="K63" ca="1">INDEX('BUDGET PLANNING'!$E:$DK,income_total_row, MATCH(DATE(selected_year,cc_month_number,1),'BUDGET PLANNING'!$E$9:$DK$9,0))</f>
        <v>0</v>
      </c>
      <c r="L63" s="93">
        <f ca="1">cc_budget-cc_tracked</f>
        <v>-1175.77</v>
      </c>
      <c r="M63" s="90">
        <f ca="1">cc_in_focus*cc_show_type*MIN(cc_tracked,cc_budget)</f>
        <v>0</v>
      </c>
      <c r="N63" s="90">
        <f ca="1">cc_in_focus*cc_show_type*cc_show_remaining_budget*IF(cc_delta&gt;0,cc_delta,0)</f>
        <v>0</v>
      </c>
      <c r="O63" s="90">
        <f ca="1">cc_in_focus*cc_show_type*IF(cc_delta&lt;0,ABS(cc_delta),0)</f>
        <v>0</v>
      </c>
      <c r="P63" s="90">
        <f ca="1">NOT(cc_in_focus)*cc_show_type*MIN(cc_tracked,cc_budget)</f>
        <v>0</v>
      </c>
      <c r="Q63" s="90">
        <f ca="1">NOT(cc_in_focus)*cc_show_type*cc_show_remaining_budget*IF(cc_delta&gt;0,cc_delta,0)</f>
        <v>0</v>
      </c>
      <c r="R63" s="90">
        <f ca="1">NOT(cc_in_focus)*cc_show_type*IF(cc_delta&lt;0,ABS(cc_delta),0)</f>
        <v>1175.77</v>
      </c>
    </row>
    <row r="64" spans="4:18" x14ac:dyDescent="0.3">
      <c r="D64" s="142"/>
      <c r="E64" s="88" t="s">
        <v>9</v>
      </c>
      <c r="F64" s="88">
        <f t="shared" ref="F64" ca="1" si="11">MONTH(D63)</f>
        <v>3</v>
      </c>
      <c r="G64" s="88">
        <f ca="1">IF(selected_period="Total Year",1,IF(selected_period=cc_month_number,1,0))</f>
        <v>0</v>
      </c>
      <c r="H64" s="88">
        <f t="shared" ref="H64" si="12">1*$E$50</f>
        <v>1</v>
      </c>
      <c r="I64" s="88">
        <f t="shared" si="3"/>
        <v>1</v>
      </c>
      <c r="J64" s="94" cm="1">
        <f t="array" aca="1" ref="J64" ca="1">SUM(Tracking[Amount]*(Tracking[[Type ]]=cc_type)*(YEAR(Tracking[[Date ]])=selected_year)*(MONTH(Tracking[[Date ]])=cc_month_number))</f>
        <v>1006.12</v>
      </c>
      <c r="K64" s="94" cm="1">
        <f t="array" aca="1" ref="K64" ca="1">INDEX('BUDGET PLANNING'!$E:$DK,expenses_total_row, MATCH(DATE(selected_year,cc_month_number,1),'BUDGET PLANNING'!$E$9:$DK$9,0))</f>
        <v>0</v>
      </c>
      <c r="L64" s="95">
        <f ca="1">cc_budget-cc_tracked</f>
        <v>-1006.12</v>
      </c>
      <c r="M64" s="91">
        <f ca="1">cc_in_focus*cc_show_type*MIN(cc_tracked,cc_budget)</f>
        <v>0</v>
      </c>
      <c r="N64" s="91">
        <f ca="1">cc_in_focus*cc_show_type*cc_show_remaining_budget*IF(cc_delta&gt;0,cc_delta,0)</f>
        <v>0</v>
      </c>
      <c r="O64" s="91">
        <f ca="1">cc_in_focus*cc_show_type*IF(cc_delta&lt;0,ABS(cc_delta),0)</f>
        <v>0</v>
      </c>
      <c r="P64" s="91">
        <f ca="1">NOT(cc_in_focus)*cc_show_type*MIN(cc_tracked,cc_budget)</f>
        <v>0</v>
      </c>
      <c r="Q64" s="91">
        <f ca="1">NOT(cc_in_focus)*cc_show_type*cc_show_remaining_budget*IF(cc_delta&gt;0,cc_delta,0)</f>
        <v>0</v>
      </c>
      <c r="R64" s="91">
        <f ca="1">NOT(cc_in_focus)*cc_show_type*IF(cc_delta&lt;0,ABS(cc_delta),0)</f>
        <v>1006.12</v>
      </c>
    </row>
    <row r="65" spans="4:18" x14ac:dyDescent="0.3">
      <c r="D65" s="142"/>
      <c r="E65" s="88" t="s">
        <v>10</v>
      </c>
      <c r="F65" s="88">
        <f t="shared" ref="F65" ca="1" si="13">MONTH(D63)</f>
        <v>3</v>
      </c>
      <c r="G65" s="88">
        <f ca="1">IF(selected_period="Total Year",1,IF(selected_period=cc_month_number,1,0))</f>
        <v>0</v>
      </c>
      <c r="H65" s="88">
        <f t="shared" ref="H65" si="14">1*$E$51</f>
        <v>1</v>
      </c>
      <c r="I65" s="88">
        <f t="shared" si="3"/>
        <v>1</v>
      </c>
      <c r="J65" s="94" cm="1">
        <f t="array" aca="1" ref="J65" ca="1">SUM(Tracking[Amount]*(Tracking[[Type ]]=cc_type)*(YEAR(Tracking[[Date ]])=selected_year)*(MONTH(Tracking[[Date ]])=cc_month_number))</f>
        <v>0</v>
      </c>
      <c r="K65" s="94" cm="1">
        <f t="array" aca="1" ref="K65" ca="1">INDEX('BUDGET PLANNING'!$E:$DK,savings_total_row, MATCH(DATE(selected_year,cc_month_number,1),'BUDGET PLANNING'!$E$9:$DK$9,0))</f>
        <v>0</v>
      </c>
      <c r="L65" s="95">
        <f ca="1">cc_budget-cc_tracked</f>
        <v>0</v>
      </c>
      <c r="M65" s="91">
        <f ca="1">cc_in_focus*cc_show_type*MIN(cc_tracked,cc_budget)</f>
        <v>0</v>
      </c>
      <c r="N65" s="91">
        <f ca="1">cc_in_focus*cc_show_type*cc_show_remaining_budget*IF(cc_delta&gt;0,cc_delta,0)</f>
        <v>0</v>
      </c>
      <c r="O65" s="91">
        <f ca="1">cc_in_focus*cc_show_type*IF(cc_delta&lt;0,ABS(cc_delta),0)</f>
        <v>0</v>
      </c>
      <c r="P65" s="91">
        <f ca="1">NOT(cc_in_focus)*cc_show_type*MIN(cc_tracked,cc_budget)</f>
        <v>0</v>
      </c>
      <c r="Q65" s="91">
        <f ca="1">NOT(cc_in_focus)*cc_show_type*cc_show_remaining_budget*IF(cc_delta&gt;0,cc_delta,0)</f>
        <v>0</v>
      </c>
      <c r="R65" s="91">
        <f ca="1">NOT(cc_in_focus)*cc_show_type*IF(cc_delta&lt;0,ABS(cc_delta),0)</f>
        <v>0</v>
      </c>
    </row>
    <row r="66" spans="4:18" x14ac:dyDescent="0.3">
      <c r="D66" s="143"/>
      <c r="E66" s="89"/>
      <c r="F66" s="89"/>
      <c r="G66" s="89"/>
      <c r="H66" s="89"/>
      <c r="I66" s="89"/>
      <c r="J66" s="96"/>
      <c r="K66" s="96"/>
      <c r="L66" s="97"/>
      <c r="M66" s="89"/>
      <c r="N66" s="89"/>
      <c r="O66" s="89"/>
      <c r="P66" s="89"/>
      <c r="Q66" s="89"/>
      <c r="R66" s="89"/>
    </row>
    <row r="67" spans="4:18" x14ac:dyDescent="0.3">
      <c r="D67" s="141">
        <f ca="1">DATE(selected_year,4,1)</f>
        <v>45748</v>
      </c>
      <c r="E67" s="87" t="s">
        <v>6</v>
      </c>
      <c r="F67" s="87">
        <f t="shared" ref="F67" ca="1" si="15">MONTH(D67)</f>
        <v>4</v>
      </c>
      <c r="G67" s="87">
        <f ca="1">IF(selected_period="Total Year",1,IF(selected_period=cc_month_number,1,0))</f>
        <v>0</v>
      </c>
      <c r="H67" s="87">
        <f t="shared" ref="H67" si="16">1*$E$49</f>
        <v>1</v>
      </c>
      <c r="I67" s="87">
        <f t="shared" ref="I67" si="17">1*$E$52</f>
        <v>1</v>
      </c>
      <c r="J67" s="92" cm="1">
        <f t="array" aca="1" ref="J67" ca="1">SUM(Tracking[Amount]*(Tracking[[Type ]]=cc_type)*(YEAR(Tracking[[Date ]])=selected_year)*(MONTH(Tracking[[Date ]])=cc_month_number))</f>
        <v>1155.77</v>
      </c>
      <c r="K67" s="92" cm="1">
        <f t="array" aca="1" ref="K67" ca="1">INDEX('BUDGET PLANNING'!$E:$DK,income_total_row, MATCH(DATE(selected_year,cc_month_number,1),'BUDGET PLANNING'!$E$9:$DK$9,0))</f>
        <v>0</v>
      </c>
      <c r="L67" s="93">
        <f ca="1">cc_budget-cc_tracked</f>
        <v>-1155.77</v>
      </c>
      <c r="M67" s="90">
        <f ca="1">cc_in_focus*cc_show_type*MIN(cc_tracked,cc_budget)</f>
        <v>0</v>
      </c>
      <c r="N67" s="90">
        <f ca="1">cc_in_focus*cc_show_type*cc_show_remaining_budget*IF(cc_delta&gt;0,cc_delta,0)</f>
        <v>0</v>
      </c>
      <c r="O67" s="90">
        <f ca="1">cc_in_focus*cc_show_type*IF(cc_delta&lt;0,ABS(cc_delta),0)</f>
        <v>0</v>
      </c>
      <c r="P67" s="90">
        <f ca="1">NOT(cc_in_focus)*cc_show_type*MIN(cc_tracked,cc_budget)</f>
        <v>0</v>
      </c>
      <c r="Q67" s="90">
        <f ca="1">NOT(cc_in_focus)*cc_show_type*cc_show_remaining_budget*IF(cc_delta&gt;0,cc_delta,0)</f>
        <v>0</v>
      </c>
      <c r="R67" s="90">
        <f ca="1">NOT(cc_in_focus)*cc_show_type*IF(cc_delta&lt;0,ABS(cc_delta),0)</f>
        <v>1155.77</v>
      </c>
    </row>
    <row r="68" spans="4:18" x14ac:dyDescent="0.3">
      <c r="D68" s="142"/>
      <c r="E68" s="88" t="s">
        <v>9</v>
      </c>
      <c r="F68" s="88">
        <f t="shared" ref="F68" ca="1" si="18">MONTH(D67)</f>
        <v>4</v>
      </c>
      <c r="G68" s="88">
        <f ca="1">IF(selected_period="Total Year",1,IF(selected_period=cc_month_number,1,0))</f>
        <v>0</v>
      </c>
      <c r="H68" s="88">
        <f t="shared" ref="H68" si="19">1*$E$50</f>
        <v>1</v>
      </c>
      <c r="I68" s="88">
        <f t="shared" si="3"/>
        <v>1</v>
      </c>
      <c r="J68" s="94" cm="1">
        <f t="array" aca="1" ref="J68" ca="1">SUM(Tracking[Amount]*(Tracking[[Type ]]=cc_type)*(YEAR(Tracking[[Date ]])=selected_year)*(MONTH(Tracking[[Date ]])=cc_month_number))</f>
        <v>904.97999999999979</v>
      </c>
      <c r="K68" s="94" cm="1">
        <f t="array" aca="1" ref="K68" ca="1">INDEX('BUDGET PLANNING'!$E:$DK,expenses_total_row, MATCH(DATE(selected_year,cc_month_number,1),'BUDGET PLANNING'!$E$9:$DK$9,0))</f>
        <v>0</v>
      </c>
      <c r="L68" s="95">
        <f ca="1">cc_budget-cc_tracked</f>
        <v>-904.97999999999979</v>
      </c>
      <c r="M68" s="91">
        <f ca="1">cc_in_focus*cc_show_type*MIN(cc_tracked,cc_budget)</f>
        <v>0</v>
      </c>
      <c r="N68" s="91">
        <f ca="1">cc_in_focus*cc_show_type*cc_show_remaining_budget*IF(cc_delta&gt;0,cc_delta,0)</f>
        <v>0</v>
      </c>
      <c r="O68" s="91">
        <f ca="1">cc_in_focus*cc_show_type*IF(cc_delta&lt;0,ABS(cc_delta),0)</f>
        <v>0</v>
      </c>
      <c r="P68" s="91">
        <f ca="1">NOT(cc_in_focus)*cc_show_type*MIN(cc_tracked,cc_budget)</f>
        <v>0</v>
      </c>
      <c r="Q68" s="91">
        <f ca="1">NOT(cc_in_focus)*cc_show_type*cc_show_remaining_budget*IF(cc_delta&gt;0,cc_delta,0)</f>
        <v>0</v>
      </c>
      <c r="R68" s="91">
        <f ca="1">NOT(cc_in_focus)*cc_show_type*IF(cc_delta&lt;0,ABS(cc_delta),0)</f>
        <v>904.97999999999979</v>
      </c>
    </row>
    <row r="69" spans="4:18" x14ac:dyDescent="0.3">
      <c r="D69" s="142"/>
      <c r="E69" s="88" t="s">
        <v>10</v>
      </c>
      <c r="F69" s="88">
        <f t="shared" ref="F69" ca="1" si="20">MONTH(D67)</f>
        <v>4</v>
      </c>
      <c r="G69" s="88">
        <f ca="1">IF(selected_period="Total Year",1,IF(selected_period=cc_month_number,1,0))</f>
        <v>0</v>
      </c>
      <c r="H69" s="88">
        <f t="shared" ref="H69" si="21">1*$E$51</f>
        <v>1</v>
      </c>
      <c r="I69" s="88">
        <f t="shared" si="3"/>
        <v>1</v>
      </c>
      <c r="J69" s="94" cm="1">
        <f t="array" aca="1" ref="J69" ca="1">SUM(Tracking[Amount]*(Tracking[[Type ]]=cc_type)*(YEAR(Tracking[[Date ]])=selected_year)*(MONTH(Tracking[[Date ]])=cc_month_number))</f>
        <v>0</v>
      </c>
      <c r="K69" s="94" cm="1">
        <f t="array" aca="1" ref="K69" ca="1">INDEX('BUDGET PLANNING'!$E:$DK,savings_total_row, MATCH(DATE(selected_year,cc_month_number,1),'BUDGET PLANNING'!$E$9:$DK$9,0))</f>
        <v>0</v>
      </c>
      <c r="L69" s="95">
        <f ca="1">cc_budget-cc_tracked</f>
        <v>0</v>
      </c>
      <c r="M69" s="91">
        <f ca="1">cc_in_focus*cc_show_type*MIN(cc_tracked,cc_budget)</f>
        <v>0</v>
      </c>
      <c r="N69" s="91">
        <f ca="1">cc_in_focus*cc_show_type*cc_show_remaining_budget*IF(cc_delta&gt;0,cc_delta,0)</f>
        <v>0</v>
      </c>
      <c r="O69" s="91">
        <f ca="1">cc_in_focus*cc_show_type*IF(cc_delta&lt;0,ABS(cc_delta),0)</f>
        <v>0</v>
      </c>
      <c r="P69" s="91">
        <f ca="1">NOT(cc_in_focus)*cc_show_type*MIN(cc_tracked,cc_budget)</f>
        <v>0</v>
      </c>
      <c r="Q69" s="91">
        <f ca="1">NOT(cc_in_focus)*cc_show_type*cc_show_remaining_budget*IF(cc_delta&gt;0,cc_delta,0)</f>
        <v>0</v>
      </c>
      <c r="R69" s="91">
        <f ca="1">NOT(cc_in_focus)*cc_show_type*IF(cc_delta&lt;0,ABS(cc_delta),0)</f>
        <v>0</v>
      </c>
    </row>
    <row r="70" spans="4:18" x14ac:dyDescent="0.3">
      <c r="D70" s="143"/>
      <c r="E70" s="89"/>
      <c r="F70" s="89"/>
      <c r="G70" s="89"/>
      <c r="H70" s="89"/>
      <c r="I70" s="89"/>
      <c r="J70" s="96"/>
      <c r="K70" s="96"/>
      <c r="L70" s="97"/>
      <c r="M70" s="89"/>
      <c r="N70" s="89"/>
      <c r="O70" s="89"/>
      <c r="P70" s="89"/>
      <c r="Q70" s="89"/>
      <c r="R70" s="89"/>
    </row>
    <row r="71" spans="4:18" x14ac:dyDescent="0.3">
      <c r="D71" s="141">
        <f ca="1">DATE(selected_year,5,1)</f>
        <v>45778</v>
      </c>
      <c r="E71" s="87" t="s">
        <v>6</v>
      </c>
      <c r="F71" s="87">
        <f t="shared" ref="F71" ca="1" si="22">MONTH(D71)</f>
        <v>5</v>
      </c>
      <c r="G71" s="87">
        <f ca="1">IF(selected_period="Total Year",1,IF(selected_period=cc_month_number,1,0))</f>
        <v>0</v>
      </c>
      <c r="H71" s="87">
        <f t="shared" ref="H71" si="23">1*$E$49</f>
        <v>1</v>
      </c>
      <c r="I71" s="87">
        <f t="shared" ref="I71" si="24">1*$E$52</f>
        <v>1</v>
      </c>
      <c r="J71" s="92" cm="1">
        <f t="array" aca="1" ref="J71" ca="1">SUM(Tracking[Amount]*(Tracking[[Type ]]=cc_type)*(YEAR(Tracking[[Date ]])=selected_year)*(MONTH(Tracking[[Date ]])=cc_month_number))</f>
        <v>1180.8499999999999</v>
      </c>
      <c r="K71" s="92" cm="1">
        <f t="array" aca="1" ref="K71" ca="1">INDEX('BUDGET PLANNING'!$E:$DK,income_total_row, MATCH(DATE(selected_year,cc_month_number,1),'BUDGET PLANNING'!$E$9:$DK$9,0))</f>
        <v>0</v>
      </c>
      <c r="L71" s="93">
        <f ca="1">cc_budget-cc_tracked</f>
        <v>-1180.8499999999999</v>
      </c>
      <c r="M71" s="90">
        <f ca="1">cc_in_focus*cc_show_type*MIN(cc_tracked,cc_budget)</f>
        <v>0</v>
      </c>
      <c r="N71" s="90">
        <f ca="1">cc_in_focus*cc_show_type*cc_show_remaining_budget*IF(cc_delta&gt;0,cc_delta,0)</f>
        <v>0</v>
      </c>
      <c r="O71" s="90">
        <f ca="1">cc_in_focus*cc_show_type*IF(cc_delta&lt;0,ABS(cc_delta),0)</f>
        <v>0</v>
      </c>
      <c r="P71" s="90">
        <f ca="1">NOT(cc_in_focus)*cc_show_type*MIN(cc_tracked,cc_budget)</f>
        <v>0</v>
      </c>
      <c r="Q71" s="90">
        <f ca="1">NOT(cc_in_focus)*cc_show_type*cc_show_remaining_budget*IF(cc_delta&gt;0,cc_delta,0)</f>
        <v>0</v>
      </c>
      <c r="R71" s="90">
        <f ca="1">NOT(cc_in_focus)*cc_show_type*IF(cc_delta&lt;0,ABS(cc_delta),0)</f>
        <v>1180.8499999999999</v>
      </c>
    </row>
    <row r="72" spans="4:18" x14ac:dyDescent="0.3">
      <c r="D72" s="142"/>
      <c r="E72" s="88" t="s">
        <v>9</v>
      </c>
      <c r="F72" s="88">
        <f t="shared" ref="F72" ca="1" si="25">MONTH(D71)</f>
        <v>5</v>
      </c>
      <c r="G72" s="88">
        <f ca="1">IF(selected_period="Total Year",1,IF(selected_period=cc_month_number,1,0))</f>
        <v>0</v>
      </c>
      <c r="H72" s="88">
        <f t="shared" ref="H72" si="26">1*$E$50</f>
        <v>1</v>
      </c>
      <c r="I72" s="88">
        <f t="shared" si="3"/>
        <v>1</v>
      </c>
      <c r="J72" s="94" cm="1">
        <f t="array" aca="1" ref="J72" ca="1">SUM(Tracking[Amount]*(Tracking[[Type ]]=cc_type)*(YEAR(Tracking[[Date ]])=selected_year)*(MONTH(Tracking[[Date ]])=cc_month_number))</f>
        <v>1672.9799999999998</v>
      </c>
      <c r="K72" s="94" cm="1">
        <f t="array" aca="1" ref="K72" ca="1">INDEX('BUDGET PLANNING'!$E:$DK,expenses_total_row, MATCH(DATE(selected_year,cc_month_number,1),'BUDGET PLANNING'!$E$9:$DK$9,0))</f>
        <v>0</v>
      </c>
      <c r="L72" s="95">
        <f ca="1">cc_budget-cc_tracked</f>
        <v>-1672.9799999999998</v>
      </c>
      <c r="M72" s="91">
        <f ca="1">cc_in_focus*cc_show_type*MIN(cc_tracked,cc_budget)</f>
        <v>0</v>
      </c>
      <c r="N72" s="91">
        <f ca="1">cc_in_focus*cc_show_type*cc_show_remaining_budget*IF(cc_delta&gt;0,cc_delta,0)</f>
        <v>0</v>
      </c>
      <c r="O72" s="91">
        <f ca="1">cc_in_focus*cc_show_type*IF(cc_delta&lt;0,ABS(cc_delta),0)</f>
        <v>0</v>
      </c>
      <c r="P72" s="91">
        <f ca="1">NOT(cc_in_focus)*cc_show_type*MIN(cc_tracked,cc_budget)</f>
        <v>0</v>
      </c>
      <c r="Q72" s="91">
        <f ca="1">NOT(cc_in_focus)*cc_show_type*cc_show_remaining_budget*IF(cc_delta&gt;0,cc_delta,0)</f>
        <v>0</v>
      </c>
      <c r="R72" s="91">
        <f ca="1">NOT(cc_in_focus)*cc_show_type*IF(cc_delta&lt;0,ABS(cc_delta),0)</f>
        <v>1672.9799999999998</v>
      </c>
    </row>
    <row r="73" spans="4:18" x14ac:dyDescent="0.3">
      <c r="D73" s="142"/>
      <c r="E73" s="88" t="s">
        <v>10</v>
      </c>
      <c r="F73" s="88">
        <f t="shared" ref="F73" ca="1" si="27">MONTH(D71)</f>
        <v>5</v>
      </c>
      <c r="G73" s="88">
        <f ca="1">IF(selected_period="Total Year",1,IF(selected_period=cc_month_number,1,0))</f>
        <v>0</v>
      </c>
      <c r="H73" s="88">
        <f t="shared" ref="H73" si="28">1*$E$51</f>
        <v>1</v>
      </c>
      <c r="I73" s="88">
        <f t="shared" si="3"/>
        <v>1</v>
      </c>
      <c r="J73" s="94" cm="1">
        <f t="array" aca="1" ref="J73" ca="1">SUM(Tracking[Amount]*(Tracking[[Type ]]=cc_type)*(YEAR(Tracking[[Date ]])=selected_year)*(MONTH(Tracking[[Date ]])=cc_month_number))</f>
        <v>0</v>
      </c>
      <c r="K73" s="94" cm="1">
        <f t="array" aca="1" ref="K73" ca="1">INDEX('BUDGET PLANNING'!$E:$DK,savings_total_row, MATCH(DATE(selected_year,cc_month_number,1),'BUDGET PLANNING'!$E$9:$DK$9,0))</f>
        <v>0</v>
      </c>
      <c r="L73" s="95">
        <f ca="1">cc_budget-cc_tracked</f>
        <v>0</v>
      </c>
      <c r="M73" s="91">
        <f ca="1">cc_in_focus*cc_show_type*MIN(cc_tracked,cc_budget)</f>
        <v>0</v>
      </c>
      <c r="N73" s="91">
        <f ca="1">cc_in_focus*cc_show_type*cc_show_remaining_budget*IF(cc_delta&gt;0,cc_delta,0)</f>
        <v>0</v>
      </c>
      <c r="O73" s="91">
        <f ca="1">cc_in_focus*cc_show_type*IF(cc_delta&lt;0,ABS(cc_delta),0)</f>
        <v>0</v>
      </c>
      <c r="P73" s="91">
        <f ca="1">NOT(cc_in_focus)*cc_show_type*MIN(cc_tracked,cc_budget)</f>
        <v>0</v>
      </c>
      <c r="Q73" s="91">
        <f ca="1">NOT(cc_in_focus)*cc_show_type*cc_show_remaining_budget*IF(cc_delta&gt;0,cc_delta,0)</f>
        <v>0</v>
      </c>
      <c r="R73" s="91">
        <f ca="1">NOT(cc_in_focus)*cc_show_type*IF(cc_delta&lt;0,ABS(cc_delta),0)</f>
        <v>0</v>
      </c>
    </row>
    <row r="74" spans="4:18" x14ac:dyDescent="0.3">
      <c r="D74" s="143"/>
      <c r="E74" s="89"/>
      <c r="F74" s="89"/>
      <c r="G74" s="89"/>
      <c r="H74" s="89"/>
      <c r="I74" s="89"/>
      <c r="J74" s="96"/>
      <c r="K74" s="96"/>
      <c r="L74" s="97"/>
      <c r="M74" s="89"/>
      <c r="N74" s="89"/>
      <c r="O74" s="89"/>
      <c r="P74" s="89"/>
      <c r="Q74" s="89"/>
      <c r="R74" s="89"/>
    </row>
    <row r="75" spans="4:18" x14ac:dyDescent="0.3">
      <c r="D75" s="141">
        <f ca="1">DATE(selected_year,6,1)</f>
        <v>45809</v>
      </c>
      <c r="E75" s="87" t="s">
        <v>6</v>
      </c>
      <c r="F75" s="87">
        <f t="shared" ref="F75" ca="1" si="29">MONTH(D75)</f>
        <v>6</v>
      </c>
      <c r="G75" s="87">
        <f ca="1">IF(selected_period="Total Year",1,IF(selected_period=cc_month_number,1,0))</f>
        <v>0</v>
      </c>
      <c r="H75" s="87">
        <f t="shared" ref="H75" si="30">1*$E$49</f>
        <v>1</v>
      </c>
      <c r="I75" s="87">
        <f t="shared" ref="I75" si="31">1*$E$52</f>
        <v>1</v>
      </c>
      <c r="J75" s="92" cm="1">
        <f t="array" aca="1" ref="J75" ca="1">SUM(Tracking[Amount]*(Tracking[[Type ]]=cc_type)*(YEAR(Tracking[[Date ]])=selected_year)*(MONTH(Tracking[[Date ]])=cc_month_number))</f>
        <v>1174.26</v>
      </c>
      <c r="K75" s="92" cm="1">
        <f t="array" aca="1" ref="K75" ca="1">INDEX('BUDGET PLANNING'!$E:$DK,income_total_row, MATCH(DATE(selected_year,cc_month_number,1),'BUDGET PLANNING'!$E$9:$DK$9,0))</f>
        <v>0</v>
      </c>
      <c r="L75" s="93">
        <f ca="1">cc_budget-cc_tracked</f>
        <v>-1174.26</v>
      </c>
      <c r="M75" s="90">
        <f ca="1">cc_in_focus*cc_show_type*MIN(cc_tracked,cc_budget)</f>
        <v>0</v>
      </c>
      <c r="N75" s="90">
        <f ca="1">cc_in_focus*cc_show_type*cc_show_remaining_budget*IF(cc_delta&gt;0,cc_delta,0)</f>
        <v>0</v>
      </c>
      <c r="O75" s="90">
        <f ca="1">cc_in_focus*cc_show_type*IF(cc_delta&lt;0,ABS(cc_delta),0)</f>
        <v>0</v>
      </c>
      <c r="P75" s="90">
        <f ca="1">NOT(cc_in_focus)*cc_show_type*MIN(cc_tracked,cc_budget)</f>
        <v>0</v>
      </c>
      <c r="Q75" s="90">
        <f ca="1">NOT(cc_in_focus)*cc_show_type*cc_show_remaining_budget*IF(cc_delta&gt;0,cc_delta,0)</f>
        <v>0</v>
      </c>
      <c r="R75" s="90">
        <f ca="1">NOT(cc_in_focus)*cc_show_type*IF(cc_delta&lt;0,ABS(cc_delta),0)</f>
        <v>1174.26</v>
      </c>
    </row>
    <row r="76" spans="4:18" x14ac:dyDescent="0.3">
      <c r="D76" s="142"/>
      <c r="E76" s="88" t="s">
        <v>9</v>
      </c>
      <c r="F76" s="88">
        <f t="shared" ref="F76" ca="1" si="32">MONTH(D75)</f>
        <v>6</v>
      </c>
      <c r="G76" s="88">
        <f ca="1">IF(selected_period="Total Year",1,IF(selected_period=cc_month_number,1,0))</f>
        <v>0</v>
      </c>
      <c r="H76" s="88">
        <f t="shared" ref="H76" si="33">1*$E$50</f>
        <v>1</v>
      </c>
      <c r="I76" s="88">
        <f t="shared" si="3"/>
        <v>1</v>
      </c>
      <c r="J76" s="94" cm="1">
        <f t="array" aca="1" ref="J76" ca="1">SUM(Tracking[Amount]*(Tracking[[Type ]]=cc_type)*(YEAR(Tracking[[Date ]])=selected_year)*(MONTH(Tracking[[Date ]])=cc_month_number))</f>
        <v>981.74</v>
      </c>
      <c r="K76" s="94" cm="1">
        <f t="array" aca="1" ref="K76" ca="1">INDEX('BUDGET PLANNING'!$E:$DK,expenses_total_row, MATCH(DATE(selected_year,cc_month_number,1),'BUDGET PLANNING'!$E$9:$DK$9,0))</f>
        <v>0</v>
      </c>
      <c r="L76" s="95">
        <f ca="1">cc_budget-cc_tracked</f>
        <v>-981.74</v>
      </c>
      <c r="M76" s="91">
        <f ca="1">cc_in_focus*cc_show_type*MIN(cc_tracked,cc_budget)</f>
        <v>0</v>
      </c>
      <c r="N76" s="91">
        <f ca="1">cc_in_focus*cc_show_type*cc_show_remaining_budget*IF(cc_delta&gt;0,cc_delta,0)</f>
        <v>0</v>
      </c>
      <c r="O76" s="91">
        <f ca="1">cc_in_focus*cc_show_type*IF(cc_delta&lt;0,ABS(cc_delta),0)</f>
        <v>0</v>
      </c>
      <c r="P76" s="91">
        <f ca="1">NOT(cc_in_focus)*cc_show_type*MIN(cc_tracked,cc_budget)</f>
        <v>0</v>
      </c>
      <c r="Q76" s="91">
        <f ca="1">NOT(cc_in_focus)*cc_show_type*cc_show_remaining_budget*IF(cc_delta&gt;0,cc_delta,0)</f>
        <v>0</v>
      </c>
      <c r="R76" s="91">
        <f ca="1">NOT(cc_in_focus)*cc_show_type*IF(cc_delta&lt;0,ABS(cc_delta),0)</f>
        <v>981.74</v>
      </c>
    </row>
    <row r="77" spans="4:18" x14ac:dyDescent="0.3">
      <c r="D77" s="142"/>
      <c r="E77" s="88" t="s">
        <v>10</v>
      </c>
      <c r="F77" s="88">
        <f t="shared" ref="F77" ca="1" si="34">MONTH(D75)</f>
        <v>6</v>
      </c>
      <c r="G77" s="88">
        <f ca="1">IF(selected_period="Total Year",1,IF(selected_period=cc_month_number,1,0))</f>
        <v>0</v>
      </c>
      <c r="H77" s="88">
        <f t="shared" ref="H77" si="35">1*$E$51</f>
        <v>1</v>
      </c>
      <c r="I77" s="88">
        <f t="shared" si="3"/>
        <v>1</v>
      </c>
      <c r="J77" s="94" cm="1">
        <f t="array" aca="1" ref="J77" ca="1">SUM(Tracking[Amount]*(Tracking[[Type ]]=cc_type)*(YEAR(Tracking[[Date ]])=selected_year)*(MONTH(Tracking[[Date ]])=cc_month_number))</f>
        <v>0</v>
      </c>
      <c r="K77" s="94" cm="1">
        <f t="array" aca="1" ref="K77" ca="1">INDEX('BUDGET PLANNING'!$E:$DK,savings_total_row, MATCH(DATE(selected_year,cc_month_number,1),'BUDGET PLANNING'!$E$9:$DK$9,0))</f>
        <v>0</v>
      </c>
      <c r="L77" s="95">
        <f ca="1">cc_budget-cc_tracked</f>
        <v>0</v>
      </c>
      <c r="M77" s="91">
        <f ca="1">cc_in_focus*cc_show_type*MIN(cc_tracked,cc_budget)</f>
        <v>0</v>
      </c>
      <c r="N77" s="91">
        <f ca="1">cc_in_focus*cc_show_type*cc_show_remaining_budget*IF(cc_delta&gt;0,cc_delta,0)</f>
        <v>0</v>
      </c>
      <c r="O77" s="91">
        <f ca="1">cc_in_focus*cc_show_type*IF(cc_delta&lt;0,ABS(cc_delta),0)</f>
        <v>0</v>
      </c>
      <c r="P77" s="91">
        <f ca="1">NOT(cc_in_focus)*cc_show_type*MIN(cc_tracked,cc_budget)</f>
        <v>0</v>
      </c>
      <c r="Q77" s="91">
        <f ca="1">NOT(cc_in_focus)*cc_show_type*cc_show_remaining_budget*IF(cc_delta&gt;0,cc_delta,0)</f>
        <v>0</v>
      </c>
      <c r="R77" s="91">
        <f ca="1">NOT(cc_in_focus)*cc_show_type*IF(cc_delta&lt;0,ABS(cc_delta),0)</f>
        <v>0</v>
      </c>
    </row>
    <row r="78" spans="4:18" x14ac:dyDescent="0.3">
      <c r="D78" s="143"/>
      <c r="E78" s="89"/>
      <c r="F78" s="89"/>
      <c r="G78" s="89"/>
      <c r="H78" s="89"/>
      <c r="I78" s="89"/>
      <c r="J78" s="96"/>
      <c r="K78" s="96"/>
      <c r="L78" s="97"/>
      <c r="M78" s="89"/>
      <c r="N78" s="89"/>
      <c r="O78" s="89"/>
      <c r="P78" s="89"/>
      <c r="Q78" s="89"/>
      <c r="R78" s="89"/>
    </row>
    <row r="79" spans="4:18" x14ac:dyDescent="0.3">
      <c r="D79" s="141">
        <f ca="1">DATE(selected_year,7,1)</f>
        <v>45839</v>
      </c>
      <c r="E79" s="87" t="s">
        <v>6</v>
      </c>
      <c r="F79" s="87">
        <f t="shared" ref="F79" ca="1" si="36">MONTH(D79)</f>
        <v>7</v>
      </c>
      <c r="G79" s="87">
        <f ca="1">IF(selected_period="Total Year",1,IF(selected_period=cc_month_number,1,0))</f>
        <v>0</v>
      </c>
      <c r="H79" s="87">
        <f t="shared" ref="H79" si="37">1*$E$49</f>
        <v>1</v>
      </c>
      <c r="I79" s="87">
        <f t="shared" ref="I79" si="38">1*$E$52</f>
        <v>1</v>
      </c>
      <c r="J79" s="92" cm="1">
        <f t="array" aca="1" ref="J79" ca="1">SUM(Tracking[Amount]*(Tracking[[Type ]]=cc_type)*(YEAR(Tracking[[Date ]])=selected_year)*(MONTH(Tracking[[Date ]])=cc_month_number))</f>
        <v>1237.1400000000001</v>
      </c>
      <c r="K79" s="92" cm="1">
        <f t="array" aca="1" ref="K79" ca="1">INDEX('BUDGET PLANNING'!$E:$DK,income_total_row, MATCH(DATE(selected_year,cc_month_number,1),'BUDGET PLANNING'!$E$9:$DK$9,0))</f>
        <v>0</v>
      </c>
      <c r="L79" s="93">
        <f ca="1">cc_budget-cc_tracked</f>
        <v>-1237.1400000000001</v>
      </c>
      <c r="M79" s="90">
        <f ca="1">cc_in_focus*cc_show_type*MIN(cc_tracked,cc_budget)</f>
        <v>0</v>
      </c>
      <c r="N79" s="90">
        <f ca="1">cc_in_focus*cc_show_type*cc_show_remaining_budget*IF(cc_delta&gt;0,cc_delta,0)</f>
        <v>0</v>
      </c>
      <c r="O79" s="90">
        <f ca="1">cc_in_focus*cc_show_type*IF(cc_delta&lt;0,ABS(cc_delta),0)</f>
        <v>0</v>
      </c>
      <c r="P79" s="90">
        <f ca="1">NOT(cc_in_focus)*cc_show_type*MIN(cc_tracked,cc_budget)</f>
        <v>0</v>
      </c>
      <c r="Q79" s="90">
        <f ca="1">NOT(cc_in_focus)*cc_show_type*cc_show_remaining_budget*IF(cc_delta&gt;0,cc_delta,0)</f>
        <v>0</v>
      </c>
      <c r="R79" s="90">
        <f ca="1">NOT(cc_in_focus)*cc_show_type*IF(cc_delta&lt;0,ABS(cc_delta),0)</f>
        <v>1237.1400000000001</v>
      </c>
    </row>
    <row r="80" spans="4:18" x14ac:dyDescent="0.3">
      <c r="D80" s="142"/>
      <c r="E80" s="88" t="s">
        <v>9</v>
      </c>
      <c r="F80" s="88">
        <f t="shared" ref="F80" ca="1" si="39">MONTH(D79)</f>
        <v>7</v>
      </c>
      <c r="G80" s="88">
        <f ca="1">IF(selected_period="Total Year",1,IF(selected_period=cc_month_number,1,0))</f>
        <v>0</v>
      </c>
      <c r="H80" s="88">
        <f t="shared" ref="H80" si="40">1*$E$50</f>
        <v>1</v>
      </c>
      <c r="I80" s="88">
        <f t="shared" si="3"/>
        <v>1</v>
      </c>
      <c r="J80" s="94" cm="1">
        <f t="array" aca="1" ref="J80" ca="1">SUM(Tracking[Amount]*(Tracking[[Type ]]=cc_type)*(YEAR(Tracking[[Date ]])=selected_year)*(MONTH(Tracking[[Date ]])=cc_month_number))</f>
        <v>1235.3600000000001</v>
      </c>
      <c r="K80" s="94" cm="1">
        <f t="array" aca="1" ref="K80" ca="1">INDEX('BUDGET PLANNING'!$E:$DK,expenses_total_row, MATCH(DATE(selected_year,cc_month_number,1),'BUDGET PLANNING'!$E$9:$DK$9,0))</f>
        <v>0</v>
      </c>
      <c r="L80" s="95">
        <f ca="1">cc_budget-cc_tracked</f>
        <v>-1235.3600000000001</v>
      </c>
      <c r="M80" s="91">
        <f ca="1">cc_in_focus*cc_show_type*MIN(cc_tracked,cc_budget)</f>
        <v>0</v>
      </c>
      <c r="N80" s="91">
        <f ca="1">cc_in_focus*cc_show_type*cc_show_remaining_budget*IF(cc_delta&gt;0,cc_delta,0)</f>
        <v>0</v>
      </c>
      <c r="O80" s="91">
        <f ca="1">cc_in_focus*cc_show_type*IF(cc_delta&lt;0,ABS(cc_delta),0)</f>
        <v>0</v>
      </c>
      <c r="P80" s="91">
        <f ca="1">NOT(cc_in_focus)*cc_show_type*MIN(cc_tracked,cc_budget)</f>
        <v>0</v>
      </c>
      <c r="Q80" s="91">
        <f ca="1">NOT(cc_in_focus)*cc_show_type*cc_show_remaining_budget*IF(cc_delta&gt;0,cc_delta,0)</f>
        <v>0</v>
      </c>
      <c r="R80" s="91">
        <f ca="1">NOT(cc_in_focus)*cc_show_type*IF(cc_delta&lt;0,ABS(cc_delta),0)</f>
        <v>1235.3600000000001</v>
      </c>
    </row>
    <row r="81" spans="4:18" x14ac:dyDescent="0.3">
      <c r="D81" s="142"/>
      <c r="E81" s="88" t="s">
        <v>10</v>
      </c>
      <c r="F81" s="88">
        <f t="shared" ref="F81" ca="1" si="41">MONTH(D79)</f>
        <v>7</v>
      </c>
      <c r="G81" s="88">
        <f ca="1">IF(selected_period="Total Year",1,IF(selected_period=cc_month_number,1,0))</f>
        <v>0</v>
      </c>
      <c r="H81" s="88">
        <f t="shared" ref="H81" si="42">1*$E$51</f>
        <v>1</v>
      </c>
      <c r="I81" s="88">
        <f t="shared" si="3"/>
        <v>1</v>
      </c>
      <c r="J81" s="94" cm="1">
        <f t="array" aca="1" ref="J81" ca="1">SUM(Tracking[Amount]*(Tracking[[Type ]]=cc_type)*(YEAR(Tracking[[Date ]])=selected_year)*(MONTH(Tracking[[Date ]])=cc_month_number))</f>
        <v>0</v>
      </c>
      <c r="K81" s="94" cm="1">
        <f t="array" aca="1" ref="K81" ca="1">INDEX('BUDGET PLANNING'!$E:$DK,savings_total_row, MATCH(DATE(selected_year,cc_month_number,1),'BUDGET PLANNING'!$E$9:$DK$9,0))</f>
        <v>0</v>
      </c>
      <c r="L81" s="95">
        <f ca="1">cc_budget-cc_tracked</f>
        <v>0</v>
      </c>
      <c r="M81" s="91">
        <f ca="1">cc_in_focus*cc_show_type*MIN(cc_tracked,cc_budget)</f>
        <v>0</v>
      </c>
      <c r="N81" s="91">
        <f ca="1">cc_in_focus*cc_show_type*cc_show_remaining_budget*IF(cc_delta&gt;0,cc_delta,0)</f>
        <v>0</v>
      </c>
      <c r="O81" s="91">
        <f ca="1">cc_in_focus*cc_show_type*IF(cc_delta&lt;0,ABS(cc_delta),0)</f>
        <v>0</v>
      </c>
      <c r="P81" s="91">
        <f ca="1">NOT(cc_in_focus)*cc_show_type*MIN(cc_tracked,cc_budget)</f>
        <v>0</v>
      </c>
      <c r="Q81" s="91">
        <f ca="1">NOT(cc_in_focus)*cc_show_type*cc_show_remaining_budget*IF(cc_delta&gt;0,cc_delta,0)</f>
        <v>0</v>
      </c>
      <c r="R81" s="91">
        <f ca="1">NOT(cc_in_focus)*cc_show_type*IF(cc_delta&lt;0,ABS(cc_delta),0)</f>
        <v>0</v>
      </c>
    </row>
    <row r="82" spans="4:18" x14ac:dyDescent="0.3">
      <c r="D82" s="143"/>
      <c r="E82" s="89"/>
      <c r="F82" s="89"/>
      <c r="G82" s="89"/>
      <c r="H82" s="89"/>
      <c r="I82" s="89"/>
      <c r="J82" s="96"/>
      <c r="K82" s="96"/>
      <c r="L82" s="97"/>
      <c r="M82" s="89"/>
      <c r="N82" s="89"/>
      <c r="O82" s="89"/>
      <c r="P82" s="89"/>
      <c r="Q82" s="89"/>
      <c r="R82" s="89"/>
    </row>
    <row r="83" spans="4:18" x14ac:dyDescent="0.3">
      <c r="D83" s="141">
        <f ca="1">DATE(selected_year,8,1)</f>
        <v>45870</v>
      </c>
      <c r="E83" s="87" t="s">
        <v>6</v>
      </c>
      <c r="F83" s="87">
        <f t="shared" ref="F83" ca="1" si="43">MONTH(D83)</f>
        <v>8</v>
      </c>
      <c r="G83" s="87">
        <f ca="1">IF(selected_period="Total Year",1,IF(selected_period=cc_month_number,1,0))</f>
        <v>1</v>
      </c>
      <c r="H83" s="87">
        <f t="shared" ref="H83" si="44">1*$E$49</f>
        <v>1</v>
      </c>
      <c r="I83" s="87">
        <f t="shared" ref="I83" si="45">1*$E$52</f>
        <v>1</v>
      </c>
      <c r="J83" s="92" cm="1">
        <f t="array" aca="1" ref="J83" ca="1">SUM(Tracking[Amount]*(Tracking[[Type ]]=cc_type)*(YEAR(Tracking[[Date ]])=selected_year)*(MONTH(Tracking[[Date ]])=cc_month_number))</f>
        <v>1167.1400000000001</v>
      </c>
      <c r="K83" s="92" cm="1">
        <f t="array" aca="1" ref="K83" ca="1">INDEX('BUDGET PLANNING'!$E:$DK,income_total_row, MATCH(DATE(selected_year,cc_month_number,1),'BUDGET PLANNING'!$E$9:$DK$9,0))</f>
        <v>0</v>
      </c>
      <c r="L83" s="93">
        <f ca="1">cc_budget-cc_tracked</f>
        <v>-1167.1400000000001</v>
      </c>
      <c r="M83" s="90">
        <f ca="1">cc_in_focus*cc_show_type*MIN(cc_tracked,cc_budget)</f>
        <v>0</v>
      </c>
      <c r="N83" s="90">
        <f ca="1">cc_in_focus*cc_show_type*cc_show_remaining_budget*IF(cc_delta&gt;0,cc_delta,0)</f>
        <v>0</v>
      </c>
      <c r="O83" s="90">
        <f ca="1">cc_in_focus*cc_show_type*IF(cc_delta&lt;0,ABS(cc_delta),0)</f>
        <v>1167.1400000000001</v>
      </c>
      <c r="P83" s="90">
        <f ca="1">NOT(cc_in_focus)*cc_show_type*MIN(cc_tracked,cc_budget)</f>
        <v>0</v>
      </c>
      <c r="Q83" s="90">
        <f ca="1">NOT(cc_in_focus)*cc_show_type*cc_show_remaining_budget*IF(cc_delta&gt;0,cc_delta,0)</f>
        <v>0</v>
      </c>
      <c r="R83" s="90">
        <f ca="1">NOT(cc_in_focus)*cc_show_type*IF(cc_delta&lt;0,ABS(cc_delta),0)</f>
        <v>0</v>
      </c>
    </row>
    <row r="84" spans="4:18" x14ac:dyDescent="0.3">
      <c r="D84" s="142"/>
      <c r="E84" s="88" t="s">
        <v>9</v>
      </c>
      <c r="F84" s="88">
        <f t="shared" ref="F84" ca="1" si="46">MONTH(D83)</f>
        <v>8</v>
      </c>
      <c r="G84" s="88">
        <f ca="1">IF(selected_period="Total Year",1,IF(selected_period=cc_month_number,1,0))</f>
        <v>1</v>
      </c>
      <c r="H84" s="88">
        <f t="shared" ref="H84" si="47">1*$E$50</f>
        <v>1</v>
      </c>
      <c r="I84" s="88">
        <f t="shared" si="3"/>
        <v>1</v>
      </c>
      <c r="J84" s="94" cm="1">
        <f t="array" aca="1" ref="J84" ca="1">SUM(Tracking[Amount]*(Tracking[[Type ]]=cc_type)*(YEAR(Tracking[[Date ]])=selected_year)*(MONTH(Tracking[[Date ]])=cc_month_number))</f>
        <v>636.66999999999996</v>
      </c>
      <c r="K84" s="94" cm="1">
        <f t="array" aca="1" ref="K84" ca="1">INDEX('BUDGET PLANNING'!$E:$DK,expenses_total_row, MATCH(DATE(selected_year,cc_month_number,1),'BUDGET PLANNING'!$E$9:$DK$9,0))</f>
        <v>0</v>
      </c>
      <c r="L84" s="95">
        <f ca="1">cc_budget-cc_tracked</f>
        <v>-636.66999999999996</v>
      </c>
      <c r="M84" s="91">
        <f ca="1">cc_in_focus*cc_show_type*MIN(cc_tracked,cc_budget)</f>
        <v>0</v>
      </c>
      <c r="N84" s="91">
        <f ca="1">cc_in_focus*cc_show_type*cc_show_remaining_budget*IF(cc_delta&gt;0,cc_delta,0)</f>
        <v>0</v>
      </c>
      <c r="O84" s="91">
        <f ca="1">cc_in_focus*cc_show_type*IF(cc_delta&lt;0,ABS(cc_delta),0)</f>
        <v>636.66999999999996</v>
      </c>
      <c r="P84" s="91">
        <f ca="1">NOT(cc_in_focus)*cc_show_type*MIN(cc_tracked,cc_budget)</f>
        <v>0</v>
      </c>
      <c r="Q84" s="91">
        <f ca="1">NOT(cc_in_focus)*cc_show_type*cc_show_remaining_budget*IF(cc_delta&gt;0,cc_delta,0)</f>
        <v>0</v>
      </c>
      <c r="R84" s="91">
        <f ca="1">NOT(cc_in_focus)*cc_show_type*IF(cc_delta&lt;0,ABS(cc_delta),0)</f>
        <v>0</v>
      </c>
    </row>
    <row r="85" spans="4:18" x14ac:dyDescent="0.3">
      <c r="D85" s="142"/>
      <c r="E85" s="88" t="s">
        <v>10</v>
      </c>
      <c r="F85" s="88">
        <f t="shared" ref="F85" ca="1" si="48">MONTH(D83)</f>
        <v>8</v>
      </c>
      <c r="G85" s="88">
        <f ca="1">IF(selected_period="Total Year",1,IF(selected_period=cc_month_number,1,0))</f>
        <v>1</v>
      </c>
      <c r="H85" s="88">
        <f t="shared" ref="H85" si="49">1*$E$51</f>
        <v>1</v>
      </c>
      <c r="I85" s="88">
        <f t="shared" si="3"/>
        <v>1</v>
      </c>
      <c r="J85" s="94" cm="1">
        <f t="array" aca="1" ref="J85" ca="1">SUM(Tracking[Amount]*(Tracking[[Type ]]=cc_type)*(YEAR(Tracking[[Date ]])=selected_year)*(MONTH(Tracking[[Date ]])=cc_month_number))</f>
        <v>0</v>
      </c>
      <c r="K85" s="94" cm="1">
        <f t="array" aca="1" ref="K85" ca="1">INDEX('BUDGET PLANNING'!$E:$DK,savings_total_row, MATCH(DATE(selected_year,cc_month_number,1),'BUDGET PLANNING'!$E$9:$DK$9,0))</f>
        <v>0</v>
      </c>
      <c r="L85" s="95">
        <f ca="1">cc_budget-cc_tracked</f>
        <v>0</v>
      </c>
      <c r="M85" s="91">
        <f ca="1">cc_in_focus*cc_show_type*MIN(cc_tracked,cc_budget)</f>
        <v>0</v>
      </c>
      <c r="N85" s="91">
        <f ca="1">cc_in_focus*cc_show_type*cc_show_remaining_budget*IF(cc_delta&gt;0,cc_delta,0)</f>
        <v>0</v>
      </c>
      <c r="O85" s="91">
        <f ca="1">cc_in_focus*cc_show_type*IF(cc_delta&lt;0,ABS(cc_delta),0)</f>
        <v>0</v>
      </c>
      <c r="P85" s="91">
        <f ca="1">NOT(cc_in_focus)*cc_show_type*MIN(cc_tracked,cc_budget)</f>
        <v>0</v>
      </c>
      <c r="Q85" s="91">
        <f ca="1">NOT(cc_in_focus)*cc_show_type*cc_show_remaining_budget*IF(cc_delta&gt;0,cc_delta,0)</f>
        <v>0</v>
      </c>
      <c r="R85" s="91">
        <f ca="1">NOT(cc_in_focus)*cc_show_type*IF(cc_delta&lt;0,ABS(cc_delta),0)</f>
        <v>0</v>
      </c>
    </row>
    <row r="86" spans="4:18" x14ac:dyDescent="0.3">
      <c r="D86" s="143"/>
      <c r="E86" s="89"/>
      <c r="F86" s="89"/>
      <c r="G86" s="89"/>
      <c r="H86" s="89"/>
      <c r="I86" s="89"/>
      <c r="J86" s="96"/>
      <c r="K86" s="96"/>
      <c r="L86" s="97"/>
      <c r="M86" s="89"/>
      <c r="N86" s="89"/>
      <c r="O86" s="89"/>
      <c r="P86" s="89"/>
      <c r="Q86" s="89"/>
      <c r="R86" s="89"/>
    </row>
    <row r="87" spans="4:18" x14ac:dyDescent="0.3">
      <c r="D87" s="141">
        <f ca="1">DATE(selected_year,9,1)</f>
        <v>45901</v>
      </c>
      <c r="E87" s="87" t="s">
        <v>6</v>
      </c>
      <c r="F87" s="87">
        <f t="shared" ref="F87" ca="1" si="50">MONTH(D87)</f>
        <v>9</v>
      </c>
      <c r="G87" s="87">
        <f ca="1">IF(selected_period="Total Year",1,IF(selected_period=cc_month_number,1,0))</f>
        <v>0</v>
      </c>
      <c r="H87" s="87">
        <f t="shared" ref="H87" si="51">1*$E$49</f>
        <v>1</v>
      </c>
      <c r="I87" s="87">
        <f t="shared" ref="I87" si="52">1*$E$52</f>
        <v>1</v>
      </c>
      <c r="J87" s="92" cm="1">
        <f t="array" aca="1" ref="J87" ca="1">SUM(Tracking[Amount]*(Tracking[[Type ]]=cc_type)*(YEAR(Tracking[[Date ]])=selected_year)*(MONTH(Tracking[[Date ]])=cc_month_number))</f>
        <v>0</v>
      </c>
      <c r="K87" s="92" cm="1">
        <f t="array" aca="1" ref="K87" ca="1">INDEX('BUDGET PLANNING'!$E:$DK,income_total_row, MATCH(DATE(selected_year,cc_month_number,1),'BUDGET PLANNING'!$E$9:$DK$9,0))</f>
        <v>0</v>
      </c>
      <c r="L87" s="93">
        <f ca="1">cc_budget-cc_tracked</f>
        <v>0</v>
      </c>
      <c r="M87" s="90">
        <f ca="1">cc_in_focus*cc_show_type*MIN(cc_tracked,cc_budget)</f>
        <v>0</v>
      </c>
      <c r="N87" s="90">
        <f ca="1">cc_in_focus*cc_show_type*cc_show_remaining_budget*IF(cc_delta&gt;0,cc_delta,0)</f>
        <v>0</v>
      </c>
      <c r="O87" s="90">
        <f ca="1">cc_in_focus*cc_show_type*IF(cc_delta&lt;0,ABS(cc_delta),0)</f>
        <v>0</v>
      </c>
      <c r="P87" s="90">
        <f ca="1">NOT(cc_in_focus)*cc_show_type*MIN(cc_tracked,cc_budget)</f>
        <v>0</v>
      </c>
      <c r="Q87" s="90">
        <f ca="1">NOT(cc_in_focus)*cc_show_type*cc_show_remaining_budget*IF(cc_delta&gt;0,cc_delta,0)</f>
        <v>0</v>
      </c>
      <c r="R87" s="90">
        <f ca="1">NOT(cc_in_focus)*cc_show_type*IF(cc_delta&lt;0,ABS(cc_delta),0)</f>
        <v>0</v>
      </c>
    </row>
    <row r="88" spans="4:18" x14ac:dyDescent="0.3">
      <c r="D88" s="142"/>
      <c r="E88" s="88" t="s">
        <v>9</v>
      </c>
      <c r="F88" s="88">
        <f t="shared" ref="F88" ca="1" si="53">MONTH(D87)</f>
        <v>9</v>
      </c>
      <c r="G88" s="88">
        <f ca="1">IF(selected_period="Total Year",1,IF(selected_period=cc_month_number,1,0))</f>
        <v>0</v>
      </c>
      <c r="H88" s="88">
        <f t="shared" ref="H88" si="54">1*$E$50</f>
        <v>1</v>
      </c>
      <c r="I88" s="88">
        <f t="shared" si="3"/>
        <v>1</v>
      </c>
      <c r="J88" s="94" cm="1">
        <f t="array" aca="1" ref="J88" ca="1">SUM(Tracking[Amount]*(Tracking[[Type ]]=cc_type)*(YEAR(Tracking[[Date ]])=selected_year)*(MONTH(Tracking[[Date ]])=cc_month_number))</f>
        <v>0</v>
      </c>
      <c r="K88" s="94" cm="1">
        <f t="array" aca="1" ref="K88" ca="1">INDEX('BUDGET PLANNING'!$E:$DK,expenses_total_row, MATCH(DATE(selected_year,cc_month_number,1),'BUDGET PLANNING'!$E$9:$DK$9,0))</f>
        <v>0</v>
      </c>
      <c r="L88" s="95">
        <f ca="1">cc_budget-cc_tracked</f>
        <v>0</v>
      </c>
      <c r="M88" s="91">
        <f ca="1">cc_in_focus*cc_show_type*MIN(cc_tracked,cc_budget)</f>
        <v>0</v>
      </c>
      <c r="N88" s="91">
        <f ca="1">cc_in_focus*cc_show_type*cc_show_remaining_budget*IF(cc_delta&gt;0,cc_delta,0)</f>
        <v>0</v>
      </c>
      <c r="O88" s="91">
        <f ca="1">cc_in_focus*cc_show_type*IF(cc_delta&lt;0,ABS(cc_delta),0)</f>
        <v>0</v>
      </c>
      <c r="P88" s="91">
        <f ca="1">NOT(cc_in_focus)*cc_show_type*MIN(cc_tracked,cc_budget)</f>
        <v>0</v>
      </c>
      <c r="Q88" s="91">
        <f ca="1">NOT(cc_in_focus)*cc_show_type*cc_show_remaining_budget*IF(cc_delta&gt;0,cc_delta,0)</f>
        <v>0</v>
      </c>
      <c r="R88" s="91">
        <f ca="1">NOT(cc_in_focus)*cc_show_type*IF(cc_delta&lt;0,ABS(cc_delta),0)</f>
        <v>0</v>
      </c>
    </row>
    <row r="89" spans="4:18" x14ac:dyDescent="0.3">
      <c r="D89" s="142"/>
      <c r="E89" s="88" t="s">
        <v>10</v>
      </c>
      <c r="F89" s="88">
        <f t="shared" ref="F89" ca="1" si="55">MONTH(D87)</f>
        <v>9</v>
      </c>
      <c r="G89" s="88">
        <f ca="1">IF(selected_period="Total Year",1,IF(selected_period=cc_month_number,1,0))</f>
        <v>0</v>
      </c>
      <c r="H89" s="88">
        <f t="shared" ref="H89" si="56">1*$E$51</f>
        <v>1</v>
      </c>
      <c r="I89" s="88">
        <f t="shared" si="3"/>
        <v>1</v>
      </c>
      <c r="J89" s="94" cm="1">
        <f t="array" aca="1" ref="J89" ca="1">SUM(Tracking[Amount]*(Tracking[[Type ]]=cc_type)*(YEAR(Tracking[[Date ]])=selected_year)*(MONTH(Tracking[[Date ]])=cc_month_number))</f>
        <v>0</v>
      </c>
      <c r="K89" s="94" cm="1">
        <f t="array" aca="1" ref="K89" ca="1">INDEX('BUDGET PLANNING'!$E:$DK,savings_total_row, MATCH(DATE(selected_year,cc_month_number,1),'BUDGET PLANNING'!$E$9:$DK$9,0))</f>
        <v>0</v>
      </c>
      <c r="L89" s="95">
        <f ca="1">cc_budget-cc_tracked</f>
        <v>0</v>
      </c>
      <c r="M89" s="91">
        <f ca="1">cc_in_focus*cc_show_type*MIN(cc_tracked,cc_budget)</f>
        <v>0</v>
      </c>
      <c r="N89" s="91">
        <f ca="1">cc_in_focus*cc_show_type*cc_show_remaining_budget*IF(cc_delta&gt;0,cc_delta,0)</f>
        <v>0</v>
      </c>
      <c r="O89" s="91">
        <f ca="1">cc_in_focus*cc_show_type*IF(cc_delta&lt;0,ABS(cc_delta),0)</f>
        <v>0</v>
      </c>
      <c r="P89" s="91">
        <f ca="1">NOT(cc_in_focus)*cc_show_type*MIN(cc_tracked,cc_budget)</f>
        <v>0</v>
      </c>
      <c r="Q89" s="91">
        <f ca="1">NOT(cc_in_focus)*cc_show_type*cc_show_remaining_budget*IF(cc_delta&gt;0,cc_delta,0)</f>
        <v>0</v>
      </c>
      <c r="R89" s="91">
        <f ca="1">NOT(cc_in_focus)*cc_show_type*IF(cc_delta&lt;0,ABS(cc_delta),0)</f>
        <v>0</v>
      </c>
    </row>
    <row r="90" spans="4:18" x14ac:dyDescent="0.3">
      <c r="D90" s="143"/>
      <c r="E90" s="89"/>
      <c r="F90" s="89"/>
      <c r="G90" s="89"/>
      <c r="H90" s="89"/>
      <c r="I90" s="89"/>
      <c r="J90" s="96"/>
      <c r="K90" s="96"/>
      <c r="L90" s="97"/>
      <c r="M90" s="89"/>
      <c r="N90" s="89"/>
      <c r="O90" s="89"/>
      <c r="P90" s="89"/>
      <c r="Q90" s="89"/>
      <c r="R90" s="89"/>
    </row>
    <row r="91" spans="4:18" x14ac:dyDescent="0.3">
      <c r="D91" s="141">
        <f ca="1">DATE(selected_year,10,1)</f>
        <v>45931</v>
      </c>
      <c r="E91" s="87" t="s">
        <v>6</v>
      </c>
      <c r="F91" s="87">
        <f t="shared" ref="F91" ca="1" si="57">MONTH(D91)</f>
        <v>10</v>
      </c>
      <c r="G91" s="87">
        <f ca="1">IF(selected_period="Total Year",1,IF(selected_period=cc_month_number,1,0))</f>
        <v>0</v>
      </c>
      <c r="H91" s="87">
        <f t="shared" ref="H91" si="58">1*$E$49</f>
        <v>1</v>
      </c>
      <c r="I91" s="87">
        <f t="shared" ref="I91" si="59">1*$E$52</f>
        <v>1</v>
      </c>
      <c r="J91" s="92" cm="1">
        <f t="array" aca="1" ref="J91" ca="1">SUM(Tracking[Amount]*(Tracking[[Type ]]=cc_type)*(YEAR(Tracking[[Date ]])=selected_year)*(MONTH(Tracking[[Date ]])=cc_month_number))</f>
        <v>0</v>
      </c>
      <c r="K91" s="92" cm="1">
        <f t="array" aca="1" ref="K91" ca="1">INDEX('BUDGET PLANNING'!$E:$DK,income_total_row, MATCH(DATE(selected_year,cc_month_number,1),'BUDGET PLANNING'!$E$9:$DK$9,0))</f>
        <v>0</v>
      </c>
      <c r="L91" s="93">
        <f ca="1">cc_budget-cc_tracked</f>
        <v>0</v>
      </c>
      <c r="M91" s="90">
        <f ca="1">cc_in_focus*cc_show_type*MIN(cc_tracked,cc_budget)</f>
        <v>0</v>
      </c>
      <c r="N91" s="90">
        <f ca="1">cc_in_focus*cc_show_type*cc_show_remaining_budget*IF(cc_delta&gt;0,cc_delta,0)</f>
        <v>0</v>
      </c>
      <c r="O91" s="90">
        <f ca="1">cc_in_focus*cc_show_type*IF(cc_delta&lt;0,ABS(cc_delta),0)</f>
        <v>0</v>
      </c>
      <c r="P91" s="90">
        <f ca="1">NOT(cc_in_focus)*cc_show_type*MIN(cc_tracked,cc_budget)</f>
        <v>0</v>
      </c>
      <c r="Q91" s="90">
        <f ca="1">NOT(cc_in_focus)*cc_show_type*cc_show_remaining_budget*IF(cc_delta&gt;0,cc_delta,0)</f>
        <v>0</v>
      </c>
      <c r="R91" s="90">
        <f ca="1">NOT(cc_in_focus)*cc_show_type*IF(cc_delta&lt;0,ABS(cc_delta),0)</f>
        <v>0</v>
      </c>
    </row>
    <row r="92" spans="4:18" x14ac:dyDescent="0.3">
      <c r="D92" s="142"/>
      <c r="E92" s="88" t="s">
        <v>9</v>
      </c>
      <c r="F92" s="88">
        <f t="shared" ref="F92" ca="1" si="60">MONTH(D91)</f>
        <v>10</v>
      </c>
      <c r="G92" s="88">
        <f ca="1">IF(selected_period="Total Year",1,IF(selected_period=cc_month_number,1,0))</f>
        <v>0</v>
      </c>
      <c r="H92" s="88">
        <f t="shared" ref="H92" si="61">1*$E$50</f>
        <v>1</v>
      </c>
      <c r="I92" s="88">
        <f t="shared" si="3"/>
        <v>1</v>
      </c>
      <c r="J92" s="94" cm="1">
        <f t="array" aca="1" ref="J92" ca="1">SUM(Tracking[Amount]*(Tracking[[Type ]]=cc_type)*(YEAR(Tracking[[Date ]])=selected_year)*(MONTH(Tracking[[Date ]])=cc_month_number))</f>
        <v>0</v>
      </c>
      <c r="K92" s="94" cm="1">
        <f t="array" aca="1" ref="K92" ca="1">INDEX('BUDGET PLANNING'!$E:$DK,expenses_total_row, MATCH(DATE(selected_year,cc_month_number,1),'BUDGET PLANNING'!$E$9:$DK$9,0))</f>
        <v>0</v>
      </c>
      <c r="L92" s="95">
        <f ca="1">cc_budget-cc_tracked</f>
        <v>0</v>
      </c>
      <c r="M92" s="91">
        <f ca="1">cc_in_focus*cc_show_type*MIN(cc_tracked,cc_budget)</f>
        <v>0</v>
      </c>
      <c r="N92" s="91">
        <f ca="1">cc_in_focus*cc_show_type*cc_show_remaining_budget*IF(cc_delta&gt;0,cc_delta,0)</f>
        <v>0</v>
      </c>
      <c r="O92" s="91">
        <f ca="1">cc_in_focus*cc_show_type*IF(cc_delta&lt;0,ABS(cc_delta),0)</f>
        <v>0</v>
      </c>
      <c r="P92" s="91">
        <f ca="1">NOT(cc_in_focus)*cc_show_type*MIN(cc_tracked,cc_budget)</f>
        <v>0</v>
      </c>
      <c r="Q92" s="91">
        <f ca="1">NOT(cc_in_focus)*cc_show_type*cc_show_remaining_budget*IF(cc_delta&gt;0,cc_delta,0)</f>
        <v>0</v>
      </c>
      <c r="R92" s="91">
        <f ca="1">NOT(cc_in_focus)*cc_show_type*IF(cc_delta&lt;0,ABS(cc_delta),0)</f>
        <v>0</v>
      </c>
    </row>
    <row r="93" spans="4:18" x14ac:dyDescent="0.3">
      <c r="D93" s="142"/>
      <c r="E93" s="88" t="s">
        <v>10</v>
      </c>
      <c r="F93" s="88">
        <f t="shared" ref="F93" ca="1" si="62">MONTH(D91)</f>
        <v>10</v>
      </c>
      <c r="G93" s="88">
        <f ca="1">IF(selected_period="Total Year",1,IF(selected_period=cc_month_number,1,0))</f>
        <v>0</v>
      </c>
      <c r="H93" s="88">
        <f t="shared" ref="H93" si="63">1*$E$51</f>
        <v>1</v>
      </c>
      <c r="I93" s="88">
        <f t="shared" si="3"/>
        <v>1</v>
      </c>
      <c r="J93" s="94" cm="1">
        <f t="array" aca="1" ref="J93" ca="1">SUM(Tracking[Amount]*(Tracking[[Type ]]=cc_type)*(YEAR(Tracking[[Date ]])=selected_year)*(MONTH(Tracking[[Date ]])=cc_month_number))</f>
        <v>0</v>
      </c>
      <c r="K93" s="94" cm="1">
        <f t="array" aca="1" ref="K93" ca="1">INDEX('BUDGET PLANNING'!$E:$DK,savings_total_row, MATCH(DATE(selected_year,cc_month_number,1),'BUDGET PLANNING'!$E$9:$DK$9,0))</f>
        <v>0</v>
      </c>
      <c r="L93" s="95">
        <f ca="1">cc_budget-cc_tracked</f>
        <v>0</v>
      </c>
      <c r="M93" s="91">
        <f ca="1">cc_in_focus*cc_show_type*MIN(cc_tracked,cc_budget)</f>
        <v>0</v>
      </c>
      <c r="N93" s="91">
        <f ca="1">cc_in_focus*cc_show_type*cc_show_remaining_budget*IF(cc_delta&gt;0,cc_delta,0)</f>
        <v>0</v>
      </c>
      <c r="O93" s="91">
        <f ca="1">cc_in_focus*cc_show_type*IF(cc_delta&lt;0,ABS(cc_delta),0)</f>
        <v>0</v>
      </c>
      <c r="P93" s="91">
        <f ca="1">NOT(cc_in_focus)*cc_show_type*MIN(cc_tracked,cc_budget)</f>
        <v>0</v>
      </c>
      <c r="Q93" s="91">
        <f ca="1">NOT(cc_in_focus)*cc_show_type*cc_show_remaining_budget*IF(cc_delta&gt;0,cc_delta,0)</f>
        <v>0</v>
      </c>
      <c r="R93" s="91">
        <f ca="1">NOT(cc_in_focus)*cc_show_type*IF(cc_delta&lt;0,ABS(cc_delta),0)</f>
        <v>0</v>
      </c>
    </row>
    <row r="94" spans="4:18" x14ac:dyDescent="0.3">
      <c r="D94" s="143"/>
      <c r="E94" s="89"/>
      <c r="F94" s="89"/>
      <c r="G94" s="89"/>
      <c r="H94" s="89"/>
      <c r="I94" s="89"/>
      <c r="J94" s="96"/>
      <c r="K94" s="96"/>
      <c r="L94" s="97"/>
      <c r="M94" s="89"/>
      <c r="N94" s="89"/>
      <c r="O94" s="89"/>
      <c r="P94" s="89"/>
      <c r="Q94" s="89"/>
      <c r="R94" s="89"/>
    </row>
    <row r="95" spans="4:18" x14ac:dyDescent="0.3">
      <c r="D95" s="141">
        <f ca="1">DATE(selected_year,11,1)</f>
        <v>45962</v>
      </c>
      <c r="E95" s="87" t="s">
        <v>6</v>
      </c>
      <c r="F95" s="87">
        <f t="shared" ref="F95" ca="1" si="64">MONTH(D95)</f>
        <v>11</v>
      </c>
      <c r="G95" s="87">
        <f ca="1">IF(selected_period="Total Year",1,IF(selected_period=cc_month_number,1,0))</f>
        <v>0</v>
      </c>
      <c r="H95" s="87">
        <f t="shared" ref="H95" si="65">1*$E$49</f>
        <v>1</v>
      </c>
      <c r="I95" s="87">
        <f t="shared" ref="I95" si="66">1*$E$52</f>
        <v>1</v>
      </c>
      <c r="J95" s="92" cm="1">
        <f t="array" aca="1" ref="J95" ca="1">SUM(Tracking[Amount]*(Tracking[[Type ]]=cc_type)*(YEAR(Tracking[[Date ]])=selected_year)*(MONTH(Tracking[[Date ]])=cc_month_number))</f>
        <v>0</v>
      </c>
      <c r="K95" s="92" cm="1">
        <f t="array" aca="1" ref="K95" ca="1">INDEX('BUDGET PLANNING'!$E:$DK,income_total_row, MATCH(DATE(selected_year,cc_month_number,1),'BUDGET PLANNING'!$E$9:$DK$9,0))</f>
        <v>0</v>
      </c>
      <c r="L95" s="93">
        <f ca="1">cc_budget-cc_tracked</f>
        <v>0</v>
      </c>
      <c r="M95" s="90">
        <f ca="1">cc_in_focus*cc_show_type*MIN(cc_tracked,cc_budget)</f>
        <v>0</v>
      </c>
      <c r="N95" s="90">
        <f ca="1">cc_in_focus*cc_show_type*cc_show_remaining_budget*IF(cc_delta&gt;0,cc_delta,0)</f>
        <v>0</v>
      </c>
      <c r="O95" s="90">
        <f ca="1">cc_in_focus*cc_show_type*IF(cc_delta&lt;0,ABS(cc_delta),0)</f>
        <v>0</v>
      </c>
      <c r="P95" s="90">
        <f ca="1">NOT(cc_in_focus)*cc_show_type*MIN(cc_tracked,cc_budget)</f>
        <v>0</v>
      </c>
      <c r="Q95" s="90">
        <f ca="1">NOT(cc_in_focus)*cc_show_type*cc_show_remaining_budget*IF(cc_delta&gt;0,cc_delta,0)</f>
        <v>0</v>
      </c>
      <c r="R95" s="90">
        <f ca="1">NOT(cc_in_focus)*cc_show_type*IF(cc_delta&lt;0,ABS(cc_delta),0)</f>
        <v>0</v>
      </c>
    </row>
    <row r="96" spans="4:18" x14ac:dyDescent="0.3">
      <c r="D96" s="142"/>
      <c r="E96" s="88" t="s">
        <v>9</v>
      </c>
      <c r="F96" s="88">
        <f t="shared" ref="F96" ca="1" si="67">MONTH(D95)</f>
        <v>11</v>
      </c>
      <c r="G96" s="88">
        <f ca="1">IF(selected_period="Total Year",1,IF(selected_period=cc_month_number,1,0))</f>
        <v>0</v>
      </c>
      <c r="H96" s="88">
        <f t="shared" ref="H96" si="68">1*$E$50</f>
        <v>1</v>
      </c>
      <c r="I96" s="88">
        <f t="shared" si="3"/>
        <v>1</v>
      </c>
      <c r="J96" s="94" cm="1">
        <f t="array" aca="1" ref="J96" ca="1">SUM(Tracking[Amount]*(Tracking[[Type ]]=cc_type)*(YEAR(Tracking[[Date ]])=selected_year)*(MONTH(Tracking[[Date ]])=cc_month_number))</f>
        <v>0</v>
      </c>
      <c r="K96" s="94" cm="1">
        <f t="array" aca="1" ref="K96" ca="1">INDEX('BUDGET PLANNING'!$E:$DK,expenses_total_row, MATCH(DATE(selected_year,cc_month_number,1),'BUDGET PLANNING'!$E$9:$DK$9,0))</f>
        <v>0</v>
      </c>
      <c r="L96" s="95">
        <f ca="1">cc_budget-cc_tracked</f>
        <v>0</v>
      </c>
      <c r="M96" s="91">
        <f ca="1">cc_in_focus*cc_show_type*MIN(cc_tracked,cc_budget)</f>
        <v>0</v>
      </c>
      <c r="N96" s="91">
        <f ca="1">cc_in_focus*cc_show_type*cc_show_remaining_budget*IF(cc_delta&gt;0,cc_delta,0)</f>
        <v>0</v>
      </c>
      <c r="O96" s="91">
        <f ca="1">cc_in_focus*cc_show_type*IF(cc_delta&lt;0,ABS(cc_delta),0)</f>
        <v>0</v>
      </c>
      <c r="P96" s="91">
        <f ca="1">NOT(cc_in_focus)*cc_show_type*MIN(cc_tracked,cc_budget)</f>
        <v>0</v>
      </c>
      <c r="Q96" s="91">
        <f ca="1">NOT(cc_in_focus)*cc_show_type*cc_show_remaining_budget*IF(cc_delta&gt;0,cc_delta,0)</f>
        <v>0</v>
      </c>
      <c r="R96" s="91">
        <f ca="1">NOT(cc_in_focus)*cc_show_type*IF(cc_delta&lt;0,ABS(cc_delta),0)</f>
        <v>0</v>
      </c>
    </row>
    <row r="97" spans="4:18" x14ac:dyDescent="0.3">
      <c r="D97" s="142"/>
      <c r="E97" s="88" t="s">
        <v>10</v>
      </c>
      <c r="F97" s="88">
        <f t="shared" ref="F97" ca="1" si="69">MONTH(D95)</f>
        <v>11</v>
      </c>
      <c r="G97" s="88">
        <f ca="1">IF(selected_period="Total Year",1,IF(selected_period=cc_month_number,1,0))</f>
        <v>0</v>
      </c>
      <c r="H97" s="88">
        <f t="shared" ref="H97" si="70">1*$E$51</f>
        <v>1</v>
      </c>
      <c r="I97" s="88">
        <f t="shared" si="3"/>
        <v>1</v>
      </c>
      <c r="J97" s="94" cm="1">
        <f t="array" aca="1" ref="J97" ca="1">SUM(Tracking[Amount]*(Tracking[[Type ]]=cc_type)*(YEAR(Tracking[[Date ]])=selected_year)*(MONTH(Tracking[[Date ]])=cc_month_number))</f>
        <v>0</v>
      </c>
      <c r="K97" s="94" cm="1">
        <f t="array" aca="1" ref="K97" ca="1">INDEX('BUDGET PLANNING'!$E:$DK,savings_total_row, MATCH(DATE(selected_year,cc_month_number,1),'BUDGET PLANNING'!$E$9:$DK$9,0))</f>
        <v>0</v>
      </c>
      <c r="L97" s="95">
        <f ca="1">cc_budget-cc_tracked</f>
        <v>0</v>
      </c>
      <c r="M97" s="91">
        <f ca="1">cc_in_focus*cc_show_type*MIN(cc_tracked,cc_budget)</f>
        <v>0</v>
      </c>
      <c r="N97" s="91">
        <f ca="1">cc_in_focus*cc_show_type*cc_show_remaining_budget*IF(cc_delta&gt;0,cc_delta,0)</f>
        <v>0</v>
      </c>
      <c r="O97" s="91">
        <f ca="1">cc_in_focus*cc_show_type*IF(cc_delta&lt;0,ABS(cc_delta),0)</f>
        <v>0</v>
      </c>
      <c r="P97" s="91">
        <f ca="1">NOT(cc_in_focus)*cc_show_type*MIN(cc_tracked,cc_budget)</f>
        <v>0</v>
      </c>
      <c r="Q97" s="91">
        <f ca="1">NOT(cc_in_focus)*cc_show_type*cc_show_remaining_budget*IF(cc_delta&gt;0,cc_delta,0)</f>
        <v>0</v>
      </c>
      <c r="R97" s="91">
        <f ca="1">NOT(cc_in_focus)*cc_show_type*IF(cc_delta&lt;0,ABS(cc_delta),0)</f>
        <v>0</v>
      </c>
    </row>
    <row r="98" spans="4:18" x14ac:dyDescent="0.3">
      <c r="D98" s="143"/>
      <c r="E98" s="89"/>
      <c r="F98" s="89"/>
      <c r="G98" s="89"/>
      <c r="H98" s="89"/>
      <c r="I98" s="89"/>
      <c r="J98" s="96"/>
      <c r="K98" s="96"/>
      <c r="L98" s="97"/>
      <c r="M98" s="89"/>
      <c r="N98" s="89"/>
      <c r="O98" s="89"/>
      <c r="P98" s="89"/>
      <c r="Q98" s="89"/>
      <c r="R98" s="89"/>
    </row>
    <row r="99" spans="4:18" x14ac:dyDescent="0.3">
      <c r="D99" s="141">
        <f ca="1">DATE(selected_year,12,1)</f>
        <v>45992</v>
      </c>
      <c r="E99" s="87" t="s">
        <v>6</v>
      </c>
      <c r="F99" s="87">
        <f t="shared" ref="F99" ca="1" si="71">MONTH(D99)</f>
        <v>12</v>
      </c>
      <c r="G99" s="87">
        <f ca="1">IF(selected_period="Total Year",1,IF(selected_period=cc_month_number,1,0))</f>
        <v>0</v>
      </c>
      <c r="H99" s="87">
        <f t="shared" ref="H99" si="72">1*$E$49</f>
        <v>1</v>
      </c>
      <c r="I99" s="87">
        <f t="shared" ref="I99" si="73">1*$E$52</f>
        <v>1</v>
      </c>
      <c r="J99" s="92" cm="1">
        <f t="array" aca="1" ref="J99" ca="1">SUM(Tracking[Amount]*(Tracking[[Type ]]=cc_type)*(YEAR(Tracking[[Date ]])=selected_year)*(MONTH(Tracking[[Date ]])=cc_month_number))</f>
        <v>0</v>
      </c>
      <c r="K99" s="92" cm="1">
        <f t="array" aca="1" ref="K99" ca="1">INDEX('BUDGET PLANNING'!$E:$DK,income_total_row, MATCH(DATE(selected_year,cc_month_number,1),'BUDGET PLANNING'!$E$9:$DK$9,0))</f>
        <v>0</v>
      </c>
      <c r="L99" s="93">
        <f ca="1">cc_budget-cc_tracked</f>
        <v>0</v>
      </c>
      <c r="M99" s="90">
        <f ca="1">cc_in_focus*cc_show_type*MIN(cc_tracked,cc_budget)</f>
        <v>0</v>
      </c>
      <c r="N99" s="90">
        <f ca="1">cc_in_focus*cc_show_type*cc_show_remaining_budget*IF(cc_delta&gt;0,cc_delta,0)</f>
        <v>0</v>
      </c>
      <c r="O99" s="90">
        <f ca="1">cc_in_focus*cc_show_type*IF(cc_delta&lt;0,ABS(cc_delta),0)</f>
        <v>0</v>
      </c>
      <c r="P99" s="90">
        <f ca="1">NOT(cc_in_focus)*cc_show_type*MIN(cc_tracked,cc_budget)</f>
        <v>0</v>
      </c>
      <c r="Q99" s="90">
        <f ca="1">NOT(cc_in_focus)*cc_show_type*cc_show_remaining_budget*IF(cc_delta&gt;0,cc_delta,0)</f>
        <v>0</v>
      </c>
      <c r="R99" s="90">
        <f ca="1">NOT(cc_in_focus)*cc_show_type*IF(cc_delta&lt;0,ABS(cc_delta),0)</f>
        <v>0</v>
      </c>
    </row>
    <row r="100" spans="4:18" x14ac:dyDescent="0.3">
      <c r="D100" s="142"/>
      <c r="E100" s="88" t="s">
        <v>9</v>
      </c>
      <c r="F100" s="88">
        <f t="shared" ref="F100" ca="1" si="74">MONTH(D99)</f>
        <v>12</v>
      </c>
      <c r="G100" s="88">
        <f ca="1">IF(selected_period="Total Year",1,IF(selected_period=cc_month_number,1,0))</f>
        <v>0</v>
      </c>
      <c r="H100" s="88">
        <f t="shared" ref="H100" si="75">1*$E$50</f>
        <v>1</v>
      </c>
      <c r="I100" s="88">
        <f t="shared" si="3"/>
        <v>1</v>
      </c>
      <c r="J100" s="94" cm="1">
        <f t="array" aca="1" ref="J100" ca="1">SUM(Tracking[Amount]*(Tracking[[Type ]]=cc_type)*(YEAR(Tracking[[Date ]])=selected_year)*(MONTH(Tracking[[Date ]])=cc_month_number))</f>
        <v>0</v>
      </c>
      <c r="K100" s="94" cm="1">
        <f t="array" aca="1" ref="K100" ca="1">INDEX('BUDGET PLANNING'!$E:$DK,expenses_total_row, MATCH(DATE(selected_year,cc_month_number,1),'BUDGET PLANNING'!$E$9:$DK$9,0))</f>
        <v>0</v>
      </c>
      <c r="L100" s="95">
        <f ca="1">cc_budget-cc_tracked</f>
        <v>0</v>
      </c>
      <c r="M100" s="91">
        <f ca="1">cc_in_focus*cc_show_type*MIN(cc_tracked,cc_budget)</f>
        <v>0</v>
      </c>
      <c r="N100" s="91">
        <f ca="1">cc_in_focus*cc_show_type*cc_show_remaining_budget*IF(cc_delta&gt;0,cc_delta,0)</f>
        <v>0</v>
      </c>
      <c r="O100" s="91">
        <f ca="1">cc_in_focus*cc_show_type*IF(cc_delta&lt;0,ABS(cc_delta),0)</f>
        <v>0</v>
      </c>
      <c r="P100" s="91">
        <f ca="1">NOT(cc_in_focus)*cc_show_type*MIN(cc_tracked,cc_budget)</f>
        <v>0</v>
      </c>
      <c r="Q100" s="91">
        <f ca="1">NOT(cc_in_focus)*cc_show_type*cc_show_remaining_budget*IF(cc_delta&gt;0,cc_delta,0)</f>
        <v>0</v>
      </c>
      <c r="R100" s="91">
        <f ca="1">NOT(cc_in_focus)*cc_show_type*IF(cc_delta&lt;0,ABS(cc_delta),0)</f>
        <v>0</v>
      </c>
    </row>
    <row r="101" spans="4:18" x14ac:dyDescent="0.3">
      <c r="D101" s="142"/>
      <c r="E101" s="88" t="s">
        <v>10</v>
      </c>
      <c r="F101" s="88">
        <f t="shared" ref="F101" ca="1" si="76">MONTH(D99)</f>
        <v>12</v>
      </c>
      <c r="G101" s="88">
        <f ca="1">IF(selected_period="Total Year",1,IF(selected_period=cc_month_number,1,0))</f>
        <v>0</v>
      </c>
      <c r="H101" s="88">
        <f t="shared" ref="H101" si="77">1*$E$51</f>
        <v>1</v>
      </c>
      <c r="I101" s="88">
        <f t="shared" si="3"/>
        <v>1</v>
      </c>
      <c r="J101" s="94" cm="1">
        <f t="array" aca="1" ref="J101" ca="1">SUM(Tracking[Amount]*(Tracking[[Type ]]=cc_type)*(YEAR(Tracking[[Date ]])=selected_year)*(MONTH(Tracking[[Date ]])=cc_month_number))</f>
        <v>0</v>
      </c>
      <c r="K101" s="94" cm="1">
        <f t="array" aca="1" ref="K101" ca="1">INDEX('BUDGET PLANNING'!$E:$DK,savings_total_row, MATCH(DATE(selected_year,cc_month_number,1),'BUDGET PLANNING'!$E$9:$DK$9,0))</f>
        <v>0</v>
      </c>
      <c r="L101" s="95">
        <f ca="1">cc_budget-cc_tracked</f>
        <v>0</v>
      </c>
      <c r="M101" s="91">
        <f ca="1">cc_in_focus*cc_show_type*MIN(cc_tracked,cc_budget)</f>
        <v>0</v>
      </c>
      <c r="N101" s="91">
        <f ca="1">cc_in_focus*cc_show_type*cc_show_remaining_budget*IF(cc_delta&gt;0,cc_delta,0)</f>
        <v>0</v>
      </c>
      <c r="O101" s="91">
        <f ca="1">cc_in_focus*cc_show_type*IF(cc_delta&lt;0,ABS(cc_delta),0)</f>
        <v>0</v>
      </c>
      <c r="P101" s="91">
        <f ca="1">NOT(cc_in_focus)*cc_show_type*MIN(cc_tracked,cc_budget)</f>
        <v>0</v>
      </c>
      <c r="Q101" s="91">
        <f ca="1">NOT(cc_in_focus)*cc_show_type*cc_show_remaining_budget*IF(cc_delta&gt;0,cc_delta,0)</f>
        <v>0</v>
      </c>
      <c r="R101" s="91">
        <f ca="1">NOT(cc_in_focus)*cc_show_type*IF(cc_delta&lt;0,ABS(cc_delta),0)</f>
        <v>0</v>
      </c>
    </row>
    <row r="102" spans="4:18" x14ac:dyDescent="0.3">
      <c r="D102" s="143"/>
      <c r="E102" s="89"/>
      <c r="F102" s="89"/>
      <c r="G102" s="89"/>
      <c r="H102" s="89"/>
      <c r="I102" s="89"/>
      <c r="J102" s="96"/>
      <c r="K102" s="96"/>
      <c r="L102" s="97"/>
      <c r="M102" s="89"/>
      <c r="N102" s="89"/>
      <c r="O102" s="89"/>
      <c r="P102" s="89"/>
      <c r="Q102" s="89"/>
      <c r="R102" s="89"/>
    </row>
  </sheetData>
  <mergeCells count="16">
    <mergeCell ref="C6:F6"/>
    <mergeCell ref="C17:F17"/>
    <mergeCell ref="M53:O53"/>
    <mergeCell ref="P53:R53"/>
    <mergeCell ref="D55:D58"/>
    <mergeCell ref="D59:D62"/>
    <mergeCell ref="D63:D66"/>
    <mergeCell ref="D67:D70"/>
    <mergeCell ref="D71:D74"/>
    <mergeCell ref="D75:D78"/>
    <mergeCell ref="D99:D102"/>
    <mergeCell ref="D79:D82"/>
    <mergeCell ref="D83:D86"/>
    <mergeCell ref="D87:D90"/>
    <mergeCell ref="D91:D94"/>
    <mergeCell ref="D95:D98"/>
  </mergeCells>
  <phoneticPr fontId="21" type="noConversion"/>
  <conditionalFormatting sqref="D13">
    <cfRule type="expression" dxfId="1" priority="2">
      <formula>$D$13&lt;0</formula>
    </cfRule>
    <cfRule type="expression" dxfId="0" priority="3">
      <formula>$D$13&gt;0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6F9D-178F-4866-8658-612752D640B4}">
  <sheetPr codeName="Φύλλο6"/>
  <dimension ref="A1:T21"/>
  <sheetViews>
    <sheetView zoomScale="85" zoomScaleNormal="85" workbookViewId="0">
      <selection activeCell="E20" sqref="E20"/>
    </sheetView>
  </sheetViews>
  <sheetFormatPr defaultRowHeight="14.4" x14ac:dyDescent="0.3"/>
  <cols>
    <col min="1" max="2" width="8.88671875" style="1"/>
    <col min="3" max="3" width="17.33203125" style="1" customWidth="1"/>
    <col min="4" max="4" width="8.88671875" style="1"/>
    <col min="5" max="5" width="18.109375" style="1" customWidth="1"/>
    <col min="6" max="16384" width="8.88671875" style="1"/>
  </cols>
  <sheetData>
    <row r="1" spans="1:20" s="2" customFormat="1" x14ac:dyDescent="0.3">
      <c r="F1" s="2" t="s">
        <v>2</v>
      </c>
      <c r="T1" s="2" t="s">
        <v>2</v>
      </c>
    </row>
    <row r="2" spans="1:20" s="2" customFormat="1" ht="25.8" x14ac:dyDescent="0.5">
      <c r="A2" s="25" t="s">
        <v>50</v>
      </c>
    </row>
    <row r="3" spans="1:20" s="2" customFormat="1" x14ac:dyDescent="0.3"/>
    <row r="7" spans="1:20" x14ac:dyDescent="0.3">
      <c r="C7" s="42" t="s">
        <v>51</v>
      </c>
      <c r="E7" s="42" t="s">
        <v>53</v>
      </c>
    </row>
    <row r="8" spans="1:20" x14ac:dyDescent="0.3">
      <c r="C8" s="44" t="s">
        <v>52</v>
      </c>
      <c r="E8" s="47" t="s">
        <v>54</v>
      </c>
    </row>
    <row r="9" spans="1:20" x14ac:dyDescent="0.3">
      <c r="C9" s="45">
        <f>starting_year</f>
        <v>2023</v>
      </c>
      <c r="E9" s="48" t="s">
        <v>55</v>
      </c>
    </row>
    <row r="10" spans="1:20" x14ac:dyDescent="0.3">
      <c r="C10" s="45">
        <f>C9+1</f>
        <v>2024</v>
      </c>
      <c r="E10" s="49">
        <v>36526</v>
      </c>
    </row>
    <row r="11" spans="1:20" x14ac:dyDescent="0.3">
      <c r="C11" s="45">
        <f t="shared" ref="C11:C16" si="0">C10+1</f>
        <v>2025</v>
      </c>
      <c r="E11" s="49">
        <v>36557</v>
      </c>
    </row>
    <row r="12" spans="1:20" x14ac:dyDescent="0.3">
      <c r="C12" s="45">
        <f t="shared" si="0"/>
        <v>2026</v>
      </c>
      <c r="E12" s="49">
        <v>36586</v>
      </c>
    </row>
    <row r="13" spans="1:20" x14ac:dyDescent="0.3">
      <c r="C13" s="45">
        <f t="shared" si="0"/>
        <v>2027</v>
      </c>
      <c r="E13" s="49">
        <v>36617</v>
      </c>
    </row>
    <row r="14" spans="1:20" x14ac:dyDescent="0.3">
      <c r="C14" s="45">
        <f t="shared" si="0"/>
        <v>2028</v>
      </c>
      <c r="E14" s="49">
        <v>36647</v>
      </c>
    </row>
    <row r="15" spans="1:20" x14ac:dyDescent="0.3">
      <c r="C15" s="45">
        <f>C14+1</f>
        <v>2029</v>
      </c>
      <c r="E15" s="49">
        <v>36678</v>
      </c>
    </row>
    <row r="16" spans="1:20" x14ac:dyDescent="0.3">
      <c r="C16" s="46">
        <f t="shared" si="0"/>
        <v>2030</v>
      </c>
      <c r="E16" s="49">
        <v>36708</v>
      </c>
    </row>
    <row r="17" spans="3:5" x14ac:dyDescent="0.3">
      <c r="C17" s="43"/>
      <c r="E17" s="49">
        <v>36739</v>
      </c>
    </row>
    <row r="18" spans="3:5" x14ac:dyDescent="0.3">
      <c r="E18" s="49">
        <v>36770</v>
      </c>
    </row>
    <row r="19" spans="3:5" x14ac:dyDescent="0.3">
      <c r="E19" s="49">
        <v>36800</v>
      </c>
    </row>
    <row r="20" spans="3:5" x14ac:dyDescent="0.3">
      <c r="E20" s="49">
        <v>36831</v>
      </c>
    </row>
    <row r="21" spans="3:5" x14ac:dyDescent="0.3">
      <c r="E21" s="50">
        <v>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Καθορισμένες περιοχές</vt:lpstr>
      </vt:variant>
      <vt:variant>
        <vt:i4>40</vt:i4>
      </vt:variant>
    </vt:vector>
  </HeadingPairs>
  <TitlesOfParts>
    <vt:vector size="46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'BUDGET DASHBOARD'!budget</vt:lpstr>
      <vt:lpstr>'BUDGET DASHBOARD'!budget_range</vt:lpstr>
      <vt:lpstr>'BUDGET DASHBOARD'!budget_rank</vt:lpstr>
      <vt:lpstr>BudgetTracking</vt:lpstr>
      <vt:lpstr>CALCULATIONS!cc_budget</vt:lpstr>
      <vt:lpstr>CALCULATIONS!cc_delta</vt:lpstr>
      <vt:lpstr>CALCULATIONS!cc_in_focus</vt:lpstr>
      <vt:lpstr>CALCULATIONS!cc_month_number</vt:lpstr>
      <vt:lpstr>CALCULATIONS!cc_show_remaining_budget</vt:lpstr>
      <vt:lpstr>CALCULATIONS!cc_show_type</vt:lpstr>
      <vt:lpstr>CALCULATIONS!cc_tracked</vt:lpstr>
      <vt:lpstr>CALCULATIONS!cc_type</vt:lpstr>
      <vt:lpstr>'BUDGET DASHBOARD'!combo_rank</vt:lpstr>
      <vt:lpstr>'BUDGET DASHBOARD'!combo_rank_norm</vt:lpstr>
      <vt:lpstr>'BUDGET DASHBOARD'!combo_rank_norm_run_range</vt:lpstr>
      <vt:lpstr>'BUDGET DASHBOARD'!combo_rank_range</vt:lpstr>
      <vt:lpstr>'BUDGET DASHBOARD'!combo_rank_unique</vt:lpstr>
      <vt:lpstr>'BUDGET DASHBOARD'!header_row_id</vt:lpstr>
      <vt:lpstr>'BUDGET DASHBOARD'!is_category</vt:lpstr>
      <vt:lpstr>'BUDGET DASHBOARD'!is_empty</vt:lpstr>
      <vt:lpstr>'BUDGET DASHBOARD'!is_header</vt:lpstr>
      <vt:lpstr>'BUDGET DASHBOARD'!is_total</vt:lpstr>
      <vt:lpstr>item</vt:lpstr>
      <vt:lpstr>'BUDGET DASHBOARD'!out_budget</vt:lpstr>
      <vt:lpstr>'BUDGET DASHBOARD'!out_percentage_completed</vt:lpstr>
      <vt:lpstr>'BUDGET DASHBOARD'!out_tracked</vt:lpstr>
      <vt:lpstr>'BUDGET DASHBOARD'!row_id</vt:lpstr>
      <vt:lpstr>savings_rate_type</vt:lpstr>
      <vt:lpstr>selected_period</vt:lpstr>
      <vt:lpstr>selected_period_display</vt:lpstr>
      <vt:lpstr>selected_year</vt:lpstr>
      <vt:lpstr>shift_late_income_starting_date</vt:lpstr>
      <vt:lpstr>shift_late_income_status</vt:lpstr>
      <vt:lpstr>'BUDGET DASHBOARD'!sort_max_row</vt:lpstr>
      <vt:lpstr>'BUDGET DASHBOARD'!sort_min_row</vt:lpstr>
      <vt:lpstr>starting_year</vt:lpstr>
      <vt:lpstr>'BUDGET DASHBOARD'!tracked</vt:lpstr>
      <vt:lpstr>'BUDGET DASHBOARD'!tracked_range</vt:lpstr>
      <vt:lpstr>'BUDGET DASHBOARD'!tracked_rank</vt:lpstr>
      <vt:lpstr>'BUDGET DASHBOARD'!type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Βασίλης Οκονόμου</dc:creator>
  <cp:lastModifiedBy>Βασίλης Οκονόμου</cp:lastModifiedBy>
  <dcterms:created xsi:type="dcterms:W3CDTF">2023-07-13T11:10:45Z</dcterms:created>
  <dcterms:modified xsi:type="dcterms:W3CDTF">2025-08-15T15:16:08Z</dcterms:modified>
</cp:coreProperties>
</file>