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8 - PROJETO SENSOR PT100 - TERMOMETRIA\FINANCEIRO\"/>
    </mc:Choice>
  </mc:AlternateContent>
  <xr:revisionPtr revIDLastSave="0" documentId="13_ncr:1_{DC775B3F-654F-4FD2-9353-C1955CD8CFCA}" xr6:coauthVersionLast="47" xr6:coauthVersionMax="47" xr10:uidLastSave="{00000000-0000-0000-0000-000000000000}"/>
  <bookViews>
    <workbookView xWindow="15" yWindow="75" windowWidth="17715" windowHeight="15270" tabRatio="695" activeTab="4" xr2:uid="{00000000-000D-0000-FFFF-FFFF00000000}"/>
  </bookViews>
  <sheets>
    <sheet name="RESUMO DO ORÇAMENTO NO ANO" sheetId="1" r:id="rId1"/>
    <sheet name="RESUMO DE DESPESAS MENSAIS" sheetId="2" r:id="rId2"/>
    <sheet name="DESPESAS DISCRIMINADAS" sheetId="3" r:id="rId3"/>
    <sheet name="DONATIVOS E PATROCÍNIOS" sheetId="4" r:id="rId4"/>
    <sheet name="LISTA DE MATERIAIS" sheetId="5" r:id="rId5"/>
    <sheet name="Planilha2" sheetId="6" r:id="rId6"/>
  </sheets>
  <definedNames>
    <definedName name="_ANO">'RESUMO DO ORÇAMENTO NO ANO'!$G$2</definedName>
    <definedName name="RegiãoTítuloLinha1..G2">'RESUMO DO ORÇAMENTO NO ANO'!$F$2</definedName>
    <definedName name="Segmentação_credor">#N/A</definedName>
    <definedName name="Segmentação_credor1">#N/A</definedName>
    <definedName name="Segmentação_solicitado_por">#N/A</definedName>
    <definedName name="Segmentação_solicitado_por1">#N/A</definedName>
    <definedName name="Segmentação_título_da_conta">#N/A</definedName>
    <definedName name="Título1">TabelaAtéaPresenteData[[#Headers],[Razão código]]</definedName>
    <definedName name="Título2">ResumoDeDespesasMensais[[#Headers],[Razão código]]</definedName>
    <definedName name="Título3">DespesasDiscriminadas[[#Headers],[Razão código]]</definedName>
    <definedName name="Título4">Outros[[#Headers],[Razão código]]</definedName>
    <definedName name="_xlnm.Print_Titles" localSheetId="2">'DESPESAS DISCRIMINADAS'!$4:$4</definedName>
    <definedName name="_xlnm.Print_Titles" localSheetId="3">'DONATIVOS E PATROCÍNIOS'!$4:$4</definedName>
    <definedName name="_xlnm.Print_Titles" localSheetId="1">'RESUMO DE DESPESAS MENSAIS'!$5:$5</definedName>
    <definedName name="_xlnm.Print_Titles" localSheetId="0">'RESUMO DO ORÇAMENTO NO ANO'!$4:$4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5" l="1"/>
  <c r="L5" i="5"/>
  <c r="L6" i="5"/>
  <c r="L7" i="5"/>
  <c r="L8" i="5"/>
  <c r="L9" i="5"/>
  <c r="L10" i="5"/>
  <c r="L4" i="5"/>
  <c r="F12" i="5"/>
  <c r="F5" i="5"/>
  <c r="F6" i="5"/>
  <c r="F7" i="5"/>
  <c r="F8" i="5"/>
  <c r="F9" i="5"/>
  <c r="F10" i="5"/>
  <c r="F11" i="5"/>
  <c r="F4" i="5"/>
  <c r="F26" i="5"/>
  <c r="G42" i="5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4" i="5"/>
  <c r="F14" i="5"/>
  <c r="G24" i="5" s="1"/>
  <c r="F23" i="5"/>
  <c r="F22" i="5"/>
  <c r="F21" i="5"/>
  <c r="F20" i="5"/>
  <c r="F16" i="5"/>
  <c r="F15" i="5"/>
  <c r="F17" i="5"/>
  <c r="F18" i="5"/>
  <c r="F19" i="5"/>
  <c r="F3" i="5"/>
  <c r="G2" i="1"/>
  <c r="F44" i="5" l="1"/>
  <c r="G12" i="5"/>
  <c r="M3" i="2"/>
  <c r="O3" i="2"/>
  <c r="K3" i="2"/>
  <c r="K4" i="2" s="1"/>
  <c r="L3" i="2"/>
  <c r="H3" i="2"/>
  <c r="J3" i="2"/>
  <c r="E3" i="2"/>
  <c r="G3" i="2"/>
  <c r="I3" i="2"/>
  <c r="D3" i="2"/>
  <c r="N3" i="2"/>
  <c r="F3" i="2"/>
  <c r="E13" i="1"/>
  <c r="O4" i="2" l="1"/>
  <c r="O7" i="2" s="1"/>
  <c r="L4" i="2"/>
  <c r="L7" i="2" s="1"/>
  <c r="K7" i="2"/>
  <c r="K9" i="2"/>
  <c r="K11" i="2"/>
  <c r="K13" i="2"/>
  <c r="K8" i="2"/>
  <c r="K10" i="2"/>
  <c r="K12" i="2"/>
  <c r="J4" i="2"/>
  <c r="J7" i="2" s="1"/>
  <c r="G4" i="2"/>
  <c r="G7" i="2" s="1"/>
  <c r="F4" i="2"/>
  <c r="F7" i="2" s="1"/>
  <c r="D4" i="2"/>
  <c r="D7" i="2" s="1"/>
  <c r="E4" i="2"/>
  <c r="E7" i="2" s="1"/>
  <c r="M4" i="2"/>
  <c r="M7" i="2" s="1"/>
  <c r="N4" i="2"/>
  <c r="N7" i="2" s="1"/>
  <c r="K6" i="2"/>
  <c r="I4" i="2"/>
  <c r="I9" i="2" s="1"/>
  <c r="H4" i="2"/>
  <c r="H7" i="2" s="1"/>
  <c r="F6" i="2" l="1"/>
  <c r="O6" i="2"/>
  <c r="O11" i="2"/>
  <c r="L10" i="2"/>
  <c r="O12" i="2"/>
  <c r="O10" i="2"/>
  <c r="O8" i="2"/>
  <c r="O13" i="2"/>
  <c r="O9" i="2"/>
  <c r="G10" i="2"/>
  <c r="J10" i="2"/>
  <c r="J13" i="2"/>
  <c r="G13" i="2"/>
  <c r="J9" i="2"/>
  <c r="L13" i="2"/>
  <c r="M9" i="2"/>
  <c r="N10" i="2"/>
  <c r="N13" i="2"/>
  <c r="N9" i="2"/>
  <c r="M10" i="2"/>
  <c r="M13" i="2"/>
  <c r="N12" i="2"/>
  <c r="N8" i="2"/>
  <c r="N11" i="2"/>
  <c r="L6" i="2"/>
  <c r="L9" i="2"/>
  <c r="M12" i="2"/>
  <c r="M8" i="2"/>
  <c r="M11" i="2"/>
  <c r="L12" i="2"/>
  <c r="L8" i="2"/>
  <c r="L11" i="2"/>
  <c r="H10" i="2"/>
  <c r="J6" i="2"/>
  <c r="J12" i="2"/>
  <c r="J8" i="2"/>
  <c r="J11" i="2"/>
  <c r="D10" i="2"/>
  <c r="F10" i="2"/>
  <c r="H13" i="2"/>
  <c r="I12" i="2"/>
  <c r="I8" i="2"/>
  <c r="I11" i="2"/>
  <c r="I7" i="2"/>
  <c r="F13" i="2"/>
  <c r="G9" i="2"/>
  <c r="H9" i="2"/>
  <c r="I10" i="2"/>
  <c r="I13" i="2"/>
  <c r="G6" i="2"/>
  <c r="D13" i="2"/>
  <c r="F9" i="2"/>
  <c r="G12" i="2"/>
  <c r="G8" i="2"/>
  <c r="G11" i="2"/>
  <c r="H12" i="2"/>
  <c r="H8" i="2"/>
  <c r="H11" i="2"/>
  <c r="D9" i="2"/>
  <c r="F12" i="2"/>
  <c r="F8" i="2"/>
  <c r="F11" i="2"/>
  <c r="E10" i="2"/>
  <c r="E13" i="2"/>
  <c r="E9" i="2"/>
  <c r="D6" i="2"/>
  <c r="D12" i="2"/>
  <c r="D8" i="2"/>
  <c r="D11" i="2"/>
  <c r="E12" i="2"/>
  <c r="E8" i="2"/>
  <c r="E11" i="2"/>
  <c r="N6" i="2"/>
  <c r="E6" i="2"/>
  <c r="H6" i="2"/>
  <c r="M6" i="2"/>
  <c r="I6" i="2"/>
  <c r="K18" i="2"/>
  <c r="O18" i="2" l="1"/>
  <c r="J18" i="2"/>
  <c r="L18" i="2"/>
  <c r="G18" i="2"/>
  <c r="F18" i="2"/>
  <c r="D18" i="2"/>
  <c r="P6" i="2"/>
  <c r="D5" i="1" s="1"/>
  <c r="F5" i="1" s="1"/>
  <c r="P12" i="2"/>
  <c r="D11" i="1" s="1"/>
  <c r="F11" i="1" s="1"/>
  <c r="P7" i="2"/>
  <c r="D6" i="1" s="1"/>
  <c r="F6" i="1" s="1"/>
  <c r="E18" i="2"/>
  <c r="N18" i="2"/>
  <c r="P9" i="2"/>
  <c r="D8" i="1" s="1"/>
  <c r="F8" i="1" s="1"/>
  <c r="M18" i="2"/>
  <c r="P8" i="2"/>
  <c r="D7" i="1" s="1"/>
  <c r="F7" i="1" s="1"/>
  <c r="P10" i="2"/>
  <c r="D9" i="1" s="1"/>
  <c r="F9" i="1" s="1"/>
  <c r="H18" i="2"/>
  <c r="P13" i="2"/>
  <c r="D12" i="1" s="1"/>
  <c r="F12" i="1" s="1"/>
  <c r="I18" i="2"/>
  <c r="P11" i="2"/>
  <c r="D10" i="1" s="1"/>
  <c r="F10" i="1" s="1"/>
  <c r="G10" i="1" l="1"/>
  <c r="G6" i="1"/>
  <c r="G11" i="1"/>
  <c r="G8" i="1"/>
  <c r="G12" i="1"/>
  <c r="G9" i="1"/>
  <c r="G7" i="1"/>
  <c r="D13" i="1"/>
  <c r="P18" i="2"/>
  <c r="G5" i="1" l="1"/>
  <c r="F13" i="1"/>
  <c r="G13" i="1" s="1"/>
</calcChain>
</file>

<file path=xl/sharedStrings.xml><?xml version="1.0" encoding="utf-8"?>
<sst xmlns="http://schemas.openxmlformats.org/spreadsheetml/2006/main" count="236" uniqueCount="164">
  <si>
    <t>RESUMO DE DESPESAS MENSAIS</t>
  </si>
  <si>
    <t>REAL versus ORÇAMENTO NO ANO</t>
  </si>
  <si>
    <t>Razão código</t>
  </si>
  <si>
    <t>Total</t>
  </si>
  <si>
    <t>Título da conta</t>
  </si>
  <si>
    <t>Marketing</t>
  </si>
  <si>
    <t>Real</t>
  </si>
  <si>
    <t>Orçamento</t>
  </si>
  <si>
    <t>ano</t>
  </si>
  <si>
    <t>Restante %</t>
  </si>
  <si>
    <t>RESUMO DO ORÇAMENTO NO ANO</t>
  </si>
  <si>
    <t>A segmentação de dados para filtrar dados por conta títulos está nessa célula.</t>
  </si>
  <si>
    <t>DESPESAS DISCRIMINADAS</t>
  </si>
  <si>
    <t>Janeiro</t>
  </si>
  <si>
    <t>Fevereiro</t>
  </si>
  <si>
    <t>Março</t>
  </si>
  <si>
    <t>Abr</t>
  </si>
  <si>
    <t>Maio</t>
  </si>
  <si>
    <t>Jun</t>
  </si>
  <si>
    <t>Julho</t>
  </si>
  <si>
    <t>Agosto</t>
  </si>
  <si>
    <t>Setembro</t>
  </si>
  <si>
    <t>Outubro</t>
  </si>
  <si>
    <t>Novembro</t>
  </si>
  <si>
    <t>Dezembro</t>
  </si>
  <si>
    <t xml:space="preserve"> </t>
  </si>
  <si>
    <t>A segmentação de dados para filtrar dados por Solicitado por fica nesta célula e a segmentação de dados para filtrar dados por Credor fica na célula à direita.</t>
  </si>
  <si>
    <t>DONATIVOS E PATROCÍNIOS</t>
  </si>
  <si>
    <t>Data</t>
  </si>
  <si>
    <t>Fatura nº</t>
  </si>
  <si>
    <t>Solicitado por</t>
  </si>
  <si>
    <t>Valor do Cheque</t>
  </si>
  <si>
    <t>A segmentação de dados para filtrar dados por Credor fica nesta célula.</t>
  </si>
  <si>
    <t>Credor</t>
  </si>
  <si>
    <t>Verificar uso</t>
  </si>
  <si>
    <t>Método de distribuição</t>
  </si>
  <si>
    <t>Data do arquivo</t>
  </si>
  <si>
    <t>Solicitação de seleção de data iniciada</t>
  </si>
  <si>
    <t>Verifique quantidade</t>
  </si>
  <si>
    <t>Contribuição do Ano Anterior</t>
  </si>
  <si>
    <t>Usado para</t>
  </si>
  <si>
    <t>Assinada por</t>
  </si>
  <si>
    <t>Categoria</t>
  </si>
  <si>
    <t>Data da fatura</t>
  </si>
  <si>
    <t>Restante R$</t>
  </si>
  <si>
    <t>Software</t>
  </si>
  <si>
    <t>Importações</t>
  </si>
  <si>
    <t>Fretes</t>
  </si>
  <si>
    <t>Horas Homem</t>
  </si>
  <si>
    <t>Hardware Pesquisa</t>
  </si>
  <si>
    <t>Hardware Protótipo</t>
  </si>
  <si>
    <t>Ferramentas</t>
  </si>
  <si>
    <t>Descrição</t>
  </si>
  <si>
    <t>1 x MAX31855 PCB termopar tipo K</t>
  </si>
  <si>
    <t>Mercado livre conta CTECH</t>
  </si>
  <si>
    <t>Raspberry pi 4b 7 polegadas touch screen</t>
  </si>
  <si>
    <t>IMPOSTO Raspberry pi 4b 7 polegadas touch screen</t>
  </si>
  <si>
    <t>ALIEXPRESS conta Stenio</t>
  </si>
  <si>
    <t>Raspberry pi 4b 7 PCI</t>
  </si>
  <si>
    <t>IMPOSTO Raspberry pi 4b 7 PCI</t>
  </si>
  <si>
    <t>Imposto Importações</t>
  </si>
  <si>
    <t>4 x Ads1115-4 Canais</t>
  </si>
  <si>
    <t>Amazon conta Stenio</t>
  </si>
  <si>
    <t>1 x Adaptador para miniHDMI e microHDMI</t>
  </si>
  <si>
    <t>1 x  Cabo de Dados USB/USB-C,</t>
  </si>
  <si>
    <t>2 x Cartão de Memória 64GB</t>
  </si>
  <si>
    <t>Horas homem mês de março</t>
  </si>
  <si>
    <t>Salário Projetista</t>
  </si>
  <si>
    <t>Componentes placa base</t>
  </si>
  <si>
    <t>tigger componentes</t>
  </si>
  <si>
    <t>5 x Ads1115-4 Canais</t>
  </si>
  <si>
    <t>Fortek</t>
  </si>
  <si>
    <t xml:space="preserve">Horas homem mês </t>
  </si>
  <si>
    <t>Código</t>
  </si>
  <si>
    <t>Descrição do produto</t>
  </si>
  <si>
    <t>Preço un</t>
  </si>
  <si>
    <t>Preço total</t>
  </si>
  <si>
    <t>Quantidade</t>
  </si>
  <si>
    <t>Sensor De Chuva Rsd Rain Bird Com Fio</t>
  </si>
  <si>
    <t>https://produto.mercadolivre.com.br/MLB-1958195403-sensor-de-chuva-rsd-rain-bird-com-fio-_JM?quantity=1</t>
  </si>
  <si>
    <t>Conversor Usr-tcp232-410s Suport Dns Dhcp Rs232 Rs485 Serial</t>
  </si>
  <si>
    <t>https://produto.mercadolivre.com.br/MLB-1627377273-conversor-usr-tcp232-410s-suport-dns-dhcp-rs232-rs485-serial-_JM?quantity=2</t>
  </si>
  <si>
    <t>https://jlcpcb.com</t>
  </si>
  <si>
    <t>PCB importada principal</t>
  </si>
  <si>
    <t>Pcb importada analógica</t>
  </si>
  <si>
    <t>tiggercomp</t>
  </si>
  <si>
    <t xml:space="preserve">Módulo Adaptador TTL/RS485 </t>
  </si>
  <si>
    <t>Metalfilme 1/4W 1% - 100R</t>
  </si>
  <si>
    <t>Metalfilme 1/4W 1% - 1k</t>
  </si>
  <si>
    <t>https://tiggercomp.com.br/novaloja2/trimpot-vertical-100r-3296w?search=Trimpot%20vertical%20&amp;description=1</t>
  </si>
  <si>
    <t xml:space="preserve">Zener 1/2W 3V3 </t>
  </si>
  <si>
    <t xml:space="preserve">Trimpot vertical 100R 3296W </t>
  </si>
  <si>
    <t>Barra de Pino 1x20 MCI Fêmea</t>
  </si>
  <si>
    <t>https://www.eletrodex.net/conectores/pci/bornes/borne-de-pressao-180-br5c1-metaltex</t>
  </si>
  <si>
    <t>BORNE DE PRESSÃO 180° BR5C1 - METALTEX 2 vias</t>
  </si>
  <si>
    <t>Borne 3 vias KRE-3 Grande</t>
  </si>
  <si>
    <t>Capacitor Cerâmico 100K 50V</t>
  </si>
  <si>
    <t>Modulo Conversor Analógico/Digital Ads1115-4 Canais</t>
  </si>
  <si>
    <t>https://www.amazon.com.br/gp/product/B0846N7NLJ/ref=ppx_yo_dt_b_asin_title_o04_s00?ie=UTF8&amp;psc=1</t>
  </si>
  <si>
    <t>Lista de componetes para construção de cada sonda com 10 posições</t>
  </si>
  <si>
    <t xml:space="preserve">Atmega328P-PU </t>
  </si>
  <si>
    <t xml:space="preserve">Soquete Estampado 28 Pinos Estreito </t>
  </si>
  <si>
    <t>10 x Cristal 16Mhz (23.000.008) - R$0,91 cada = R$9,10</t>
  </si>
  <si>
    <t>100 x Metalfilme 1/4W 1% - 10K (1.003.302) - R$0,13 cada = R$13,00</t>
  </si>
  <si>
    <t>10 x LM7805 - Chapa Grossa (2.000.870) - R$1,61 cada = R$16,12</t>
  </si>
  <si>
    <t>15 x MAX485 (2.000.179) - R$3,64 cada = R$54,60</t>
  </si>
  <si>
    <t>5 x Dip Switch 6 Vias 180º (8.017.006) - R$2,28 cada = R$11,38</t>
  </si>
  <si>
    <t>Capacitor eletro 100uF 50V</t>
  </si>
  <si>
    <t xml:space="preserve">Cristal 16Mhz </t>
  </si>
  <si>
    <t>Capacitor Cerâmico 22pF 50V</t>
  </si>
  <si>
    <t>Borne 2 vias KRE-2 Grande</t>
  </si>
  <si>
    <t xml:space="preserve">LM7805 - Chapa Grossa </t>
  </si>
  <si>
    <t xml:space="preserve">LM7809 - Chapa Grossa </t>
  </si>
  <si>
    <t>Dissipador 183001 - 20mm</t>
  </si>
  <si>
    <t>Resistor 1W 5% - 0R68</t>
  </si>
  <si>
    <t>PT100 CRZ 2005-B</t>
  </si>
  <si>
    <t>PCB analógica</t>
  </si>
  <si>
    <t>PCB principal</t>
  </si>
  <si>
    <t>Cabos 20 vias (sonda)</t>
  </si>
  <si>
    <t>Cabos 06 vias (rede e alimentação)</t>
  </si>
  <si>
    <t xml:space="preserve">Dip Switch 6 Vias 180º </t>
  </si>
  <si>
    <t>TE com rosca</t>
  </si>
  <si>
    <t>Mangueira</t>
  </si>
  <si>
    <t>Plug bujão metal</t>
  </si>
  <si>
    <t>Cabo aço</t>
  </si>
  <si>
    <t>caixa  ip68</t>
  </si>
  <si>
    <t>Prensa cabo 1</t>
  </si>
  <si>
    <t>Estimativa de custos por sonda</t>
  </si>
  <si>
    <t>parte mecanica da sonda não sei!</t>
  </si>
  <si>
    <t>Pcb importada analógica montada</t>
  </si>
  <si>
    <t>Lista de componetes para construção 5 sonda com 10 posições para um silo</t>
  </si>
  <si>
    <t>SENSOR DE CHUVA RSD RAIN BIRD COM FIO</t>
  </si>
  <si>
    <t>CONVERSOR USR-TCP232-410S SUPORT DNS DHCP RS232 RS485 SERIAL</t>
  </si>
  <si>
    <t>CABOS 20 VIAS (SONDA)</t>
  </si>
  <si>
    <t>CABOS 06 VIAS (REDE E ALIMENTAÇÃO)</t>
  </si>
  <si>
    <t>MANGUEIRA</t>
  </si>
  <si>
    <t>TE COM ROSCA</t>
  </si>
  <si>
    <t>PLUG BUJÃO METAL</t>
  </si>
  <si>
    <t>CABO AÇO</t>
  </si>
  <si>
    <t>PRENSA CABO 1</t>
  </si>
  <si>
    <t>CAIXA  IP68</t>
  </si>
  <si>
    <t>PCB IMPORTADA ANALÓGICA</t>
  </si>
  <si>
    <t>METALFILME 1/4W 1% - 100R</t>
  </si>
  <si>
    <t>METALFILME 1/4W 1% - 1K</t>
  </si>
  <si>
    <t xml:space="preserve">TRIMPOT VERTICAL 100R 3296W </t>
  </si>
  <si>
    <t xml:space="preserve">ZENER 1/2W 3V3 </t>
  </si>
  <si>
    <t>BARRA DE PINO 1X20 MCI FÊMEA</t>
  </si>
  <si>
    <t>BORNE DE PRESSÃO 180° BR5C1 - METALTEX 2 VIAS</t>
  </si>
  <si>
    <t>BORNE 3 VIAS KRE-3 GRANDE</t>
  </si>
  <si>
    <t>CAPACITOR CERÂMICO 100K 50V</t>
  </si>
  <si>
    <t>MODULO CONVERSOR ANALÓGICO/DIGITAL ADS1115-4 CANAIS</t>
  </si>
  <si>
    <t>PCB IMPORTADA PRINCIPAL</t>
  </si>
  <si>
    <t xml:space="preserve">MÓDULO ADAPTADOR TTL/RS485 </t>
  </si>
  <si>
    <t xml:space="preserve">ATMEGA328P-PU </t>
  </si>
  <si>
    <t xml:space="preserve">SOQUETE ESTAMPADO 28 PINOS ESTREITO </t>
  </si>
  <si>
    <t>CAPACITOR ELETRO 100UF 50V</t>
  </si>
  <si>
    <t xml:space="preserve">CRISTAL 16MHZ </t>
  </si>
  <si>
    <t>CAPACITOR CERÂMICO 22PF 50V</t>
  </si>
  <si>
    <t>BORNE 2 VIAS KRE-2 GRANDE</t>
  </si>
  <si>
    <t xml:space="preserve">LM7805 - CHAPA GROSSA </t>
  </si>
  <si>
    <t xml:space="preserve">LM7809 - CHAPA GROSSA </t>
  </si>
  <si>
    <t>DISSIPADOR 183001 - 20MM</t>
  </si>
  <si>
    <t>RESISTOR 1W 5% - 0R68</t>
  </si>
  <si>
    <t xml:space="preserve">DIP SWITCH 6 VIAS 180º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</si>
</sst>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_ ;\-0\ "/>
  </numFmts>
  <fonts count="15" x14ac:knownFonts="1">
    <font>
      <sz val="11"/>
      <color theme="1" tint="-0.2499465926084170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  <font>
      <sz val="18"/>
      <color theme="1" tint="-0.24994659260841701"/>
      <name val="Century Gothic"/>
      <family val="2"/>
      <scheme val="major"/>
    </font>
    <font>
      <sz val="14"/>
      <color theme="1" tint="-0.24994659260841701"/>
      <name val="Century Gothic"/>
      <family val="2"/>
      <scheme val="major"/>
    </font>
    <font>
      <u/>
      <sz val="11"/>
      <color theme="10"/>
      <name val="Times New Roman"/>
      <family val="2"/>
      <scheme val="minor"/>
    </font>
    <font>
      <u/>
      <sz val="11"/>
      <color theme="0"/>
      <name val="Times New Roman"/>
      <family val="2"/>
      <scheme val="minor"/>
    </font>
    <font>
      <sz val="11"/>
      <color theme="1" tint="-0.24994659260841701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2"/>
      <color rgb="FF222222"/>
      <name val="Arial"/>
      <family val="2"/>
    </font>
    <font>
      <b/>
      <sz val="11"/>
      <color theme="1" tint="-0.24994659260841701"/>
      <name val="Times New Roman"/>
      <family val="1"/>
      <scheme val="minor"/>
    </font>
    <font>
      <sz val="11"/>
      <color theme="1" tint="-0.24994659260841701"/>
      <name val="Cambria"/>
      <family val="1"/>
    </font>
    <font>
      <sz val="14"/>
      <color theme="1" tint="-0.24994659260841701"/>
      <name val="Cambria"/>
      <family val="1"/>
    </font>
    <font>
      <b/>
      <sz val="11"/>
      <color theme="1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-0.499984740745262"/>
        <bgColor theme="6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6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6" tint="0.39997558519241921"/>
      </left>
      <right/>
      <top style="medium">
        <color indexed="64"/>
      </top>
      <bottom/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 wrapText="1"/>
    </xf>
    <xf numFmtId="0" fontId="3" fillId="0" borderId="1" applyNumberFormat="0" applyFill="0" applyAlignment="0" applyProtection="0"/>
    <xf numFmtId="0" fontId="3" fillId="0" borderId="7" applyNumberFormat="0" applyFill="0" applyAlignment="0" applyProtection="0"/>
    <xf numFmtId="0" fontId="3" fillId="0" borderId="5" applyNumberFormat="0" applyFill="0" applyAlignment="0" applyProtection="0"/>
    <xf numFmtId="0" fontId="3" fillId="0" borderId="6" applyNumberFormat="0" applyFill="0" applyAlignment="0" applyProtection="0"/>
    <xf numFmtId="0" fontId="5" fillId="0" borderId="0" applyNumberFormat="0" applyFill="0" applyBorder="0" applyAlignment="0" applyProtection="0">
      <alignment vertical="center" wrapText="1"/>
    </xf>
    <xf numFmtId="164" fontId="7" fillId="0" borderId="0" applyFont="0" applyFill="0" applyBorder="0" applyAlignment="0" applyProtection="0"/>
    <xf numFmtId="7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4" fontId="7" fillId="0" borderId="0">
      <alignment horizontal="right" vertical="center" wrapText="1"/>
    </xf>
    <xf numFmtId="44" fontId="7" fillId="0" borderId="0" applyFont="0" applyFill="0" applyBorder="0" applyAlignment="0" applyProtection="0"/>
    <xf numFmtId="0" fontId="8" fillId="2" borderId="8" applyNumberFormat="0" applyAlignment="0" applyProtection="0"/>
  </cellStyleXfs>
  <cellXfs count="83">
    <xf numFmtId="0" fontId="0" fillId="0" borderId="0" xfId="0">
      <alignment vertical="center" wrapText="1"/>
    </xf>
    <xf numFmtId="14" fontId="2" fillId="0" borderId="0" xfId="0" applyNumberFormat="1" applyFont="1">
      <alignment vertical="center" wrapText="1"/>
    </xf>
    <xf numFmtId="0" fontId="4" fillId="0" borderId="1" xfId="1" applyFont="1" applyAlignment="1">
      <alignment horizontal="right" vertical="center"/>
    </xf>
    <xf numFmtId="0" fontId="3" fillId="0" borderId="1" xfId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5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horizontal="left" vertical="center"/>
    </xf>
    <xf numFmtId="10" fontId="0" fillId="0" borderId="0" xfId="0" applyNumberFormat="1" applyFont="1" applyFill="1" applyBorder="1">
      <alignment vertical="center" wrapText="1"/>
    </xf>
    <xf numFmtId="0" fontId="0" fillId="0" borderId="0" xfId="0" applyFont="1" applyFill="1" applyBorder="1" applyAlignment="1">
      <alignment vertical="center" wrapText="1"/>
    </xf>
    <xf numFmtId="7" fontId="0" fillId="0" borderId="0" xfId="7" applyFont="1" applyFill="1" applyBorder="1" applyAlignment="1">
      <alignment vertical="center" wrapText="1"/>
    </xf>
    <xf numFmtId="10" fontId="0" fillId="0" borderId="0" xfId="8" applyFont="1" applyFill="1" applyBorder="1" applyAlignment="1">
      <alignment vertical="center" wrapText="1"/>
    </xf>
    <xf numFmtId="164" fontId="0" fillId="0" borderId="0" xfId="6" applyFont="1" applyFill="1" applyBorder="1" applyAlignment="1">
      <alignment horizontal="left" vertical="center"/>
    </xf>
    <xf numFmtId="14" fontId="7" fillId="0" borderId="0" xfId="9">
      <alignment horizontal="right" vertical="center" wrapText="1"/>
    </xf>
    <xf numFmtId="164" fontId="0" fillId="0" borderId="0" xfId="6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7" fontId="0" fillId="0" borderId="0" xfId="7" applyFont="1" applyAlignment="1">
      <alignment vertical="center" wrapText="1"/>
    </xf>
    <xf numFmtId="7" fontId="0" fillId="0" borderId="0" xfId="7" applyFont="1" applyBorder="1" applyAlignment="1">
      <alignment vertical="center" wrapText="1"/>
    </xf>
    <xf numFmtId="7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14" fontId="7" fillId="0" borderId="0" xfId="9" applyFill="1">
      <alignment horizontal="right" vertical="center" wrapText="1"/>
    </xf>
    <xf numFmtId="0" fontId="3" fillId="0" borderId="1" xfId="1" applyAlignment="1">
      <alignment horizontal="left"/>
    </xf>
    <xf numFmtId="0" fontId="3" fillId="0" borderId="7" xfId="2"/>
    <xf numFmtId="0" fontId="0" fillId="0" borderId="2" xfId="0" applyBorder="1" applyAlignment="1">
      <alignment horizontal="center" vertical="center" wrapText="1"/>
    </xf>
    <xf numFmtId="0" fontId="3" fillId="0" borderId="5" xfId="3" applyAlignment="1">
      <alignment vertical="top"/>
    </xf>
    <xf numFmtId="0" fontId="0" fillId="0" borderId="3" xfId="0" applyBorder="1" applyAlignment="1">
      <alignment horizontal="center" vertical="center" wrapText="1"/>
    </xf>
    <xf numFmtId="0" fontId="3" fillId="0" borderId="6" xfId="4" applyAlignment="1"/>
    <xf numFmtId="164" fontId="1" fillId="0" borderId="9" xfId="6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2" borderId="8" xfId="11" applyAlignment="1">
      <alignment horizontal="center" vertical="center" wrapText="1"/>
    </xf>
    <xf numFmtId="44" fontId="1" fillId="0" borderId="9" xfId="10" applyFont="1" applyBorder="1" applyAlignment="1">
      <alignment horizontal="left" vertical="center"/>
    </xf>
    <xf numFmtId="0" fontId="5" fillId="0" borderId="0" xfId="5">
      <alignment vertical="center" wrapText="1"/>
    </xf>
    <xf numFmtId="0" fontId="10" fillId="0" borderId="0" xfId="0" applyFont="1">
      <alignment vertical="center" wrapText="1"/>
    </xf>
    <xf numFmtId="44" fontId="0" fillId="0" borderId="0" xfId="0" applyNumberFormat="1">
      <alignment vertical="center" wrapText="1"/>
    </xf>
    <xf numFmtId="164" fontId="1" fillId="3" borderId="11" xfId="6" applyNumberFormat="1" applyFont="1" applyFill="1" applyBorder="1" applyAlignment="1">
      <alignment horizontal="center" vertical="center"/>
    </xf>
    <xf numFmtId="164" fontId="1" fillId="3" borderId="12" xfId="6" applyNumberFormat="1" applyFont="1" applyFill="1" applyBorder="1" applyAlignment="1">
      <alignment horizontal="left" vertical="center"/>
    </xf>
    <xf numFmtId="44" fontId="1" fillId="3" borderId="12" xfId="10" applyFont="1" applyFill="1" applyBorder="1" applyAlignment="1">
      <alignment horizontal="left" vertical="center"/>
    </xf>
    <xf numFmtId="44" fontId="1" fillId="3" borderId="13" xfId="10" applyFont="1" applyFill="1" applyBorder="1" applyAlignment="1">
      <alignment horizontal="left" vertical="center"/>
    </xf>
    <xf numFmtId="164" fontId="1" fillId="0" borderId="14" xfId="6" applyNumberFormat="1" applyFont="1" applyBorder="1" applyAlignment="1">
      <alignment horizontal="center" vertical="center"/>
    </xf>
    <xf numFmtId="44" fontId="1" fillId="0" borderId="15" xfId="10" applyFont="1" applyBorder="1" applyAlignment="1">
      <alignment horizontal="left" vertical="center"/>
    </xf>
    <xf numFmtId="44" fontId="0" fillId="0" borderId="10" xfId="0" applyNumberFormat="1" applyBorder="1">
      <alignment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4" fontId="0" fillId="0" borderId="0" xfId="0" applyNumberFormat="1" applyBorder="1">
      <alignment vertical="center" wrapText="1"/>
    </xf>
    <xf numFmtId="164" fontId="1" fillId="0" borderId="16" xfId="6" applyNumberFormat="1" applyFont="1" applyBorder="1" applyAlignment="1">
      <alignment horizontal="center" vertical="center"/>
    </xf>
    <xf numFmtId="164" fontId="1" fillId="0" borderId="17" xfId="6" applyNumberFormat="1" applyFont="1" applyBorder="1" applyAlignment="1">
      <alignment horizontal="left" vertical="center"/>
    </xf>
    <xf numFmtId="44" fontId="1" fillId="0" borderId="17" xfId="10" applyFont="1" applyBorder="1" applyAlignment="1">
      <alignment horizontal="left" vertical="center"/>
    </xf>
    <xf numFmtId="44" fontId="1" fillId="0" borderId="18" xfId="10" applyFont="1" applyBorder="1" applyAlignment="1">
      <alignment horizontal="left" vertical="center"/>
    </xf>
    <xf numFmtId="0" fontId="11" fillId="0" borderId="0" xfId="0" applyFo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>
      <alignment vertical="center" wrapText="1"/>
    </xf>
    <xf numFmtId="44" fontId="12" fillId="0" borderId="0" xfId="10" applyFont="1" applyBorder="1" applyAlignment="1">
      <alignment vertical="center" wrapText="1"/>
    </xf>
    <xf numFmtId="44" fontId="12" fillId="0" borderId="27" xfId="10" applyFont="1" applyBorder="1" applyAlignment="1">
      <alignment vertical="center" wrapText="1"/>
    </xf>
    <xf numFmtId="0" fontId="12" fillId="0" borderId="26" xfId="0" applyFont="1" applyBorder="1">
      <alignment vertical="center" wrapText="1"/>
    </xf>
    <xf numFmtId="0" fontId="12" fillId="0" borderId="27" xfId="0" applyFont="1" applyBorder="1">
      <alignment vertical="center" wrapText="1"/>
    </xf>
    <xf numFmtId="0" fontId="12" fillId="0" borderId="28" xfId="0" applyFont="1" applyBorder="1">
      <alignment vertical="center" wrapText="1"/>
    </xf>
    <xf numFmtId="0" fontId="12" fillId="0" borderId="29" xfId="0" applyFont="1" applyBorder="1">
      <alignment vertical="center" wrapText="1"/>
    </xf>
    <xf numFmtId="44" fontId="12" fillId="0" borderId="30" xfId="0" applyNumberFormat="1" applyFont="1" applyBorder="1">
      <alignment vertical="center" wrapText="1"/>
    </xf>
    <xf numFmtId="164" fontId="14" fillId="0" borderId="14" xfId="6" applyNumberFormat="1" applyFont="1" applyBorder="1" applyAlignment="1">
      <alignment horizontal="center" vertical="center"/>
    </xf>
    <xf numFmtId="164" fontId="14" fillId="0" borderId="9" xfId="6" applyNumberFormat="1" applyFont="1" applyBorder="1" applyAlignment="1">
      <alignment horizontal="left" vertical="center"/>
    </xf>
    <xf numFmtId="44" fontId="14" fillId="0" borderId="9" xfId="10" applyFont="1" applyBorder="1" applyAlignment="1">
      <alignment horizontal="left" vertical="center"/>
    </xf>
    <xf numFmtId="44" fontId="14" fillId="0" borderId="15" xfId="10" applyFont="1" applyBorder="1" applyAlignment="1">
      <alignment horizontal="left" vertical="center"/>
    </xf>
    <xf numFmtId="164" fontId="14" fillId="3" borderId="14" xfId="6" applyNumberFormat="1" applyFont="1" applyFill="1" applyBorder="1" applyAlignment="1">
      <alignment horizontal="center" vertical="center"/>
    </xf>
    <xf numFmtId="164" fontId="14" fillId="3" borderId="9" xfId="6" applyNumberFormat="1" applyFont="1" applyFill="1" applyBorder="1" applyAlignment="1">
      <alignment horizontal="left" vertical="center"/>
    </xf>
    <xf numFmtId="44" fontId="14" fillId="3" borderId="9" xfId="10" applyFont="1" applyFill="1" applyBorder="1" applyAlignment="1">
      <alignment horizontal="left" vertical="center"/>
    </xf>
    <xf numFmtId="44" fontId="14" fillId="3" borderId="15" xfId="10" applyFont="1" applyFill="1" applyBorder="1" applyAlignment="1">
      <alignment horizontal="left" vertical="center"/>
    </xf>
    <xf numFmtId="164" fontId="14" fillId="3" borderId="11" xfId="6" applyNumberFormat="1" applyFont="1" applyFill="1" applyBorder="1" applyAlignment="1">
      <alignment horizontal="center" vertical="center"/>
    </xf>
    <xf numFmtId="164" fontId="14" fillId="3" borderId="12" xfId="6" applyNumberFormat="1" applyFont="1" applyFill="1" applyBorder="1" applyAlignment="1">
      <alignment horizontal="left" vertical="center"/>
    </xf>
    <xf numFmtId="44" fontId="14" fillId="3" borderId="12" xfId="10" applyFont="1" applyFill="1" applyBorder="1" applyAlignment="1">
      <alignment horizontal="left" vertical="center"/>
    </xf>
    <xf numFmtId="44" fontId="14" fillId="3" borderId="13" xfId="10" applyFont="1" applyFill="1" applyBorder="1" applyAlignment="1">
      <alignment horizontal="left" vertical="center"/>
    </xf>
    <xf numFmtId="164" fontId="14" fillId="3" borderId="16" xfId="6" applyNumberFormat="1" applyFont="1" applyFill="1" applyBorder="1" applyAlignment="1">
      <alignment horizontal="center" vertical="center"/>
    </xf>
    <xf numFmtId="164" fontId="14" fillId="3" borderId="17" xfId="6" applyNumberFormat="1" applyFont="1" applyFill="1" applyBorder="1" applyAlignment="1">
      <alignment horizontal="left" vertical="center"/>
    </xf>
    <xf numFmtId="44" fontId="14" fillId="3" borderId="17" xfId="10" applyFont="1" applyFill="1" applyBorder="1" applyAlignment="1">
      <alignment horizontal="left" vertical="center"/>
    </xf>
    <xf numFmtId="44" fontId="14" fillId="3" borderId="18" xfId="10" applyFont="1" applyFill="1" applyBorder="1" applyAlignment="1">
      <alignment horizontal="left" vertical="center"/>
    </xf>
    <xf numFmtId="44" fontId="11" fillId="0" borderId="10" xfId="0" applyNumberFormat="1" applyFont="1" applyBorder="1">
      <alignment vertical="center" wrapText="1"/>
    </xf>
  </cellXfs>
  <cellStyles count="12">
    <cellStyle name="Data" xfId="9" xr:uid="{00000000-0005-0000-0000-000002000000}"/>
    <cellStyle name="Hiperlink" xfId="5" builtinId="8"/>
    <cellStyle name="Moeda" xfId="10" builtinId="4"/>
    <cellStyle name="Moeda [0]" xfId="7" builtinId="7" customBuiltin="1"/>
    <cellStyle name="Normal" xfId="0" builtinId="0" customBuiltin="1"/>
    <cellStyle name="Porcentagem" xfId="8" builtinId="5" customBuiltin="1"/>
    <cellStyle name="Saída" xfId="11" builtinId="2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Vírgula" xfId="6" builtinId="3" customBuiltin="1"/>
  </cellStyles>
  <dxfs count="66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1" formatCode="&quot;R$&quot;\ #,##0.00;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numFmt numFmtId="11" formatCode="&quot;R$&quot;\ #,##0.00;\-&quot;R$&quot;\ 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4659260841701"/>
        <name val="Times New Roman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color theme="1"/>
      </font>
      <border>
        <bottom style="thin">
          <color theme="7" tint="-0.499984740745262"/>
        </bottom>
        <vertical/>
        <horizontal/>
      </border>
    </dxf>
    <dxf>
      <font>
        <color theme="1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/>
        <horizontal/>
      </border>
    </dxf>
    <dxf>
      <font>
        <b/>
        <color theme="1"/>
      </font>
      <border>
        <bottom style="thin">
          <color theme="5" tint="-0.499984740745262"/>
        </bottom>
        <vertical/>
        <horizontal/>
      </border>
    </dxf>
    <dxf>
      <font>
        <sz val="11"/>
        <color theme="1"/>
      </font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6" tint="-0.499984740745262"/>
        </bottom>
        <vertical/>
        <horizontal/>
      </border>
    </dxf>
    <dxf>
      <font>
        <color theme="1"/>
      </font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>
        <left style="thin">
          <color theme="9"/>
        </left>
      </border>
    </dxf>
    <dxf>
      <border>
        <left style="thin">
          <color theme="9"/>
        </left>
      </border>
    </dxf>
    <dxf>
      <border>
        <top style="thin">
          <color theme="9"/>
        </top>
      </border>
    </dxf>
    <dxf>
      <border>
        <top style="thin">
          <color theme="9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 tint="-0.24994659260841701"/>
        </patternFill>
      </fill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5"/>
        </left>
      </border>
    </dxf>
    <dxf>
      <fill>
        <patternFill patternType="none">
          <bgColor auto="1"/>
        </patternFill>
      </fill>
      <border>
        <left style="thin">
          <color theme="5"/>
        </left>
      </border>
    </dxf>
    <dxf>
      <border>
        <top style="thin">
          <color theme="5"/>
        </top>
      </border>
    </dxf>
    <dxf>
      <fill>
        <patternFill>
          <bgColor theme="5" tint="0.79998168889431442"/>
        </patternFill>
      </fill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 tint="-0.499984740745262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499984740745262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8" defaultTableStyle="TableStyleMedium2" defaultPivotStyle="PivotStyleLight16">
    <tableStyle name="Despesas Discriminadas" pivot="0" count="7" xr9:uid="{00000000-0011-0000-FFFF-FFFF01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Donativos e Patrocínios" pivot="0" count="7" xr9:uid="{00000000-0011-0000-FFFF-FFFF00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Resumo de Despesas Mensais" pivot="0" count="9" xr9:uid="{00000000-0011-0000-FFFF-FFFF02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</tableStyle>
    <tableStyle name="Resumo do Orçamento No Ano" pivot="0" count="9" xr9:uid="{00000000-0011-0000-FFFF-FFFF07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secondRowStripe" dxfId="36"/>
      <tableStyleElement type="firstColumnStripe" dxfId="35"/>
      <tableStyleElement type="secondColumnStripe" dxfId="34"/>
    </tableStyle>
    <tableStyle name="Segmentação para Despesas discriminadas" pivot="0" table="0" count="10" xr9:uid="{00000000-0011-0000-FFFF-FFFF04000000}">
      <tableStyleElement type="wholeTable" dxfId="33"/>
      <tableStyleElement type="headerRow" dxfId="32"/>
    </tableStyle>
    <tableStyle name="Segmentação para Donativos e patrocínios" pivot="0" table="0" count="10" xr9:uid="{00000000-0011-0000-FFFF-FFFF03000000}">
      <tableStyleElement type="wholeTable" dxfId="31"/>
      <tableStyleElement type="headerRow" dxfId="30"/>
    </tableStyle>
    <tableStyle name="Segmentação para Resumo de despesas mensais" pivot="0" table="0" count="10" xr9:uid="{00000000-0011-0000-FFFF-FFFF05000000}">
      <tableStyleElement type="wholeTable" dxfId="29"/>
      <tableStyleElement type="headerRow" dxfId="28"/>
    </tableStyle>
    <tableStyle name="SegmentaçãoEstiloEscuro4 2" pivot="0" table="0" count="10" xr9:uid="{00000000-0011-0000-FFFF-FFFF06000000}">
      <tableStyleElement type="wholeTable" dxfId="27"/>
      <tableStyleElement type="headerRow" dxfId="26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 tint="-0.499984740745262"/>
            </patternFill>
          </fill>
          <border>
            <left style="thin">
              <color theme="7" tint="-0.499984740745262"/>
            </left>
            <right style="thin">
              <color theme="7" tint="-0.499984740745262"/>
            </right>
            <top style="thin">
              <color theme="7" tint="-0.499984740745262"/>
            </top>
            <bottom style="thin">
              <color theme="7" tint="-0.499984740745262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-0.49998474074526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-0.49998474074526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 tint="-0.499984740745262"/>
            </patternFill>
          </fill>
          <border>
            <left style="thin">
              <color theme="6" tint="-0.499984740745262"/>
            </left>
            <right style="thin">
              <color theme="6" tint="-0.499984740745262"/>
            </right>
            <top style="thin">
              <color theme="6" tint="-0.499984740745262"/>
            </top>
            <bottom style="thin">
              <color theme="6" tint="-0.499984740745262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 para Despesas discriminadas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egmentação para Donativos e patrocínios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egmentação para Resumo de despesas mensai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egmentaçãoEstiloEscuro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RESUMO DE DESPESAS MENSAI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RESUMO DO OR&#199;AMENTO NO ANO'!A1"/><Relationship Id="rId1" Type="http://schemas.openxmlformats.org/officeDocument/2006/relationships/hyperlink" Target="#'DESPESAS DISCRIMINADA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RESUMO DE DESPESAS MENSAIS'!A1"/><Relationship Id="rId1" Type="http://schemas.openxmlformats.org/officeDocument/2006/relationships/hyperlink" Target="#'DONATIVOS E PATROC&#205;NIO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DESPESAS DISCRIMINADA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1044000</xdr:colOff>
      <xdr:row>1</xdr:row>
      <xdr:rowOff>19050</xdr:rowOff>
    </xdr:to>
    <xdr:sp macro="" textlink="">
      <xdr:nvSpPr>
        <xdr:cNvPr id="2" name="Seta para a direita 1" descr="Botão de navegação direito">
          <a:hlinkClick xmlns:r="http://schemas.openxmlformats.org/officeDocument/2006/relationships" r:id="rId1" tooltip="Selecione para navegar até a planilha RESUMO DE DESPESAS MENSAIS.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0975" y="0"/>
          <a:ext cx="1044000" cy="209550"/>
        </a:xfrm>
        <a:prstGeom prst="rightArrow">
          <a:avLst>
            <a:gd name="adj1" fmla="val 100000"/>
            <a:gd name="adj2" fmla="val 59091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AVANÇAR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19051</xdr:rowOff>
    </xdr:from>
    <xdr:to>
      <xdr:col>16</xdr:col>
      <xdr:colOff>347525</xdr:colOff>
      <xdr:row>3</xdr:row>
      <xdr:rowOff>437516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ítulo da conta" descr="Filtre o Resumo de despesas mensais pelo campo Título da conta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ítulo da co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523876"/>
              <a:ext cx="13763625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br" sz="1100"/>
                <a:t>Essa forma representa uma segmentação de dados da tabela. O Excel ou posterior dá suporte à segmentação de dados.
Se a forma foi modificada em uma versão anterior do Excel ou se a pasta de trabalho foi salva no Excel 2007 ou anterior, não será possível usar a segmentação de dados.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0</xdr:row>
      <xdr:rowOff>0</xdr:rowOff>
    </xdr:from>
    <xdr:to>
      <xdr:col>2</xdr:col>
      <xdr:colOff>1049715</xdr:colOff>
      <xdr:row>1</xdr:row>
      <xdr:rowOff>15240</xdr:rowOff>
    </xdr:to>
    <xdr:sp macro="" textlink="">
      <xdr:nvSpPr>
        <xdr:cNvPr id="4" name="Seta para a direita 3" descr="Botão de navegação direito">
          <a:hlinkClick xmlns:r="http://schemas.openxmlformats.org/officeDocument/2006/relationships" r:id="rId1" tooltip="Selecione para navegar até a planilha DESPESAS DISCRIMINADAS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09650" y="0"/>
          <a:ext cx="1044000" cy="209550"/>
        </a:xfrm>
        <a:prstGeom prst="rightArrow">
          <a:avLst>
            <a:gd name="adj1" fmla="val 100000"/>
            <a:gd name="adj2" fmla="val 59091"/>
          </a:avLst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AVANÇAR</a:t>
          </a:r>
        </a:p>
      </xdr:txBody>
    </xdr:sp>
    <xdr:clientData fPrintsWithSheet="0"/>
  </xdr:twoCellAnchor>
  <xdr:twoCellAnchor editAs="oneCell">
    <xdr:from>
      <xdr:col>1</xdr:col>
      <xdr:colOff>85725</xdr:colOff>
      <xdr:row>0</xdr:row>
      <xdr:rowOff>0</xdr:rowOff>
    </xdr:from>
    <xdr:to>
      <xdr:col>2</xdr:col>
      <xdr:colOff>19110</xdr:colOff>
      <xdr:row>1</xdr:row>
      <xdr:rowOff>15240</xdr:rowOff>
    </xdr:to>
    <xdr:sp macro="" textlink="">
      <xdr:nvSpPr>
        <xdr:cNvPr id="5" name="Seta para a esquerda 4" descr="Botão de navegação esquerdo">
          <a:hlinkClick xmlns:r="http://schemas.openxmlformats.org/officeDocument/2006/relationships" r:id="rId2" tooltip="Selecione para navegar até a planilha RESUMO DO ORÇAMENTO NO ANO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66700" y="0"/>
          <a:ext cx="1044000" cy="209550"/>
        </a:xfrm>
        <a:prstGeom prst="leftArrow">
          <a:avLst>
            <a:gd name="adj1" fmla="val 100000"/>
            <a:gd name="adj2" fmla="val 50000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ANTERIOR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19050</xdr:rowOff>
    </xdr:from>
    <xdr:to>
      <xdr:col>10</xdr:col>
      <xdr:colOff>451</xdr:colOff>
      <xdr:row>2</xdr:row>
      <xdr:rowOff>897255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redor" descr="Filtre as Despesas discriminadas pelo campo Credor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r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6" y="523875"/>
              <a:ext cx="55440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9522</xdr:colOff>
      <xdr:row>2</xdr:row>
      <xdr:rowOff>19050</xdr:rowOff>
    </xdr:from>
    <xdr:to>
      <xdr:col>5</xdr:col>
      <xdr:colOff>704850</xdr:colOff>
      <xdr:row>2</xdr:row>
      <xdr:rowOff>897255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Solicitado por" descr="Filtre as Despesas discriminadas pelo campo Solicitado por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licitado p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523875"/>
              <a:ext cx="5504688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br" sz="1100"/>
                <a:t>Essa forma representa uma segmentação da tabela. O Excel ou posterior dá suporte à segmentação de dados.
Se a forma foi modificada em uma versão anterior do Excel ou se a pasta de trabalho foi salva no Excel 2007 ou anterior, não será possível usar a segmentação de dados.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0</xdr:row>
      <xdr:rowOff>0</xdr:rowOff>
    </xdr:from>
    <xdr:to>
      <xdr:col>2</xdr:col>
      <xdr:colOff>1049715</xdr:colOff>
      <xdr:row>1</xdr:row>
      <xdr:rowOff>15240</xdr:rowOff>
    </xdr:to>
    <xdr:sp macro="" textlink="">
      <xdr:nvSpPr>
        <xdr:cNvPr id="8" name="Seta para a direita 7" descr="Botão de navegação direito">
          <a:hlinkClick xmlns:r="http://schemas.openxmlformats.org/officeDocument/2006/relationships" r:id="rId1" tooltip="Selecione para navegar até a planilha DONATIVOS E PATROCÍNIOS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14450" y="0"/>
          <a:ext cx="1044000" cy="209550"/>
        </a:xfrm>
        <a:prstGeom prst="rightArrow">
          <a:avLst>
            <a:gd name="adj1" fmla="val 100000"/>
            <a:gd name="adj2" fmla="val 59091"/>
          </a:avLst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AVANÇAR</a:t>
          </a:r>
        </a:p>
      </xdr:txBody>
    </xdr:sp>
    <xdr:clientData fPrintsWithSheet="0"/>
  </xdr:twoCellAnchor>
  <xdr:twoCellAnchor editAs="oneCell">
    <xdr:from>
      <xdr:col>1</xdr:col>
      <xdr:colOff>85725</xdr:colOff>
      <xdr:row>0</xdr:row>
      <xdr:rowOff>0</xdr:rowOff>
    </xdr:from>
    <xdr:to>
      <xdr:col>2</xdr:col>
      <xdr:colOff>19110</xdr:colOff>
      <xdr:row>1</xdr:row>
      <xdr:rowOff>15240</xdr:rowOff>
    </xdr:to>
    <xdr:sp macro="" textlink="">
      <xdr:nvSpPr>
        <xdr:cNvPr id="9" name="Seta para a esquerda 8" descr="Botão de navegação esquerdo">
          <a:hlinkClick xmlns:r="http://schemas.openxmlformats.org/officeDocument/2006/relationships" r:id="rId2" tooltip="Selecione para navegar até a planilha RESUMO DE DESPESAS MENSAIS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66700" y="0"/>
          <a:ext cx="1044000" cy="209550"/>
        </a:xfrm>
        <a:prstGeom prst="leftArrow">
          <a:avLst>
            <a:gd name="adj1" fmla="val 100000"/>
            <a:gd name="adj2" fmla="val 5000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ANTERIOR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19050</xdr:rowOff>
    </xdr:from>
    <xdr:to>
      <xdr:col>6</xdr:col>
      <xdr:colOff>0</xdr:colOff>
      <xdr:row>2</xdr:row>
      <xdr:rowOff>904875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olicitado por 1" descr="Filtre Donativos e patrocínios pelo campo Solicitado por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licitado p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523875"/>
              <a:ext cx="6248401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br" sz="1100"/>
                <a:t>Essa forma representa uma segmentação da tabela. O Excel ou posterior dá suporte à segmentação de dados.
Se a forma foi modificada em uma versão anterior do Excel, ou se a pasta de trabalho foi salva no Excel 2007 ou anterior, não será possível usar a segmentação de dados.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9524</xdr:colOff>
      <xdr:row>2</xdr:row>
      <xdr:rowOff>19050</xdr:rowOff>
    </xdr:from>
    <xdr:to>
      <xdr:col>12</xdr:col>
      <xdr:colOff>9525</xdr:colOff>
      <xdr:row>2</xdr:row>
      <xdr:rowOff>904875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redor 1" descr="Filtre Donativos e patrocínios pelo campo Credor.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r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4" y="523875"/>
              <a:ext cx="7181851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br" sz="1100"/>
                <a:t>Essa forma representa uma segmentação da tabela. O Excel ou posterior dá suporte à segmentação de dados.
Se a forma foi modificada em uma versão anterior do Excel, ou se a pasta de trabalho foi salva no Excel 2007 ou anterior, não será possível usar a segmentação de dados.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85725</xdr:colOff>
      <xdr:row>0</xdr:row>
      <xdr:rowOff>0</xdr:rowOff>
    </xdr:from>
    <xdr:to>
      <xdr:col>2</xdr:col>
      <xdr:colOff>5775</xdr:colOff>
      <xdr:row>1</xdr:row>
      <xdr:rowOff>19050</xdr:rowOff>
    </xdr:to>
    <xdr:sp macro="" textlink="">
      <xdr:nvSpPr>
        <xdr:cNvPr id="7" name="Seta para a esquerda 6" descr="Botão de navegação esquerdo">
          <a:hlinkClick xmlns:r="http://schemas.openxmlformats.org/officeDocument/2006/relationships" r:id="rId1" tooltip="Selecione para navegar até a planilha DESPESAS DISCRIMINADAS.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66700" y="0"/>
          <a:ext cx="1044000" cy="209550"/>
        </a:xfrm>
        <a:prstGeom prst="leftArrow">
          <a:avLst>
            <a:gd name="adj1" fmla="val 100000"/>
            <a:gd name="adj2" fmla="val 50000"/>
          </a:avLst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pt-br" sz="1100">
              <a:solidFill>
                <a:schemeClr val="bg1"/>
              </a:solidFill>
              <a:latin typeface="+mj-lt"/>
            </a:rPr>
            <a:t>ANTERIOR</a:t>
          </a:r>
        </a:p>
      </xdr:txBody>
    </xdr:sp>
    <xdr:clientData fPrintsWithSheet="0"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_credor" xr10:uid="{00000000-0013-0000-FFFF-FFFF01000000}" sourceName="Credor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_solicitado_por" xr10:uid="{00000000-0013-0000-FFFF-FFFF02000000}" sourceName="Descriçã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_solicitado_por1" xr10:uid="{00000000-0013-0000-FFFF-FFFF03000000}" sourceName="Solicitado por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_credor1" xr10:uid="{00000000-0013-0000-FFFF-FFFF04000000}" sourceName="Credor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_título_da_conta" xr10:uid="{00000000-0013-0000-FFFF-FFFF05000000}" sourceName="Título da conta">
  <extLst>
    <x:ext xmlns:x15="http://schemas.microsoft.com/office/spreadsheetml/2010/11/main" uri="{2F2917AC-EB37-4324-AD4E-5DD8C200BD13}">
      <x15:tableSlicerCache tableId="4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ítulo da conta" xr10:uid="{00000000-0014-0000-FFFF-FFFF01000000}" cache="Segmentação_título_da_conta" caption="Título da conta" columnCount="7" style="Segmentação para Resumo de despesas mensais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redor" xr10:uid="{00000000-0014-0000-FFFF-FFFF02000000}" cache="Segmentação_credor" caption="Credor" columnCount="3" style="Segmentação para Despesas discriminadas" rowHeight="225425"/>
  <slicer name="Solicitado por" xr10:uid="{00000000-0014-0000-FFFF-FFFF03000000}" cache="Segmentação_solicitado_por" caption="Descrição" startItem="6" columnCount="3" style="Segmentação para Despesas discriminadas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olicitado por 1" xr10:uid="{00000000-0014-0000-FFFF-FFFF04000000}" cache="Segmentação_solicitado_por1" caption="Solicitado por" columnCount="3" style="Segmentação para Donativos e patrocínios" rowHeight="225425"/>
  <slicer name="Credor 1" xr10:uid="{00000000-0014-0000-FFFF-FFFF05000000}" cache="Segmentação_credor1" caption="Credor" columnCount="3" style="Segmentação para Donativos e patrocínios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AtéaPresenteData" displayName="TabelaAtéaPresenteData" ref="B4:G13" totalsRowCount="1">
  <autoFilter ref="B4:G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Razão código" totalsRowLabel="Total" totalsRowDxfId="25" dataCellStyle="Vírgula"/>
    <tableColumn id="2" xr3:uid="{00000000-0010-0000-0000-000002000000}" name="Título da conta" totalsRowDxfId="24"/>
    <tableColumn id="3" xr3:uid="{00000000-0010-0000-0000-000003000000}" name="Real" totalsRowFunction="sum" totalsRowDxfId="23" dataCellStyle="Moeda [0]">
      <calculatedColumnFormula>SUMIF(ResumoDeDespesasMensais[Razão código],TabelaAtéaPresenteData[[#This Row],[Razão código]],ResumoDeDespesasMensais[Total])</calculatedColumnFormula>
    </tableColumn>
    <tableColumn id="4" xr3:uid="{00000000-0010-0000-0000-000004000000}" name="Orçamento" totalsRowFunction="sum" totalsRowDxfId="22" dataCellStyle="Moeda [0]"/>
    <tableColumn id="5" xr3:uid="{00000000-0010-0000-0000-000005000000}" name="Restante R$" totalsRowFunction="sum" dataDxfId="21" totalsRowDxfId="20" dataCellStyle="Moeda [0]">
      <calculatedColumnFormula>IF(TabelaAtéaPresenteData[[#This Row],[Orçamento]]="","",+TabelaAtéaPresenteData[[#This Row],[Orçamento]]-TabelaAtéaPresenteData[[#This Row],[Real]])</calculatedColumnFormula>
    </tableColumn>
    <tableColumn id="6" xr3:uid="{00000000-0010-0000-0000-000006000000}" name="Restante %" totalsRowFunction="custom" totalsRowDxfId="19" dataCellStyle="Porcentagem">
      <calculatedColumnFormula>IFERROR(TabelaAtéaPresenteData[[#This Row],[Restante R$]]/TabelaAtéaPresenteData[[#This Row],[Orçamento]],"")</calculatedColumnFormula>
      <totalsRowFormula>TabelaAtéaPresenteData[[#Totals],[Restante R$]]/TabelaAtéaPresenteData[[#Totals],[Orçamento]]</totalsRowFormula>
    </tableColumn>
  </tableColumns>
  <tableStyleInfo name="Resumo do orçamento no ano" showFirstColumn="0" showLastColumn="0" showRowStripes="1" showColumnStripes="0"/>
  <extLst>
    <ext xmlns:x14="http://schemas.microsoft.com/office/spreadsheetml/2009/9/main" uri="{504A1905-F514-4f6f-8877-14C23A59335A}">
      <x14:table altTextSummary="Insira código contábil, título da conta e orçamento nesta tabela. O valor real, bem como o percentual e os valores restantes serão calculados automaticament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esumoDeDespesasMensais" displayName="ResumoDeDespesasMensais" ref="B5:Q18" totalsRowCount="1">
  <autoFilter ref="B5:Q17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00000000-0010-0000-0100-000001000000}" name="Razão código" totalsRowLabel="Total" dataDxfId="18" totalsRowDxfId="17" dataCellStyle="Vírgula"/>
    <tableColumn id="2" xr3:uid="{00000000-0010-0000-0100-000002000000}" name="Título da conta" totalsRowDxfId="16"/>
    <tableColumn id="3" xr3:uid="{00000000-0010-0000-0100-000003000000}" name="Janeiro" totalsRowFunction="sum" totalsRowDxfId="15" dataCellStyle="Moeda [0]">
      <calculatedColumnFormula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calculatedColumnFormula>
    </tableColumn>
    <tableColumn id="4" xr3:uid="{00000000-0010-0000-0100-000004000000}" name="Fevereiro" totalsRowFunction="sum" totalsRowDxfId="14" dataCellStyle="Moeda [0]">
      <calculatedColumnFormula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calculatedColumnFormula>
    </tableColumn>
    <tableColumn id="5" xr3:uid="{00000000-0010-0000-0100-000005000000}" name="Março" totalsRowFunction="sum" totalsRowDxfId="13" dataCellStyle="Moeda [0]">
      <calculatedColumnFormula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calculatedColumnFormula>
    </tableColumn>
    <tableColumn id="6" xr3:uid="{00000000-0010-0000-0100-000006000000}" name="Abr" totalsRowFunction="sum" totalsRowDxfId="12" dataCellStyle="Moeda [0]">
      <calculatedColumnFormula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calculatedColumnFormula>
    </tableColumn>
    <tableColumn id="7" xr3:uid="{00000000-0010-0000-0100-000007000000}" name="Maio" totalsRowFunction="sum" totalsRowDxfId="11" dataCellStyle="Moeda [0]">
      <calculatedColumnFormula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calculatedColumnFormula>
    </tableColumn>
    <tableColumn id="8" xr3:uid="{00000000-0010-0000-0100-000008000000}" name="Jun" totalsRowFunction="sum" totalsRowDxfId="10" dataCellStyle="Moeda [0]">
      <calculatedColumnFormula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calculatedColumnFormula>
    </tableColumn>
    <tableColumn id="9" xr3:uid="{00000000-0010-0000-0100-000009000000}" name="Julho" totalsRowFunction="sum" totalsRowDxfId="9" dataCellStyle="Moeda [0]">
      <calculatedColumnFormula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calculatedColumnFormula>
    </tableColumn>
    <tableColumn id="10" xr3:uid="{00000000-0010-0000-0100-00000A000000}" name="Agosto" totalsRowFunction="sum" totalsRowDxfId="8" dataCellStyle="Moeda [0]">
      <calculatedColumnFormula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calculatedColumnFormula>
    </tableColumn>
    <tableColumn id="11" xr3:uid="{00000000-0010-0000-0100-00000B000000}" name="Setembro" totalsRowFunction="sum" totalsRowDxfId="7" dataCellStyle="Moeda [0]">
      <calculatedColumnFormula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calculatedColumnFormula>
    </tableColumn>
    <tableColumn id="12" xr3:uid="{00000000-0010-0000-0100-00000C000000}" name="Outubro" totalsRowFunction="sum" totalsRowDxfId="6" dataCellStyle="Moeda [0]">
      <calculatedColumnFormula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calculatedColumnFormula>
    </tableColumn>
    <tableColumn id="13" xr3:uid="{00000000-0010-0000-0100-00000D000000}" name="Novembro" totalsRowFunction="sum" totalsRowDxfId="5" dataCellStyle="Moeda [0]">
      <calculatedColumnFormula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calculatedColumnFormula>
    </tableColumn>
    <tableColumn id="14" xr3:uid="{00000000-0010-0000-0100-00000E000000}" name="Dezembro" totalsRowFunction="sum" totalsRowDxfId="4" dataCellStyle="Moeda [0]">
      <calculatedColumnFormula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calculatedColumnFormula>
    </tableColumn>
    <tableColumn id="15" xr3:uid="{00000000-0010-0000-0100-00000F000000}" name="Total" totalsRowFunction="sum" totalsRowDxfId="3" dataCellStyle="Moeda [0]">
      <calculatedColumnFormula>SUM(ResumoDeDespesasMensais[[#This Row],[Janeiro]:[Dezembro]])</calculatedColumnFormula>
    </tableColumn>
    <tableColumn id="16" xr3:uid="{00000000-0010-0000-0100-000010000000}" name=" " totalsRowDxfId="2" dataCellStyle="Moeda [0]"/>
  </tableColumns>
  <tableStyleInfo name="Resumo de Despesas Mensais" showFirstColumn="0" showLastColumn="0" showRowStripes="1" showColumnStripes="0"/>
  <extLst>
    <ext xmlns:x14="http://schemas.microsoft.com/office/spreadsheetml/2009/9/main" uri="{504A1905-F514-4f6f-8877-14C23A59335A}">
      <x14:table altTextSummary="Insira o código contábil e o título da conta nesta tabela. O valor de cada mês e os totais são calculados automaticament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espesasDiscriminadas" displayName="DespesasDiscriminadas" ref="B4:J31" totalsRowShown="0">
  <autoFilter ref="B4:J3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200-000001000000}" name="Razão código" dataDxfId="1" dataCellStyle="Vírgula"/>
    <tableColumn id="2" xr3:uid="{00000000-0010-0000-0200-000002000000}" name="Data da fatura" dataCellStyle="Data"/>
    <tableColumn id="3" xr3:uid="{00000000-0010-0000-0200-000003000000}" name="Fatura nº" dataCellStyle="Vírgula"/>
    <tableColumn id="4" xr3:uid="{00000000-0010-0000-0200-000004000000}" name="Descrição"/>
    <tableColumn id="5" xr3:uid="{00000000-0010-0000-0200-000005000000}" name="Valor do Cheque" dataCellStyle="Moeda [0]"/>
    <tableColumn id="6" xr3:uid="{00000000-0010-0000-0200-000006000000}" name="Credor"/>
    <tableColumn id="7" xr3:uid="{00000000-0010-0000-0200-000007000000}" name="Verificar uso"/>
    <tableColumn id="8" xr3:uid="{00000000-0010-0000-0200-000008000000}" name="Método de distribuição"/>
    <tableColumn id="9" xr3:uid="{00000000-0010-0000-0200-000009000000}" name="Data do arquivo" dataCellStyle="Data"/>
  </tableColumns>
  <tableStyleInfo name="Despesas Discriminadas" showFirstColumn="0" showLastColumn="0" showRowStripes="1" showColumnStripes="0"/>
  <extLst>
    <ext xmlns:x14="http://schemas.microsoft.com/office/spreadsheetml/2009/9/main" uri="{504A1905-F514-4f6f-8877-14C23A59335A}">
      <x14:table altTextSummary="Enter G/L code and related information.  Check amounts on this table will drive the monthly expenses summary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utros" displayName="Outros" ref="B4:L6" totalsRowShown="0">
  <autoFilter ref="B4:L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Razão código" dataDxfId="0" dataCellStyle="Vírgula"/>
    <tableColumn id="2" xr3:uid="{00000000-0010-0000-0300-000002000000}" name="Solicitação de seleção de data iniciada" dataCellStyle="Data"/>
    <tableColumn id="3" xr3:uid="{00000000-0010-0000-0300-000003000000}" name="Solicitado por"/>
    <tableColumn id="4" xr3:uid="{00000000-0010-0000-0300-000004000000}" name="Verifique quantidade" dataCellStyle="Moeda [0]"/>
    <tableColumn id="5" xr3:uid="{00000000-0010-0000-0300-000005000000}" name="Contribuição do Ano Anterior" dataCellStyle="Moeda [0]"/>
    <tableColumn id="6" xr3:uid="{00000000-0010-0000-0300-000006000000}" name="Credor"/>
    <tableColumn id="7" xr3:uid="{00000000-0010-0000-0300-000007000000}" name="Usado para"/>
    <tableColumn id="8" xr3:uid="{00000000-0010-0000-0300-000008000000}" name="Assinada por"/>
    <tableColumn id="9" xr3:uid="{00000000-0010-0000-0300-000009000000}" name="Categoria"/>
    <tableColumn id="10" xr3:uid="{00000000-0010-0000-0300-00000A000000}" name="Método de distribuição"/>
    <tableColumn id="11" xr3:uid="{00000000-0010-0000-0300-00000B000000}" name="Data do arquivo" dataCellStyle="Data"/>
  </tableColumns>
  <tableStyleInfo name="Donativos e Patrocínios" showFirstColumn="0" showLastColumn="0" showRowStripes="1" showColumnStripes="0"/>
  <extLst>
    <ext xmlns:x14="http://schemas.microsoft.com/office/spreadsheetml/2009/9/main" uri="{504A1905-F514-4f6f-8877-14C23A59335A}">
      <x14:table altTextSummary="Insira o código contábil, a data de início da solicitação do cheque, os nomes do solicitante e do credor, o valor do cheque, a finalidade de uso, a contribuição do ano anterior, o método de distribuição e a data do arquivo nesta tabela."/>
    </ext>
  </extLst>
</table>
</file>

<file path=xl/theme/theme1.xml><?xml version="1.0" encoding="utf-8"?>
<a:theme xmlns:a="http://schemas.openxmlformats.org/drawingml/2006/main" name="Office Theme">
  <a:themeElements>
    <a:clrScheme name="General ledger">
      <a:dk1>
        <a:srgbClr val="3F3F3F"/>
      </a:dk1>
      <a:lt1>
        <a:srgbClr val="FFFFFF"/>
      </a:lt1>
      <a:dk2>
        <a:srgbClr val="23070B"/>
      </a:dk2>
      <a:lt2>
        <a:srgbClr val="F4F1E7"/>
      </a:lt2>
      <a:accent1>
        <a:srgbClr val="F9AC1E"/>
      </a:accent1>
      <a:accent2>
        <a:srgbClr val="7AB88E"/>
      </a:accent2>
      <a:accent3>
        <a:srgbClr val="F48C59"/>
      </a:accent3>
      <a:accent4>
        <a:srgbClr val="70A8B0"/>
      </a:accent4>
      <a:accent5>
        <a:srgbClr val="F7913D"/>
      </a:accent5>
      <a:accent6>
        <a:srgbClr val="935961"/>
      </a:accent6>
      <a:hlink>
        <a:srgbClr val="70A8B0"/>
      </a:hlink>
      <a:folHlink>
        <a:srgbClr val="967DA7"/>
      </a:folHlink>
    </a:clrScheme>
    <a:fontScheme name="General ledger">
      <a:majorFont>
        <a:latin typeface="Century Gothic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B1:G13"/>
  <sheetViews>
    <sheetView showGridLines="0" zoomScaleNormal="100" workbookViewId="0">
      <selection activeCell="D7" sqref="D7"/>
    </sheetView>
  </sheetViews>
  <sheetFormatPr defaultRowHeight="30" customHeight="1" x14ac:dyDescent="0.25"/>
  <cols>
    <col min="1" max="1" width="2.7109375" customWidth="1"/>
    <col min="2" max="2" width="16.85546875" customWidth="1"/>
    <col min="3" max="3" width="23.5703125" customWidth="1"/>
    <col min="4" max="5" width="18.140625" customWidth="1"/>
    <col min="6" max="6" width="20.140625" customWidth="1"/>
    <col min="7" max="7" width="13.85546875" customWidth="1"/>
    <col min="8" max="8" width="2.7109375" customWidth="1"/>
  </cols>
  <sheetData>
    <row r="1" spans="2:7" ht="15" customHeight="1" x14ac:dyDescent="0.25">
      <c r="B1" s="5" t="s">
        <v>0</v>
      </c>
    </row>
    <row r="2" spans="2:7" ht="30" customHeight="1" thickBot="1" x14ac:dyDescent="0.4">
      <c r="B2" s="22" t="s">
        <v>1</v>
      </c>
      <c r="C2" s="22"/>
      <c r="D2" s="22"/>
      <c r="E2" s="22"/>
      <c r="F2" s="2" t="s">
        <v>8</v>
      </c>
      <c r="G2" s="3">
        <f ca="1">YEAR(TODAY())</f>
        <v>2022</v>
      </c>
    </row>
    <row r="3" spans="2:7" ht="15" customHeight="1" thickTop="1" x14ac:dyDescent="0.25"/>
    <row r="4" spans="2:7" ht="30" customHeight="1" x14ac:dyDescent="0.25">
      <c r="B4" s="7" t="s">
        <v>2</v>
      </c>
      <c r="C4" s="7" t="s">
        <v>4</v>
      </c>
      <c r="D4" s="7" t="s">
        <v>6</v>
      </c>
      <c r="E4" s="7" t="s">
        <v>7</v>
      </c>
      <c r="F4" s="7" t="s">
        <v>44</v>
      </c>
      <c r="G4" s="7" t="s">
        <v>9</v>
      </c>
    </row>
    <row r="5" spans="2:7" ht="30" customHeight="1" x14ac:dyDescent="0.25">
      <c r="B5" s="13">
        <v>1000</v>
      </c>
      <c r="C5" s="7" t="s">
        <v>49</v>
      </c>
      <c r="D5" s="11">
        <f ca="1">SUMIF(ResumoDeDespesasMensais[Razão código],TabelaAtéaPresenteData[[#This Row],[Razão código]],ResumoDeDespesasMensais[Total])</f>
        <v>0</v>
      </c>
      <c r="E5" s="11">
        <v>3200</v>
      </c>
      <c r="F5" s="11">
        <f ca="1">IF(TabelaAtéaPresenteData[[#This Row],[Orçamento]]="","",+TabelaAtéaPresenteData[[#This Row],[Orçamento]]-TabelaAtéaPresenteData[[#This Row],[Real]])</f>
        <v>3200</v>
      </c>
      <c r="G5" s="12">
        <f ca="1">IFERROR(TabelaAtéaPresenteData[[#This Row],[Restante R$]]/TabelaAtéaPresenteData[[#This Row],[Orçamento]],"")</f>
        <v>1</v>
      </c>
    </row>
    <row r="6" spans="2:7" ht="30" customHeight="1" x14ac:dyDescent="0.25">
      <c r="B6" s="13">
        <v>2000</v>
      </c>
      <c r="C6" s="7" t="s">
        <v>45</v>
      </c>
      <c r="D6" s="11">
        <f ca="1">SUMIF(ResumoDeDespesasMensais[Razão código],TabelaAtéaPresenteData[[#This Row],[Razão código]],ResumoDeDespesasMensais[Total])</f>
        <v>0</v>
      </c>
      <c r="E6" s="11">
        <v>0</v>
      </c>
      <c r="F6" s="11">
        <f ca="1">IF(TabelaAtéaPresenteData[[#This Row],[Orçamento]]="","",+TabelaAtéaPresenteData[[#This Row],[Orçamento]]-TabelaAtéaPresenteData[[#This Row],[Real]])</f>
        <v>0</v>
      </c>
      <c r="G6" s="12" t="str">
        <f ca="1">IFERROR(TabelaAtéaPresenteData[[#This Row],[Restante R$]]/TabelaAtéaPresenteData[[#This Row],[Orçamento]],"")</f>
        <v/>
      </c>
    </row>
    <row r="7" spans="2:7" ht="30" customHeight="1" x14ac:dyDescent="0.25">
      <c r="B7" s="13">
        <v>3000</v>
      </c>
      <c r="C7" s="7" t="s">
        <v>48</v>
      </c>
      <c r="D7" s="11">
        <f ca="1">SUMIF(ResumoDeDespesasMensais[Razão código],TabelaAtéaPresenteData[[#This Row],[Razão código]],ResumoDeDespesasMensais[Total])</f>
        <v>0</v>
      </c>
      <c r="E7" s="11">
        <v>15000</v>
      </c>
      <c r="F7" s="11">
        <f ca="1">IF(TabelaAtéaPresenteData[[#This Row],[Orçamento]]="","",+TabelaAtéaPresenteData[[#This Row],[Orçamento]]-TabelaAtéaPresenteData[[#This Row],[Real]])</f>
        <v>15000</v>
      </c>
      <c r="G7" s="12">
        <f ca="1">IFERROR(TabelaAtéaPresenteData[[#This Row],[Restante R$]]/TabelaAtéaPresenteData[[#This Row],[Orçamento]],"")</f>
        <v>1</v>
      </c>
    </row>
    <row r="8" spans="2:7" ht="30" customHeight="1" x14ac:dyDescent="0.25">
      <c r="B8" s="13">
        <v>4000</v>
      </c>
      <c r="C8" s="7" t="s">
        <v>60</v>
      </c>
      <c r="D8" s="11">
        <f ca="1">SUMIF(ResumoDeDespesasMensais[Razão código],TabelaAtéaPresenteData[[#This Row],[Razão código]],ResumoDeDespesasMensais[Total])</f>
        <v>0</v>
      </c>
      <c r="E8" s="11">
        <v>1000</v>
      </c>
      <c r="F8" s="11">
        <f ca="1">IF(TabelaAtéaPresenteData[[#This Row],[Orçamento]]="","",+TabelaAtéaPresenteData[[#This Row],[Orçamento]]-TabelaAtéaPresenteData[[#This Row],[Real]])</f>
        <v>1000</v>
      </c>
      <c r="G8" s="12">
        <f ca="1">IFERROR(TabelaAtéaPresenteData[[#This Row],[Restante R$]]/TabelaAtéaPresenteData[[#This Row],[Orçamento]],"")</f>
        <v>1</v>
      </c>
    </row>
    <row r="9" spans="2:7" ht="30" customHeight="1" x14ac:dyDescent="0.25">
      <c r="B9" s="13">
        <v>5000</v>
      </c>
      <c r="C9" s="7" t="s">
        <v>47</v>
      </c>
      <c r="D9" s="11">
        <f ca="1">SUMIF(ResumoDeDespesasMensais[Razão código],TabelaAtéaPresenteData[[#This Row],[Razão código]],ResumoDeDespesasMensais[Total])</f>
        <v>0</v>
      </c>
      <c r="E9" s="11">
        <v>200</v>
      </c>
      <c r="F9" s="11">
        <f ca="1">IF(TabelaAtéaPresenteData[[#This Row],[Orçamento]]="","",+TabelaAtéaPresenteData[[#This Row],[Orçamento]]-TabelaAtéaPresenteData[[#This Row],[Real]])</f>
        <v>200</v>
      </c>
      <c r="G9" s="12">
        <f ca="1">IFERROR(TabelaAtéaPresenteData[[#This Row],[Restante R$]]/TabelaAtéaPresenteData[[#This Row],[Orçamento]],"")</f>
        <v>1</v>
      </c>
    </row>
    <row r="10" spans="2:7" ht="30" customHeight="1" x14ac:dyDescent="0.25">
      <c r="B10" s="13">
        <v>6000</v>
      </c>
      <c r="C10" s="7" t="s">
        <v>50</v>
      </c>
      <c r="D10" s="11">
        <f ca="1">SUMIF(ResumoDeDespesasMensais[Razão código],TabelaAtéaPresenteData[[#This Row],[Razão código]],ResumoDeDespesasMensais[Total])</f>
        <v>0</v>
      </c>
      <c r="E10" s="11">
        <v>600</v>
      </c>
      <c r="F10" s="11">
        <f ca="1">IF(TabelaAtéaPresenteData[[#This Row],[Orçamento]]="","",+TabelaAtéaPresenteData[[#This Row],[Orçamento]]-TabelaAtéaPresenteData[[#This Row],[Real]])</f>
        <v>600</v>
      </c>
      <c r="G10" s="12">
        <f ca="1">IFERROR(TabelaAtéaPresenteData[[#This Row],[Restante R$]]/TabelaAtéaPresenteData[[#This Row],[Orçamento]],"")</f>
        <v>1</v>
      </c>
    </row>
    <row r="11" spans="2:7" ht="30" customHeight="1" x14ac:dyDescent="0.25">
      <c r="B11" s="13">
        <v>7000</v>
      </c>
      <c r="C11" s="7" t="s">
        <v>5</v>
      </c>
      <c r="D11" s="11">
        <f ca="1">SUMIF(ResumoDeDespesasMensais[Razão código],TabelaAtéaPresenteData[[#This Row],[Razão código]],ResumoDeDespesasMensais[Total])</f>
        <v>0</v>
      </c>
      <c r="E11" s="11">
        <v>0</v>
      </c>
      <c r="F11" s="11">
        <f ca="1">IF(TabelaAtéaPresenteData[[#This Row],[Orçamento]]="","",+TabelaAtéaPresenteData[[#This Row],[Orçamento]]-TabelaAtéaPresenteData[[#This Row],[Real]])</f>
        <v>0</v>
      </c>
      <c r="G11" s="12" t="str">
        <f ca="1">IFERROR(TabelaAtéaPresenteData[[#This Row],[Restante R$]]/TabelaAtéaPresenteData[[#This Row],[Orçamento]],"")</f>
        <v/>
      </c>
    </row>
    <row r="12" spans="2:7" ht="30" customHeight="1" x14ac:dyDescent="0.25">
      <c r="B12" s="13">
        <v>8000</v>
      </c>
      <c r="C12" s="7" t="s">
        <v>51</v>
      </c>
      <c r="D12" s="11">
        <f ca="1">SUMIF(ResumoDeDespesasMensais[Razão código],TabelaAtéaPresenteData[[#This Row],[Razão código]],ResumoDeDespesasMensais[Total])</f>
        <v>0</v>
      </c>
      <c r="E12" s="11">
        <v>0</v>
      </c>
      <c r="F12" s="11">
        <f ca="1">IF(TabelaAtéaPresenteData[[#This Row],[Orçamento]]="","",+TabelaAtéaPresenteData[[#This Row],[Orçamento]]-TabelaAtéaPresenteData[[#This Row],[Real]])</f>
        <v>0</v>
      </c>
      <c r="G12" s="12" t="str">
        <f ca="1">IFERROR(TabelaAtéaPresenteData[[#This Row],[Restante R$]]/TabelaAtéaPresenteData[[#This Row],[Orçamento]],"")</f>
        <v/>
      </c>
    </row>
    <row r="13" spans="2:7" ht="30" customHeight="1" x14ac:dyDescent="0.25">
      <c r="B13" s="7" t="s">
        <v>3</v>
      </c>
      <c r="C13" s="7"/>
      <c r="D13" s="19">
        <f ca="1">SUBTOTAL(109,TabelaAtéaPresenteData[Real])</f>
        <v>0</v>
      </c>
      <c r="E13" s="19">
        <f>SUBTOTAL(109,TabelaAtéaPresenteData[Orçamento])</f>
        <v>20000</v>
      </c>
      <c r="F13" s="19">
        <f ca="1">SUBTOTAL(109,TabelaAtéaPresenteData[Restante R$])</f>
        <v>20000</v>
      </c>
      <c r="G13" s="9">
        <f ca="1">TabelaAtéaPresenteData[[#Totals],[Restante R$]]/TabelaAtéaPresenteData[[#Totals],[Orçamento]]</f>
        <v>1</v>
      </c>
    </row>
  </sheetData>
  <mergeCells count="1">
    <mergeCell ref="B2:E2"/>
  </mergeCells>
  <conditionalFormatting sqref="F5:F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{64C81F98-403B-4FC7-B043-331717AC59B0}</x14:id>
        </ext>
      </extLst>
    </cfRule>
  </conditionalFormatting>
  <dataValidations count="11">
    <dataValidation allowBlank="1" showInputMessage="1" showErrorMessage="1" prompt="Crie uma contabilidade com a comparação de orçamento nesta pasta de trabalho. Insira detalhes na tabela &quot;Até a presente data&quot; desta planilha. O link de navegação está na célula B1." sqref="A1" xr:uid="{00000000-0002-0000-0000-000000000000}"/>
    <dataValidation allowBlank="1" showInputMessage="1" showErrorMessage="1" prompt="O título desta planilha está nesta célula. Insira o ano na célula G2." sqref="B2:E2" xr:uid="{00000000-0002-0000-0000-000001000000}"/>
    <dataValidation allowBlank="1" showInputMessage="1" showErrorMessage="1" prompt="Insira o ano na célula à direita." sqref="F2" xr:uid="{00000000-0002-0000-0000-000002000000}"/>
    <dataValidation allowBlank="1" showInputMessage="1" showErrorMessage="1" prompt="Insira o ano nesta célula." sqref="G2" xr:uid="{00000000-0002-0000-0000-000003000000}"/>
    <dataValidation allowBlank="1" showInputMessage="1" showErrorMessage="1" prompt="Insira o código de contabilidade na coluna sob este cabeçalho." sqref="B4" xr:uid="{00000000-0002-0000-0000-000004000000}"/>
    <dataValidation allowBlank="1" showInputMessage="1" showErrorMessage="1" prompt="Insira o título da conta na coluna sob este cabeçalho." sqref="C4" xr:uid="{00000000-0002-0000-0000-000005000000}"/>
    <dataValidation allowBlank="1" showInputMessage="1" showErrorMessage="1" prompt="O valor real é calculado automaticamente na coluna sob este cabeçalho." sqref="D4" xr:uid="{00000000-0002-0000-0000-000006000000}"/>
    <dataValidation allowBlank="1" showInputMessage="1" showErrorMessage="1" prompt="Insira o valor do orçamento na coluna sob este cabeçalho." sqref="E4" xr:uid="{00000000-0002-0000-0000-000007000000}"/>
    <dataValidation allowBlank="1" showInputMessage="1" showErrorMessage="1" prompt="A barra de dados do valor restante é atualizada automaticamente na coluna sob este cabeçalho." sqref="F4" xr:uid="{00000000-0002-0000-0000-000008000000}"/>
    <dataValidation allowBlank="1" showInputMessage="1" showErrorMessage="1" prompt="O percentual restante é calculado automaticamente na coluna sob este cabeçalho" sqref="G4" xr:uid="{00000000-0002-0000-0000-000009000000}"/>
    <dataValidation allowBlank="1" showInputMessage="1" showErrorMessage="1" prompt="O link de navegação está nesta célula. Selecione para navegar até a planilha RESUMO DE DESPESAS MENSAIS" sqref="B1" xr:uid="{00000000-0002-0000-0000-00000A000000}"/>
  </dataValidations>
  <hyperlinks>
    <hyperlink ref="B1" location="'RESUMO DE DESPESAS MENSAIS'!A1" tooltip="Selecione para navegar até a planilha RESUMO DE DESPESAS MENSAIS" display="MONTHLY EXPENSES SUMMARY" xr:uid="{00000000-0004-0000-0000-000000000000}"/>
  </hyperlinks>
  <printOptions horizontalCentered="1"/>
  <pageMargins left="0.4" right="0.4" top="0.4" bottom="0.6" header="0.3" footer="0.3"/>
  <pageSetup paperSize="9" scale="83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C81F98-403B-4FC7-B043-331717AC59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fitToPage="1"/>
  </sheetPr>
  <dimension ref="B1:Q18"/>
  <sheetViews>
    <sheetView showGridLines="0" zoomScale="85" zoomScaleNormal="85" workbookViewId="0">
      <selection activeCell="D8" sqref="D8"/>
    </sheetView>
  </sheetViews>
  <sheetFormatPr defaultRowHeight="30" customHeight="1" x14ac:dyDescent="0.25"/>
  <cols>
    <col min="1" max="1" width="2.7109375" customWidth="1"/>
    <col min="2" max="2" width="16.85546875" customWidth="1"/>
    <col min="3" max="3" width="19.5703125" customWidth="1"/>
    <col min="4" max="5" width="13" customWidth="1"/>
    <col min="6" max="6" width="15.28515625" bestFit="1" customWidth="1"/>
    <col min="7" max="15" width="13" customWidth="1"/>
    <col min="16" max="16" width="15.28515625" bestFit="1" customWidth="1"/>
    <col min="17" max="17" width="9" customWidth="1"/>
  </cols>
  <sheetData>
    <row r="1" spans="2:17" ht="15" customHeight="1" x14ac:dyDescent="0.25">
      <c r="B1" s="5" t="s">
        <v>10</v>
      </c>
      <c r="C1" s="5" t="s">
        <v>12</v>
      </c>
    </row>
    <row r="2" spans="2:17" ht="24.75" customHeight="1" thickBot="1" x14ac:dyDescent="0.4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36.950000000000003" customHeight="1" thickTop="1" x14ac:dyDescent="0.25">
      <c r="B3" s="6" t="s">
        <v>11</v>
      </c>
      <c r="D3" s="1">
        <f ca="1">DATEVALUE("1-JAN"&amp;_ANO)</f>
        <v>44562</v>
      </c>
      <c r="E3" s="1">
        <f ca="1">DATEVALUE("1-FEV"&amp;_ANO)</f>
        <v>44593</v>
      </c>
      <c r="F3" s="1">
        <f ca="1">DATEVALUE("1-MAR"&amp;_ANO)</f>
        <v>44621</v>
      </c>
      <c r="G3" s="1">
        <f ca="1">DATEVALUE("1-ABR"&amp;_ANO)</f>
        <v>44652</v>
      </c>
      <c r="H3" s="1">
        <f ca="1">DATEVALUE("1-MAI"&amp;_ANO)</f>
        <v>44682</v>
      </c>
      <c r="I3" s="1">
        <f ca="1">DATEVALUE("1-JUN"&amp;_ANO)</f>
        <v>44713</v>
      </c>
      <c r="J3" s="1">
        <f ca="1">DATEVALUE("1-JUL"&amp;_ANO)</f>
        <v>44743</v>
      </c>
      <c r="K3" s="1">
        <f ca="1">DATEVALUE("1-AGO"&amp;_ANO)</f>
        <v>44774</v>
      </c>
      <c r="L3" s="1">
        <f ca="1">DATEVALUE("1-SET"&amp;_ANO)</f>
        <v>44805</v>
      </c>
      <c r="M3" s="1">
        <f ca="1">DATEVALUE("1-OUT"&amp;_ANO)</f>
        <v>44835</v>
      </c>
      <c r="N3" s="1">
        <f ca="1">DATEVALUE("1-NOV"&amp;_ANO)</f>
        <v>44866</v>
      </c>
      <c r="O3" s="1">
        <f ca="1">DATEVALUE("1-DEZ"&amp;_ANO)</f>
        <v>44896</v>
      </c>
    </row>
    <row r="4" spans="2:17" ht="37.5" customHeight="1" x14ac:dyDescent="0.25">
      <c r="B4" s="16"/>
      <c r="D4" s="1">
        <f ca="1">EOMONTH(D3,0)</f>
        <v>44592</v>
      </c>
      <c r="E4" s="1">
        <f ca="1">EOMONTH(E3,0)</f>
        <v>44620</v>
      </c>
      <c r="F4" s="1">
        <f ca="1">EOMONTH(F3,0)</f>
        <v>44651</v>
      </c>
      <c r="G4" s="1">
        <f ca="1">EOMONTH(G3,0)</f>
        <v>44681</v>
      </c>
      <c r="H4" s="1">
        <f ca="1">EOMONTH(H3,0)</f>
        <v>44712</v>
      </c>
      <c r="I4" s="1">
        <f t="shared" ref="I4:O4" ca="1" si="0">EOMONTH(I3,0)</f>
        <v>44742</v>
      </c>
      <c r="J4" s="1">
        <f t="shared" ca="1" si="0"/>
        <v>44773</v>
      </c>
      <c r="K4" s="1">
        <f t="shared" ca="1" si="0"/>
        <v>44804</v>
      </c>
      <c r="L4" s="1">
        <f t="shared" ca="1" si="0"/>
        <v>44834</v>
      </c>
      <c r="M4" s="1">
        <f t="shared" ca="1" si="0"/>
        <v>44865</v>
      </c>
      <c r="N4" s="1">
        <f t="shared" ca="1" si="0"/>
        <v>44895</v>
      </c>
      <c r="O4" s="1">
        <f t="shared" ca="1" si="0"/>
        <v>44926</v>
      </c>
    </row>
    <row r="5" spans="2:17" ht="30" customHeight="1" x14ac:dyDescent="0.25">
      <c r="B5" s="7" t="s">
        <v>2</v>
      </c>
      <c r="C5" s="7" t="s">
        <v>4</v>
      </c>
      <c r="D5" s="20" t="s">
        <v>13</v>
      </c>
      <c r="E5" s="20" t="s">
        <v>14</v>
      </c>
      <c r="F5" s="20" t="s">
        <v>15</v>
      </c>
      <c r="G5" s="20" t="s">
        <v>16</v>
      </c>
      <c r="H5" s="20" t="s">
        <v>17</v>
      </c>
      <c r="I5" s="20" t="s">
        <v>18</v>
      </c>
      <c r="J5" s="20" t="s">
        <v>19</v>
      </c>
      <c r="K5" s="20" t="s">
        <v>20</v>
      </c>
      <c r="L5" s="20" t="s">
        <v>21</v>
      </c>
      <c r="M5" s="20" t="s">
        <v>22</v>
      </c>
      <c r="N5" s="20" t="s">
        <v>23</v>
      </c>
      <c r="O5" s="20" t="s">
        <v>24</v>
      </c>
      <c r="P5" s="20" t="s">
        <v>3</v>
      </c>
      <c r="Q5" s="7" t="s">
        <v>25</v>
      </c>
    </row>
    <row r="6" spans="2:17" ht="30" customHeight="1" x14ac:dyDescent="0.25">
      <c r="B6" s="13">
        <v>1000</v>
      </c>
      <c r="C6" s="7" t="s">
        <v>49</v>
      </c>
      <c r="D6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6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6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6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6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6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6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6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6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6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6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6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6" s="11">
        <f ca="1">SUM(ResumoDeDespesasMensais[[#This Row],[Janeiro]:[Dezembro]])</f>
        <v>0</v>
      </c>
      <c r="Q6" s="11"/>
    </row>
    <row r="7" spans="2:17" ht="30" customHeight="1" x14ac:dyDescent="0.25">
      <c r="B7" s="13">
        <v>2000</v>
      </c>
      <c r="C7" s="7" t="s">
        <v>45</v>
      </c>
      <c r="D7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7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7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7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7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7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7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7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7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7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7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7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7" s="11">
        <f ca="1">SUM(ResumoDeDespesasMensais[[#This Row],[Janeiro]:[Dezembro]])</f>
        <v>0</v>
      </c>
      <c r="Q7" s="11"/>
    </row>
    <row r="8" spans="2:17" ht="30" customHeight="1" x14ac:dyDescent="0.25">
      <c r="B8" s="13">
        <v>3000</v>
      </c>
      <c r="C8" s="7" t="s">
        <v>48</v>
      </c>
      <c r="D8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8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8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8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8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8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8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8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8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8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8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8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8" s="11">
        <f ca="1">SUM(ResumoDeDespesasMensais[[#This Row],[Janeiro]:[Dezembro]])</f>
        <v>0</v>
      </c>
      <c r="Q8" s="11"/>
    </row>
    <row r="9" spans="2:17" ht="30" customHeight="1" x14ac:dyDescent="0.25">
      <c r="B9" s="13">
        <v>4000</v>
      </c>
      <c r="C9" s="7" t="s">
        <v>46</v>
      </c>
      <c r="D9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9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9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9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9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9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9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9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9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9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9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9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9" s="11">
        <f ca="1">SUM(ResumoDeDespesasMensais[[#This Row],[Janeiro]:[Dezembro]])</f>
        <v>0</v>
      </c>
      <c r="Q9" s="11"/>
    </row>
    <row r="10" spans="2:17" ht="30" customHeight="1" x14ac:dyDescent="0.25">
      <c r="B10" s="13">
        <v>5000</v>
      </c>
      <c r="C10" s="7" t="s">
        <v>47</v>
      </c>
      <c r="D10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10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10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10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10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10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10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10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10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10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10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10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10" s="11">
        <f ca="1">SUM(ResumoDeDespesasMensais[[#This Row],[Janeiro]:[Dezembro]])</f>
        <v>0</v>
      </c>
      <c r="Q10" s="11"/>
    </row>
    <row r="11" spans="2:17" ht="30" customHeight="1" x14ac:dyDescent="0.25">
      <c r="B11" s="13">
        <v>6000</v>
      </c>
      <c r="C11" s="7" t="s">
        <v>50</v>
      </c>
      <c r="D11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11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11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11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11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11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11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11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11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11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11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11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11" s="11">
        <f ca="1">SUM(ResumoDeDespesasMensais[[#This Row],[Janeiro]:[Dezembro]])</f>
        <v>0</v>
      </c>
      <c r="Q11" s="11"/>
    </row>
    <row r="12" spans="2:17" ht="30" customHeight="1" x14ac:dyDescent="0.25">
      <c r="B12" s="13">
        <v>7000</v>
      </c>
      <c r="C12" s="7" t="s">
        <v>5</v>
      </c>
      <c r="D12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12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12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12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12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12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12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12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12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12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12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12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12" s="11">
        <f ca="1">SUM(ResumoDeDespesasMensais[[#This Row],[Janeiro]:[Dezembro]])</f>
        <v>0</v>
      </c>
      <c r="Q12" s="11"/>
    </row>
    <row r="13" spans="2:17" ht="30" customHeight="1" x14ac:dyDescent="0.25">
      <c r="B13" s="13">
        <v>8000</v>
      </c>
      <c r="C13" s="7" t="s">
        <v>51</v>
      </c>
      <c r="D13" s="11">
        <f ca="1">SUMIFS(DespesasDiscriminadas[Valor do Cheque],DespesasDiscriminadas[Razão código],ResumoDeDespesasMensais[[#This Row],[Razão código]],DespesasDiscriminadas[Data da fatura],"&gt;="&amp;D$3,DespesasDiscriminadas[Data da fatura],"&lt;="&amp;D$4)+SUMIFS(Outros[Verifique quantidade],Outros[Razão código],ResumoDeDespesasMensais[[#This Row],[Razão código]],Outros[Solicitação de seleção de data iniciada],"&gt;="&amp;DATEVALUE(ResumoDeDespesasMensais[[#Headers],[Janeiro]]&amp;" 1, "&amp;_ANO),Outros[Solicitação de seleção de data iniciada],"&lt;="&amp;D$4)</f>
        <v>0</v>
      </c>
      <c r="E13" s="11">
        <f ca="1">SUMIFS(DespesasDiscriminadas[Valor do Cheque],DespesasDiscriminadas[Razão código],ResumoDeDespesasMensais[[#This Row],[Razão código]],DespesasDiscriminadas[Data da fatura],"&gt;="&amp;E$3,DespesasDiscriminadas[Data da fatura],"&lt;="&amp;E$4)+SUMIFS(Outros[Verifique quantidade],Outros[Razão código],ResumoDeDespesasMensais[[#This Row],[Razão código]],Outros[Solicitação de seleção de data iniciada],"&gt;="&amp;DATEVALUE(ResumoDeDespesasMensais[[#Headers],[Fevereiro]]&amp;" 1, "&amp;_ANO),Outros[Solicitação de seleção de data iniciada],"&lt;="&amp;E$4)</f>
        <v>0</v>
      </c>
      <c r="F13" s="11">
        <f ca="1">SUMIFS(DespesasDiscriminadas[Valor do Cheque],DespesasDiscriminadas[Razão código],ResumoDeDespesasMensais[[#This Row],[Razão código]],DespesasDiscriminadas[Data da fatura],"&gt;="&amp;F$3,DespesasDiscriminadas[Data da fatura],"&lt;="&amp;F$4)+SUMIFS(Outros[Verifique quantidade],Outros[Razão código],ResumoDeDespesasMensais[[#This Row],[Razão código]],Outros[Solicitação de seleção de data iniciada],"&gt;="&amp;DATEVALUE(ResumoDeDespesasMensais[[#Headers],[Março]]&amp;" 1, "&amp;_ANO),Outros[Solicitação de seleção de data iniciada],"&lt;="&amp;F$4)</f>
        <v>0</v>
      </c>
      <c r="G13" s="11">
        <f ca="1">SUMIFS(DespesasDiscriminadas[Valor do Cheque],DespesasDiscriminadas[Razão código],ResumoDeDespesasMensais[[#This Row],[Razão código]],DespesasDiscriminadas[Data da fatura],"&gt;="&amp;G$3,DespesasDiscriminadas[Data da fatura],"&lt;="&amp;G$4)+SUMIFS(Outros[Verifique quantidade],Outros[Razão código],ResumoDeDespesasMensais[[#This Row],[Razão código]],Outros[Solicitação de seleção de data iniciada],"&gt;="&amp;DATEVALUE(ResumoDeDespesasMensais[[#Headers],[Abr]]&amp;" 1, "&amp;_ANO),Outros[Solicitação de seleção de data iniciada],"&lt;="&amp;G$4)</f>
        <v>0</v>
      </c>
      <c r="H13" s="11">
        <f ca="1">SUMIFS(DespesasDiscriminadas[Valor do Cheque],DespesasDiscriminadas[Razão código],ResumoDeDespesasMensais[[#This Row],[Razão código]],DespesasDiscriminadas[Data da fatura],"&gt;="&amp;H$3,DespesasDiscriminadas[Data da fatura],"&lt;="&amp;H$4)+SUMIFS(Outros[Verifique quantidade],Outros[Razão código],ResumoDeDespesasMensais[[#This Row],[Razão código]],Outros[Solicitação de seleção de data iniciada],"&gt;="&amp;DATEVALUE(ResumoDeDespesasMensais[[#Headers],[Maio]]&amp;" 1, "&amp;_ANO),Outros[Solicitação de seleção de data iniciada],"&lt;="&amp;H$4)</f>
        <v>0</v>
      </c>
      <c r="I13" s="11">
        <f ca="1">SUMIFS(DespesasDiscriminadas[Valor do Cheque],DespesasDiscriminadas[Razão código],ResumoDeDespesasMensais[[#This Row],[Razão código]],DespesasDiscriminadas[Data da fatura],"&gt;="&amp;I$3,DespesasDiscriminadas[Data da fatura],"&lt;="&amp;I$4)+SUMIFS(Outros[Verifique quantidade],Outros[Razão código],ResumoDeDespesasMensais[[#This Row],[Razão código]],Outros[Solicitação de seleção de data iniciada],"&gt;="&amp;DATEVALUE(ResumoDeDespesasMensais[[#Headers],[Jun]]&amp;" 1, "&amp;_ANO),Outros[Solicitação de seleção de data iniciada],"&lt;="&amp;I$4)</f>
        <v>0</v>
      </c>
      <c r="J13" s="11">
        <f ca="1">SUMIFS(DespesasDiscriminadas[Valor do Cheque],DespesasDiscriminadas[Razão código],ResumoDeDespesasMensais[[#This Row],[Razão código]],DespesasDiscriminadas[Data da fatura],"&gt;="&amp;J$3,DespesasDiscriminadas[Data da fatura],"&lt;="&amp;J$4)+SUMIFS(Outros[Verifique quantidade],Outros[Razão código],ResumoDeDespesasMensais[[#This Row],[Razão código]],Outros[Solicitação de seleção de data iniciada],"&gt;="&amp;DATEVALUE(ResumoDeDespesasMensais[[#Headers],[Julho]]&amp;" 1, "&amp;_ANO),Outros[Solicitação de seleção de data iniciada],"&lt;="&amp;J$4)</f>
        <v>0</v>
      </c>
      <c r="K13" s="11">
        <f ca="1">SUMIFS(DespesasDiscriminadas[Valor do Cheque],DespesasDiscriminadas[Razão código],ResumoDeDespesasMensais[[#This Row],[Razão código]],DespesasDiscriminadas[Data da fatura],"&gt;="&amp;K$3,DespesasDiscriminadas[Data da fatura],"&lt;="&amp;K$4)+SUMIFS(Outros[Verifique quantidade],Outros[Razão código],ResumoDeDespesasMensais[[#This Row],[Razão código]],Outros[Solicitação de seleção de data iniciada],"&gt;="&amp;DATEVALUE(ResumoDeDespesasMensais[[#Headers],[Agosto]]&amp;" 1, "&amp;_ANO),Outros[Solicitação de seleção de data iniciada],"&lt;="&amp;K$4)</f>
        <v>0</v>
      </c>
      <c r="L13" s="11">
        <f ca="1">SUMIFS(DespesasDiscriminadas[Valor do Cheque],DespesasDiscriminadas[Razão código],ResumoDeDespesasMensais[[#This Row],[Razão código]],DespesasDiscriminadas[Data da fatura],"&gt;="&amp;L$3,DespesasDiscriminadas[Data da fatura],"&lt;="&amp;L$4)+SUMIFS(Outros[Verifique quantidade],Outros[Razão código],ResumoDeDespesasMensais[[#This Row],[Razão código]],Outros[Solicitação de seleção de data iniciada],"&gt;="&amp;DATEVALUE(ResumoDeDespesasMensais[[#Headers],[Setembro]]&amp;" 1, "&amp;_ANO),Outros[Solicitação de seleção de data iniciada],"&lt;="&amp;L$4)</f>
        <v>0</v>
      </c>
      <c r="M13" s="11">
        <f ca="1">SUMIFS(DespesasDiscriminadas[Valor do Cheque],DespesasDiscriminadas[Razão código],ResumoDeDespesasMensais[[#This Row],[Razão código]],DespesasDiscriminadas[Data da fatura],"&gt;="&amp;M$3,DespesasDiscriminadas[Data da fatura],"&lt;="&amp;M$4)+SUMIFS(Outros[Verifique quantidade],Outros[Razão código],ResumoDeDespesasMensais[[#This Row],[Razão código]],Outros[Solicitação de seleção de data iniciada],"&gt;="&amp;DATEVALUE(ResumoDeDespesasMensais[[#Headers],[Outubro]]&amp;" 1, "&amp;_ANO),Outros[Solicitação de seleção de data iniciada],"&lt;="&amp;M$4)</f>
        <v>0</v>
      </c>
      <c r="N13" s="11">
        <f ca="1">SUMIFS(DespesasDiscriminadas[Valor do Cheque],DespesasDiscriminadas[Razão código],ResumoDeDespesasMensais[[#This Row],[Razão código]],DespesasDiscriminadas[Data da fatura],"&gt;="&amp;N$3,DespesasDiscriminadas[Data da fatura],"&lt;="&amp;N$4)+SUMIFS(Outros[Verifique quantidade],Outros[Razão código],ResumoDeDespesasMensais[[#This Row],[Razão código]],Outros[Solicitação de seleção de data iniciada],"&gt;="&amp;DATEVALUE(ResumoDeDespesasMensais[[#Headers],[Novembro]]&amp;" 1, "&amp;_ANO),Outros[Solicitação de seleção de data iniciada],"&lt;="&amp;N$4)</f>
        <v>0</v>
      </c>
      <c r="O13" s="11">
        <f ca="1">SUMIFS(DespesasDiscriminadas[Valor do Cheque],DespesasDiscriminadas[Razão código],ResumoDeDespesasMensais[[#This Row],[Razão código]],DespesasDiscriminadas[Data da fatura],"&gt;="&amp;O$3,DespesasDiscriminadas[Data da fatura],"&lt;="&amp;O$4)+SUMIFS(Outros[Verifique quantidade],Outros[Razão código],ResumoDeDespesasMensais[[#This Row],[Razão código]],Outros[Solicitação de seleção de data iniciada],"&gt;="&amp;DATEVALUE(ResumoDeDespesasMensais[[#Headers],[Dezembro]]&amp;" 1, "&amp;_ANO),Outros[Solicitação de seleção de data iniciada],"&lt;="&amp;O$4)</f>
        <v>0</v>
      </c>
      <c r="P13" s="11">
        <f ca="1">SUM(ResumoDeDespesasMensais[[#This Row],[Janeiro]:[Dezembro]])</f>
        <v>0</v>
      </c>
      <c r="Q13" s="11"/>
    </row>
    <row r="14" spans="2:17" ht="30" customHeight="1" x14ac:dyDescent="0.25">
      <c r="B14" s="13"/>
      <c r="C14" s="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ht="30" customHeight="1" x14ac:dyDescent="0.25">
      <c r="B15" s="13"/>
      <c r="C15" s="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2:17" ht="30" customHeight="1" x14ac:dyDescent="0.25">
      <c r="B16" s="13"/>
      <c r="C16" s="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2:17" ht="30" customHeight="1" x14ac:dyDescent="0.25">
      <c r="B17" s="13"/>
      <c r="C17" s="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2:17" ht="30" customHeight="1" x14ac:dyDescent="0.25">
      <c r="B18" s="8" t="s">
        <v>3</v>
      </c>
      <c r="C18" s="7"/>
      <c r="D18" s="19">
        <f ca="1">SUBTOTAL(109,ResumoDeDespesasMensais[Janeiro])</f>
        <v>0</v>
      </c>
      <c r="E18" s="19">
        <f ca="1">SUBTOTAL(109,ResumoDeDespesasMensais[Fevereiro])</f>
        <v>0</v>
      </c>
      <c r="F18" s="19">
        <f ca="1">SUBTOTAL(109,ResumoDeDespesasMensais[Março])</f>
        <v>0</v>
      </c>
      <c r="G18" s="19">
        <f ca="1">SUBTOTAL(109,ResumoDeDespesasMensais[Abr])</f>
        <v>0</v>
      </c>
      <c r="H18" s="19">
        <f ca="1">SUBTOTAL(109,ResumoDeDespesasMensais[Maio])</f>
        <v>0</v>
      </c>
      <c r="I18" s="19">
        <f ca="1">SUBTOTAL(109,ResumoDeDespesasMensais[Jun])</f>
        <v>0</v>
      </c>
      <c r="J18" s="19">
        <f ca="1">SUBTOTAL(109,ResumoDeDespesasMensais[Julho])</f>
        <v>0</v>
      </c>
      <c r="K18" s="19">
        <f ca="1">SUBTOTAL(109,ResumoDeDespesasMensais[Agosto])</f>
        <v>0</v>
      </c>
      <c r="L18" s="19">
        <f ca="1">SUBTOTAL(109,ResumoDeDespesasMensais[Setembro])</f>
        <v>0</v>
      </c>
      <c r="M18" s="19">
        <f ca="1">SUBTOTAL(109,ResumoDeDespesasMensais[Outubro])</f>
        <v>0</v>
      </c>
      <c r="N18" s="19">
        <f ca="1">SUBTOTAL(109,ResumoDeDespesasMensais[Novembro])</f>
        <v>0</v>
      </c>
      <c r="O18" s="19">
        <f ca="1">SUBTOTAL(109,ResumoDeDespesasMensais[Dezembro])</f>
        <v>0</v>
      </c>
      <c r="P18" s="19">
        <f ca="1">SUBTOTAL(109,ResumoDeDespesasMensais[Total])</f>
        <v>0</v>
      </c>
      <c r="Q18" s="7"/>
    </row>
  </sheetData>
  <mergeCells count="1">
    <mergeCell ref="B2:Q2"/>
  </mergeCells>
  <dataValidations count="9">
    <dataValidation allowBlank="1" showInputMessage="1" showErrorMessage="1" prompt="Crie um Resumo de despesas mensais nesta planilha. Insira detalhes na tabela Despesas Mensais. Os links de navegação nas células B1 e C1 fornecem acesso para a planilha anterior e a seguinte" sqref="A1" xr:uid="{00000000-0002-0000-0100-000000000000}"/>
    <dataValidation allowBlank="1" showInputMessage="1" showErrorMessage="1" prompt="Insira o código de contabilidade na coluna sob este cabeçalho." sqref="B5" xr:uid="{00000000-0002-0000-0100-000001000000}"/>
    <dataValidation allowBlank="1" showInputMessage="1" showErrorMessage="1" prompt="Insira o título da conta na coluna sob este cabeçalho." sqref="C5" xr:uid="{00000000-0002-0000-0100-000002000000}"/>
    <dataValidation allowBlank="1" showInputMessage="1" showErrorMessage="1" prompt="O valor real do mês é calculado automaticamente na coluna sob este cabeçalho." sqref="D5:O5" xr:uid="{00000000-0002-0000-0100-000003000000}"/>
    <dataValidation allowBlank="1" showInputMessage="1" showErrorMessage="1" prompt="O total é calculado automaticamente na coluna sob este cabeçalho." sqref="P5" xr:uid="{00000000-0002-0000-0100-000004000000}"/>
    <dataValidation allowBlank="1" showInputMessage="1" showErrorMessage="1" prompt="Esta coluna exibe um minigráfico mostrando as tendências de uma despesa em um período de 12 meses." sqref="Q5" xr:uid="{00000000-0002-0000-0100-000005000000}"/>
    <dataValidation allowBlank="1" showInputMessage="1" showErrorMessage="1" prompt="O link de navegação está nesta célula. Selecione-o para acessar a planilha RESUMO DO ORÇAMENTO NO ANO." sqref="B1" xr:uid="{00000000-0002-0000-0100-000006000000}"/>
    <dataValidation allowBlank="1" showInputMessage="1" showErrorMessage="1" prompt="O link de navegação está nesta célula. Selecione-o para acessar a planilha DESPESAS DISCRIMINADAS" sqref="C1" xr:uid="{00000000-0002-0000-0100-000007000000}"/>
    <dataValidation allowBlank="1" showInputMessage="1" showErrorMessage="1" prompt="O título desta planilha está nesta célula. A segmentação para filtrar a tabela por Título da conta está na célula B3. Não exclua as fórmulas das células D3 a Q4" sqref="B2:Q2" xr:uid="{00000000-0002-0000-0100-000008000000}"/>
  </dataValidations>
  <hyperlinks>
    <hyperlink ref="B1" location="'RESUMO DO ORÇAMENTO NO ANO'!A1" tooltip="Selecione para navegar até a planilha RESUMO DO ORÇAMENTO NO ANO" display="YTD BUDGET SUMMARY" xr:uid="{00000000-0004-0000-0100-000000000000}"/>
    <hyperlink ref="C1" location="'DESPESAS DISCRIMINADAS'!A1" tooltip="Selecione para navegar até a planilha DESPESAS DISCRIMINADAS" display="ITEMIZED EXPENSES" xr:uid="{00000000-0004-0000-0100-000001000000}"/>
  </hyperlinks>
  <printOptions horizontalCentered="1"/>
  <pageMargins left="0.4" right="0.4" top="0.4" bottom="0.6" header="0.3" footer="0.3"/>
  <pageSetup paperSize="9" scale="43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'RESUMO DE DESPESAS MENSAIS'!D6:O6</xm:f>
              <xm:sqref>Q6</xm:sqref>
            </x14:sparkline>
            <x14:sparkline>
              <xm:f>'RESUMO DE DESPESAS MENSAIS'!D7:O7</xm:f>
              <xm:sqref>Q7</xm:sqref>
            </x14:sparkline>
            <x14:sparkline>
              <xm:f>'RESUMO DE DESPESAS MENSAIS'!D8:O8</xm:f>
              <xm:sqref>Q8</xm:sqref>
            </x14:sparkline>
            <x14:sparkline>
              <xm:f>'RESUMO DE DESPESAS MENSAIS'!D9:O9</xm:f>
              <xm:sqref>Q9</xm:sqref>
            </x14:sparkline>
            <x14:sparkline>
              <xm:f>'RESUMO DE DESPESAS MENSAIS'!D10:O10</xm:f>
              <xm:sqref>Q10</xm:sqref>
            </x14:sparkline>
            <x14:sparkline>
              <xm:f>'RESUMO DE DESPESAS MENSAIS'!D11:O11</xm:f>
              <xm:sqref>Q11</xm:sqref>
            </x14:sparkline>
            <x14:sparkline>
              <xm:f>'RESUMO DE DESPESAS MENSAIS'!D12:O12</xm:f>
              <xm:sqref>Q12</xm:sqref>
            </x14:sparkline>
            <x14:sparkline>
              <xm:f>'RESUMO DE DESPESAS MENSAIS'!D13:O13</xm:f>
              <xm:sqref>Q13</xm:sqref>
            </x14:sparkline>
            <x14:sparkline>
              <xm:f>'RESUMO DE DESPESAS MENSAIS'!D14:O14</xm:f>
              <xm:sqref>Q14</xm:sqref>
            </x14:sparkline>
            <x14:sparkline>
              <xm:f>'RESUMO DE DESPESAS MENSAIS'!D15:O15</xm:f>
              <xm:sqref>Q15</xm:sqref>
            </x14:sparkline>
            <x14:sparkline>
              <xm:f>'RESUMO DE DESPESAS MENSAIS'!D16:O16</xm:f>
              <xm:sqref>Q16</xm:sqref>
            </x14:sparkline>
            <x14:sparkline>
              <xm:f>'RESUMO DE DESPESAS MENSAIS'!D17:O17</xm:f>
              <xm:sqref>Q17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  <pageSetUpPr fitToPage="1"/>
  </sheetPr>
  <dimension ref="B1:J31"/>
  <sheetViews>
    <sheetView showGridLines="0" workbookViewId="0">
      <selection activeCell="B5" sqref="B5:B6"/>
    </sheetView>
  </sheetViews>
  <sheetFormatPr defaultRowHeight="30" customHeight="1" x14ac:dyDescent="0.25"/>
  <cols>
    <col min="1" max="1" width="2.7109375" customWidth="1"/>
    <col min="2" max="2" width="16.85546875" customWidth="1"/>
    <col min="3" max="3" width="17.28515625" customWidth="1"/>
    <col min="4" max="4" width="10.5703125" customWidth="1"/>
    <col min="5" max="5" width="34.42578125" customWidth="1"/>
    <col min="6" max="6" width="15.28515625" bestFit="1" customWidth="1"/>
    <col min="7" max="7" width="30" customWidth="1"/>
    <col min="8" max="8" width="22.5703125" customWidth="1"/>
    <col min="9" max="9" width="14.7109375" customWidth="1"/>
    <col min="10" max="10" width="15.85546875" customWidth="1"/>
  </cols>
  <sheetData>
    <row r="1" spans="2:10" ht="15" customHeight="1" x14ac:dyDescent="0.25">
      <c r="B1" s="5" t="s">
        <v>0</v>
      </c>
      <c r="C1" s="5" t="s">
        <v>27</v>
      </c>
    </row>
    <row r="2" spans="2:10" ht="24.75" customHeight="1" thickBot="1" x14ac:dyDescent="0.3">
      <c r="B2" s="25" t="s">
        <v>12</v>
      </c>
      <c r="C2" s="25"/>
      <c r="D2" s="25"/>
      <c r="E2" s="25"/>
      <c r="F2" s="25"/>
      <c r="G2" s="25"/>
      <c r="H2" s="25"/>
      <c r="I2" s="25"/>
      <c r="J2" s="25"/>
    </row>
    <row r="3" spans="2:10" ht="75" customHeight="1" thickTop="1" x14ac:dyDescent="0.25">
      <c r="B3" s="24" t="s">
        <v>26</v>
      </c>
      <c r="C3" s="24"/>
      <c r="D3" s="24"/>
      <c r="E3" s="24"/>
      <c r="F3" s="24"/>
      <c r="G3" s="24" t="s">
        <v>32</v>
      </c>
      <c r="H3" s="24"/>
      <c r="I3" s="24"/>
      <c r="J3" s="24"/>
    </row>
    <row r="4" spans="2:10" ht="30" customHeight="1" x14ac:dyDescent="0.25">
      <c r="B4" s="10" t="s">
        <v>2</v>
      </c>
      <c r="C4" s="10" t="s">
        <v>43</v>
      </c>
      <c r="D4" s="10" t="s">
        <v>29</v>
      </c>
      <c r="E4" s="10" t="s">
        <v>52</v>
      </c>
      <c r="F4" s="10" t="s">
        <v>31</v>
      </c>
      <c r="G4" s="10" t="s">
        <v>33</v>
      </c>
      <c r="H4" s="10" t="s">
        <v>34</v>
      </c>
      <c r="I4" s="10" t="s">
        <v>35</v>
      </c>
      <c r="J4" s="10" t="s">
        <v>36</v>
      </c>
    </row>
    <row r="5" spans="2:10" ht="30" customHeight="1" x14ac:dyDescent="0.25">
      <c r="B5" s="13">
        <v>1000</v>
      </c>
      <c r="C5" s="14">
        <v>44272</v>
      </c>
      <c r="D5" s="15">
        <v>100</v>
      </c>
      <c r="E5" s="7" t="s">
        <v>53</v>
      </c>
      <c r="F5" s="18">
        <v>109</v>
      </c>
      <c r="G5" s="7" t="s">
        <v>54</v>
      </c>
      <c r="H5" s="7"/>
      <c r="I5" s="7"/>
      <c r="J5" s="14"/>
    </row>
    <row r="6" spans="2:10" ht="30" customHeight="1" x14ac:dyDescent="0.25">
      <c r="B6" s="13">
        <v>4000</v>
      </c>
      <c r="C6" s="21">
        <v>44273</v>
      </c>
      <c r="D6" s="15">
        <v>101</v>
      </c>
      <c r="E6" s="7" t="s">
        <v>56</v>
      </c>
      <c r="F6" s="18">
        <v>205</v>
      </c>
      <c r="G6" s="7" t="s">
        <v>57</v>
      </c>
      <c r="H6" s="7"/>
      <c r="I6" s="7"/>
      <c r="J6" s="21"/>
    </row>
    <row r="7" spans="2:10" ht="30" customHeight="1" x14ac:dyDescent="0.25">
      <c r="B7" s="13">
        <v>1000</v>
      </c>
      <c r="C7" s="21">
        <v>44273</v>
      </c>
      <c r="D7" s="15">
        <v>102</v>
      </c>
      <c r="E7" s="7" t="s">
        <v>55</v>
      </c>
      <c r="F7" s="18">
        <v>255</v>
      </c>
      <c r="G7" s="7" t="s">
        <v>57</v>
      </c>
      <c r="H7" s="7"/>
      <c r="I7" s="7"/>
      <c r="J7" s="21"/>
    </row>
    <row r="8" spans="2:10" ht="30" customHeight="1" x14ac:dyDescent="0.25">
      <c r="B8" s="13">
        <v>1000</v>
      </c>
      <c r="C8" s="21">
        <v>44270</v>
      </c>
      <c r="D8" s="15">
        <v>103</v>
      </c>
      <c r="E8" s="7" t="s">
        <v>58</v>
      </c>
      <c r="F8" s="18">
        <v>885</v>
      </c>
      <c r="G8" s="7" t="s">
        <v>57</v>
      </c>
      <c r="H8" s="7"/>
      <c r="I8" s="7"/>
      <c r="J8" s="21"/>
    </row>
    <row r="9" spans="2:10" ht="30" customHeight="1" x14ac:dyDescent="0.25">
      <c r="B9" s="13">
        <v>4000</v>
      </c>
      <c r="C9" s="21">
        <v>44270</v>
      </c>
      <c r="D9" s="15">
        <v>104</v>
      </c>
      <c r="E9" s="7" t="s">
        <v>59</v>
      </c>
      <c r="F9" s="18">
        <v>569</v>
      </c>
      <c r="G9" s="7" t="s">
        <v>57</v>
      </c>
      <c r="H9" s="7"/>
      <c r="I9" s="7"/>
      <c r="J9" s="21"/>
    </row>
    <row r="10" spans="2:10" ht="30" customHeight="1" x14ac:dyDescent="0.25">
      <c r="B10" s="13">
        <v>1000</v>
      </c>
      <c r="C10" s="21">
        <v>44273</v>
      </c>
      <c r="D10" s="15">
        <v>105</v>
      </c>
      <c r="E10" s="7" t="s">
        <v>55</v>
      </c>
      <c r="F10" s="18">
        <v>255</v>
      </c>
      <c r="G10" s="7" t="s">
        <v>57</v>
      </c>
      <c r="H10" s="7"/>
      <c r="I10" s="7"/>
      <c r="J10" s="21"/>
    </row>
    <row r="11" spans="2:10" ht="30" customHeight="1" x14ac:dyDescent="0.25">
      <c r="B11" s="13">
        <v>1000</v>
      </c>
      <c r="C11" s="21">
        <v>44270</v>
      </c>
      <c r="D11" s="15">
        <v>106</v>
      </c>
      <c r="E11" s="7" t="s">
        <v>61</v>
      </c>
      <c r="F11" s="18">
        <v>195</v>
      </c>
      <c r="G11" s="7" t="s">
        <v>62</v>
      </c>
      <c r="H11" s="7"/>
      <c r="I11" s="7"/>
      <c r="J11" s="21"/>
    </row>
    <row r="12" spans="2:10" ht="30" customHeight="1" x14ac:dyDescent="0.25">
      <c r="B12" s="13">
        <v>1000</v>
      </c>
      <c r="C12" s="21">
        <v>44270</v>
      </c>
      <c r="D12" s="15">
        <v>107</v>
      </c>
      <c r="E12" s="7" t="s">
        <v>63</v>
      </c>
      <c r="F12" s="18">
        <v>42.26</v>
      </c>
      <c r="G12" s="7" t="s">
        <v>62</v>
      </c>
      <c r="H12" s="7"/>
      <c r="I12" s="7"/>
      <c r="J12" s="21"/>
    </row>
    <row r="13" spans="2:10" ht="30" customHeight="1" x14ac:dyDescent="0.25">
      <c r="B13" s="13">
        <v>1000</v>
      </c>
      <c r="C13" s="21">
        <v>44270</v>
      </c>
      <c r="D13" s="15">
        <v>108</v>
      </c>
      <c r="E13" s="7" t="s">
        <v>64</v>
      </c>
      <c r="F13" s="18">
        <v>25</v>
      </c>
      <c r="G13" s="7" t="s">
        <v>62</v>
      </c>
      <c r="H13" s="7"/>
      <c r="I13" s="7"/>
      <c r="J13" s="21"/>
    </row>
    <row r="14" spans="2:10" ht="30" customHeight="1" x14ac:dyDescent="0.25">
      <c r="B14" s="13">
        <v>1000</v>
      </c>
      <c r="C14" s="21">
        <v>44270</v>
      </c>
      <c r="D14" s="15">
        <v>109</v>
      </c>
      <c r="E14" s="7" t="s">
        <v>65</v>
      </c>
      <c r="F14" s="18">
        <v>162</v>
      </c>
      <c r="G14" s="7" t="s">
        <v>62</v>
      </c>
      <c r="H14" s="7"/>
      <c r="I14" s="7"/>
      <c r="J14" s="21"/>
    </row>
    <row r="15" spans="2:10" ht="30" customHeight="1" x14ac:dyDescent="0.25">
      <c r="B15" s="13">
        <v>3000</v>
      </c>
      <c r="C15" s="21">
        <v>44256</v>
      </c>
      <c r="D15" s="15">
        <v>110</v>
      </c>
      <c r="E15" s="7" t="s">
        <v>66</v>
      </c>
      <c r="F15" s="18">
        <v>2500</v>
      </c>
      <c r="G15" s="7" t="s">
        <v>67</v>
      </c>
      <c r="H15" s="7"/>
      <c r="I15" s="7"/>
      <c r="J15" s="21"/>
    </row>
    <row r="16" spans="2:10" ht="30" customHeight="1" x14ac:dyDescent="0.25">
      <c r="B16" s="13">
        <v>6000</v>
      </c>
      <c r="C16" s="21">
        <v>44321</v>
      </c>
      <c r="D16" s="15">
        <v>111</v>
      </c>
      <c r="E16" s="7" t="s">
        <v>68</v>
      </c>
      <c r="F16" s="18">
        <v>614.67999999999995</v>
      </c>
      <c r="G16" s="7" t="s">
        <v>69</v>
      </c>
      <c r="H16" s="7"/>
      <c r="I16" s="7"/>
      <c r="J16" s="21"/>
    </row>
    <row r="17" spans="2:10" ht="30" customHeight="1" x14ac:dyDescent="0.25">
      <c r="B17" s="13">
        <v>3000</v>
      </c>
      <c r="C17" s="21">
        <v>44287</v>
      </c>
      <c r="D17" s="15">
        <v>112</v>
      </c>
      <c r="E17" s="7" t="s">
        <v>66</v>
      </c>
      <c r="F17" s="18">
        <v>3750</v>
      </c>
      <c r="G17" s="7" t="s">
        <v>67</v>
      </c>
      <c r="H17" s="7"/>
      <c r="I17" s="7"/>
      <c r="J17" s="21"/>
    </row>
    <row r="18" spans="2:10" ht="30" customHeight="1" x14ac:dyDescent="0.25">
      <c r="B18" s="13">
        <v>3000</v>
      </c>
      <c r="C18" s="21">
        <v>44317</v>
      </c>
      <c r="D18" s="15">
        <v>113</v>
      </c>
      <c r="E18" s="7" t="s">
        <v>66</v>
      </c>
      <c r="F18" s="18">
        <v>5000</v>
      </c>
      <c r="G18" s="7" t="s">
        <v>67</v>
      </c>
      <c r="H18" s="7"/>
      <c r="I18" s="7"/>
      <c r="J18" s="21"/>
    </row>
    <row r="19" spans="2:10" ht="30" customHeight="1" x14ac:dyDescent="0.25">
      <c r="B19" s="13">
        <v>1000</v>
      </c>
      <c r="C19" s="21">
        <v>44358</v>
      </c>
      <c r="D19" s="15">
        <v>114</v>
      </c>
      <c r="E19" s="7" t="s">
        <v>70</v>
      </c>
      <c r="F19" s="18">
        <v>247</v>
      </c>
      <c r="G19" s="7" t="s">
        <v>62</v>
      </c>
      <c r="H19" s="7"/>
      <c r="I19" s="7"/>
      <c r="J19" s="21"/>
    </row>
    <row r="20" spans="2:10" ht="30" customHeight="1" x14ac:dyDescent="0.25">
      <c r="B20" s="13">
        <v>3000</v>
      </c>
      <c r="C20" s="21">
        <v>44348</v>
      </c>
      <c r="D20" s="15">
        <v>115</v>
      </c>
      <c r="E20" s="7" t="s">
        <v>66</v>
      </c>
      <c r="F20" s="18">
        <v>5000</v>
      </c>
      <c r="G20" s="7" t="s">
        <v>67</v>
      </c>
      <c r="H20" s="7"/>
      <c r="I20" s="7"/>
      <c r="J20" s="21"/>
    </row>
    <row r="21" spans="2:10" ht="30" customHeight="1" x14ac:dyDescent="0.25">
      <c r="B21" s="13">
        <v>6000</v>
      </c>
      <c r="C21" s="21">
        <v>44358</v>
      </c>
      <c r="D21" s="15">
        <v>116</v>
      </c>
      <c r="E21" s="7" t="s">
        <v>68</v>
      </c>
      <c r="F21" s="18">
        <v>25</v>
      </c>
      <c r="G21" s="7" t="s">
        <v>71</v>
      </c>
      <c r="H21" s="7"/>
      <c r="I21" s="7"/>
      <c r="J21" s="21"/>
    </row>
    <row r="22" spans="2:10" ht="30" customHeight="1" x14ac:dyDescent="0.25">
      <c r="B22" s="13">
        <v>3000</v>
      </c>
      <c r="C22" s="21">
        <v>44378</v>
      </c>
      <c r="D22" s="15">
        <v>117</v>
      </c>
      <c r="E22" s="7" t="s">
        <v>72</v>
      </c>
      <c r="F22" s="18">
        <v>5000</v>
      </c>
      <c r="G22" s="7" t="s">
        <v>67</v>
      </c>
      <c r="H22" s="7"/>
      <c r="I22" s="7"/>
      <c r="J22" s="21"/>
    </row>
    <row r="23" spans="2:10" ht="30" customHeight="1" x14ac:dyDescent="0.25">
      <c r="B23" s="13">
        <v>3000</v>
      </c>
      <c r="C23" s="21">
        <v>44409</v>
      </c>
      <c r="D23" s="15">
        <v>118</v>
      </c>
      <c r="E23" s="7" t="s">
        <v>72</v>
      </c>
      <c r="F23" s="18">
        <v>5000</v>
      </c>
      <c r="G23" s="7" t="s">
        <v>67</v>
      </c>
      <c r="H23" s="7"/>
      <c r="I23" s="7"/>
      <c r="J23" s="21"/>
    </row>
    <row r="24" spans="2:10" ht="30" customHeight="1" x14ac:dyDescent="0.25">
      <c r="B24" s="13">
        <v>3000</v>
      </c>
      <c r="C24" s="21">
        <v>44440</v>
      </c>
      <c r="D24" s="15">
        <v>119</v>
      </c>
      <c r="E24" s="7" t="s">
        <v>72</v>
      </c>
      <c r="F24" s="18">
        <v>5000</v>
      </c>
      <c r="G24" s="7" t="s">
        <v>67</v>
      </c>
      <c r="H24" s="7"/>
      <c r="I24" s="7"/>
      <c r="J24" s="21"/>
    </row>
    <row r="25" spans="2:10" ht="30" customHeight="1" x14ac:dyDescent="0.25">
      <c r="B25" s="13">
        <v>3000</v>
      </c>
      <c r="C25" s="21">
        <v>44470</v>
      </c>
      <c r="D25" s="15">
        <v>120</v>
      </c>
      <c r="E25" s="7" t="s">
        <v>72</v>
      </c>
      <c r="F25" s="18">
        <v>5000</v>
      </c>
      <c r="G25" s="7" t="s">
        <v>67</v>
      </c>
      <c r="H25" s="7"/>
      <c r="I25" s="7"/>
      <c r="J25" s="21"/>
    </row>
    <row r="26" spans="2:10" ht="30" customHeight="1" x14ac:dyDescent="0.25">
      <c r="B26" s="13"/>
      <c r="C26" s="21">
        <v>44501</v>
      </c>
      <c r="D26" s="15">
        <v>121</v>
      </c>
      <c r="E26" s="7" t="s">
        <v>72</v>
      </c>
      <c r="F26" s="18">
        <v>5000</v>
      </c>
      <c r="G26" s="7" t="s">
        <v>67</v>
      </c>
      <c r="H26" s="7"/>
      <c r="I26" s="7"/>
      <c r="J26" s="21"/>
    </row>
    <row r="27" spans="2:10" ht="30" customHeight="1" x14ac:dyDescent="0.25">
      <c r="B27" s="13"/>
      <c r="C27" s="21">
        <v>44531</v>
      </c>
      <c r="D27" s="15">
        <v>122</v>
      </c>
      <c r="E27" s="7" t="s">
        <v>72</v>
      </c>
      <c r="F27" s="18">
        <v>5000</v>
      </c>
      <c r="G27" s="7" t="s">
        <v>67</v>
      </c>
      <c r="H27" s="7"/>
      <c r="I27" s="7"/>
      <c r="J27" s="21"/>
    </row>
    <row r="28" spans="2:10" ht="30" customHeight="1" x14ac:dyDescent="0.25">
      <c r="B28" s="13"/>
      <c r="C28" s="21">
        <v>44562</v>
      </c>
      <c r="D28" s="15">
        <v>123</v>
      </c>
      <c r="E28" s="7" t="s">
        <v>72</v>
      </c>
      <c r="F28" s="18">
        <v>5000</v>
      </c>
      <c r="G28" s="7" t="s">
        <v>67</v>
      </c>
      <c r="H28" s="7"/>
      <c r="I28" s="7"/>
      <c r="J28" s="21"/>
    </row>
    <row r="29" spans="2:10" ht="30" customHeight="1" x14ac:dyDescent="0.25">
      <c r="B29" s="13"/>
      <c r="C29" s="21">
        <v>44593</v>
      </c>
      <c r="D29" s="15"/>
      <c r="E29" s="7"/>
      <c r="F29" s="18"/>
      <c r="G29" s="7"/>
      <c r="H29" s="7"/>
      <c r="I29" s="7"/>
      <c r="J29" s="21"/>
    </row>
    <row r="30" spans="2:10" ht="30" customHeight="1" x14ac:dyDescent="0.25">
      <c r="B30" s="13"/>
      <c r="C30" s="21">
        <v>44621</v>
      </c>
      <c r="D30" s="15"/>
      <c r="E30" s="7"/>
      <c r="F30" s="18"/>
      <c r="G30" s="7"/>
      <c r="H30" s="7"/>
      <c r="I30" s="7"/>
      <c r="J30" s="21"/>
    </row>
    <row r="31" spans="2:10" ht="30" customHeight="1" x14ac:dyDescent="0.25">
      <c r="B31" s="13"/>
      <c r="C31" s="21">
        <v>44652</v>
      </c>
      <c r="D31" s="15"/>
      <c r="E31" s="7"/>
      <c r="F31" s="11"/>
      <c r="G31" s="7"/>
      <c r="H31" s="7"/>
      <c r="I31" s="7"/>
      <c r="J31" s="14"/>
    </row>
  </sheetData>
  <mergeCells count="3">
    <mergeCell ref="B3:F3"/>
    <mergeCell ref="G3:J3"/>
    <mergeCell ref="B2:J2"/>
  </mergeCells>
  <dataValidations count="13">
    <dataValidation allowBlank="1" showInputMessage="1" showErrorMessage="1" prompt="Crie despesas discriminadas nesta planilha. Insira detalhes na tabela Despesas discriminadas. Os links de navegação nas células B1 e C1 fornecem acesso para a planilha anterior e a seguinte" sqref="A1" xr:uid="{00000000-0002-0000-0200-000000000000}"/>
    <dataValidation allowBlank="1" showInputMessage="1" showErrorMessage="1" prompt="Insira o código de contabilidade na coluna sob este cabeçalho." sqref="B4" xr:uid="{00000000-0002-0000-0200-000001000000}"/>
    <dataValidation allowBlank="1" showInputMessage="1" showErrorMessage="1" prompt="Insira a data da fatura na coluna sob este cabeçalho." sqref="C4" xr:uid="{00000000-0002-0000-0200-000002000000}"/>
    <dataValidation allowBlank="1" showInputMessage="1" showErrorMessage="1" prompt="Insira o número da fatura na coluna sob este cabeçalho." sqref="D4" xr:uid="{00000000-0002-0000-0200-000003000000}"/>
    <dataValidation allowBlank="1" showInputMessage="1" showErrorMessage="1" prompt="Insira o nome do solicitante na coluna sob este cabeçalho." sqref="E4" xr:uid="{00000000-0002-0000-0200-000004000000}"/>
    <dataValidation allowBlank="1" showInputMessage="1" showErrorMessage="1" prompt="Insira o valor do cheque na coluna sob este cabeçalho." sqref="F4" xr:uid="{00000000-0002-0000-0200-000005000000}"/>
    <dataValidation allowBlank="1" showInputMessage="1" showErrorMessage="1" prompt="Insira o nome do credor na coluna sob este cabeçalho." sqref="G4" xr:uid="{00000000-0002-0000-0200-000006000000}"/>
    <dataValidation allowBlank="1" showInputMessage="1" showErrorMessage="1" prompt="Insira a finalidade de uso do cheque na coluna sob este cabeçalho." sqref="H4" xr:uid="{00000000-0002-0000-0200-000007000000}"/>
    <dataValidation allowBlank="1" showInputMessage="1" showErrorMessage="1" prompt="Insira o método de distribuição na coluna sob este cabeçalho." sqref="I4" xr:uid="{00000000-0002-0000-0200-000008000000}"/>
    <dataValidation allowBlank="1" showInputMessage="1" showErrorMessage="1" prompt="Insira a data do arquivo na coluna sob este cabeçalho." sqref="J4" xr:uid="{00000000-0002-0000-0200-000009000000}"/>
    <dataValidation allowBlank="1" showInputMessage="1" showErrorMessage="1" prompt="O título desta planilha está nesta célula. A segmentação para filtrar a tabela por solicitante está na célula B3, e por credor na célula G3." sqref="B2:J2" xr:uid="{00000000-0002-0000-0200-00000A000000}"/>
    <dataValidation allowBlank="1" showInputMessage="1" showErrorMessage="1" prompt="Link de navegação. Selecione-o para acessar o RESUMO DE DESPESAS MENSAIS." sqref="B1" xr:uid="{00000000-0002-0000-0200-00000B000000}"/>
    <dataValidation allowBlank="1" showInputMessage="1" showErrorMessage="1" prompt="O link de navegação está nesta célula. Selecione-o para acessar a planilha DONATIVOS E PATROCÍNIOS" sqref="C1" xr:uid="{00000000-0002-0000-0200-00000C000000}"/>
  </dataValidations>
  <hyperlinks>
    <hyperlink ref="B1" location="'RESUMO DE DESPESAS MENSAIS'!A1" tooltip="Selecione para navegar até a planilha RESUMO DE DESPESAS MENSAIS" display="MONTHLY EXPENSES SUMMARY" xr:uid="{00000000-0004-0000-0200-000000000000}"/>
    <hyperlink ref="C1" location="'DONATIVOS E PATROCÍNIOS'!A1" tooltip="Selecione para navegar até a planilha DONATIVOS E PATROCÍNIOS" display="DONATIVOS E PATROCÍNIOS" xr:uid="{00000000-0004-0000-0200-000001000000}"/>
  </hyperlinks>
  <printOptions horizontalCentered="1"/>
  <pageMargins left="0.4" right="0.4" top="0.4" bottom="0.6" header="0.3" footer="0.3"/>
  <pageSetup paperSize="9" scale="53" fitToHeight="0" orientation="portrait" verticalDpi="200" r:id="rId1"/>
  <headerFooter differentFirst="1">
    <oddFooter>Page &amp;P of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  <pageSetUpPr fitToPage="1"/>
  </sheetPr>
  <dimension ref="B1:L6"/>
  <sheetViews>
    <sheetView showGridLines="0" workbookViewId="0">
      <selection activeCell="F8" sqref="F8"/>
    </sheetView>
  </sheetViews>
  <sheetFormatPr defaultRowHeight="30" customHeight="1" x14ac:dyDescent="0.25"/>
  <cols>
    <col min="1" max="1" width="2.7109375" customWidth="1"/>
    <col min="2" max="2" width="16.85546875" customWidth="1"/>
    <col min="3" max="3" width="22.5703125" customWidth="1"/>
    <col min="4" max="4" width="28.7109375" customWidth="1"/>
    <col min="5" max="5" width="17.28515625" customWidth="1"/>
    <col min="6" max="6" width="17.42578125" customWidth="1"/>
    <col min="7" max="7" width="27" customWidth="1"/>
    <col min="8" max="8" width="16.5703125" customWidth="1"/>
    <col min="9" max="9" width="21.7109375" customWidth="1"/>
    <col min="10" max="10" width="15.42578125" customWidth="1"/>
    <col min="11" max="11" width="15.28515625" customWidth="1"/>
    <col min="12" max="12" width="11.7109375" customWidth="1"/>
  </cols>
  <sheetData>
    <row r="1" spans="2:12" ht="15" customHeight="1" x14ac:dyDescent="0.25">
      <c r="B1" s="5" t="s">
        <v>12</v>
      </c>
      <c r="C1" s="4"/>
    </row>
    <row r="2" spans="2:12" ht="24.75" customHeight="1" thickBot="1" x14ac:dyDescent="0.4">
      <c r="B2" s="27" t="s">
        <v>27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 ht="75" customHeight="1" thickTop="1" x14ac:dyDescent="0.25">
      <c r="B3" s="26" t="s">
        <v>26</v>
      </c>
      <c r="C3" s="26"/>
      <c r="D3" s="26"/>
      <c r="E3" s="26"/>
      <c r="F3" s="26"/>
      <c r="G3" s="26" t="s">
        <v>32</v>
      </c>
      <c r="H3" s="26"/>
      <c r="I3" s="26"/>
      <c r="J3" s="26"/>
      <c r="K3" s="26"/>
      <c r="L3" s="26"/>
    </row>
    <row r="4" spans="2:12" ht="30" customHeight="1" x14ac:dyDescent="0.25">
      <c r="B4" s="10" t="s">
        <v>2</v>
      </c>
      <c r="C4" s="10" t="s">
        <v>37</v>
      </c>
      <c r="D4" s="10" t="s">
        <v>30</v>
      </c>
      <c r="E4" s="10" t="s">
        <v>38</v>
      </c>
      <c r="F4" s="10" t="s">
        <v>39</v>
      </c>
      <c r="G4" s="10" t="s">
        <v>33</v>
      </c>
      <c r="H4" s="10" t="s">
        <v>40</v>
      </c>
      <c r="I4" s="10" t="s">
        <v>41</v>
      </c>
      <c r="J4" s="10" t="s">
        <v>42</v>
      </c>
      <c r="K4" s="10" t="s">
        <v>35</v>
      </c>
      <c r="L4" s="10" t="s">
        <v>36</v>
      </c>
    </row>
    <row r="5" spans="2:12" ht="30" customHeight="1" x14ac:dyDescent="0.25">
      <c r="B5" s="13"/>
      <c r="C5" s="14"/>
      <c r="D5" s="7"/>
      <c r="E5" s="17"/>
      <c r="F5" s="11"/>
      <c r="G5" s="7"/>
      <c r="H5" s="7"/>
      <c r="I5" s="7"/>
      <c r="J5" s="7"/>
      <c r="K5" s="7"/>
      <c r="L5" s="14" t="s">
        <v>28</v>
      </c>
    </row>
    <row r="6" spans="2:12" ht="30" customHeight="1" x14ac:dyDescent="0.25">
      <c r="B6" s="13"/>
      <c r="C6" s="14"/>
      <c r="D6" s="7"/>
      <c r="E6" s="11"/>
      <c r="F6" s="11"/>
      <c r="G6" s="7"/>
      <c r="H6" s="7"/>
      <c r="I6" s="7"/>
      <c r="J6" s="7"/>
      <c r="K6" s="7"/>
      <c r="L6" s="14" t="s">
        <v>28</v>
      </c>
    </row>
  </sheetData>
  <mergeCells count="3">
    <mergeCell ref="B3:F3"/>
    <mergeCell ref="G3:L3"/>
    <mergeCell ref="B2:L2"/>
  </mergeCells>
  <dataValidations count="14">
    <dataValidation allowBlank="1" showInputMessage="1" showErrorMessage="1" prompt="Crie uma lista de donativos e patrocínios nesta planilha. Insira detalhes na tabela Outros. Selecione a célula B1 para navegar até a planilha Despesas discriminadas" sqref="A1" xr:uid="{00000000-0002-0000-0300-000000000000}"/>
    <dataValidation allowBlank="1" showInputMessage="1" showErrorMessage="1" prompt="Insira o código de contabilidade na coluna sob este cabeçalho" sqref="B4" xr:uid="{00000000-0002-0000-0300-000001000000}"/>
    <dataValidation allowBlank="1" showInputMessage="1" showErrorMessage="1" prompt="Insira a data quando a solicitação de cheque for iniciada na coluna sob este cabeçalho." sqref="C4" xr:uid="{00000000-0002-0000-0300-000002000000}"/>
    <dataValidation allowBlank="1" showInputMessage="1" showErrorMessage="1" prompt="Insira o nome do solicitante na coluna sob este cabeçalho." sqref="D4" xr:uid="{00000000-0002-0000-0300-000003000000}"/>
    <dataValidation allowBlank="1" showInputMessage="1" showErrorMessage="1" prompt="Insira o valor do cheque na coluna sob este cabeçalho." sqref="E4" xr:uid="{00000000-0002-0000-0300-000004000000}"/>
    <dataValidation allowBlank="1" showInputMessage="1" showErrorMessage="1" prompt="Insira a contribuição do ano anterior na coluna sob este cabeçalho." sqref="F4" xr:uid="{00000000-0002-0000-0300-000005000000}"/>
    <dataValidation allowBlank="1" showInputMessage="1" showErrorMessage="1" prompt="Insira o nome do credor na coluna sob este cabeçalho." sqref="G4" xr:uid="{00000000-0002-0000-0300-000006000000}"/>
    <dataValidation allowBlank="1" showInputMessage="1" showErrorMessage="1" prompt="Insira a finalidade de uso na coluna sob este cabeçalho." sqref="H4" xr:uid="{00000000-0002-0000-0300-000007000000}"/>
    <dataValidation allowBlank="1" showInputMessage="1" showErrorMessage="1" prompt="Insira o nome da pessoa que aprovou na coluna sob este cabeçalho." sqref="I4" xr:uid="{00000000-0002-0000-0300-000008000000}"/>
    <dataValidation allowBlank="1" showInputMessage="1" showErrorMessage="1" prompt="Insira a Categoria na coluna sob este cabeçalho." sqref="J4" xr:uid="{00000000-0002-0000-0300-000009000000}"/>
    <dataValidation allowBlank="1" showInputMessage="1" showErrorMessage="1" prompt="Insira o método de distribuição na coluna sob este cabeçalho." sqref="K4" xr:uid="{00000000-0002-0000-0300-00000A000000}"/>
    <dataValidation allowBlank="1" showInputMessage="1" showErrorMessage="1" prompt="Insira a data do arquivo na coluna sob este cabeçalho." sqref="L4" xr:uid="{00000000-0002-0000-0300-00000B000000}"/>
    <dataValidation allowBlank="1" showInputMessage="1" showErrorMessage="1" prompt="Link de navegação. Selecione-o para acessar a planilha DESPESAS DISCRIMINADAS." sqref="B1" xr:uid="{00000000-0002-0000-0300-00000C000000}"/>
    <dataValidation allowBlank="1" showInputMessage="1" showErrorMessage="1" prompt="O título desta planilha está nesta célula. A segmentação para filtrar a tabela por solicitante está na célula B3, e por credor na célula G3." sqref="B2:L2" xr:uid="{00000000-0002-0000-0300-00000D000000}"/>
  </dataValidations>
  <hyperlinks>
    <hyperlink ref="B1" location="'DESPESAS DISCRIMINADAS'!A1" tooltip="Selecione para navegar até a planilha DESPESAS DISCRIMINADAS" display="ITEMIZED EXPENSES" xr:uid="{00000000-0004-0000-0300-000000000000}"/>
  </hyperlinks>
  <printOptions horizontalCentered="1"/>
  <pageMargins left="0.4" right="0.4" top="0.4" bottom="0.6" header="0.3" footer="0.3"/>
  <pageSetup paperSize="9" scale="42" fitToHeight="0" orientation="portrait" verticalDpi="200" r:id="rId1"/>
  <headerFooter differentFirst="1">
    <oddFooter>Page &amp;P of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DC4F-8CFE-4415-9613-877B64F01FE9}">
  <sheetPr>
    <tabColor rgb="FF0070C0"/>
  </sheetPr>
  <dimension ref="A1:L44"/>
  <sheetViews>
    <sheetView tabSelected="1" topLeftCell="E1" workbookViewId="0">
      <selection activeCell="J14" sqref="J14"/>
    </sheetView>
  </sheetViews>
  <sheetFormatPr defaultRowHeight="15" x14ac:dyDescent="0.25"/>
  <cols>
    <col min="2" max="2" width="11.7109375" style="29" bestFit="1" customWidth="1"/>
    <col min="3" max="3" width="18.5703125" bestFit="1" customWidth="1"/>
    <col min="4" max="4" width="58" bestFit="1" customWidth="1"/>
    <col min="5" max="5" width="10.85546875" bestFit="1" customWidth="1"/>
    <col min="6" max="6" width="12.28515625" bestFit="1" customWidth="1"/>
    <col min="7" max="7" width="12.140625" bestFit="1" customWidth="1"/>
    <col min="8" max="8" width="17.42578125" bestFit="1" customWidth="1"/>
    <col min="9" max="9" width="13.5703125" customWidth="1"/>
    <col min="10" max="10" width="62" customWidth="1"/>
    <col min="11" max="11" width="12.7109375" customWidth="1"/>
    <col min="12" max="12" width="13.7109375" bestFit="1" customWidth="1"/>
  </cols>
  <sheetData>
    <row r="1" spans="1:12" ht="15.75" thickBot="1" x14ac:dyDescent="0.3">
      <c r="B1" s="30" t="s">
        <v>99</v>
      </c>
      <c r="C1" s="30"/>
      <c r="D1" s="30"/>
      <c r="E1" s="30"/>
      <c r="F1" s="30"/>
    </row>
    <row r="2" spans="1:12" ht="57" customHeight="1" x14ac:dyDescent="0.25">
      <c r="B2" s="42" t="s">
        <v>77</v>
      </c>
      <c r="C2" s="43" t="s">
        <v>73</v>
      </c>
      <c r="D2" s="44" t="s">
        <v>74</v>
      </c>
      <c r="E2" s="43" t="s">
        <v>75</v>
      </c>
      <c r="F2" s="45" t="s">
        <v>76</v>
      </c>
      <c r="I2" s="52" t="s">
        <v>130</v>
      </c>
      <c r="J2" s="53"/>
      <c r="K2" s="53"/>
      <c r="L2" s="54"/>
    </row>
    <row r="3" spans="1:12" x14ac:dyDescent="0.25">
      <c r="B3" s="35">
        <v>1</v>
      </c>
      <c r="C3" s="36"/>
      <c r="D3" s="36" t="s">
        <v>131</v>
      </c>
      <c r="E3" s="37">
        <v>285</v>
      </c>
      <c r="F3" s="38">
        <f>E3*B3</f>
        <v>285</v>
      </c>
      <c r="I3" s="55" t="s">
        <v>77</v>
      </c>
      <c r="J3" s="56" t="s">
        <v>74</v>
      </c>
      <c r="K3" s="56" t="s">
        <v>75</v>
      </c>
      <c r="L3" s="57" t="s">
        <v>76</v>
      </c>
    </row>
    <row r="4" spans="1:12" x14ac:dyDescent="0.25">
      <c r="B4" s="39">
        <v>1</v>
      </c>
      <c r="C4" s="28"/>
      <c r="D4" s="28" t="s">
        <v>132</v>
      </c>
      <c r="E4" s="31">
        <v>450</v>
      </c>
      <c r="F4" s="40">
        <f t="shared" ref="F4:F5" si="0">E4*B4</f>
        <v>450</v>
      </c>
      <c r="I4" s="55">
        <v>1</v>
      </c>
      <c r="J4" s="58" t="s">
        <v>78</v>
      </c>
      <c r="K4" s="59">
        <v>285</v>
      </c>
      <c r="L4" s="60">
        <f>K4*I4</f>
        <v>285</v>
      </c>
    </row>
    <row r="5" spans="1:12" x14ac:dyDescent="0.25">
      <c r="B5" s="35">
        <v>10</v>
      </c>
      <c r="C5" s="36"/>
      <c r="D5" s="36" t="s">
        <v>133</v>
      </c>
      <c r="E5" s="37">
        <v>50</v>
      </c>
      <c r="F5" s="38">
        <f t="shared" si="0"/>
        <v>500</v>
      </c>
      <c r="I5" s="55">
        <v>1</v>
      </c>
      <c r="J5" s="58" t="s">
        <v>80</v>
      </c>
      <c r="K5" s="59">
        <v>450</v>
      </c>
      <c r="L5" s="60">
        <f t="shared" ref="L5:L21" si="1">K5*I5</f>
        <v>450</v>
      </c>
    </row>
    <row r="6" spans="1:12" x14ac:dyDescent="0.25">
      <c r="B6" s="39">
        <v>80</v>
      </c>
      <c r="C6" s="28"/>
      <c r="D6" s="28" t="s">
        <v>134</v>
      </c>
      <c r="E6" s="31">
        <v>8</v>
      </c>
      <c r="F6" s="40">
        <f t="shared" ref="F6:F11" si="2">E6*B6</f>
        <v>640</v>
      </c>
      <c r="I6" s="55">
        <v>50</v>
      </c>
      <c r="J6" s="58" t="s">
        <v>118</v>
      </c>
      <c r="K6" s="59">
        <v>50</v>
      </c>
      <c r="L6" s="60">
        <f t="shared" si="1"/>
        <v>2500</v>
      </c>
    </row>
    <row r="7" spans="1:12" x14ac:dyDescent="0.25">
      <c r="B7" s="35">
        <v>11</v>
      </c>
      <c r="C7" s="36"/>
      <c r="D7" s="36" t="s">
        <v>135</v>
      </c>
      <c r="E7" s="37">
        <v>3</v>
      </c>
      <c r="F7" s="38">
        <f t="shared" si="2"/>
        <v>33</v>
      </c>
      <c r="G7" s="46"/>
      <c r="I7" s="55">
        <v>100</v>
      </c>
      <c r="J7" s="58" t="s">
        <v>119</v>
      </c>
      <c r="K7" s="59">
        <v>8</v>
      </c>
      <c r="L7" s="60">
        <f t="shared" si="1"/>
        <v>800</v>
      </c>
    </row>
    <row r="8" spans="1:12" x14ac:dyDescent="0.25">
      <c r="B8" s="39">
        <v>10</v>
      </c>
      <c r="C8" s="28"/>
      <c r="D8" s="28" t="s">
        <v>136</v>
      </c>
      <c r="E8" s="31">
        <v>5</v>
      </c>
      <c r="F8" s="40">
        <f t="shared" si="2"/>
        <v>50</v>
      </c>
      <c r="G8" s="46"/>
      <c r="I8" s="55">
        <v>5</v>
      </c>
      <c r="J8" s="58" t="s">
        <v>128</v>
      </c>
      <c r="K8" s="59">
        <v>1000</v>
      </c>
      <c r="L8" s="60">
        <f t="shared" si="1"/>
        <v>5000</v>
      </c>
    </row>
    <row r="9" spans="1:12" x14ac:dyDescent="0.25">
      <c r="B9" s="35">
        <v>10</v>
      </c>
      <c r="C9" s="36"/>
      <c r="D9" s="36" t="s">
        <v>137</v>
      </c>
      <c r="E9" s="37">
        <v>3</v>
      </c>
      <c r="F9" s="38">
        <f t="shared" si="2"/>
        <v>30</v>
      </c>
      <c r="G9" s="46"/>
      <c r="I9" s="55">
        <v>10</v>
      </c>
      <c r="J9" s="58" t="s">
        <v>129</v>
      </c>
      <c r="K9" s="59">
        <v>985</v>
      </c>
      <c r="L9" s="60">
        <f t="shared" si="1"/>
        <v>9850</v>
      </c>
    </row>
    <row r="10" spans="1:12" x14ac:dyDescent="0.25">
      <c r="B10" s="39">
        <v>12</v>
      </c>
      <c r="C10" s="28"/>
      <c r="D10" s="28" t="s">
        <v>138</v>
      </c>
      <c r="E10" s="31">
        <v>12</v>
      </c>
      <c r="F10" s="40">
        <f t="shared" si="2"/>
        <v>144</v>
      </c>
      <c r="G10" s="46"/>
      <c r="I10" s="55">
        <v>5</v>
      </c>
      <c r="J10" s="58" t="s">
        <v>83</v>
      </c>
      <c r="K10" s="59">
        <v>220</v>
      </c>
      <c r="L10" s="60">
        <f t="shared" si="1"/>
        <v>1100</v>
      </c>
    </row>
    <row r="11" spans="1:12" x14ac:dyDescent="0.25">
      <c r="B11" s="35">
        <v>3</v>
      </c>
      <c r="C11" s="36"/>
      <c r="D11" s="36" t="s">
        <v>139</v>
      </c>
      <c r="E11" s="37">
        <v>5</v>
      </c>
      <c r="F11" s="38">
        <f t="shared" si="2"/>
        <v>15</v>
      </c>
      <c r="G11" s="34"/>
      <c r="I11" s="61"/>
      <c r="J11" s="58"/>
      <c r="K11" s="58"/>
      <c r="L11" s="62"/>
    </row>
    <row r="12" spans="1:12" x14ac:dyDescent="0.25">
      <c r="B12" s="47">
        <v>1</v>
      </c>
      <c r="C12" s="48"/>
      <c r="D12" s="48" t="s">
        <v>140</v>
      </c>
      <c r="E12" s="49">
        <v>200</v>
      </c>
      <c r="F12" s="50">
        <f t="shared" ref="F12" si="3">E12*B12</f>
        <v>200</v>
      </c>
      <c r="G12" s="41">
        <f>SUM(F3:F12)</f>
        <v>2347</v>
      </c>
      <c r="I12" s="63"/>
      <c r="J12" s="64"/>
      <c r="K12" s="64"/>
      <c r="L12" s="65">
        <f>SUM(L4:L10)</f>
        <v>19985</v>
      </c>
    </row>
    <row r="13" spans="1:12" x14ac:dyDescent="0.25">
      <c r="B13"/>
    </row>
    <row r="14" spans="1:12" x14ac:dyDescent="0.25">
      <c r="B14" s="74">
        <v>2</v>
      </c>
      <c r="C14" s="75"/>
      <c r="D14" s="75" t="s">
        <v>141</v>
      </c>
      <c r="E14" s="76">
        <v>60</v>
      </c>
      <c r="F14" s="77">
        <f t="shared" ref="F14" si="4">E14*B14</f>
        <v>120</v>
      </c>
    </row>
    <row r="15" spans="1:12" x14ac:dyDescent="0.25">
      <c r="A15" s="51"/>
      <c r="B15" s="66">
        <v>12</v>
      </c>
      <c r="C15" s="67"/>
      <c r="D15" s="67" t="s">
        <v>142</v>
      </c>
      <c r="E15" s="68">
        <v>0.25</v>
      </c>
      <c r="F15" s="69">
        <f t="shared" ref="F15:F16" si="5">E15*B15</f>
        <v>3</v>
      </c>
    </row>
    <row r="16" spans="1:12" x14ac:dyDescent="0.25">
      <c r="B16" s="70">
        <v>48</v>
      </c>
      <c r="C16" s="71"/>
      <c r="D16" s="71" t="s">
        <v>143</v>
      </c>
      <c r="E16" s="72">
        <v>0.25</v>
      </c>
      <c r="F16" s="73">
        <f t="shared" si="5"/>
        <v>12</v>
      </c>
    </row>
    <row r="17" spans="2:12" x14ac:dyDescent="0.25">
      <c r="B17" s="66">
        <v>12</v>
      </c>
      <c r="C17" s="67"/>
      <c r="D17" s="67" t="s">
        <v>144</v>
      </c>
      <c r="E17" s="68">
        <v>3</v>
      </c>
      <c r="F17" s="69">
        <f t="shared" ref="F17:F42" si="6">E17*B17</f>
        <v>36</v>
      </c>
    </row>
    <row r="18" spans="2:12" x14ac:dyDescent="0.25">
      <c r="B18" s="70">
        <v>12</v>
      </c>
      <c r="C18" s="71"/>
      <c r="D18" s="71" t="s">
        <v>145</v>
      </c>
      <c r="E18" s="72">
        <v>1</v>
      </c>
      <c r="F18" s="73">
        <f t="shared" si="6"/>
        <v>12</v>
      </c>
    </row>
    <row r="19" spans="2:12" x14ac:dyDescent="0.25">
      <c r="B19" s="66">
        <v>3</v>
      </c>
      <c r="C19" s="67"/>
      <c r="D19" s="67" t="s">
        <v>146</v>
      </c>
      <c r="E19" s="68">
        <v>1.5</v>
      </c>
      <c r="F19" s="69">
        <f t="shared" si="6"/>
        <v>4.5</v>
      </c>
    </row>
    <row r="20" spans="2:12" x14ac:dyDescent="0.25">
      <c r="B20" s="70">
        <v>12</v>
      </c>
      <c r="C20" s="71"/>
      <c r="D20" s="71" t="s">
        <v>147</v>
      </c>
      <c r="E20" s="72">
        <v>3</v>
      </c>
      <c r="F20" s="73">
        <f t="shared" si="6"/>
        <v>36</v>
      </c>
    </row>
    <row r="21" spans="2:12" x14ac:dyDescent="0.25">
      <c r="B21" s="66">
        <v>4</v>
      </c>
      <c r="C21" s="67"/>
      <c r="D21" s="67" t="s">
        <v>148</v>
      </c>
      <c r="E21" s="68">
        <v>1.5</v>
      </c>
      <c r="F21" s="69">
        <f t="shared" si="6"/>
        <v>6</v>
      </c>
      <c r="H21" s="29"/>
    </row>
    <row r="22" spans="2:12" x14ac:dyDescent="0.25">
      <c r="B22" s="70">
        <v>12</v>
      </c>
      <c r="C22" s="71"/>
      <c r="D22" s="71" t="s">
        <v>149</v>
      </c>
      <c r="E22" s="72">
        <v>0.5</v>
      </c>
      <c r="F22" s="73">
        <f t="shared" si="6"/>
        <v>6</v>
      </c>
      <c r="H22" s="29"/>
      <c r="L22" s="34"/>
    </row>
    <row r="23" spans="2:12" x14ac:dyDescent="0.25">
      <c r="B23" s="66">
        <v>6</v>
      </c>
      <c r="C23" s="67"/>
      <c r="D23" s="67" t="s">
        <v>150</v>
      </c>
      <c r="E23" s="68">
        <v>65</v>
      </c>
      <c r="F23" s="69">
        <f t="shared" si="6"/>
        <v>390</v>
      </c>
      <c r="G23" s="34"/>
      <c r="H23" s="29"/>
    </row>
    <row r="24" spans="2:12" x14ac:dyDescent="0.25">
      <c r="B24" s="78">
        <v>10</v>
      </c>
      <c r="C24" s="79"/>
      <c r="D24" s="79" t="s">
        <v>115</v>
      </c>
      <c r="E24" s="80">
        <v>36</v>
      </c>
      <c r="F24" s="81">
        <f t="shared" si="6"/>
        <v>360</v>
      </c>
      <c r="G24" s="82">
        <f>SUM(F14:F24)</f>
        <v>985.5</v>
      </c>
      <c r="H24" s="29" t="s">
        <v>116</v>
      </c>
    </row>
    <row r="25" spans="2:12" x14ac:dyDescent="0.25">
      <c r="B25"/>
      <c r="H25" s="29"/>
    </row>
    <row r="26" spans="2:12" x14ac:dyDescent="0.25">
      <c r="B26" s="74">
        <v>1</v>
      </c>
      <c r="C26" s="75"/>
      <c r="D26" s="75" t="s">
        <v>151</v>
      </c>
      <c r="E26" s="76">
        <v>60</v>
      </c>
      <c r="F26" s="77">
        <f t="shared" si="6"/>
        <v>60</v>
      </c>
      <c r="H26" s="29"/>
    </row>
    <row r="27" spans="2:12" x14ac:dyDescent="0.25">
      <c r="B27" s="66">
        <v>2</v>
      </c>
      <c r="C27" s="67"/>
      <c r="D27" s="67" t="s">
        <v>152</v>
      </c>
      <c r="E27" s="68">
        <v>12</v>
      </c>
      <c r="F27" s="69">
        <f t="shared" si="6"/>
        <v>24</v>
      </c>
      <c r="H27" s="29"/>
    </row>
    <row r="28" spans="2:12" x14ac:dyDescent="0.25">
      <c r="B28" s="70">
        <v>2</v>
      </c>
      <c r="C28" s="71"/>
      <c r="D28" s="71" t="s">
        <v>146</v>
      </c>
      <c r="E28" s="72">
        <v>1.5</v>
      </c>
      <c r="F28" s="73">
        <f t="shared" si="6"/>
        <v>3</v>
      </c>
      <c r="H28" s="29"/>
    </row>
    <row r="29" spans="2:12" x14ac:dyDescent="0.25">
      <c r="B29" s="66">
        <v>2</v>
      </c>
      <c r="C29" s="67"/>
      <c r="D29" s="67" t="s">
        <v>153</v>
      </c>
      <c r="E29" s="68">
        <v>35</v>
      </c>
      <c r="F29" s="69">
        <f t="shared" si="6"/>
        <v>70</v>
      </c>
      <c r="H29" s="29"/>
    </row>
    <row r="30" spans="2:12" x14ac:dyDescent="0.25">
      <c r="B30" s="70">
        <v>2</v>
      </c>
      <c r="C30" s="71"/>
      <c r="D30" s="71" t="s">
        <v>154</v>
      </c>
      <c r="E30" s="72">
        <v>1</v>
      </c>
      <c r="F30" s="73">
        <f t="shared" si="6"/>
        <v>2</v>
      </c>
      <c r="H30" s="29"/>
    </row>
    <row r="31" spans="2:12" x14ac:dyDescent="0.25">
      <c r="B31" s="66">
        <v>8</v>
      </c>
      <c r="C31" s="67"/>
      <c r="D31" s="67" t="s">
        <v>155</v>
      </c>
      <c r="E31" s="68">
        <v>1.5</v>
      </c>
      <c r="F31" s="69">
        <f t="shared" si="6"/>
        <v>12</v>
      </c>
      <c r="H31" s="29"/>
    </row>
    <row r="32" spans="2:12" x14ac:dyDescent="0.25">
      <c r="B32" s="70">
        <v>8</v>
      </c>
      <c r="C32" s="71"/>
      <c r="D32" s="71" t="s">
        <v>149</v>
      </c>
      <c r="E32" s="72">
        <v>0.5</v>
      </c>
      <c r="F32" s="73">
        <f t="shared" si="6"/>
        <v>4</v>
      </c>
      <c r="H32" s="29"/>
    </row>
    <row r="33" spans="2:8" x14ac:dyDescent="0.25">
      <c r="B33" s="66">
        <v>2</v>
      </c>
      <c r="C33" s="67"/>
      <c r="D33" s="67" t="s">
        <v>156</v>
      </c>
      <c r="E33" s="68">
        <v>1.5</v>
      </c>
      <c r="F33" s="69">
        <f t="shared" si="6"/>
        <v>3</v>
      </c>
      <c r="H33" s="29"/>
    </row>
    <row r="34" spans="2:8" x14ac:dyDescent="0.25">
      <c r="B34" s="70">
        <v>4</v>
      </c>
      <c r="C34" s="71"/>
      <c r="D34" s="71" t="s">
        <v>157</v>
      </c>
      <c r="E34" s="72">
        <v>0.5</v>
      </c>
      <c r="F34" s="73">
        <f t="shared" si="6"/>
        <v>2</v>
      </c>
      <c r="H34" s="29"/>
    </row>
    <row r="35" spans="2:8" x14ac:dyDescent="0.25">
      <c r="B35" s="66">
        <v>3</v>
      </c>
      <c r="C35" s="67"/>
      <c r="D35" s="67" t="s">
        <v>143</v>
      </c>
      <c r="E35" s="68">
        <v>0.25</v>
      </c>
      <c r="F35" s="69">
        <f t="shared" si="6"/>
        <v>0.75</v>
      </c>
      <c r="H35" s="29"/>
    </row>
    <row r="36" spans="2:8" x14ac:dyDescent="0.25">
      <c r="B36" s="70">
        <v>3</v>
      </c>
      <c r="C36" s="71"/>
      <c r="D36" s="71" t="s">
        <v>148</v>
      </c>
      <c r="E36" s="72">
        <v>1.5</v>
      </c>
      <c r="F36" s="73">
        <f t="shared" si="6"/>
        <v>4.5</v>
      </c>
      <c r="H36" s="29"/>
    </row>
    <row r="37" spans="2:8" x14ac:dyDescent="0.25">
      <c r="B37" s="66">
        <v>1</v>
      </c>
      <c r="C37" s="67"/>
      <c r="D37" s="67" t="s">
        <v>158</v>
      </c>
      <c r="E37" s="68">
        <v>1.5</v>
      </c>
      <c r="F37" s="69">
        <f t="shared" si="6"/>
        <v>1.5</v>
      </c>
      <c r="H37" s="29"/>
    </row>
    <row r="38" spans="2:8" x14ac:dyDescent="0.25">
      <c r="B38" s="70">
        <v>2</v>
      </c>
      <c r="C38" s="71"/>
      <c r="D38" s="71" t="s">
        <v>159</v>
      </c>
      <c r="E38" s="72">
        <v>3</v>
      </c>
      <c r="F38" s="73">
        <f t="shared" si="6"/>
        <v>6</v>
      </c>
      <c r="H38" s="29"/>
    </row>
    <row r="39" spans="2:8" x14ac:dyDescent="0.25">
      <c r="B39" s="66">
        <v>1</v>
      </c>
      <c r="C39" s="67"/>
      <c r="D39" s="67" t="s">
        <v>160</v>
      </c>
      <c r="E39" s="68">
        <v>3</v>
      </c>
      <c r="F39" s="69">
        <f t="shared" si="6"/>
        <v>3</v>
      </c>
      <c r="H39" s="29"/>
    </row>
    <row r="40" spans="2:8" x14ac:dyDescent="0.25">
      <c r="B40" s="70">
        <v>2</v>
      </c>
      <c r="C40" s="71"/>
      <c r="D40" s="71" t="s">
        <v>161</v>
      </c>
      <c r="E40" s="72">
        <v>5</v>
      </c>
      <c r="F40" s="73">
        <f t="shared" si="6"/>
        <v>10</v>
      </c>
      <c r="G40" s="34"/>
      <c r="H40" s="29"/>
    </row>
    <row r="41" spans="2:8" x14ac:dyDescent="0.25">
      <c r="B41" s="66">
        <v>3</v>
      </c>
      <c r="C41" s="67"/>
      <c r="D41" s="67" t="s">
        <v>162</v>
      </c>
      <c r="E41" s="68">
        <v>3</v>
      </c>
      <c r="F41" s="69">
        <f t="shared" si="6"/>
        <v>9</v>
      </c>
      <c r="G41" s="34"/>
      <c r="H41" s="29"/>
    </row>
    <row r="42" spans="2:8" x14ac:dyDescent="0.25">
      <c r="B42" s="78">
        <v>1</v>
      </c>
      <c r="C42" s="79"/>
      <c r="D42" s="79" t="s">
        <v>163</v>
      </c>
      <c r="E42" s="80">
        <v>5</v>
      </c>
      <c r="F42" s="81">
        <f t="shared" si="6"/>
        <v>5</v>
      </c>
      <c r="G42" s="82">
        <f>SUM(F26:F42)</f>
        <v>219.75</v>
      </c>
      <c r="H42" s="29" t="s">
        <v>117</v>
      </c>
    </row>
    <row r="43" spans="2:8" x14ac:dyDescent="0.25">
      <c r="B43"/>
    </row>
    <row r="44" spans="2:8" x14ac:dyDescent="0.25">
      <c r="B44"/>
      <c r="D44" s="51" t="s">
        <v>127</v>
      </c>
      <c r="E44" s="51"/>
      <c r="F44" s="34">
        <f>SUM(F3:F43)</f>
        <v>3552.25</v>
      </c>
    </row>
  </sheetData>
  <mergeCells count="2">
    <mergeCell ref="B1:F1"/>
    <mergeCell ref="I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930-A109-480B-94E5-03F6639F1586}">
  <dimension ref="B1:C58"/>
  <sheetViews>
    <sheetView workbookViewId="0">
      <selection activeCell="B10" sqref="B10"/>
    </sheetView>
  </sheetViews>
  <sheetFormatPr defaultRowHeight="15" x14ac:dyDescent="0.25"/>
  <cols>
    <col min="1" max="1" width="18.140625" customWidth="1"/>
    <col min="2" max="2" width="80.140625" customWidth="1"/>
    <col min="3" max="3" width="115.7109375" customWidth="1"/>
  </cols>
  <sheetData>
    <row r="1" spans="2:3" x14ac:dyDescent="0.25">
      <c r="B1" s="33" t="s">
        <v>78</v>
      </c>
      <c r="C1" t="s">
        <v>79</v>
      </c>
    </row>
    <row r="2" spans="2:3" ht="30" x14ac:dyDescent="0.25">
      <c r="B2" s="33" t="s">
        <v>80</v>
      </c>
      <c r="C2" t="s">
        <v>81</v>
      </c>
    </row>
    <row r="3" spans="2:3" x14ac:dyDescent="0.25">
      <c r="B3" s="33" t="s">
        <v>118</v>
      </c>
      <c r="C3" s="32" t="s">
        <v>82</v>
      </c>
    </row>
    <row r="4" spans="2:3" x14ac:dyDescent="0.25">
      <c r="B4" s="33" t="s">
        <v>119</v>
      </c>
      <c r="C4" s="32"/>
    </row>
    <row r="5" spans="2:3" x14ac:dyDescent="0.25">
      <c r="B5" s="33" t="s">
        <v>122</v>
      </c>
      <c r="C5" s="32"/>
    </row>
    <row r="6" spans="2:3" x14ac:dyDescent="0.25">
      <c r="B6" s="33" t="s">
        <v>121</v>
      </c>
      <c r="C6" s="32"/>
    </row>
    <row r="7" spans="2:3" x14ac:dyDescent="0.25">
      <c r="B7" s="33" t="s">
        <v>123</v>
      </c>
      <c r="C7" s="32"/>
    </row>
    <row r="8" spans="2:3" x14ac:dyDescent="0.25">
      <c r="B8" s="33" t="s">
        <v>124</v>
      </c>
      <c r="C8" s="32"/>
    </row>
    <row r="9" spans="2:3" x14ac:dyDescent="0.25">
      <c r="B9" s="33" t="s">
        <v>126</v>
      </c>
      <c r="C9" s="32"/>
    </row>
    <row r="10" spans="2:3" x14ac:dyDescent="0.25">
      <c r="B10" s="33" t="s">
        <v>125</v>
      </c>
      <c r="C10" s="32"/>
    </row>
    <row r="11" spans="2:3" x14ac:dyDescent="0.25">
      <c r="B11" s="33"/>
      <c r="C11" s="32"/>
    </row>
    <row r="12" spans="2:3" x14ac:dyDescent="0.25">
      <c r="B12" s="33"/>
      <c r="C12" s="32"/>
    </row>
    <row r="13" spans="2:3" x14ac:dyDescent="0.25">
      <c r="B13" s="33" t="s">
        <v>84</v>
      </c>
    </row>
    <row r="14" spans="2:3" x14ac:dyDescent="0.25">
      <c r="B14" s="33" t="s">
        <v>87</v>
      </c>
      <c r="C14" t="s">
        <v>85</v>
      </c>
    </row>
    <row r="15" spans="2:3" x14ac:dyDescent="0.25">
      <c r="B15" s="33" t="s">
        <v>88</v>
      </c>
    </row>
    <row r="16" spans="2:3" x14ac:dyDescent="0.25">
      <c r="B16" s="33" t="s">
        <v>91</v>
      </c>
    </row>
    <row r="17" spans="2:3" x14ac:dyDescent="0.25">
      <c r="B17" s="33" t="s">
        <v>90</v>
      </c>
    </row>
    <row r="18" spans="2:3" x14ac:dyDescent="0.25">
      <c r="B18" s="33" t="s">
        <v>92</v>
      </c>
      <c r="C18" t="s">
        <v>89</v>
      </c>
    </row>
    <row r="19" spans="2:3" x14ac:dyDescent="0.25">
      <c r="B19" s="33" t="s">
        <v>94</v>
      </c>
      <c r="C19" t="s">
        <v>93</v>
      </c>
    </row>
    <row r="20" spans="2:3" x14ac:dyDescent="0.25">
      <c r="B20" s="33" t="s">
        <v>95</v>
      </c>
    </row>
    <row r="21" spans="2:3" x14ac:dyDescent="0.25">
      <c r="B21" s="33" t="s">
        <v>96</v>
      </c>
    </row>
    <row r="22" spans="2:3" x14ac:dyDescent="0.25">
      <c r="B22" s="33" t="s">
        <v>97</v>
      </c>
      <c r="C22" t="s">
        <v>98</v>
      </c>
    </row>
    <row r="23" spans="2:3" x14ac:dyDescent="0.25">
      <c r="B23" s="33" t="s">
        <v>115</v>
      </c>
    </row>
    <row r="24" spans="2:3" x14ac:dyDescent="0.25">
      <c r="B24" s="33"/>
    </row>
    <row r="25" spans="2:3" x14ac:dyDescent="0.25">
      <c r="B25" s="33" t="s">
        <v>83</v>
      </c>
    </row>
    <row r="26" spans="2:3" x14ac:dyDescent="0.25">
      <c r="B26" s="33" t="s">
        <v>86</v>
      </c>
    </row>
    <row r="27" spans="2:3" x14ac:dyDescent="0.25">
      <c r="B27" s="33" t="s">
        <v>92</v>
      </c>
    </row>
    <row r="28" spans="2:3" x14ac:dyDescent="0.25">
      <c r="B28" s="33" t="s">
        <v>100</v>
      </c>
    </row>
    <row r="29" spans="2:3" x14ac:dyDescent="0.25">
      <c r="B29" s="33" t="s">
        <v>101</v>
      </c>
    </row>
    <row r="30" spans="2:3" x14ac:dyDescent="0.25">
      <c r="B30" s="33" t="s">
        <v>107</v>
      </c>
    </row>
    <row r="31" spans="2:3" x14ac:dyDescent="0.25">
      <c r="B31" s="33" t="s">
        <v>96</v>
      </c>
    </row>
    <row r="32" spans="2:3" x14ac:dyDescent="0.25">
      <c r="B32" s="33" t="s">
        <v>108</v>
      </c>
    </row>
    <row r="33" spans="2:2" x14ac:dyDescent="0.25">
      <c r="B33" s="33" t="s">
        <v>109</v>
      </c>
    </row>
    <row r="34" spans="2:2" x14ac:dyDescent="0.25">
      <c r="B34" s="33" t="s">
        <v>88</v>
      </c>
    </row>
    <row r="35" spans="2:2" x14ac:dyDescent="0.25">
      <c r="B35" s="33" t="s">
        <v>95</v>
      </c>
    </row>
    <row r="36" spans="2:2" x14ac:dyDescent="0.25">
      <c r="B36" s="33" t="s">
        <v>110</v>
      </c>
    </row>
    <row r="37" spans="2:2" x14ac:dyDescent="0.25">
      <c r="B37" s="33" t="s">
        <v>111</v>
      </c>
    </row>
    <row r="38" spans="2:2" x14ac:dyDescent="0.25">
      <c r="B38" s="33" t="s">
        <v>112</v>
      </c>
    </row>
    <row r="39" spans="2:2" x14ac:dyDescent="0.25">
      <c r="B39" s="33" t="s">
        <v>113</v>
      </c>
    </row>
    <row r="40" spans="2:2" x14ac:dyDescent="0.25">
      <c r="B40" s="33" t="s">
        <v>114</v>
      </c>
    </row>
    <row r="41" spans="2:2" x14ac:dyDescent="0.25">
      <c r="B41" s="33" t="s">
        <v>120</v>
      </c>
    </row>
    <row r="42" spans="2:2" x14ac:dyDescent="0.25">
      <c r="B42" s="33"/>
    </row>
    <row r="43" spans="2:2" x14ac:dyDescent="0.25">
      <c r="B43" s="33"/>
    </row>
    <row r="44" spans="2:2" x14ac:dyDescent="0.25">
      <c r="B44" s="33"/>
    </row>
    <row r="45" spans="2:2" x14ac:dyDescent="0.25">
      <c r="B45" s="33"/>
    </row>
    <row r="46" spans="2:2" x14ac:dyDescent="0.25">
      <c r="B46" s="33"/>
    </row>
    <row r="47" spans="2:2" x14ac:dyDescent="0.25">
      <c r="B47" s="33" t="s">
        <v>102</v>
      </c>
    </row>
    <row r="48" spans="2:2" x14ac:dyDescent="0.25">
      <c r="B48" s="33" t="s">
        <v>103</v>
      </c>
    </row>
    <row r="49" spans="2:2" x14ac:dyDescent="0.25">
      <c r="B49" s="33" t="s">
        <v>104</v>
      </c>
    </row>
    <row r="50" spans="2:2" x14ac:dyDescent="0.25">
      <c r="B50" s="33"/>
    </row>
    <row r="51" spans="2:2" x14ac:dyDescent="0.25">
      <c r="B51" s="33"/>
    </row>
    <row r="52" spans="2:2" x14ac:dyDescent="0.25">
      <c r="B52" s="33"/>
    </row>
    <row r="53" spans="2:2" x14ac:dyDescent="0.25">
      <c r="B53" s="33"/>
    </row>
    <row r="54" spans="2:2" x14ac:dyDescent="0.25">
      <c r="B54" s="33"/>
    </row>
    <row r="55" spans="2:2" x14ac:dyDescent="0.25">
      <c r="B55" s="33" t="s">
        <v>105</v>
      </c>
    </row>
    <row r="56" spans="2:2" x14ac:dyDescent="0.25">
      <c r="B56" s="33"/>
    </row>
    <row r="57" spans="2:2" x14ac:dyDescent="0.25">
      <c r="B57" s="33" t="s">
        <v>25</v>
      </c>
    </row>
    <row r="58" spans="2:2" x14ac:dyDescent="0.25">
      <c r="B58" s="33" t="s">
        <v>106</v>
      </c>
    </row>
  </sheetData>
  <hyperlinks>
    <hyperlink ref="C3" r:id="rId1" xr:uid="{B6BFB7FD-A0CB-4D9B-BEE2-E66A794B400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TM04068895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10</vt:i4>
      </vt:variant>
    </vt:vector>
  </HeadingPairs>
  <TitlesOfParts>
    <vt:vector size="16" baseType="lpstr">
      <vt:lpstr>RESUMO DO ORÇAMENTO NO ANO</vt:lpstr>
      <vt:lpstr>RESUMO DE DESPESAS MENSAIS</vt:lpstr>
      <vt:lpstr>DESPESAS DISCRIMINADAS</vt:lpstr>
      <vt:lpstr>DONATIVOS E PATROCÍNIOS</vt:lpstr>
      <vt:lpstr>LISTA DE MATERIAIS</vt:lpstr>
      <vt:lpstr>Planilha2</vt:lpstr>
      <vt:lpstr>_ANO</vt:lpstr>
      <vt:lpstr>RegiãoTítuloLinha1..G2</vt:lpstr>
      <vt:lpstr>Título1</vt:lpstr>
      <vt:lpstr>Título2</vt:lpstr>
      <vt:lpstr>Título3</vt:lpstr>
      <vt:lpstr>Título4</vt:lpstr>
      <vt:lpstr>'DESPESAS DISCRIMINADAS'!Titulos_de_impressao</vt:lpstr>
      <vt:lpstr>'DONATIVOS E PATROCÍNIOS'!Titulos_de_impressao</vt:lpstr>
      <vt:lpstr>'RESUMO DE DESPESAS MENSAIS'!Titulos_de_impressao</vt:lpstr>
      <vt:lpstr>'RESUMO DO ORÇAMENTO NO ANO'!Titulos_de_impressao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oinetsrv</dc:creator>
  <cp:lastModifiedBy>oinetsrv</cp:lastModifiedBy>
  <dcterms:created xsi:type="dcterms:W3CDTF">2018-01-30T03:07:15Z</dcterms:created>
  <dcterms:modified xsi:type="dcterms:W3CDTF">2022-01-07T18:52:50Z</dcterms:modified>
</cp:coreProperties>
</file>