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4.xml" ContentType="application/vnd.openxmlformats-officedocument.spreadsheetml.comments+xml"/>
  <Override PartName="/xl/drawings/drawing17.xml" ContentType="application/vnd.openxmlformats-officedocument.drawing+xml"/>
  <Override PartName="/xl/comments5.xml" ContentType="application/vnd.openxmlformats-officedocument.spreadsheetml.comments+xml"/>
  <Override PartName="/xl/drawings/drawing18.xml" ContentType="application/vnd.openxmlformats-officedocument.drawing+xml"/>
  <Override PartName="/xl/comments6.xml" ContentType="application/vnd.openxmlformats-officedocument.spreadsheetml.comments+xml"/>
  <Override PartName="/xl/drawings/drawing19.xml" ContentType="application/vnd.openxmlformats-officedocument.drawing+xml"/>
  <Override PartName="/xl/comments7.xml" ContentType="application/vnd.openxmlformats-officedocument.spreadsheetml.comment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omments10.xml" ContentType="application/vnd.openxmlformats-officedocument.spreadsheetml.comments+xml"/>
  <Override PartName="/xl/drawings/drawing26.xml" ContentType="application/vnd.openxmlformats-officedocument.drawing+xml"/>
  <Override PartName="/xl/comments11.xml" ContentType="application/vnd.openxmlformats-officedocument.spreadsheetml.comments+xml"/>
  <Override PartName="/xl/drawings/drawing27.xml" ContentType="application/vnd.openxmlformats-officedocument.drawing+xml"/>
  <Override PartName="/xl/comments12.xml" ContentType="application/vnd.openxmlformats-officedocument.spreadsheetml.comments+xml"/>
  <Override PartName="/xl/drawings/drawing28.xml" ContentType="application/vnd.openxmlformats-officedocument.drawing+xml"/>
  <Override PartName="/xl/comments13.xml" ContentType="application/vnd.openxmlformats-officedocument.spreadsheetml.comments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XCR\"/>
    </mc:Choice>
  </mc:AlternateContent>
  <xr:revisionPtr revIDLastSave="0" documentId="13_ncr:1_{46ABCE77-E7BE-49F6-B17A-315F59CEE598}" xr6:coauthVersionLast="47" xr6:coauthVersionMax="47" xr10:uidLastSave="{00000000-0000-0000-0000-000000000000}"/>
  <bookViews>
    <workbookView xWindow="4570" yWindow="100" windowWidth="33700" windowHeight="20200" tabRatio="879" firstSheet="21" activeTab="16" xr2:uid="{6E253F25-89D9-4CFB-91D3-179DBBF2E33D}"/>
  </bookViews>
  <sheets>
    <sheet name="전류사양" sheetId="160" r:id="rId1"/>
    <sheet name="r_thruput_spi" sheetId="145" r:id="rId2"/>
    <sheet name="fb_control HW_final(old)" sheetId="127" r:id="rId3"/>
    <sheet name="xcr_fb_dac_control (old)" sheetId="130" r:id="rId4"/>
    <sheet name="mclk(rgb)_(old)" sheetId="113" r:id="rId5"/>
    <sheet name="mclk(rgb)2_(old)" sheetId="114" r:id="rId6"/>
    <sheet name="mclk(r,gb)1" sheetId="165" r:id="rId7"/>
    <sheet name="mclk(r,gb)1 TEST" sheetId="166" r:id="rId8"/>
    <sheet name="application" sheetId="126" r:id="rId9"/>
    <sheet name="reg depth" sheetId="137" r:id="rId10"/>
    <sheet name="xcr_수정" sheetId="159" r:id="rId11"/>
    <sheet name="xcr_fb_dac_control (new)" sheetId="146" r:id="rId12"/>
    <sheet name="xcr_fb_dac_control (fpga)" sheetId="154" r:id="rId13"/>
    <sheet name="xdr_수정" sheetId="120" r:id="rId14"/>
    <sheet name="dimming1" sheetId="110" r:id="rId15"/>
    <sheet name="dimming2" sheetId="131" r:id="rId16"/>
    <sheet name="xcr24_reg" sheetId="158" r:id="rId17"/>
    <sheet name="modification" sheetId="152" r:id="rId18"/>
    <sheet name="xdr12_reg(rev)" sheetId="167" r:id="rId19"/>
    <sheet name="xdr12_reg_final" sheetId="170" r:id="rId20"/>
    <sheet name="xdr_t_table" sheetId="169" r:id="rId21"/>
    <sheet name="xdr12_reg" sheetId="124" r:id="rId22"/>
    <sheet name="package1" sheetId="10" r:id="rId23"/>
    <sheet name="package2" sheetId="150" r:id="rId24"/>
    <sheet name="xd12_headroom" sheetId="112" r:id="rId25"/>
    <sheet name="mclk_old" sheetId="111" r:id="rId26"/>
    <sheet name="mclkcnt calc@fpga" sheetId="103" r:id="rId27"/>
    <sheet name="mclk_transition_sequence_VD" sheetId="104" r:id="rId28"/>
    <sheet name="fbi_fbo" sheetId="74" r:id="rId29"/>
    <sheet name="xc(mp)_reg" sheetId="20" r:id="rId30"/>
    <sheet name="xc(mp)_reg (2)" sheetId="117" r:id="rId31"/>
    <sheet name="xd12_pwm(mp)_reg(nextA7) (2)" sheetId="116" r:id="rId32"/>
    <sheet name="xd12_pwm(mp)_reg(nextA7)" sheetId="106" r:id="rId33"/>
    <sheet name="ext_vs&amp;fb" sheetId="9" r:id="rId34"/>
  </sheets>
  <externalReferences>
    <externalReference r:id="rId35"/>
  </externalReferences>
  <definedNames>
    <definedName name="_xlnm._FilterDatabase" localSheetId="26" hidden="1">'mclkcnt calc@fpga'!#REF!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0" i="170" l="1"/>
  <c r="B61" i="170"/>
  <c r="B62" i="170" s="1"/>
  <c r="B63" i="170" s="1"/>
  <c r="B64" i="170" s="1"/>
  <c r="B65" i="170" s="1"/>
  <c r="B66" i="170" s="1"/>
  <c r="B67" i="170" s="1"/>
  <c r="B68" i="170" s="1"/>
  <c r="B69" i="170" s="1"/>
  <c r="B70" i="170" s="1"/>
  <c r="B71" i="170" s="1"/>
  <c r="B72" i="170" s="1"/>
  <c r="B73" i="170" s="1"/>
  <c r="B74" i="170" s="1"/>
  <c r="B75" i="170" s="1"/>
  <c r="B76" i="170" s="1"/>
  <c r="B77" i="170" s="1"/>
  <c r="B78" i="170" s="1"/>
  <c r="B79" i="170" s="1"/>
  <c r="B80" i="170" s="1"/>
  <c r="B81" i="170" s="1"/>
  <c r="B82" i="170" s="1"/>
  <c r="B83" i="170" s="1"/>
  <c r="B84" i="170" s="1"/>
  <c r="B85" i="170" s="1"/>
  <c r="B86" i="170" s="1"/>
  <c r="B87" i="170" s="1"/>
  <c r="B89" i="170" s="1"/>
  <c r="B51" i="170"/>
  <c r="B52" i="170" s="1"/>
  <c r="B53" i="170" s="1"/>
  <c r="B54" i="170" s="1"/>
  <c r="B55" i="170" s="1"/>
  <c r="B4" i="170"/>
  <c r="B5" i="170" s="1"/>
  <c r="B6" i="170" s="1"/>
  <c r="B7" i="170" s="1"/>
  <c r="B8" i="170" s="1"/>
  <c r="B9" i="170" s="1"/>
  <c r="B10" i="170" s="1"/>
  <c r="B11" i="170" s="1"/>
  <c r="B12" i="170" s="1"/>
  <c r="B13" i="170" s="1"/>
  <c r="B14" i="170" s="1"/>
  <c r="B15" i="170" s="1"/>
  <c r="B16" i="170" s="1"/>
  <c r="B17" i="170" s="1"/>
  <c r="B19" i="170" s="1"/>
  <c r="B20" i="170" s="1"/>
  <c r="B21" i="170" s="1"/>
  <c r="B22" i="170" s="1"/>
  <c r="B23" i="170" s="1"/>
  <c r="B24" i="170" s="1"/>
  <c r="B25" i="170" s="1"/>
  <c r="B26" i="170" s="1"/>
  <c r="B27" i="170" s="1"/>
  <c r="B28" i="170" s="1"/>
  <c r="B29" i="170" s="1"/>
  <c r="B30" i="170" s="1"/>
  <c r="B31" i="170" s="1"/>
  <c r="B32" i="170" s="1"/>
  <c r="B33" i="170" s="1"/>
  <c r="B34" i="170" s="1"/>
  <c r="B35" i="170" s="1"/>
  <c r="B36" i="170" s="1"/>
  <c r="B37" i="170" s="1"/>
  <c r="B38" i="170" s="1"/>
  <c r="B40" i="170" s="1"/>
  <c r="B41" i="170" s="1"/>
  <c r="B43" i="170" s="1"/>
  <c r="B44" i="170" s="1"/>
  <c r="B45" i="170" s="1"/>
  <c r="B46" i="170" s="1"/>
  <c r="B4" i="167" l="1"/>
  <c r="B5" i="167" s="1"/>
  <c r="B6" i="167" s="1"/>
  <c r="B7" i="167" s="1"/>
  <c r="B8" i="167" s="1"/>
  <c r="B9" i="167" s="1"/>
  <c r="B10" i="167" s="1"/>
  <c r="B11" i="167" s="1"/>
  <c r="B12" i="167" s="1"/>
  <c r="B13" i="167" s="1"/>
  <c r="B14" i="167" s="1"/>
  <c r="B15" i="167" s="1"/>
  <c r="B16" i="167" s="1"/>
  <c r="B17" i="167" s="1"/>
  <c r="B19" i="167" s="1"/>
  <c r="B20" i="167" l="1"/>
  <c r="B21" i="167" s="1"/>
  <c r="B22" i="167" s="1"/>
  <c r="B23" i="167" s="1"/>
  <c r="B24" i="167" s="1"/>
  <c r="B25" i="167" s="1"/>
  <c r="B26" i="167" s="1"/>
  <c r="B27" i="167" s="1"/>
  <c r="B28" i="167" s="1"/>
  <c r="B29" i="167" s="1"/>
  <c r="B30" i="167" s="1"/>
  <c r="B31" i="167" s="1"/>
  <c r="B32" i="167" s="1"/>
  <c r="B33" i="167" s="1"/>
  <c r="B34" i="167" s="1"/>
  <c r="B35" i="167" s="1"/>
  <c r="B36" i="167" s="1"/>
  <c r="B37" i="167" s="1"/>
  <c r="B38" i="167" s="1"/>
  <c r="B40" i="167" s="1"/>
  <c r="B41" i="167" s="1"/>
  <c r="B43" i="167" s="1"/>
  <c r="B44" i="167" s="1"/>
  <c r="B45" i="167" s="1"/>
  <c r="B46" i="167" s="1"/>
  <c r="AD6" i="160"/>
  <c r="AD5" i="160"/>
  <c r="AD7" i="160" s="1"/>
  <c r="AE7" i="160"/>
  <c r="S42" i="160"/>
  <c r="S12" i="160"/>
  <c r="S11" i="160"/>
  <c r="S10" i="160"/>
  <c r="S8" i="160"/>
  <c r="S7" i="160"/>
  <c r="S6" i="160"/>
  <c r="S5" i="160"/>
  <c r="S90" i="167"/>
  <c r="B61" i="167"/>
  <c r="B62" i="167" s="1"/>
  <c r="B63" i="167" s="1"/>
  <c r="B64" i="167" s="1"/>
  <c r="B65" i="167" s="1"/>
  <c r="B66" i="167" s="1"/>
  <c r="B67" i="167" s="1"/>
  <c r="B68" i="167" s="1"/>
  <c r="B69" i="167" s="1"/>
  <c r="B70" i="167" s="1"/>
  <c r="B71" i="167" s="1"/>
  <c r="B72" i="167" s="1"/>
  <c r="B73" i="167" s="1"/>
  <c r="B74" i="167" s="1"/>
  <c r="B75" i="167" s="1"/>
  <c r="B76" i="167" s="1"/>
  <c r="B77" i="167" s="1"/>
  <c r="B78" i="167" s="1"/>
  <c r="B79" i="167" s="1"/>
  <c r="B80" i="167" s="1"/>
  <c r="B81" i="167" s="1"/>
  <c r="B82" i="167" s="1"/>
  <c r="B83" i="167" s="1"/>
  <c r="B84" i="167" s="1"/>
  <c r="B85" i="167" s="1"/>
  <c r="B86" i="167" s="1"/>
  <c r="B87" i="167" s="1"/>
  <c r="B89" i="167" s="1"/>
  <c r="B51" i="167"/>
  <c r="B52" i="167" s="1"/>
  <c r="B53" i="167" s="1"/>
  <c r="B54" i="167" s="1"/>
  <c r="B55" i="167" s="1"/>
  <c r="C114" i="166"/>
  <c r="D110" i="166"/>
  <c r="D93" i="166"/>
  <c r="E93" i="166" s="1"/>
  <c r="E92" i="166"/>
  <c r="AA43" i="166"/>
  <c r="T43" i="166"/>
  <c r="AL42" i="166"/>
  <c r="C42" i="166"/>
  <c r="AL41" i="166"/>
  <c r="AK41" i="166"/>
  <c r="AK42" i="166" s="1"/>
  <c r="AI41" i="166"/>
  <c r="AI42" i="166" s="1"/>
  <c r="AH41" i="166"/>
  <c r="AH42" i="166" s="1"/>
  <c r="AF41" i="166"/>
  <c r="AF42" i="166" s="1"/>
  <c r="AE41" i="166"/>
  <c r="AE42" i="166" s="1"/>
  <c r="C35" i="166"/>
  <c r="AL33" i="166"/>
  <c r="AK33" i="166"/>
  <c r="AI33" i="166"/>
  <c r="AH33" i="166"/>
  <c r="AF33" i="166"/>
  <c r="AE33" i="166"/>
  <c r="AC33" i="166"/>
  <c r="AB33" i="166"/>
  <c r="AA33" i="166"/>
  <c r="Z33" i="166"/>
  <c r="Y33" i="166"/>
  <c r="X33" i="166"/>
  <c r="W33" i="166"/>
  <c r="V33" i="166"/>
  <c r="U33" i="166"/>
  <c r="T33" i="166"/>
  <c r="S33" i="166"/>
  <c r="R33" i="166"/>
  <c r="Q33" i="166"/>
  <c r="P33" i="166"/>
  <c r="O33" i="166"/>
  <c r="N33" i="166"/>
  <c r="M33" i="166"/>
  <c r="L33" i="166"/>
  <c r="K33" i="166"/>
  <c r="J33" i="166"/>
  <c r="I33" i="166"/>
  <c r="H33" i="166"/>
  <c r="G33" i="166"/>
  <c r="F33" i="166"/>
  <c r="E33" i="166"/>
  <c r="AL22" i="166"/>
  <c r="AK22" i="166"/>
  <c r="AI22" i="166"/>
  <c r="AH22" i="166"/>
  <c r="AF22" i="166"/>
  <c r="AE22" i="166"/>
  <c r="AC22" i="166"/>
  <c r="AB22" i="166"/>
  <c r="AA22" i="166"/>
  <c r="Z22" i="166"/>
  <c r="Y22" i="166"/>
  <c r="X22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AI20" i="166"/>
  <c r="AI16" i="166"/>
  <c r="AH16" i="166"/>
  <c r="AH20" i="166" s="1"/>
  <c r="AL13" i="166"/>
  <c r="AK13" i="166"/>
  <c r="AI13" i="166"/>
  <c r="AH13" i="166"/>
  <c r="AF13" i="166"/>
  <c r="AE13" i="166"/>
  <c r="F13" i="166"/>
  <c r="E13" i="166"/>
  <c r="G12" i="166"/>
  <c r="H12" i="166" s="1"/>
  <c r="F12" i="166"/>
  <c r="C8" i="166"/>
  <c r="AL43" i="166" s="1"/>
  <c r="E3" i="166"/>
  <c r="E93" i="165"/>
  <c r="C115" i="165"/>
  <c r="D111" i="165"/>
  <c r="D94" i="165"/>
  <c r="E94" i="165" s="1"/>
  <c r="C42" i="165"/>
  <c r="AL41" i="165"/>
  <c r="AL42" i="165" s="1"/>
  <c r="AK41" i="165"/>
  <c r="AK42" i="165" s="1"/>
  <c r="AI41" i="165"/>
  <c r="AH41" i="165"/>
  <c r="AF41" i="165"/>
  <c r="AF42" i="165" s="1"/>
  <c r="AE41" i="165"/>
  <c r="AE42" i="165" s="1"/>
  <c r="C35" i="165"/>
  <c r="AL33" i="165"/>
  <c r="AK33" i="165"/>
  <c r="AI33" i="165"/>
  <c r="AH33" i="165"/>
  <c r="AF33" i="165"/>
  <c r="AE33" i="165"/>
  <c r="AC33" i="165"/>
  <c r="AB33" i="165"/>
  <c r="AA33" i="165"/>
  <c r="Z33" i="165"/>
  <c r="Y33" i="165"/>
  <c r="X33" i="165"/>
  <c r="W33" i="165"/>
  <c r="V33" i="165"/>
  <c r="U33" i="165"/>
  <c r="T33" i="165"/>
  <c r="S33" i="165"/>
  <c r="R33" i="165"/>
  <c r="Q33" i="165"/>
  <c r="P33" i="165"/>
  <c r="O33" i="165"/>
  <c r="N33" i="165"/>
  <c r="M33" i="165"/>
  <c r="L33" i="165"/>
  <c r="K33" i="165"/>
  <c r="J33" i="165"/>
  <c r="I33" i="165"/>
  <c r="H33" i="165"/>
  <c r="G33" i="165"/>
  <c r="F33" i="165"/>
  <c r="E33" i="165"/>
  <c r="AL22" i="165"/>
  <c r="AK22" i="165"/>
  <c r="AI22" i="165"/>
  <c r="AH22" i="165"/>
  <c r="AF22" i="165"/>
  <c r="AE22" i="165"/>
  <c r="AC22" i="165"/>
  <c r="AB22" i="165"/>
  <c r="AA22" i="165"/>
  <c r="Z22" i="165"/>
  <c r="Y22" i="165"/>
  <c r="X22" i="165"/>
  <c r="W22" i="165"/>
  <c r="V22" i="165"/>
  <c r="U22" i="165"/>
  <c r="T22" i="165"/>
  <c r="S22" i="165"/>
  <c r="R22" i="165"/>
  <c r="Q22" i="165"/>
  <c r="P22" i="165"/>
  <c r="O22" i="165"/>
  <c r="N22" i="165"/>
  <c r="M22" i="165"/>
  <c r="L22" i="165"/>
  <c r="K22" i="165"/>
  <c r="J22" i="165"/>
  <c r="I22" i="165"/>
  <c r="H22" i="165"/>
  <c r="G22" i="165"/>
  <c r="F22" i="165"/>
  <c r="E22" i="165"/>
  <c r="AL13" i="165"/>
  <c r="AK13" i="165"/>
  <c r="AI13" i="165"/>
  <c r="AH13" i="165"/>
  <c r="AF13" i="165"/>
  <c r="AF16" i="165" s="1"/>
  <c r="AF25" i="165" s="1"/>
  <c r="AF100" i="165" s="1"/>
  <c r="AF110" i="165" s="1"/>
  <c r="AE13" i="165"/>
  <c r="AE16" i="165" s="1"/>
  <c r="E13" i="165"/>
  <c r="E16" i="165" s="1"/>
  <c r="F12" i="165"/>
  <c r="F13" i="165" s="1"/>
  <c r="C8" i="165"/>
  <c r="S43" i="165" s="1"/>
  <c r="E3" i="165"/>
  <c r="C47" i="137"/>
  <c r="AL44" i="166" l="1"/>
  <c r="AL45" i="166" s="1"/>
  <c r="AL46" i="166" s="1"/>
  <c r="AL47" i="166"/>
  <c r="H13" i="166"/>
  <c r="I12" i="166"/>
  <c r="AA44" i="166"/>
  <c r="AA45" i="166" s="1"/>
  <c r="AA46" i="166" s="1"/>
  <c r="AA47" i="166" s="1"/>
  <c r="AH88" i="166"/>
  <c r="AH89" i="166" s="1"/>
  <c r="AH61" i="166"/>
  <c r="AH73" i="166"/>
  <c r="AH67" i="166"/>
  <c r="AK16" i="166"/>
  <c r="AB43" i="166"/>
  <c r="AI88" i="166"/>
  <c r="AI89" i="166" s="1"/>
  <c r="AI61" i="166"/>
  <c r="AI73" i="166"/>
  <c r="AI67" i="166"/>
  <c r="AL16" i="166"/>
  <c r="AE67" i="166"/>
  <c r="AE61" i="166"/>
  <c r="AE73" i="166"/>
  <c r="G13" i="166"/>
  <c r="AK43" i="166"/>
  <c r="Z43" i="166"/>
  <c r="R43" i="166"/>
  <c r="J43" i="166"/>
  <c r="AI43" i="166"/>
  <c r="Y43" i="166"/>
  <c r="Q43" i="166"/>
  <c r="I43" i="166"/>
  <c r="AH43" i="166"/>
  <c r="X43" i="166"/>
  <c r="P43" i="166"/>
  <c r="H43" i="166"/>
  <c r="AF43" i="166"/>
  <c r="W43" i="166"/>
  <c r="O43" i="166"/>
  <c r="G43" i="166"/>
  <c r="AE43" i="166"/>
  <c r="V43" i="166"/>
  <c r="N43" i="166"/>
  <c r="F43" i="166"/>
  <c r="AC43" i="166"/>
  <c r="U43" i="166"/>
  <c r="M43" i="166"/>
  <c r="E43" i="166"/>
  <c r="AK61" i="166"/>
  <c r="AK73" i="166"/>
  <c r="AH25" i="166"/>
  <c r="F67" i="166"/>
  <c r="F61" i="166"/>
  <c r="F73" i="166"/>
  <c r="C9" i="166"/>
  <c r="AL73" i="166"/>
  <c r="AL67" i="166"/>
  <c r="AL61" i="166"/>
  <c r="E16" i="166"/>
  <c r="AI25" i="166"/>
  <c r="K43" i="166"/>
  <c r="AK67" i="166"/>
  <c r="AF67" i="166"/>
  <c r="AF61" i="166"/>
  <c r="AF73" i="166"/>
  <c r="F16" i="166"/>
  <c r="AE16" i="166"/>
  <c r="AH21" i="166"/>
  <c r="L43" i="166"/>
  <c r="E67" i="166"/>
  <c r="E73" i="166"/>
  <c r="E61" i="166"/>
  <c r="AF16" i="166"/>
  <c r="S43" i="166"/>
  <c r="T44" i="166"/>
  <c r="T45" i="166" s="1"/>
  <c r="T46" i="166" s="1"/>
  <c r="E94" i="166"/>
  <c r="AF116" i="165"/>
  <c r="AF111" i="165"/>
  <c r="AF117" i="165" s="1"/>
  <c r="AE20" i="165"/>
  <c r="AF101" i="165"/>
  <c r="AF102" i="165"/>
  <c r="E95" i="165"/>
  <c r="C105" i="165" s="1"/>
  <c r="AF88" i="165"/>
  <c r="AF89" i="165" s="1"/>
  <c r="AF20" i="165"/>
  <c r="AA43" i="165"/>
  <c r="AA44" i="165" s="1"/>
  <c r="AA45" i="165" s="1"/>
  <c r="AA46" i="165" s="1"/>
  <c r="C9" i="165"/>
  <c r="C10" i="165" s="1"/>
  <c r="AF14" i="165" s="1"/>
  <c r="S44" i="165"/>
  <c r="S45" i="165" s="1"/>
  <c r="S46" i="165" s="1"/>
  <c r="S47" i="165" s="1"/>
  <c r="F61" i="165"/>
  <c r="F73" i="165"/>
  <c r="F67" i="165"/>
  <c r="F16" i="165"/>
  <c r="AF36" i="165"/>
  <c r="AF37" i="165" s="1"/>
  <c r="AF38" i="165" s="1"/>
  <c r="AF26" i="165"/>
  <c r="AF27" i="165" s="1"/>
  <c r="AF28" i="165" s="1"/>
  <c r="AF21" i="165"/>
  <c r="E73" i="165"/>
  <c r="E67" i="165"/>
  <c r="AH42" i="165"/>
  <c r="AH67" i="165" s="1"/>
  <c r="J43" i="165"/>
  <c r="AB43" i="165"/>
  <c r="G12" i="165"/>
  <c r="AE61" i="165"/>
  <c r="AE67" i="165"/>
  <c r="AE73" i="165"/>
  <c r="AH16" i="165"/>
  <c r="K43" i="165"/>
  <c r="AK43" i="165"/>
  <c r="AL67" i="165"/>
  <c r="AL73" i="165"/>
  <c r="AL61" i="165"/>
  <c r="AF61" i="165"/>
  <c r="AF67" i="165"/>
  <c r="AF73" i="165"/>
  <c r="AI16" i="165"/>
  <c r="E25" i="165"/>
  <c r="E100" i="165" s="1"/>
  <c r="E111" i="165" s="1"/>
  <c r="L43" i="165"/>
  <c r="AL43" i="165"/>
  <c r="AH73" i="165"/>
  <c r="AK16" i="165"/>
  <c r="AE25" i="165"/>
  <c r="R43" i="165"/>
  <c r="AI73" i="165"/>
  <c r="AL16" i="165"/>
  <c r="AI43" i="165"/>
  <c r="Y43" i="165"/>
  <c r="Q43" i="165"/>
  <c r="I43" i="165"/>
  <c r="AH43" i="165"/>
  <c r="X43" i="165"/>
  <c r="P43" i="165"/>
  <c r="H43" i="165"/>
  <c r="AF43" i="165"/>
  <c r="W43" i="165"/>
  <c r="O43" i="165"/>
  <c r="G43" i="165"/>
  <c r="AE43" i="165"/>
  <c r="V43" i="165"/>
  <c r="N43" i="165"/>
  <c r="F43" i="165"/>
  <c r="AC43" i="165"/>
  <c r="U43" i="165"/>
  <c r="M43" i="165"/>
  <c r="E43" i="165"/>
  <c r="AK73" i="165"/>
  <c r="AK61" i="165"/>
  <c r="AK67" i="165"/>
  <c r="AI42" i="165"/>
  <c r="AI61" i="165" s="1"/>
  <c r="T43" i="165"/>
  <c r="Z43" i="165"/>
  <c r="E61" i="165"/>
  <c r="D73" i="160"/>
  <c r="H44" i="166" l="1"/>
  <c r="H45" i="166" s="1"/>
  <c r="H46" i="166" s="1"/>
  <c r="H47" i="166" s="1"/>
  <c r="N44" i="166"/>
  <c r="N45" i="166" s="1"/>
  <c r="N46" i="166" s="1"/>
  <c r="P44" i="166"/>
  <c r="P45" i="166" s="1"/>
  <c r="P46" i="166" s="1"/>
  <c r="P47" i="166"/>
  <c r="R44" i="166"/>
  <c r="R45" i="166" s="1"/>
  <c r="R46" i="166" s="1"/>
  <c r="C97" i="166"/>
  <c r="C98" i="166" s="1"/>
  <c r="E95" i="166"/>
  <c r="C104" i="166"/>
  <c r="AF20" i="166"/>
  <c r="AF25" i="166"/>
  <c r="AF21" i="166" s="1"/>
  <c r="AI99" i="166"/>
  <c r="AI36" i="166"/>
  <c r="AI26" i="166"/>
  <c r="AI27" i="166" s="1"/>
  <c r="AI28" i="166" s="1"/>
  <c r="V44" i="166"/>
  <c r="V45" i="166" s="1"/>
  <c r="V46" i="166" s="1"/>
  <c r="X44" i="166"/>
  <c r="X45" i="166" s="1"/>
  <c r="X46" i="166" s="1"/>
  <c r="X47" i="166" s="1"/>
  <c r="Z44" i="166"/>
  <c r="Z45" i="166" s="1"/>
  <c r="Z46" i="166" s="1"/>
  <c r="Z47" i="166" s="1"/>
  <c r="C10" i="166"/>
  <c r="AH14" i="166"/>
  <c r="F44" i="166"/>
  <c r="F45" i="166" s="1"/>
  <c r="F46" i="166" s="1"/>
  <c r="F47" i="166" s="1"/>
  <c r="L44" i="166"/>
  <c r="L45" i="166" s="1"/>
  <c r="L46" i="166" s="1"/>
  <c r="E21" i="166"/>
  <c r="E25" i="166"/>
  <c r="AE44" i="166"/>
  <c r="AE45" i="166" s="1"/>
  <c r="AE46" i="166" s="1"/>
  <c r="AK44" i="166"/>
  <c r="AK45" i="166" s="1"/>
  <c r="AK46" i="166" s="1"/>
  <c r="AK47" i="166"/>
  <c r="E44" i="166"/>
  <c r="E45" i="166" s="1"/>
  <c r="E46" i="166" s="1"/>
  <c r="G44" i="166"/>
  <c r="G45" i="166" s="1"/>
  <c r="G46" i="166" s="1"/>
  <c r="G47" i="166" s="1"/>
  <c r="I44" i="166"/>
  <c r="I45" i="166" s="1"/>
  <c r="I46" i="166" s="1"/>
  <c r="I47" i="166"/>
  <c r="G67" i="166"/>
  <c r="G61" i="166"/>
  <c r="G73" i="166"/>
  <c r="G16" i="166"/>
  <c r="G14" i="166"/>
  <c r="T47" i="166"/>
  <c r="M47" i="166"/>
  <c r="M44" i="166"/>
  <c r="M45" i="166" s="1"/>
  <c r="M46" i="166" s="1"/>
  <c r="O44" i="166"/>
  <c r="O45" i="166" s="1"/>
  <c r="O46" i="166" s="1"/>
  <c r="O47" i="166"/>
  <c r="Q44" i="166"/>
  <c r="Q45" i="166" s="1"/>
  <c r="Q46" i="166" s="1"/>
  <c r="Q47" i="166" s="1"/>
  <c r="AB47" i="166"/>
  <c r="AB44" i="166"/>
  <c r="AB45" i="166" s="1"/>
  <c r="AB46" i="166" s="1"/>
  <c r="S44" i="166"/>
  <c r="S45" i="166" s="1"/>
  <c r="S46" i="166" s="1"/>
  <c r="S47" i="166" s="1"/>
  <c r="AE20" i="166"/>
  <c r="AE25" i="166"/>
  <c r="U44" i="166"/>
  <c r="U45" i="166" s="1"/>
  <c r="U46" i="166" s="1"/>
  <c r="W44" i="166"/>
  <c r="W45" i="166" s="1"/>
  <c r="W46" i="166" s="1"/>
  <c r="W47" i="166" s="1"/>
  <c r="Y44" i="166"/>
  <c r="Y45" i="166" s="1"/>
  <c r="Y46" i="166" s="1"/>
  <c r="Y47" i="166"/>
  <c r="AK25" i="166"/>
  <c r="AK21" i="166"/>
  <c r="AK20" i="166"/>
  <c r="J44" i="166"/>
  <c r="J45" i="166" s="1"/>
  <c r="J46" i="166" s="1"/>
  <c r="J47" i="166"/>
  <c r="H61" i="166"/>
  <c r="H73" i="166"/>
  <c r="H67" i="166"/>
  <c r="H16" i="166"/>
  <c r="H14" i="166"/>
  <c r="K44" i="166"/>
  <c r="K45" i="166" s="1"/>
  <c r="K46" i="166" s="1"/>
  <c r="K47" i="166"/>
  <c r="AH44" i="166"/>
  <c r="AH45" i="166" s="1"/>
  <c r="AH46" i="166" s="1"/>
  <c r="AH47" i="166"/>
  <c r="AL25" i="166"/>
  <c r="AL21" i="166" s="1"/>
  <c r="AL20" i="166"/>
  <c r="F25" i="166"/>
  <c r="F21" i="166" s="1"/>
  <c r="AH99" i="166"/>
  <c r="AH36" i="166"/>
  <c r="AH26" i="166"/>
  <c r="AH27" i="166" s="1"/>
  <c r="AH28" i="166" s="1"/>
  <c r="AC44" i="166"/>
  <c r="AC45" i="166" s="1"/>
  <c r="AC46" i="166" s="1"/>
  <c r="AF44" i="166"/>
  <c r="AF45" i="166" s="1"/>
  <c r="AF46" i="166" s="1"/>
  <c r="AF47" i="166"/>
  <c r="AI44" i="166"/>
  <c r="AI45" i="166" s="1"/>
  <c r="AI46" i="166" s="1"/>
  <c r="AI47" i="166"/>
  <c r="AI14" i="166"/>
  <c r="I13" i="166"/>
  <c r="J12" i="166"/>
  <c r="AI21" i="166"/>
  <c r="AF118" i="165"/>
  <c r="E96" i="165"/>
  <c r="E117" i="165"/>
  <c r="AF103" i="165"/>
  <c r="AF112" i="165"/>
  <c r="AF113" i="165" s="1"/>
  <c r="E101" i="165"/>
  <c r="E110" i="165"/>
  <c r="E116" i="165" s="1"/>
  <c r="E118" i="165" s="1"/>
  <c r="C98" i="165"/>
  <c r="C99" i="165" s="1"/>
  <c r="E102" i="165"/>
  <c r="AE21" i="165"/>
  <c r="AE100" i="165"/>
  <c r="AL14" i="165"/>
  <c r="AF55" i="165"/>
  <c r="AF56" i="165" s="1"/>
  <c r="AF57" i="165" s="1"/>
  <c r="AF58" i="165" s="1"/>
  <c r="AF59" i="165" s="1"/>
  <c r="AI14" i="165"/>
  <c r="AI17" i="165" s="1"/>
  <c r="AI31" i="165" s="1"/>
  <c r="AE88" i="165"/>
  <c r="AE89" i="165" s="1"/>
  <c r="E14" i="165"/>
  <c r="E17" i="165" s="1"/>
  <c r="F14" i="165"/>
  <c r="F17" i="165" s="1"/>
  <c r="AE14" i="165"/>
  <c r="AE17" i="165" s="1"/>
  <c r="AK14" i="165"/>
  <c r="AK17" i="165" s="1"/>
  <c r="AH14" i="165"/>
  <c r="AH17" i="165" s="1"/>
  <c r="AH31" i="165" s="1"/>
  <c r="E88" i="165"/>
  <c r="E89" i="165" s="1"/>
  <c r="T44" i="165"/>
  <c r="T45" i="165" s="1"/>
  <c r="T46" i="165" s="1"/>
  <c r="Y44" i="165"/>
  <c r="Y45" i="165" s="1"/>
  <c r="Y46" i="165" s="1"/>
  <c r="Y47" i="165" s="1"/>
  <c r="AK25" i="165"/>
  <c r="AK100" i="165" s="1"/>
  <c r="AK20" i="165"/>
  <c r="L44" i="165"/>
  <c r="L45" i="165" s="1"/>
  <c r="L46" i="165" s="1"/>
  <c r="U44" i="165"/>
  <c r="U45" i="165" s="1"/>
  <c r="U46" i="165" s="1"/>
  <c r="U47" i="165" s="1"/>
  <c r="AI44" i="165"/>
  <c r="AI45" i="165" s="1"/>
  <c r="AI46" i="165" s="1"/>
  <c r="AI47" i="165" s="1"/>
  <c r="E26" i="165"/>
  <c r="E27" i="165" s="1"/>
  <c r="E28" i="165" s="1"/>
  <c r="E36" i="165"/>
  <c r="E21" i="165"/>
  <c r="AC44" i="165"/>
  <c r="AC45" i="165" s="1"/>
  <c r="AC46" i="165" s="1"/>
  <c r="AL17" i="165"/>
  <c r="F44" i="165"/>
  <c r="F45" i="165" s="1"/>
  <c r="F46" i="165" s="1"/>
  <c r="F47" i="165" s="1"/>
  <c r="H44" i="165"/>
  <c r="H45" i="165" s="1"/>
  <c r="H46" i="165" s="1"/>
  <c r="AI25" i="165"/>
  <c r="AI100" i="165" s="1"/>
  <c r="AI20" i="165"/>
  <c r="F25" i="165"/>
  <c r="AK31" i="165"/>
  <c r="O44" i="165"/>
  <c r="O45" i="165" s="1"/>
  <c r="O46" i="165" s="1"/>
  <c r="O47" i="165" s="1"/>
  <c r="AH25" i="165"/>
  <c r="AH100" i="165" s="1"/>
  <c r="AH20" i="165"/>
  <c r="N44" i="165"/>
  <c r="N45" i="165" s="1"/>
  <c r="N46" i="165" s="1"/>
  <c r="N47" i="165" s="1"/>
  <c r="P44" i="165"/>
  <c r="P45" i="165" s="1"/>
  <c r="P46" i="165" s="1"/>
  <c r="P47" i="165"/>
  <c r="AH61" i="165"/>
  <c r="M44" i="165"/>
  <c r="M45" i="165" s="1"/>
  <c r="M46" i="165" s="1"/>
  <c r="AE26" i="165"/>
  <c r="AE27" i="165" s="1"/>
  <c r="AE28" i="165" s="1"/>
  <c r="AE36" i="165"/>
  <c r="AL44" i="165"/>
  <c r="AL45" i="165" s="1"/>
  <c r="AL46" i="165" s="1"/>
  <c r="J44" i="165"/>
  <c r="J45" i="165" s="1"/>
  <c r="J46" i="165" s="1"/>
  <c r="J47" i="165" s="1"/>
  <c r="W44" i="165"/>
  <c r="W45" i="165" s="1"/>
  <c r="W46" i="165" s="1"/>
  <c r="W47" i="165" s="1"/>
  <c r="AF44" i="165"/>
  <c r="AF45" i="165" s="1"/>
  <c r="AF46" i="165" s="1"/>
  <c r="AF47" i="165" s="1"/>
  <c r="V44" i="165"/>
  <c r="V45" i="165" s="1"/>
  <c r="V46" i="165" s="1"/>
  <c r="V47" i="165" s="1"/>
  <c r="X44" i="165"/>
  <c r="X45" i="165" s="1"/>
  <c r="X46" i="165" s="1"/>
  <c r="AL20" i="165"/>
  <c r="AL25" i="165"/>
  <c r="AL100" i="165" s="1"/>
  <c r="AK44" i="165"/>
  <c r="AK45" i="165" s="1"/>
  <c r="AK46" i="165" s="1"/>
  <c r="AK47" i="165" s="1"/>
  <c r="G13" i="165"/>
  <c r="H12" i="165"/>
  <c r="Q44" i="165"/>
  <c r="Q45" i="165" s="1"/>
  <c r="Q46" i="165" s="1"/>
  <c r="Q47" i="165" s="1"/>
  <c r="Z44" i="165"/>
  <c r="Z45" i="165" s="1"/>
  <c r="Z46" i="165" s="1"/>
  <c r="Z47" i="165" s="1"/>
  <c r="AE44" i="165"/>
  <c r="AE45" i="165" s="1"/>
  <c r="AE46" i="165" s="1"/>
  <c r="AE47" i="165"/>
  <c r="AH44" i="165"/>
  <c r="AH45" i="165" s="1"/>
  <c r="AH46" i="165" s="1"/>
  <c r="AH47" i="165" s="1"/>
  <c r="AI67" i="165"/>
  <c r="K44" i="165"/>
  <c r="K45" i="165" s="1"/>
  <c r="K46" i="165" s="1"/>
  <c r="E44" i="165"/>
  <c r="E45" i="165" s="1"/>
  <c r="E46" i="165" s="1"/>
  <c r="G44" i="165"/>
  <c r="G45" i="165" s="1"/>
  <c r="G46" i="165" s="1"/>
  <c r="G47" i="165" s="1"/>
  <c r="I44" i="165"/>
  <c r="I45" i="165" s="1"/>
  <c r="I46" i="165" s="1"/>
  <c r="I47" i="165" s="1"/>
  <c r="AF49" i="165"/>
  <c r="AF50" i="165" s="1"/>
  <c r="AF51" i="165" s="1"/>
  <c r="AF52" i="165" s="1"/>
  <c r="AF53" i="165" s="1"/>
  <c r="R44" i="165"/>
  <c r="R45" i="165" s="1"/>
  <c r="R46" i="165" s="1"/>
  <c r="R47" i="165" s="1"/>
  <c r="AB44" i="165"/>
  <c r="AB45" i="165" s="1"/>
  <c r="AB46" i="165" s="1"/>
  <c r="AB47" i="165" s="1"/>
  <c r="AA47" i="165"/>
  <c r="AF39" i="165"/>
  <c r="AF17" i="165"/>
  <c r="X280" i="158"/>
  <c r="J13" i="166" l="1"/>
  <c r="K12" i="166"/>
  <c r="I61" i="166"/>
  <c r="I73" i="166"/>
  <c r="I67" i="166"/>
  <c r="I16" i="166"/>
  <c r="I14" i="166"/>
  <c r="G17" i="166"/>
  <c r="AE99" i="166"/>
  <c r="AE26" i="166"/>
  <c r="AE27" i="166" s="1"/>
  <c r="AE28" i="166" s="1"/>
  <c r="AE36" i="166"/>
  <c r="AE88" i="166"/>
  <c r="AE89" i="166" s="1"/>
  <c r="V47" i="166"/>
  <c r="AI17" i="166"/>
  <c r="AC47" i="166"/>
  <c r="H17" i="166"/>
  <c r="AE47" i="166"/>
  <c r="AH17" i="166"/>
  <c r="H25" i="166"/>
  <c r="G25" i="166"/>
  <c r="G21" i="166" s="1"/>
  <c r="G19" i="166"/>
  <c r="E99" i="166"/>
  <c r="E36" i="166"/>
  <c r="E26" i="166"/>
  <c r="E27" i="166" s="1"/>
  <c r="E28" i="166" s="1"/>
  <c r="E88" i="166"/>
  <c r="E89" i="166" s="1"/>
  <c r="AF14" i="166"/>
  <c r="AE14" i="166"/>
  <c r="AL14" i="166"/>
  <c r="E14" i="166"/>
  <c r="AK14" i="166"/>
  <c r="F14" i="166"/>
  <c r="N47" i="166"/>
  <c r="AH37" i="166"/>
  <c r="AH38" i="166" s="1"/>
  <c r="AH39" i="166" s="1"/>
  <c r="AH49" i="166"/>
  <c r="AH50" i="166" s="1"/>
  <c r="AH51" i="166" s="1"/>
  <c r="AH52" i="166" s="1"/>
  <c r="AH53" i="166" s="1"/>
  <c r="AH55" i="166"/>
  <c r="AH56" i="166" s="1"/>
  <c r="AH57" i="166" s="1"/>
  <c r="AH58" i="166" s="1"/>
  <c r="AH59" i="166" s="1"/>
  <c r="AL99" i="166"/>
  <c r="AL26" i="166"/>
  <c r="AL27" i="166" s="1"/>
  <c r="AL28" i="166" s="1"/>
  <c r="AL36" i="166"/>
  <c r="AL88" i="166"/>
  <c r="AL89" i="166" s="1"/>
  <c r="AI37" i="166"/>
  <c r="AI38" i="166" s="1"/>
  <c r="AI39" i="166" s="1"/>
  <c r="AI49" i="166"/>
  <c r="AI50" i="166" s="1"/>
  <c r="AI51" i="166" s="1"/>
  <c r="AI52" i="166" s="1"/>
  <c r="AI53" i="166" s="1"/>
  <c r="AI55" i="166"/>
  <c r="AI56" i="166" s="1"/>
  <c r="AI57" i="166" s="1"/>
  <c r="AI58" i="166" s="1"/>
  <c r="AI59" i="166" s="1"/>
  <c r="AF99" i="166"/>
  <c r="AF36" i="166"/>
  <c r="AF26" i="166"/>
  <c r="AF27" i="166" s="1"/>
  <c r="AF28" i="166" s="1"/>
  <c r="AF88" i="166"/>
  <c r="AF89" i="166" s="1"/>
  <c r="AH109" i="166"/>
  <c r="AH100" i="166"/>
  <c r="AH101" i="166"/>
  <c r="AH110" i="166"/>
  <c r="AH116" i="166" s="1"/>
  <c r="AK99" i="166"/>
  <c r="AK36" i="166"/>
  <c r="AK26" i="166"/>
  <c r="AK27" i="166" s="1"/>
  <c r="AK28" i="166" s="1"/>
  <c r="AK88" i="166"/>
  <c r="AK89" i="166" s="1"/>
  <c r="U47" i="166"/>
  <c r="E47" i="166"/>
  <c r="AI109" i="166"/>
  <c r="AI110" i="166"/>
  <c r="AI116" i="166" s="1"/>
  <c r="AI101" i="166"/>
  <c r="AI100" i="166"/>
  <c r="AI102" i="166" s="1"/>
  <c r="F99" i="166"/>
  <c r="F26" i="166"/>
  <c r="F27" i="166" s="1"/>
  <c r="F28" i="166" s="1"/>
  <c r="F36" i="166"/>
  <c r="F88" i="166"/>
  <c r="F89" i="166" s="1"/>
  <c r="AE21" i="166"/>
  <c r="AI68" i="166"/>
  <c r="AH68" i="166"/>
  <c r="L47" i="166"/>
  <c r="R47" i="166"/>
  <c r="E103" i="165"/>
  <c r="AI110" i="165"/>
  <c r="AI111" i="165"/>
  <c r="AI117" i="165" s="1"/>
  <c r="AL110" i="165"/>
  <c r="AL111" i="165"/>
  <c r="AL117" i="165" s="1"/>
  <c r="AH110" i="165"/>
  <c r="AH111" i="165"/>
  <c r="AH117" i="165" s="1"/>
  <c r="AK110" i="165"/>
  <c r="AK111" i="165"/>
  <c r="AK117" i="165" s="1"/>
  <c r="AE110" i="165"/>
  <c r="AE111" i="165"/>
  <c r="AE117" i="165" s="1"/>
  <c r="E112" i="165"/>
  <c r="AH21" i="165"/>
  <c r="AL101" i="165"/>
  <c r="AL102" i="165"/>
  <c r="AI101" i="165"/>
  <c r="AI102" i="165"/>
  <c r="AH101" i="165"/>
  <c r="AH102" i="165"/>
  <c r="AE102" i="165"/>
  <c r="AE101" i="165"/>
  <c r="F21" i="165"/>
  <c r="F100" i="165"/>
  <c r="AK102" i="165"/>
  <c r="AK101" i="165"/>
  <c r="E32" i="165"/>
  <c r="AK88" i="165"/>
  <c r="AK89" i="165" s="1"/>
  <c r="AL88" i="165"/>
  <c r="AL89" i="165" s="1"/>
  <c r="AL21" i="165"/>
  <c r="AH88" i="165"/>
  <c r="AH89" i="165" s="1"/>
  <c r="AI21" i="165"/>
  <c r="AI88" i="165"/>
  <c r="AI89" i="165" s="1"/>
  <c r="F88" i="165"/>
  <c r="F89" i="165" s="1"/>
  <c r="AK21" i="165"/>
  <c r="AH36" i="165"/>
  <c r="AH26" i="165"/>
  <c r="AH27" i="165" s="1"/>
  <c r="AH28" i="165" s="1"/>
  <c r="AK36" i="165"/>
  <c r="AK26" i="165"/>
  <c r="AK27" i="165" s="1"/>
  <c r="AK28" i="165" s="1"/>
  <c r="AL47" i="165"/>
  <c r="AL31" i="165"/>
  <c r="E37" i="165"/>
  <c r="E38" i="165" s="1"/>
  <c r="E39" i="165" s="1"/>
  <c r="E49" i="165"/>
  <c r="E50" i="165" s="1"/>
  <c r="E51" i="165" s="1"/>
  <c r="E52" i="165" s="1"/>
  <c r="E53" i="165" s="1"/>
  <c r="E55" i="165"/>
  <c r="E56" i="165" s="1"/>
  <c r="E57" i="165" s="1"/>
  <c r="E58" i="165" s="1"/>
  <c r="E59" i="165" s="1"/>
  <c r="AL26" i="165"/>
  <c r="AL27" i="165" s="1"/>
  <c r="AL28" i="165" s="1"/>
  <c r="AL36" i="165"/>
  <c r="AL32" i="165" s="1"/>
  <c r="AE37" i="165"/>
  <c r="AE38" i="165" s="1"/>
  <c r="AE39" i="165" s="1"/>
  <c r="AE49" i="165"/>
  <c r="AE50" i="165" s="1"/>
  <c r="AE51" i="165" s="1"/>
  <c r="AE52" i="165" s="1"/>
  <c r="AE53" i="165" s="1"/>
  <c r="AE55" i="165"/>
  <c r="AE56" i="165" s="1"/>
  <c r="AE57" i="165" s="1"/>
  <c r="AE58" i="165" s="1"/>
  <c r="AE59" i="165" s="1"/>
  <c r="K47" i="165"/>
  <c r="AF69" i="165"/>
  <c r="AF62" i="165"/>
  <c r="AF68" i="165"/>
  <c r="AF75" i="165"/>
  <c r="AF76" i="165" s="1"/>
  <c r="AF74" i="165"/>
  <c r="AF63" i="165"/>
  <c r="H13" i="165"/>
  <c r="I12" i="165"/>
  <c r="AI36" i="165"/>
  <c r="AI26" i="165"/>
  <c r="AI27" i="165" s="1"/>
  <c r="AI28" i="165" s="1"/>
  <c r="T47" i="165"/>
  <c r="AE31" i="165"/>
  <c r="AE32" i="165"/>
  <c r="AF31" i="165"/>
  <c r="AF32" i="165"/>
  <c r="E47" i="165"/>
  <c r="G61" i="165"/>
  <c r="G73" i="165"/>
  <c r="G67" i="165"/>
  <c r="G14" i="165"/>
  <c r="G16" i="165"/>
  <c r="X47" i="165"/>
  <c r="M47" i="165"/>
  <c r="F36" i="165"/>
  <c r="F26" i="165"/>
  <c r="F27" i="165" s="1"/>
  <c r="F28" i="165" s="1"/>
  <c r="H47" i="165"/>
  <c r="AC47" i="165"/>
  <c r="L47" i="165"/>
  <c r="AE37" i="160"/>
  <c r="AE38" i="160" s="1"/>
  <c r="AF38" i="160" s="1"/>
  <c r="AD37" i="160"/>
  <c r="AD38" i="160" s="1"/>
  <c r="AE33" i="160"/>
  <c r="AE34" i="160" s="1"/>
  <c r="AF34" i="160" s="1"/>
  <c r="AD33" i="160"/>
  <c r="AE29" i="160"/>
  <c r="AE30" i="160" s="1"/>
  <c r="AF30" i="160" s="1"/>
  <c r="AD29" i="160"/>
  <c r="AD30" i="160" s="1"/>
  <c r="AE25" i="160"/>
  <c r="AE26" i="160" s="1"/>
  <c r="AF26" i="160" s="1"/>
  <c r="AD25" i="160"/>
  <c r="AD26" i="160" s="1"/>
  <c r="AE21" i="160"/>
  <c r="AE22" i="160" s="1"/>
  <c r="AF22" i="160" s="1"/>
  <c r="AD21" i="160"/>
  <c r="AD22" i="160" s="1"/>
  <c r="AE17" i="160"/>
  <c r="AE18" i="160" s="1"/>
  <c r="AF18" i="160" s="1"/>
  <c r="AD17" i="160"/>
  <c r="AD18" i="160" s="1"/>
  <c r="AE13" i="160"/>
  <c r="AE14" i="160" s="1"/>
  <c r="AF14" i="160" s="1"/>
  <c r="AD13" i="160"/>
  <c r="AD14" i="160" s="1"/>
  <c r="AE9" i="160"/>
  <c r="AE10" i="160" s="1"/>
  <c r="AF10" i="160" s="1"/>
  <c r="AD9" i="160"/>
  <c r="AD10" i="160" s="1"/>
  <c r="AE5" i="160"/>
  <c r="AE6" i="160" s="1"/>
  <c r="AF6" i="160" s="1"/>
  <c r="AD34" i="160"/>
  <c r="X37" i="160"/>
  <c r="X38" i="160" s="1"/>
  <c r="Y38" i="160" s="1"/>
  <c r="W37" i="160"/>
  <c r="W38" i="160" s="1"/>
  <c r="V37" i="160"/>
  <c r="V38" i="160" s="1"/>
  <c r="X33" i="160"/>
  <c r="X34" i="160" s="1"/>
  <c r="Y34" i="160" s="1"/>
  <c r="W33" i="160"/>
  <c r="W34" i="160" s="1"/>
  <c r="V33" i="160"/>
  <c r="V34" i="160" s="1"/>
  <c r="X29" i="160"/>
  <c r="X30" i="160" s="1"/>
  <c r="Y30" i="160" s="1"/>
  <c r="W29" i="160"/>
  <c r="W30" i="160" s="1"/>
  <c r="V29" i="160"/>
  <c r="V30" i="160" s="1"/>
  <c r="X25" i="160"/>
  <c r="X26" i="160" s="1"/>
  <c r="Y26" i="160" s="1"/>
  <c r="W25" i="160"/>
  <c r="W26" i="160" s="1"/>
  <c r="V25" i="160"/>
  <c r="V26" i="160" s="1"/>
  <c r="X21" i="160"/>
  <c r="X22" i="160" s="1"/>
  <c r="Y22" i="160" s="1"/>
  <c r="W21" i="160"/>
  <c r="W22" i="160" s="1"/>
  <c r="V21" i="160"/>
  <c r="V22" i="160" s="1"/>
  <c r="H99" i="166" l="1"/>
  <c r="H36" i="166"/>
  <c r="H26" i="166"/>
  <c r="H27" i="166" s="1"/>
  <c r="H28" i="166" s="1"/>
  <c r="H88" i="166"/>
  <c r="H89" i="166" s="1"/>
  <c r="AH74" i="166"/>
  <c r="AI63" i="166"/>
  <c r="AH102" i="166"/>
  <c r="E39" i="166"/>
  <c r="E17" i="166"/>
  <c r="E32" i="166" s="1"/>
  <c r="AH32" i="166"/>
  <c r="AH31" i="166"/>
  <c r="I25" i="166"/>
  <c r="H21" i="166"/>
  <c r="J61" i="166"/>
  <c r="J73" i="166"/>
  <c r="J67" i="166"/>
  <c r="J14" i="166"/>
  <c r="J16" i="166"/>
  <c r="G99" i="166"/>
  <c r="G36" i="166"/>
  <c r="G26" i="166"/>
  <c r="G27" i="166" s="1"/>
  <c r="G28" i="166" s="1"/>
  <c r="G88" i="166"/>
  <c r="G89" i="166" s="1"/>
  <c r="AE110" i="166"/>
  <c r="AE116" i="166" s="1"/>
  <c r="AE109" i="166"/>
  <c r="AE101" i="166"/>
  <c r="AE100" i="166"/>
  <c r="AE102" i="166" s="1"/>
  <c r="AH63" i="166"/>
  <c r="AI62" i="166"/>
  <c r="AI111" i="166"/>
  <c r="AI112" i="166" s="1"/>
  <c r="AI115" i="166"/>
  <c r="AI117" i="166" s="1"/>
  <c r="AH111" i="166"/>
  <c r="AH112" i="166" s="1"/>
  <c r="AH115" i="166"/>
  <c r="AH117" i="166" s="1"/>
  <c r="AL37" i="166"/>
  <c r="AL38" i="166" s="1"/>
  <c r="AL55" i="166"/>
  <c r="AL49" i="166"/>
  <c r="AL39" i="166"/>
  <c r="AL17" i="166"/>
  <c r="H32" i="166"/>
  <c r="E37" i="166"/>
  <c r="E38" i="166" s="1"/>
  <c r="E55" i="166"/>
  <c r="E49" i="166"/>
  <c r="AI74" i="166"/>
  <c r="AK39" i="166"/>
  <c r="AK17" i="166"/>
  <c r="AH62" i="166"/>
  <c r="AI69" i="166"/>
  <c r="AF37" i="166"/>
  <c r="AF38" i="166" s="1"/>
  <c r="AF39" i="166" s="1"/>
  <c r="AF55" i="166"/>
  <c r="AF49" i="166"/>
  <c r="AE17" i="166"/>
  <c r="F110" i="166"/>
  <c r="F116" i="166" s="1"/>
  <c r="F109" i="166"/>
  <c r="F100" i="166"/>
  <c r="F102" i="166" s="1"/>
  <c r="F101" i="166"/>
  <c r="K13" i="166"/>
  <c r="L12" i="166"/>
  <c r="I17" i="166"/>
  <c r="E110" i="166"/>
  <c r="E116" i="166" s="1"/>
  <c r="E109" i="166"/>
  <c r="E100" i="166"/>
  <c r="E102" i="166" s="1"/>
  <c r="E101" i="166"/>
  <c r="AH69" i="166"/>
  <c r="F37" i="166"/>
  <c r="F38" i="166" s="1"/>
  <c r="F55" i="166"/>
  <c r="F49" i="166"/>
  <c r="AK37" i="166"/>
  <c r="AK38" i="166" s="1"/>
  <c r="AK55" i="166"/>
  <c r="AK49" i="166"/>
  <c r="AF109" i="166"/>
  <c r="AF100" i="166"/>
  <c r="AF101" i="166"/>
  <c r="AF110" i="166"/>
  <c r="AF116" i="166" s="1"/>
  <c r="AL110" i="166"/>
  <c r="AL116" i="166" s="1"/>
  <c r="AL109" i="166"/>
  <c r="AL101" i="166"/>
  <c r="AL100" i="166"/>
  <c r="AL102" i="166" s="1"/>
  <c r="AF17" i="166"/>
  <c r="AI32" i="166"/>
  <c r="AI31" i="166"/>
  <c r="G32" i="166"/>
  <c r="G31" i="166"/>
  <c r="AE37" i="166"/>
  <c r="AE38" i="166" s="1"/>
  <c r="AE39" i="166" s="1"/>
  <c r="AE55" i="166"/>
  <c r="AE49" i="166"/>
  <c r="AI75" i="166"/>
  <c r="AI76" i="166" s="1"/>
  <c r="F39" i="166"/>
  <c r="F17" i="166"/>
  <c r="F32" i="166" s="1"/>
  <c r="AH75" i="166"/>
  <c r="AH76" i="166" s="1"/>
  <c r="AK110" i="166"/>
  <c r="AK116" i="166" s="1"/>
  <c r="AK109" i="166"/>
  <c r="AK100" i="166"/>
  <c r="AK101" i="166"/>
  <c r="E113" i="165"/>
  <c r="C120" i="165"/>
  <c r="AK112" i="165"/>
  <c r="AK113" i="165" s="1"/>
  <c r="AK116" i="165"/>
  <c r="AK118" i="165" s="1"/>
  <c r="AH112" i="165"/>
  <c r="AH113" i="165" s="1"/>
  <c r="AH116" i="165"/>
  <c r="AH118" i="165" s="1"/>
  <c r="F110" i="165"/>
  <c r="F111" i="165"/>
  <c r="F117" i="165" s="1"/>
  <c r="AL116" i="165"/>
  <c r="AL118" i="165" s="1"/>
  <c r="AL112" i="165"/>
  <c r="AL113" i="165" s="1"/>
  <c r="AE116" i="165"/>
  <c r="AE118" i="165" s="1"/>
  <c r="AE112" i="165"/>
  <c r="AE113" i="165" s="1"/>
  <c r="AI112" i="165"/>
  <c r="AI113" i="165" s="1"/>
  <c r="AI116" i="165"/>
  <c r="AI118" i="165" s="1"/>
  <c r="AH103" i="165"/>
  <c r="AE103" i="165"/>
  <c r="AE62" i="165"/>
  <c r="F102" i="165"/>
  <c r="F101" i="165"/>
  <c r="E63" i="165"/>
  <c r="E64" i="165" s="1"/>
  <c r="E62" i="165"/>
  <c r="AI103" i="165"/>
  <c r="AL103" i="165"/>
  <c r="E68" i="165"/>
  <c r="E74" i="165"/>
  <c r="AE63" i="165"/>
  <c r="AE64" i="165" s="1"/>
  <c r="AK103" i="165"/>
  <c r="E69" i="165"/>
  <c r="E70" i="165" s="1"/>
  <c r="E75" i="165"/>
  <c r="E76" i="165" s="1"/>
  <c r="AE74" i="165"/>
  <c r="H73" i="165"/>
  <c r="H67" i="165"/>
  <c r="H14" i="165"/>
  <c r="H16" i="165"/>
  <c r="H61" i="165"/>
  <c r="F37" i="165"/>
  <c r="F38" i="165" s="1"/>
  <c r="F39" i="165" s="1"/>
  <c r="F49" i="165"/>
  <c r="F55" i="165"/>
  <c r="G25" i="165"/>
  <c r="G100" i="165" s="1"/>
  <c r="G19" i="165"/>
  <c r="AF83" i="165"/>
  <c r="AF84" i="165" s="1"/>
  <c r="AF71" i="165"/>
  <c r="AF70" i="165"/>
  <c r="AE75" i="165"/>
  <c r="AE76" i="165" s="1"/>
  <c r="AK37" i="165"/>
  <c r="AK38" i="165" s="1"/>
  <c r="AK39" i="165" s="1"/>
  <c r="AK49" i="165"/>
  <c r="AK55" i="165"/>
  <c r="AK32" i="165"/>
  <c r="G17" i="165"/>
  <c r="AE68" i="165"/>
  <c r="AI37" i="165"/>
  <c r="AI38" i="165" s="1"/>
  <c r="AI39" i="165" s="1"/>
  <c r="AI49" i="165"/>
  <c r="AI55" i="165"/>
  <c r="AI32" i="165"/>
  <c r="AE69" i="165"/>
  <c r="AH37" i="165"/>
  <c r="AH38" i="165" s="1"/>
  <c r="AH39" i="165" s="1"/>
  <c r="AH49" i="165"/>
  <c r="AH55" i="165"/>
  <c r="AH32" i="165"/>
  <c r="F32" i="165"/>
  <c r="I13" i="165"/>
  <c r="J12" i="165"/>
  <c r="AF79" i="165"/>
  <c r="AF80" i="165" s="1"/>
  <c r="AF65" i="165"/>
  <c r="AF64" i="165"/>
  <c r="AL37" i="165"/>
  <c r="AL38" i="165" s="1"/>
  <c r="AL39" i="165" s="1"/>
  <c r="AL55" i="165"/>
  <c r="AL49" i="165"/>
  <c r="E79" i="165" l="1"/>
  <c r="E80" i="165" s="1"/>
  <c r="F50" i="166"/>
  <c r="F51" i="166" s="1"/>
  <c r="F52" i="166" s="1"/>
  <c r="F62" i="166"/>
  <c r="F74" i="166"/>
  <c r="AL31" i="166"/>
  <c r="AL32" i="166"/>
  <c r="L13" i="166"/>
  <c r="M12" i="166"/>
  <c r="AH79" i="166"/>
  <c r="AH80" i="166" s="1"/>
  <c r="AH65" i="166"/>
  <c r="AH64" i="166"/>
  <c r="AI79" i="166"/>
  <c r="AI80" i="166" s="1"/>
  <c r="AI65" i="166"/>
  <c r="AI64" i="166"/>
  <c r="AE50" i="166"/>
  <c r="AE51" i="166" s="1"/>
  <c r="AE52" i="166" s="1"/>
  <c r="AE62" i="166"/>
  <c r="AE74" i="166"/>
  <c r="AF102" i="166"/>
  <c r="AH83" i="166"/>
  <c r="AH84" i="166" s="1"/>
  <c r="AH71" i="166"/>
  <c r="AH70" i="166"/>
  <c r="K73" i="166"/>
  <c r="K67" i="166"/>
  <c r="K61" i="166"/>
  <c r="K14" i="166"/>
  <c r="K16" i="166"/>
  <c r="AF50" i="166"/>
  <c r="AF51" i="166" s="1"/>
  <c r="AF52" i="166" s="1"/>
  <c r="AF74" i="166"/>
  <c r="AF62" i="166"/>
  <c r="E50" i="166"/>
  <c r="E51" i="166" s="1"/>
  <c r="E52" i="166" s="1"/>
  <c r="E74" i="166"/>
  <c r="E62" i="166"/>
  <c r="AL56" i="166"/>
  <c r="AL57" i="166" s="1"/>
  <c r="AL58" i="166" s="1"/>
  <c r="AL68" i="166"/>
  <c r="J21" i="166"/>
  <c r="J25" i="166"/>
  <c r="I99" i="166"/>
  <c r="I36" i="166"/>
  <c r="I26" i="166"/>
  <c r="I27" i="166" s="1"/>
  <c r="I28" i="166" s="1"/>
  <c r="I88" i="166"/>
  <c r="I89" i="166" s="1"/>
  <c r="AL50" i="166"/>
  <c r="AL51" i="166" s="1"/>
  <c r="AL52" i="166" s="1"/>
  <c r="AL74" i="166"/>
  <c r="AL62" i="166"/>
  <c r="G109" i="166"/>
  <c r="G100" i="166"/>
  <c r="G101" i="166"/>
  <c r="G110" i="166"/>
  <c r="G116" i="166" s="1"/>
  <c r="AK102" i="166"/>
  <c r="AE56" i="166"/>
  <c r="AE57" i="166" s="1"/>
  <c r="AE58" i="166" s="1"/>
  <c r="AE68" i="166"/>
  <c r="AF32" i="166"/>
  <c r="AF31" i="166"/>
  <c r="AF111" i="166"/>
  <c r="AF112" i="166" s="1"/>
  <c r="AF115" i="166"/>
  <c r="AF117" i="166" s="1"/>
  <c r="AF56" i="166"/>
  <c r="AF57" i="166" s="1"/>
  <c r="AF58" i="166" s="1"/>
  <c r="AF68" i="166"/>
  <c r="E56" i="166"/>
  <c r="E57" i="166" s="1"/>
  <c r="E58" i="166" s="1"/>
  <c r="E68" i="166"/>
  <c r="J17" i="166"/>
  <c r="I21" i="166"/>
  <c r="I32" i="166"/>
  <c r="AK50" i="166"/>
  <c r="AK51" i="166" s="1"/>
  <c r="AK52" i="166" s="1"/>
  <c r="AK62" i="166"/>
  <c r="AK74" i="166"/>
  <c r="AE111" i="166"/>
  <c r="AE112" i="166" s="1"/>
  <c r="AE115" i="166"/>
  <c r="AE117" i="166" s="1"/>
  <c r="AK31" i="166"/>
  <c r="AK32" i="166"/>
  <c r="AE31" i="166"/>
  <c r="AE32" i="166"/>
  <c r="AK115" i="166"/>
  <c r="AK117" i="166" s="1"/>
  <c r="AK111" i="166"/>
  <c r="AK112" i="166" s="1"/>
  <c r="AK56" i="166"/>
  <c r="AK57" i="166" s="1"/>
  <c r="AK58" i="166" s="1"/>
  <c r="AK68" i="166"/>
  <c r="E111" i="166"/>
  <c r="E115" i="166"/>
  <c r="E117" i="166" s="1"/>
  <c r="F111" i="166"/>
  <c r="F112" i="166" s="1"/>
  <c r="F115" i="166"/>
  <c r="F117" i="166" s="1"/>
  <c r="AI83" i="166"/>
  <c r="AI84" i="166" s="1"/>
  <c r="AI71" i="166"/>
  <c r="AI70" i="166"/>
  <c r="H37" i="166"/>
  <c r="H38" i="166" s="1"/>
  <c r="H39" i="166" s="1"/>
  <c r="H55" i="166"/>
  <c r="H49" i="166"/>
  <c r="F56" i="166"/>
  <c r="F57" i="166" s="1"/>
  <c r="F58" i="166" s="1"/>
  <c r="F68" i="166"/>
  <c r="G37" i="166"/>
  <c r="G38" i="166" s="1"/>
  <c r="G39" i="166" s="1"/>
  <c r="G49" i="166"/>
  <c r="G55" i="166"/>
  <c r="AL111" i="166"/>
  <c r="AL112" i="166" s="1"/>
  <c r="AL115" i="166"/>
  <c r="AL117" i="166" s="1"/>
  <c r="H109" i="166"/>
  <c r="H101" i="166"/>
  <c r="H100" i="166"/>
  <c r="H110" i="166"/>
  <c r="H116" i="166" s="1"/>
  <c r="F103" i="165"/>
  <c r="C121" i="165"/>
  <c r="E122" i="165"/>
  <c r="AE122" i="165"/>
  <c r="AI122" i="165"/>
  <c r="AK122" i="165"/>
  <c r="AL122" i="165"/>
  <c r="AF122" i="165"/>
  <c r="AH122" i="165"/>
  <c r="G110" i="165"/>
  <c r="G111" i="165"/>
  <c r="G117" i="165" s="1"/>
  <c r="F116" i="165"/>
  <c r="F118" i="165" s="1"/>
  <c r="F112" i="165"/>
  <c r="F113" i="165" s="1"/>
  <c r="E65" i="165"/>
  <c r="G102" i="165"/>
  <c r="G101" i="165"/>
  <c r="G21" i="165"/>
  <c r="AE65" i="165"/>
  <c r="E71" i="165"/>
  <c r="G88" i="165"/>
  <c r="G89" i="165" s="1"/>
  <c r="AE79" i="165"/>
  <c r="AE80" i="165" s="1"/>
  <c r="E83" i="165"/>
  <c r="E84" i="165" s="1"/>
  <c r="E85" i="165" s="1"/>
  <c r="AI56" i="165"/>
  <c r="AI57" i="165" s="1"/>
  <c r="AI58" i="165" s="1"/>
  <c r="AI68" i="165"/>
  <c r="F50" i="165"/>
  <c r="F51" i="165" s="1"/>
  <c r="F52" i="165" s="1"/>
  <c r="F74" i="165"/>
  <c r="F62" i="165"/>
  <c r="AI50" i="165"/>
  <c r="AI51" i="165" s="1"/>
  <c r="AI52" i="165" s="1"/>
  <c r="AI74" i="165"/>
  <c r="AI62" i="165"/>
  <c r="J13" i="165"/>
  <c r="K12" i="165"/>
  <c r="I73" i="165"/>
  <c r="I67" i="165"/>
  <c r="I14" i="165"/>
  <c r="I16" i="165"/>
  <c r="I61" i="165"/>
  <c r="G36" i="165"/>
  <c r="G26" i="165"/>
  <c r="G27" i="165" s="1"/>
  <c r="G28" i="165" s="1"/>
  <c r="H25" i="165"/>
  <c r="H100" i="165" s="1"/>
  <c r="AK56" i="165"/>
  <c r="AK57" i="165" s="1"/>
  <c r="AK58" i="165" s="1"/>
  <c r="AK68" i="165"/>
  <c r="F56" i="165"/>
  <c r="F57" i="165" s="1"/>
  <c r="F58" i="165" s="1"/>
  <c r="F68" i="165"/>
  <c r="AK50" i="165"/>
  <c r="AK51" i="165" s="1"/>
  <c r="AK52" i="165" s="1"/>
  <c r="AK62" i="165"/>
  <c r="AK74" i="165"/>
  <c r="AL50" i="165"/>
  <c r="AL51" i="165" s="1"/>
  <c r="AL52" i="165" s="1"/>
  <c r="AL62" i="165"/>
  <c r="AL74" i="165"/>
  <c r="H17" i="165"/>
  <c r="AL56" i="165"/>
  <c r="AL57" i="165" s="1"/>
  <c r="AL58" i="165" s="1"/>
  <c r="AL68" i="165"/>
  <c r="G32" i="165"/>
  <c r="G31" i="165"/>
  <c r="AH56" i="165"/>
  <c r="AH57" i="165" s="1"/>
  <c r="AH58" i="165" s="1"/>
  <c r="AH68" i="165"/>
  <c r="AH50" i="165"/>
  <c r="AH51" i="165" s="1"/>
  <c r="AH52" i="165" s="1"/>
  <c r="AH74" i="165"/>
  <c r="AH62" i="165"/>
  <c r="E81" i="165"/>
  <c r="AE83" i="165"/>
  <c r="AE84" i="165" s="1"/>
  <c r="AE71" i="165"/>
  <c r="AE70" i="165"/>
  <c r="M13" i="166" l="1"/>
  <c r="N12" i="166"/>
  <c r="H111" i="166"/>
  <c r="H112" i="166" s="1"/>
  <c r="H115" i="166"/>
  <c r="H117" i="166" s="1"/>
  <c r="AF59" i="166"/>
  <c r="AF69" i="166"/>
  <c r="H50" i="166"/>
  <c r="H51" i="166" s="1"/>
  <c r="H52" i="166" s="1"/>
  <c r="H74" i="166"/>
  <c r="H62" i="166"/>
  <c r="AE53" i="166"/>
  <c r="AE75" i="166"/>
  <c r="AE76" i="166" s="1"/>
  <c r="AE63" i="166"/>
  <c r="L73" i="166"/>
  <c r="L67" i="166"/>
  <c r="L61" i="166"/>
  <c r="L14" i="166"/>
  <c r="L16" i="166"/>
  <c r="F59" i="166"/>
  <c r="F69" i="166"/>
  <c r="I37" i="166"/>
  <c r="I38" i="166" s="1"/>
  <c r="I39" i="166" s="1"/>
  <c r="I49" i="166"/>
  <c r="I55" i="166"/>
  <c r="G102" i="166"/>
  <c r="G56" i="166"/>
  <c r="G57" i="166" s="1"/>
  <c r="G58" i="166" s="1"/>
  <c r="G68" i="166"/>
  <c r="C119" i="166"/>
  <c r="E112" i="166"/>
  <c r="J32" i="166"/>
  <c r="G111" i="166"/>
  <c r="G112" i="166" s="1"/>
  <c r="G115" i="166"/>
  <c r="G117" i="166" s="1"/>
  <c r="J99" i="166"/>
  <c r="J36" i="166"/>
  <c r="J26" i="166"/>
  <c r="J27" i="166" s="1"/>
  <c r="J28" i="166" s="1"/>
  <c r="J88" i="166"/>
  <c r="J89" i="166" s="1"/>
  <c r="AK53" i="166"/>
  <c r="AK63" i="166"/>
  <c r="AK75" i="166"/>
  <c r="AK76" i="166" s="1"/>
  <c r="G50" i="166"/>
  <c r="G51" i="166" s="1"/>
  <c r="G52" i="166" s="1"/>
  <c r="G62" i="166"/>
  <c r="G74" i="166"/>
  <c r="AF53" i="166"/>
  <c r="AF75" i="166"/>
  <c r="AF76" i="166" s="1"/>
  <c r="AF63" i="166"/>
  <c r="F53" i="166"/>
  <c r="F75" i="166"/>
  <c r="F76" i="166" s="1"/>
  <c r="F63" i="166"/>
  <c r="H56" i="166"/>
  <c r="H57" i="166" s="1"/>
  <c r="H58" i="166" s="1"/>
  <c r="H68" i="166"/>
  <c r="H102" i="166"/>
  <c r="AK59" i="166"/>
  <c r="AK69" i="166"/>
  <c r="K25" i="166"/>
  <c r="K21" i="166" s="1"/>
  <c r="E53" i="166"/>
  <c r="E75" i="166"/>
  <c r="E76" i="166" s="1"/>
  <c r="E63" i="166"/>
  <c r="I110" i="166"/>
  <c r="I116" i="166" s="1"/>
  <c r="I101" i="166"/>
  <c r="I109" i="166"/>
  <c r="I100" i="166"/>
  <c r="E59" i="166"/>
  <c r="E69" i="166"/>
  <c r="AE59" i="166"/>
  <c r="AE69" i="166"/>
  <c r="AL53" i="166"/>
  <c r="AL75" i="166"/>
  <c r="AL76" i="166" s="1"/>
  <c r="AL63" i="166"/>
  <c r="AL59" i="166"/>
  <c r="AL69" i="166"/>
  <c r="K17" i="166"/>
  <c r="F122" i="165"/>
  <c r="H110" i="165"/>
  <c r="H111" i="165"/>
  <c r="H117" i="165" s="1"/>
  <c r="G116" i="165"/>
  <c r="G118" i="165" s="1"/>
  <c r="G112" i="165"/>
  <c r="H102" i="165"/>
  <c r="H101" i="165"/>
  <c r="G103" i="165"/>
  <c r="H21" i="165"/>
  <c r="H88" i="165"/>
  <c r="H89" i="165" s="1"/>
  <c r="AH59" i="165"/>
  <c r="AH69" i="165"/>
  <c r="AL53" i="165"/>
  <c r="AL75" i="165"/>
  <c r="AL76" i="165" s="1"/>
  <c r="AL63" i="165"/>
  <c r="AK59" i="165"/>
  <c r="AK69" i="165"/>
  <c r="F53" i="165"/>
  <c r="F63" i="165"/>
  <c r="F75" i="165"/>
  <c r="F76" i="165" s="1"/>
  <c r="AI53" i="165"/>
  <c r="AI75" i="165"/>
  <c r="AI76" i="165" s="1"/>
  <c r="AI63" i="165"/>
  <c r="H36" i="165"/>
  <c r="H26" i="165"/>
  <c r="H27" i="165" s="1"/>
  <c r="H28" i="165" s="1"/>
  <c r="AL59" i="165"/>
  <c r="AL69" i="165"/>
  <c r="AK53" i="165"/>
  <c r="AK63" i="165"/>
  <c r="AK75" i="165"/>
  <c r="AK76" i="165" s="1"/>
  <c r="G37" i="165"/>
  <c r="G38" i="165" s="1"/>
  <c r="G39" i="165" s="1"/>
  <c r="G49" i="165"/>
  <c r="G55" i="165"/>
  <c r="K13" i="165"/>
  <c r="L12" i="165"/>
  <c r="J73" i="165"/>
  <c r="J61" i="165"/>
  <c r="J67" i="165"/>
  <c r="J14" i="165"/>
  <c r="J16" i="165"/>
  <c r="AI59" i="165"/>
  <c r="AI69" i="165"/>
  <c r="I17" i="165"/>
  <c r="AH53" i="165"/>
  <c r="AH75" i="165"/>
  <c r="AH76" i="165" s="1"/>
  <c r="AH63" i="165"/>
  <c r="F59" i="165"/>
  <c r="F69" i="165"/>
  <c r="I25" i="165"/>
  <c r="I100" i="165" s="1"/>
  <c r="W17" i="160"/>
  <c r="W18" i="160" s="1"/>
  <c r="X17" i="160"/>
  <c r="X18" i="160" s="1"/>
  <c r="Y18" i="160" s="1"/>
  <c r="V17" i="160"/>
  <c r="V18" i="160" s="1"/>
  <c r="W5" i="160"/>
  <c r="W6" i="160" s="1"/>
  <c r="X5" i="160"/>
  <c r="X6" i="160" s="1"/>
  <c r="Y6" i="160" s="1"/>
  <c r="V5" i="160"/>
  <c r="V6" i="160" s="1"/>
  <c r="W13" i="160"/>
  <c r="W14" i="160" s="1"/>
  <c r="X13" i="160"/>
  <c r="X14" i="160" s="1"/>
  <c r="Y14" i="160" s="1"/>
  <c r="V13" i="160"/>
  <c r="V14" i="160" s="1"/>
  <c r="W9" i="160"/>
  <c r="W10" i="160" s="1"/>
  <c r="X9" i="160"/>
  <c r="X10" i="160" s="1"/>
  <c r="Y10" i="160" s="1"/>
  <c r="V9" i="160"/>
  <c r="V10" i="160" s="1"/>
  <c r="E4" i="113"/>
  <c r="H53" i="166" l="1"/>
  <c r="H75" i="166"/>
  <c r="H76" i="166" s="1"/>
  <c r="H63" i="166"/>
  <c r="AF79" i="166"/>
  <c r="AF80" i="166" s="1"/>
  <c r="AF65" i="166"/>
  <c r="AF64" i="166"/>
  <c r="AF83" i="166"/>
  <c r="AF84" i="166" s="1"/>
  <c r="AF71" i="166"/>
  <c r="AF70" i="166"/>
  <c r="F83" i="166"/>
  <c r="F84" i="166" s="1"/>
  <c r="F71" i="166"/>
  <c r="F70" i="166"/>
  <c r="AL121" i="166"/>
  <c r="AK121" i="166"/>
  <c r="AI121" i="166"/>
  <c r="AH121" i="166"/>
  <c r="H121" i="166"/>
  <c r="AF121" i="166"/>
  <c r="G121" i="166"/>
  <c r="AE121" i="166"/>
  <c r="E121" i="166"/>
  <c r="F121" i="166"/>
  <c r="C120" i="166"/>
  <c r="AE79" i="166"/>
  <c r="AE80" i="166" s="1"/>
  <c r="AE65" i="166"/>
  <c r="AE64" i="166"/>
  <c r="AL79" i="166"/>
  <c r="AL80" i="166" s="1"/>
  <c r="AL65" i="166"/>
  <c r="AL64" i="166"/>
  <c r="L25" i="166"/>
  <c r="L21" i="166"/>
  <c r="AK71" i="166"/>
  <c r="AK83" i="166"/>
  <c r="AK84" i="166" s="1"/>
  <c r="AK70" i="166"/>
  <c r="E65" i="166"/>
  <c r="E79" i="166"/>
  <c r="E80" i="166" s="1"/>
  <c r="E64" i="166"/>
  <c r="E83" i="166"/>
  <c r="E84" i="166" s="1"/>
  <c r="E71" i="166"/>
  <c r="E70" i="166"/>
  <c r="H59" i="166"/>
  <c r="H69" i="166"/>
  <c r="J37" i="166"/>
  <c r="J38" i="166" s="1"/>
  <c r="J39" i="166" s="1"/>
  <c r="J55" i="166"/>
  <c r="J49" i="166"/>
  <c r="G59" i="166"/>
  <c r="G69" i="166"/>
  <c r="L17" i="166"/>
  <c r="N13" i="166"/>
  <c r="O12" i="166"/>
  <c r="I111" i="166"/>
  <c r="I112" i="166" s="1"/>
  <c r="I115" i="166"/>
  <c r="I117" i="166" s="1"/>
  <c r="AK79" i="166"/>
  <c r="AK80" i="166" s="1"/>
  <c r="AK65" i="166"/>
  <c r="AK64" i="166"/>
  <c r="AL71" i="166"/>
  <c r="AL83" i="166"/>
  <c r="AL84" i="166" s="1"/>
  <c r="AL70" i="166"/>
  <c r="F65" i="166"/>
  <c r="F79" i="166"/>
  <c r="F80" i="166" s="1"/>
  <c r="F64" i="166"/>
  <c r="G53" i="166"/>
  <c r="G75" i="166"/>
  <c r="G76" i="166" s="1"/>
  <c r="G63" i="166"/>
  <c r="J110" i="166"/>
  <c r="J116" i="166" s="1"/>
  <c r="J109" i="166"/>
  <c r="J101" i="166"/>
  <c r="J100" i="166"/>
  <c r="J102" i="166" s="1"/>
  <c r="M67" i="166"/>
  <c r="M73" i="166"/>
  <c r="M61" i="166"/>
  <c r="M14" i="166"/>
  <c r="M16" i="166"/>
  <c r="I50" i="166"/>
  <c r="I51" i="166" s="1"/>
  <c r="I52" i="166" s="1"/>
  <c r="I74" i="166"/>
  <c r="I62" i="166"/>
  <c r="AE83" i="166"/>
  <c r="AE84" i="166" s="1"/>
  <c r="AE71" i="166"/>
  <c r="AE70" i="166"/>
  <c r="I102" i="166"/>
  <c r="K99" i="166"/>
  <c r="K26" i="166"/>
  <c r="K27" i="166" s="1"/>
  <c r="K28" i="166" s="1"/>
  <c r="K36" i="166"/>
  <c r="K32" i="166" s="1"/>
  <c r="K88" i="166"/>
  <c r="K89" i="166" s="1"/>
  <c r="I56" i="166"/>
  <c r="I57" i="166" s="1"/>
  <c r="I58" i="166" s="1"/>
  <c r="I68" i="166"/>
  <c r="G113" i="165"/>
  <c r="G122" i="165"/>
  <c r="I110" i="165"/>
  <c r="I111" i="165"/>
  <c r="I117" i="165" s="1"/>
  <c r="H112" i="165"/>
  <c r="H116" i="165"/>
  <c r="H118" i="165" s="1"/>
  <c r="I102" i="165"/>
  <c r="I101" i="165"/>
  <c r="H103" i="165"/>
  <c r="I88" i="165"/>
  <c r="I89" i="165" s="1"/>
  <c r="I21" i="165"/>
  <c r="H37" i="165"/>
  <c r="H38" i="165" s="1"/>
  <c r="H39" i="165" s="1"/>
  <c r="H55" i="165"/>
  <c r="H49" i="165"/>
  <c r="I36" i="165"/>
  <c r="I32" i="165" s="1"/>
  <c r="I26" i="165"/>
  <c r="I27" i="165" s="1"/>
  <c r="I28" i="165" s="1"/>
  <c r="AI79" i="165"/>
  <c r="AI80" i="165" s="1"/>
  <c r="AI65" i="165"/>
  <c r="AI64" i="165"/>
  <c r="G50" i="165"/>
  <c r="G51" i="165" s="1"/>
  <c r="G52" i="165" s="1"/>
  <c r="G74" i="165"/>
  <c r="G62" i="165"/>
  <c r="AK83" i="165"/>
  <c r="AK84" i="165" s="1"/>
  <c r="AK71" i="165"/>
  <c r="AK70" i="165"/>
  <c r="AK65" i="165"/>
  <c r="AK79" i="165"/>
  <c r="AK80" i="165" s="1"/>
  <c r="AK64" i="165"/>
  <c r="H32" i="165"/>
  <c r="L13" i="165"/>
  <c r="M12" i="165"/>
  <c r="AL83" i="165"/>
  <c r="AL84" i="165" s="1"/>
  <c r="AL71" i="165"/>
  <c r="AL70" i="165"/>
  <c r="AI71" i="165"/>
  <c r="AI83" i="165"/>
  <c r="AI84" i="165" s="1"/>
  <c r="AI70" i="165"/>
  <c r="AL65" i="165"/>
  <c r="AL79" i="165"/>
  <c r="AL80" i="165" s="1"/>
  <c r="AL64" i="165"/>
  <c r="F83" i="165"/>
  <c r="F84" i="165" s="1"/>
  <c r="F85" i="165" s="1"/>
  <c r="F71" i="165"/>
  <c r="F70" i="165"/>
  <c r="AH79" i="165"/>
  <c r="AH80" i="165" s="1"/>
  <c r="AH65" i="165"/>
  <c r="AH64" i="165"/>
  <c r="J25" i="165"/>
  <c r="J100" i="165" s="1"/>
  <c r="K67" i="165"/>
  <c r="K61" i="165"/>
  <c r="K73" i="165"/>
  <c r="K14" i="165"/>
  <c r="K16" i="165"/>
  <c r="F79" i="165"/>
  <c r="F80" i="165" s="1"/>
  <c r="F81" i="165" s="1"/>
  <c r="F65" i="165"/>
  <c r="F64" i="165"/>
  <c r="AH71" i="165"/>
  <c r="AH83" i="165"/>
  <c r="AH84" i="165" s="1"/>
  <c r="AH70" i="165"/>
  <c r="J17" i="165"/>
  <c r="G56" i="165"/>
  <c r="G57" i="165" s="1"/>
  <c r="G58" i="165" s="1"/>
  <c r="G68" i="165"/>
  <c r="I53" i="166" l="1"/>
  <c r="I63" i="166"/>
  <c r="I75" i="166"/>
  <c r="I76" i="166" s="1"/>
  <c r="J50" i="166"/>
  <c r="J51" i="166" s="1"/>
  <c r="J52" i="166" s="1"/>
  <c r="J62" i="166"/>
  <c r="J74" i="166"/>
  <c r="L99" i="166"/>
  <c r="L26" i="166"/>
  <c r="L27" i="166" s="1"/>
  <c r="L28" i="166" s="1"/>
  <c r="L36" i="166"/>
  <c r="L88" i="166"/>
  <c r="L89" i="166" s="1"/>
  <c r="K110" i="166"/>
  <c r="K116" i="166" s="1"/>
  <c r="K109" i="166"/>
  <c r="K100" i="166"/>
  <c r="K101" i="166"/>
  <c r="M25" i="166"/>
  <c r="M21" i="166" s="1"/>
  <c r="J56" i="166"/>
  <c r="J57" i="166" s="1"/>
  <c r="J58" i="166" s="1"/>
  <c r="J68" i="166"/>
  <c r="H81" i="166"/>
  <c r="F81" i="166"/>
  <c r="E81" i="166"/>
  <c r="M17" i="166"/>
  <c r="J115" i="166"/>
  <c r="J117" i="166" s="1"/>
  <c r="J111" i="166"/>
  <c r="P12" i="166"/>
  <c r="O13" i="166"/>
  <c r="N67" i="166"/>
  <c r="N61" i="166"/>
  <c r="N73" i="166"/>
  <c r="N14" i="166"/>
  <c r="N16" i="166"/>
  <c r="H83" i="166"/>
  <c r="H84" i="166" s="1"/>
  <c r="H71" i="166"/>
  <c r="H70" i="166"/>
  <c r="I121" i="166"/>
  <c r="H79" i="166"/>
  <c r="H80" i="166" s="1"/>
  <c r="H65" i="166"/>
  <c r="H64" i="166"/>
  <c r="G83" i="166"/>
  <c r="G84" i="166" s="1"/>
  <c r="G71" i="166"/>
  <c r="G70" i="166"/>
  <c r="G79" i="166"/>
  <c r="G80" i="166" s="1"/>
  <c r="G81" i="166" s="1"/>
  <c r="G65" i="166"/>
  <c r="G64" i="166"/>
  <c r="L32" i="166"/>
  <c r="K37" i="166"/>
  <c r="K38" i="166" s="1"/>
  <c r="K39" i="166" s="1"/>
  <c r="K55" i="166"/>
  <c r="K49" i="166"/>
  <c r="H85" i="166"/>
  <c r="G85" i="166"/>
  <c r="F85" i="166"/>
  <c r="E85" i="166"/>
  <c r="I59" i="166"/>
  <c r="I69" i="166"/>
  <c r="H113" i="165"/>
  <c r="H122" i="165"/>
  <c r="J111" i="165"/>
  <c r="J117" i="165" s="1"/>
  <c r="J110" i="165"/>
  <c r="I116" i="165"/>
  <c r="I118" i="165" s="1"/>
  <c r="I112" i="165"/>
  <c r="J102" i="165"/>
  <c r="J101" i="165"/>
  <c r="J88" i="165"/>
  <c r="J89" i="165" s="1"/>
  <c r="I103" i="165"/>
  <c r="G59" i="165"/>
  <c r="G69" i="165"/>
  <c r="H50" i="165"/>
  <c r="H51" i="165" s="1"/>
  <c r="H52" i="165" s="1"/>
  <c r="H62" i="165"/>
  <c r="H74" i="165"/>
  <c r="G53" i="165"/>
  <c r="G63" i="165"/>
  <c r="G75" i="165"/>
  <c r="G76" i="165" s="1"/>
  <c r="H56" i="165"/>
  <c r="H57" i="165" s="1"/>
  <c r="H58" i="165" s="1"/>
  <c r="H68" i="165"/>
  <c r="M13" i="165"/>
  <c r="N12" i="165"/>
  <c r="K17" i="165"/>
  <c r="J36" i="165"/>
  <c r="J26" i="165"/>
  <c r="J27" i="165" s="1"/>
  <c r="J28" i="165" s="1"/>
  <c r="K25" i="165"/>
  <c r="K100" i="165" s="1"/>
  <c r="L67" i="165"/>
  <c r="L61" i="165"/>
  <c r="L73" i="165"/>
  <c r="L16" i="165"/>
  <c r="L14" i="165"/>
  <c r="I37" i="165"/>
  <c r="I38" i="165" s="1"/>
  <c r="I39" i="165" s="1"/>
  <c r="I49" i="165"/>
  <c r="I55" i="165"/>
  <c r="J21" i="165"/>
  <c r="DV328" i="110"/>
  <c r="L109" i="166" l="1"/>
  <c r="L101" i="166"/>
  <c r="L100" i="166"/>
  <c r="L102" i="166" s="1"/>
  <c r="L110" i="166"/>
  <c r="L116" i="166" s="1"/>
  <c r="I71" i="166"/>
  <c r="I83" i="166"/>
  <c r="I84" i="166" s="1"/>
  <c r="I85" i="166" s="1"/>
  <c r="I70" i="166"/>
  <c r="P13" i="166"/>
  <c r="Q12" i="166"/>
  <c r="K102" i="166"/>
  <c r="N17" i="166"/>
  <c r="K111" i="166"/>
  <c r="K115" i="166"/>
  <c r="K117" i="166" s="1"/>
  <c r="J53" i="166"/>
  <c r="J75" i="166"/>
  <c r="J76" i="166" s="1"/>
  <c r="J63" i="166"/>
  <c r="M99" i="166"/>
  <c r="M26" i="166"/>
  <c r="M27" i="166" s="1"/>
  <c r="M28" i="166" s="1"/>
  <c r="M36" i="166"/>
  <c r="M32" i="166" s="1"/>
  <c r="M88" i="166"/>
  <c r="M89" i="166" s="1"/>
  <c r="K50" i="166"/>
  <c r="K51" i="166" s="1"/>
  <c r="K52" i="166" s="1"/>
  <c r="K74" i="166"/>
  <c r="K62" i="166"/>
  <c r="K56" i="166"/>
  <c r="K57" i="166" s="1"/>
  <c r="K58" i="166" s="1"/>
  <c r="K68" i="166"/>
  <c r="I79" i="166"/>
  <c r="I80" i="166" s="1"/>
  <c r="I81" i="166" s="1"/>
  <c r="I65" i="166"/>
  <c r="I64" i="166"/>
  <c r="J112" i="166"/>
  <c r="J121" i="166"/>
  <c r="N25" i="166"/>
  <c r="O67" i="166"/>
  <c r="O61" i="166"/>
  <c r="O73" i="166"/>
  <c r="O16" i="166"/>
  <c r="O14" i="166"/>
  <c r="J59" i="166"/>
  <c r="J69" i="166"/>
  <c r="L37" i="166"/>
  <c r="L38" i="166" s="1"/>
  <c r="L39" i="166" s="1"/>
  <c r="L49" i="166"/>
  <c r="L55" i="166"/>
  <c r="I113" i="165"/>
  <c r="I122" i="165"/>
  <c r="K110" i="165"/>
  <c r="K111" i="165"/>
  <c r="K117" i="165" s="1"/>
  <c r="J112" i="165"/>
  <c r="J116" i="165"/>
  <c r="J118" i="165" s="1"/>
  <c r="K102" i="165"/>
  <c r="K101" i="165"/>
  <c r="K88" i="165"/>
  <c r="K89" i="165" s="1"/>
  <c r="J103" i="165"/>
  <c r="K26" i="165"/>
  <c r="K27" i="165" s="1"/>
  <c r="K28" i="165" s="1"/>
  <c r="K36" i="165"/>
  <c r="K32" i="165" s="1"/>
  <c r="G83" i="165"/>
  <c r="G84" i="165" s="1"/>
  <c r="G85" i="165" s="1"/>
  <c r="G71" i="165"/>
  <c r="G70" i="165"/>
  <c r="J37" i="165"/>
  <c r="J38" i="165" s="1"/>
  <c r="J39" i="165" s="1"/>
  <c r="J55" i="165"/>
  <c r="J49" i="165"/>
  <c r="I50" i="165"/>
  <c r="I51" i="165" s="1"/>
  <c r="I52" i="165" s="1"/>
  <c r="I62" i="165"/>
  <c r="I74" i="165"/>
  <c r="N13" i="165"/>
  <c r="O12" i="165"/>
  <c r="L17" i="165"/>
  <c r="J32" i="165"/>
  <c r="M61" i="165"/>
  <c r="M73" i="165"/>
  <c r="M67" i="165"/>
  <c r="M14" i="165"/>
  <c r="M16" i="165"/>
  <c r="H59" i="165"/>
  <c r="H69" i="165"/>
  <c r="G65" i="165"/>
  <c r="G79" i="165"/>
  <c r="G80" i="165" s="1"/>
  <c r="G81" i="165" s="1"/>
  <c r="G64" i="165"/>
  <c r="I56" i="165"/>
  <c r="I57" i="165" s="1"/>
  <c r="I58" i="165" s="1"/>
  <c r="I68" i="165"/>
  <c r="K21" i="165"/>
  <c r="L25" i="165"/>
  <c r="L100" i="165" s="1"/>
  <c r="H53" i="165"/>
  <c r="H75" i="165"/>
  <c r="H76" i="165" s="1"/>
  <c r="H63" i="165"/>
  <c r="D203" i="159"/>
  <c r="D202" i="159"/>
  <c r="D201" i="159"/>
  <c r="B290" i="158"/>
  <c r="B291" i="158" s="1"/>
  <c r="B292" i="158" s="1"/>
  <c r="B293" i="158" s="1"/>
  <c r="B294" i="158" s="1"/>
  <c r="B295" i="158" s="1"/>
  <c r="B297" i="158" s="1"/>
  <c r="B298" i="158" s="1"/>
  <c r="B299" i="158" s="1"/>
  <c r="B300" i="158" s="1"/>
  <c r="B301" i="158" s="1"/>
  <c r="B302" i="158" s="1"/>
  <c r="B304" i="158" s="1"/>
  <c r="B5" i="158"/>
  <c r="B6" i="158" s="1"/>
  <c r="B7" i="158" s="1"/>
  <c r="B8" i="158" s="1"/>
  <c r="B9" i="158" s="1"/>
  <c r="B10" i="158" s="1"/>
  <c r="B11" i="158" s="1"/>
  <c r="B12" i="158" s="1"/>
  <c r="B13" i="158" s="1"/>
  <c r="B14" i="158" s="1"/>
  <c r="B15" i="158" s="1"/>
  <c r="B16" i="158" s="1"/>
  <c r="B17" i="158" s="1"/>
  <c r="B18" i="158" s="1"/>
  <c r="B19" i="158" s="1"/>
  <c r="B20" i="158" s="1"/>
  <c r="B21" i="158" s="1"/>
  <c r="B22" i="158" s="1"/>
  <c r="B23" i="158" s="1"/>
  <c r="B24" i="158" s="1"/>
  <c r="B25" i="158" s="1"/>
  <c r="B26" i="158" s="1"/>
  <c r="B27" i="158" s="1"/>
  <c r="B28" i="158" s="1"/>
  <c r="B29" i="158" s="1"/>
  <c r="B30" i="158" s="1"/>
  <c r="B31" i="158" s="1"/>
  <c r="B32" i="158" s="1"/>
  <c r="B33" i="158" s="1"/>
  <c r="B34" i="158" s="1"/>
  <c r="B35" i="158" s="1"/>
  <c r="B36" i="158" s="1"/>
  <c r="B37" i="158" s="1"/>
  <c r="B38" i="158" s="1"/>
  <c r="B39" i="158" s="1"/>
  <c r="B40" i="158" s="1"/>
  <c r="B41" i="158" s="1"/>
  <c r="B42" i="158" s="1"/>
  <c r="B43" i="158" s="1"/>
  <c r="B44" i="158" s="1"/>
  <c r="B45" i="158" s="1"/>
  <c r="B46" i="158" s="1"/>
  <c r="B47" i="158" s="1"/>
  <c r="B48" i="158" s="1"/>
  <c r="B49" i="158" s="1"/>
  <c r="B50" i="158" s="1"/>
  <c r="B51" i="158" s="1"/>
  <c r="B52" i="158" s="1"/>
  <c r="B53" i="158" s="1"/>
  <c r="B54" i="158" s="1"/>
  <c r="B55" i="158" s="1"/>
  <c r="B56" i="158" s="1"/>
  <c r="B57" i="158" s="1"/>
  <c r="B58" i="158" s="1"/>
  <c r="B60" i="158" s="1"/>
  <c r="B61" i="158" s="1"/>
  <c r="B62" i="158" s="1"/>
  <c r="B63" i="158" s="1"/>
  <c r="B64" i="158" s="1"/>
  <c r="B65" i="158" s="1"/>
  <c r="B74" i="158" s="1"/>
  <c r="B75" i="158" s="1"/>
  <c r="B76" i="158" s="1"/>
  <c r="B77" i="158" s="1"/>
  <c r="B78" i="158" s="1"/>
  <c r="B79" i="158" s="1"/>
  <c r="B82" i="158" s="1"/>
  <c r="B83" i="158" s="1"/>
  <c r="B84" i="158" s="1"/>
  <c r="B85" i="158" s="1"/>
  <c r="B86" i="158" s="1"/>
  <c r="B87" i="158" s="1"/>
  <c r="B88" i="158" s="1"/>
  <c r="B89" i="158" s="1"/>
  <c r="B90" i="158" s="1"/>
  <c r="B91" i="158" s="1"/>
  <c r="B92" i="158" s="1"/>
  <c r="B93" i="158" s="1"/>
  <c r="B94" i="158" s="1"/>
  <c r="B97" i="158" s="1"/>
  <c r="B98" i="158" s="1"/>
  <c r="B99" i="158" s="1"/>
  <c r="B100" i="158" s="1"/>
  <c r="B101" i="158" s="1"/>
  <c r="B102" i="158" s="1"/>
  <c r="B103" i="158" s="1"/>
  <c r="B106" i="158" s="1"/>
  <c r="B107" i="158" s="1"/>
  <c r="B108" i="158" s="1"/>
  <c r="B109" i="158" s="1"/>
  <c r="B110" i="158" s="1"/>
  <c r="B111" i="158" s="1"/>
  <c r="B112" i="158" s="1"/>
  <c r="B115" i="158" s="1"/>
  <c r="B116" i="158" s="1"/>
  <c r="B117" i="158" s="1"/>
  <c r="B118" i="158" s="1"/>
  <c r="B119" i="158" s="1"/>
  <c r="B120" i="158" s="1"/>
  <c r="B121" i="158" s="1"/>
  <c r="B202" i="159" l="1"/>
  <c r="N99" i="166"/>
  <c r="N36" i="166"/>
  <c r="N26" i="166"/>
  <c r="N27" i="166" s="1"/>
  <c r="N28" i="166" s="1"/>
  <c r="N88" i="166"/>
  <c r="N89" i="166" s="1"/>
  <c r="K59" i="166"/>
  <c r="K69" i="166"/>
  <c r="J65" i="166"/>
  <c r="J79" i="166"/>
  <c r="J80" i="166" s="1"/>
  <c r="J81" i="166" s="1"/>
  <c r="J64" i="166"/>
  <c r="O17" i="166"/>
  <c r="N21" i="166"/>
  <c r="J71" i="166"/>
  <c r="J83" i="166"/>
  <c r="J84" i="166" s="1"/>
  <c r="J85" i="166" s="1"/>
  <c r="J70" i="166"/>
  <c r="M110" i="166"/>
  <c r="M116" i="166" s="1"/>
  <c r="M109" i="166"/>
  <c r="M100" i="166"/>
  <c r="M101" i="166"/>
  <c r="L50" i="166"/>
  <c r="L51" i="166" s="1"/>
  <c r="L52" i="166" s="1"/>
  <c r="L62" i="166"/>
  <c r="L74" i="166"/>
  <c r="M37" i="166"/>
  <c r="M38" i="166" s="1"/>
  <c r="M39" i="166" s="1"/>
  <c r="M49" i="166"/>
  <c r="M55" i="166"/>
  <c r="O25" i="166"/>
  <c r="K53" i="166"/>
  <c r="K75" i="166"/>
  <c r="K76" i="166" s="1"/>
  <c r="K63" i="166"/>
  <c r="Q13" i="166"/>
  <c r="R12" i="166"/>
  <c r="L56" i="166"/>
  <c r="L57" i="166" s="1"/>
  <c r="L58" i="166" s="1"/>
  <c r="L68" i="166"/>
  <c r="K112" i="166"/>
  <c r="K121" i="166"/>
  <c r="P61" i="166"/>
  <c r="P73" i="166"/>
  <c r="P16" i="166"/>
  <c r="P67" i="166"/>
  <c r="P14" i="166"/>
  <c r="L115" i="166"/>
  <c r="L117" i="166" s="1"/>
  <c r="L111" i="166"/>
  <c r="J113" i="165"/>
  <c r="J122" i="165"/>
  <c r="L110" i="165"/>
  <c r="L111" i="165"/>
  <c r="L117" i="165" s="1"/>
  <c r="K112" i="165"/>
  <c r="K116" i="165"/>
  <c r="K118" i="165" s="1"/>
  <c r="L102" i="165"/>
  <c r="L101" i="165"/>
  <c r="K103" i="165"/>
  <c r="L88" i="165"/>
  <c r="L89" i="165" s="1"/>
  <c r="M25" i="165"/>
  <c r="M100" i="165" s="1"/>
  <c r="J56" i="165"/>
  <c r="J57" i="165" s="1"/>
  <c r="J58" i="165" s="1"/>
  <c r="J68" i="165"/>
  <c r="M17" i="165"/>
  <c r="I59" i="165"/>
  <c r="I69" i="165"/>
  <c r="N61" i="165"/>
  <c r="N73" i="165"/>
  <c r="N67" i="165"/>
  <c r="N16" i="165"/>
  <c r="N14" i="165"/>
  <c r="H65" i="165"/>
  <c r="H79" i="165"/>
  <c r="H80" i="165" s="1"/>
  <c r="H81" i="165" s="1"/>
  <c r="H64" i="165"/>
  <c r="L36" i="165"/>
  <c r="L32" i="165" s="1"/>
  <c r="L26" i="165"/>
  <c r="L27" i="165" s="1"/>
  <c r="L28" i="165" s="1"/>
  <c r="O13" i="165"/>
  <c r="P12" i="165"/>
  <c r="I53" i="165"/>
  <c r="I63" i="165"/>
  <c r="I75" i="165"/>
  <c r="I76" i="165" s="1"/>
  <c r="K37" i="165"/>
  <c r="K38" i="165" s="1"/>
  <c r="K39" i="165" s="1"/>
  <c r="K49" i="165"/>
  <c r="K55" i="165"/>
  <c r="H71" i="165"/>
  <c r="H83" i="165"/>
  <c r="H84" i="165" s="1"/>
  <c r="H85" i="165" s="1"/>
  <c r="H70" i="165"/>
  <c r="L21" i="165"/>
  <c r="J50" i="165"/>
  <c r="J51" i="165" s="1"/>
  <c r="J52" i="165" s="1"/>
  <c r="J74" i="165"/>
  <c r="J62" i="165"/>
  <c r="B129" i="158"/>
  <c r="B130" i="158" s="1"/>
  <c r="B131" i="158" s="1"/>
  <c r="B132" i="158" s="1"/>
  <c r="B133" i="158" s="1"/>
  <c r="B134" i="158" s="1"/>
  <c r="B135" i="158" s="1"/>
  <c r="B138" i="158" s="1"/>
  <c r="B139" i="158" s="1"/>
  <c r="B140" i="158" s="1"/>
  <c r="B141" i="158" s="1"/>
  <c r="B142" i="158" s="1"/>
  <c r="B143" i="158" s="1"/>
  <c r="B144" i="158" s="1"/>
  <c r="B145" i="158" s="1"/>
  <c r="B146" i="158" s="1"/>
  <c r="B147" i="158" s="1"/>
  <c r="B148" i="158" s="1"/>
  <c r="B149" i="158" s="1"/>
  <c r="B150" i="158" s="1"/>
  <c r="B151" i="158" s="1"/>
  <c r="B152" i="158" s="1"/>
  <c r="B153" i="158" s="1"/>
  <c r="B154" i="158" s="1"/>
  <c r="B155" i="158" s="1"/>
  <c r="B156" i="158" s="1"/>
  <c r="B157" i="158" s="1"/>
  <c r="B158" i="158" s="1"/>
  <c r="B159" i="158" s="1"/>
  <c r="B160" i="158" s="1"/>
  <c r="B161" i="158" s="1"/>
  <c r="B162" i="158" s="1"/>
  <c r="B163" i="158" s="1"/>
  <c r="B164" i="158" s="1"/>
  <c r="B165" i="158" s="1"/>
  <c r="B166" i="158" s="1"/>
  <c r="B167" i="158" s="1"/>
  <c r="B168" i="158" s="1"/>
  <c r="B169" i="158" s="1"/>
  <c r="B170" i="158" s="1"/>
  <c r="B171" i="158" s="1"/>
  <c r="B172" i="158" s="1"/>
  <c r="B173" i="158" s="1"/>
  <c r="B174" i="158" s="1"/>
  <c r="B175" i="158" s="1"/>
  <c r="B176" i="158" s="1"/>
  <c r="B177" i="158" s="1"/>
  <c r="B178" i="158" s="1"/>
  <c r="B179" i="158" s="1"/>
  <c r="B180" i="158" s="1"/>
  <c r="B181" i="158" s="1"/>
  <c r="B182" i="158" s="1"/>
  <c r="B183" i="158" s="1"/>
  <c r="B184" i="158" s="1"/>
  <c r="B185" i="158" s="1"/>
  <c r="B186" i="158" s="1"/>
  <c r="B187" i="158" s="1"/>
  <c r="B188" i="158" s="1"/>
  <c r="B189" i="158" s="1"/>
  <c r="B190" i="158" s="1"/>
  <c r="B191" i="158" s="1"/>
  <c r="B192" i="158" s="1"/>
  <c r="B193" i="158" s="1"/>
  <c r="B194" i="158" s="1"/>
  <c r="B195" i="158" s="1"/>
  <c r="B196" i="158" s="1"/>
  <c r="B197" i="158" s="1"/>
  <c r="B198" i="158" s="1"/>
  <c r="B199" i="158" s="1"/>
  <c r="B200" i="158" s="1"/>
  <c r="B201" i="158" s="1"/>
  <c r="B202" i="158" s="1"/>
  <c r="B203" i="158" s="1"/>
  <c r="B204" i="158" s="1"/>
  <c r="B205" i="158" s="1"/>
  <c r="B206" i="158" s="1"/>
  <c r="B207" i="158" s="1"/>
  <c r="B208" i="158" s="1"/>
  <c r="B209" i="158" s="1"/>
  <c r="B210" i="158" s="1"/>
  <c r="B211" i="158" s="1"/>
  <c r="B212" i="158" s="1"/>
  <c r="B213" i="158" s="1"/>
  <c r="B214" i="158" s="1"/>
  <c r="B215" i="158" s="1"/>
  <c r="B216" i="158" s="1"/>
  <c r="B217" i="158" s="1"/>
  <c r="B218" i="158" s="1"/>
  <c r="B219" i="158" s="1"/>
  <c r="B220" i="158" s="1"/>
  <c r="B221" i="158" s="1"/>
  <c r="B222" i="158" s="1"/>
  <c r="B223" i="158" s="1"/>
  <c r="B224" i="158" s="1"/>
  <c r="B225" i="158" s="1"/>
  <c r="B226" i="158" s="1"/>
  <c r="B227" i="158" s="1"/>
  <c r="B228" i="158" s="1"/>
  <c r="B229" i="158" s="1"/>
  <c r="B230" i="158" s="1"/>
  <c r="B231" i="158" s="1"/>
  <c r="B232" i="158" s="1"/>
  <c r="B233" i="158" s="1"/>
  <c r="B234" i="158" s="1"/>
  <c r="B235" i="158" s="1"/>
  <c r="B236" i="158" s="1"/>
  <c r="B237" i="158" s="1"/>
  <c r="B238" i="158" s="1"/>
  <c r="B239" i="158" s="1"/>
  <c r="B240" i="158" s="1"/>
  <c r="B241" i="158" s="1"/>
  <c r="B242" i="158" s="1"/>
  <c r="B243" i="158" s="1"/>
  <c r="B244" i="158" s="1"/>
  <c r="B245" i="158" s="1"/>
  <c r="B246" i="158" s="1"/>
  <c r="B247" i="158" s="1"/>
  <c r="B248" i="158" s="1"/>
  <c r="B249" i="158" s="1"/>
  <c r="B250" i="158" s="1"/>
  <c r="B251" i="158" s="1"/>
  <c r="B252" i="158" s="1"/>
  <c r="B253" i="158" s="1"/>
  <c r="B254" i="158" s="1"/>
  <c r="B255" i="158" s="1"/>
  <c r="B256" i="158" s="1"/>
  <c r="B257" i="158" s="1"/>
  <c r="B258" i="158" s="1"/>
  <c r="B259" i="158" s="1"/>
  <c r="B260" i="158" s="1"/>
  <c r="B261" i="158" s="1"/>
  <c r="B262" i="158" s="1"/>
  <c r="B263" i="158" s="1"/>
  <c r="B264" i="158" s="1"/>
  <c r="B265" i="158" s="1"/>
  <c r="B268" i="158" s="1"/>
  <c r="B269" i="158" s="1"/>
  <c r="B270" i="158" s="1"/>
  <c r="B271" i="158" s="1"/>
  <c r="B272" i="158" s="1"/>
  <c r="B275" i="158" s="1"/>
  <c r="B276" i="158" s="1"/>
  <c r="B277" i="158" s="1"/>
  <c r="B278" i="158" s="1"/>
  <c r="B279" i="158" s="1"/>
  <c r="B123" i="158"/>
  <c r="B124" i="158" s="1"/>
  <c r="B125" i="158" s="1"/>
  <c r="B126" i="158" s="1"/>
  <c r="O99" i="166" l="1"/>
  <c r="O36" i="166"/>
  <c r="O26" i="166"/>
  <c r="O27" i="166" s="1"/>
  <c r="O28" i="166" s="1"/>
  <c r="O88" i="166"/>
  <c r="O89" i="166" s="1"/>
  <c r="O32" i="166"/>
  <c r="O21" i="166"/>
  <c r="P25" i="166"/>
  <c r="L59" i="166"/>
  <c r="L69" i="166"/>
  <c r="M102" i="166"/>
  <c r="N37" i="166"/>
  <c r="N38" i="166" s="1"/>
  <c r="N39" i="166" s="1"/>
  <c r="N49" i="166"/>
  <c r="N55" i="166"/>
  <c r="P17" i="166"/>
  <c r="R13" i="166"/>
  <c r="S12" i="166"/>
  <c r="M56" i="166"/>
  <c r="M57" i="166" s="1"/>
  <c r="M58" i="166" s="1"/>
  <c r="M68" i="166"/>
  <c r="M111" i="166"/>
  <c r="M115" i="166"/>
  <c r="M117" i="166" s="1"/>
  <c r="N110" i="166"/>
  <c r="N116" i="166" s="1"/>
  <c r="N109" i="166"/>
  <c r="N101" i="166"/>
  <c r="N100" i="166"/>
  <c r="Q61" i="166"/>
  <c r="Q73" i="166"/>
  <c r="Q67" i="166"/>
  <c r="Q16" i="166"/>
  <c r="Q14" i="166"/>
  <c r="M50" i="166"/>
  <c r="M51" i="166" s="1"/>
  <c r="M52" i="166" s="1"/>
  <c r="M62" i="166"/>
  <c r="M74" i="166"/>
  <c r="N32" i="166"/>
  <c r="K71" i="166"/>
  <c r="K83" i="166"/>
  <c r="K84" i="166" s="1"/>
  <c r="K85" i="166" s="1"/>
  <c r="K70" i="166"/>
  <c r="L53" i="166"/>
  <c r="L63" i="166"/>
  <c r="L75" i="166"/>
  <c r="L76" i="166" s="1"/>
  <c r="L112" i="166"/>
  <c r="L121" i="166"/>
  <c r="K65" i="166"/>
  <c r="K79" i="166"/>
  <c r="K80" i="166" s="1"/>
  <c r="K81" i="166" s="1"/>
  <c r="K64" i="166"/>
  <c r="K113" i="165"/>
  <c r="K122" i="165"/>
  <c r="M110" i="165"/>
  <c r="M111" i="165"/>
  <c r="M117" i="165" s="1"/>
  <c r="L112" i="165"/>
  <c r="L116" i="165"/>
  <c r="L118" i="165" s="1"/>
  <c r="M101" i="165"/>
  <c r="M102" i="165"/>
  <c r="M88" i="165"/>
  <c r="M89" i="165" s="1"/>
  <c r="L103" i="165"/>
  <c r="P13" i="165"/>
  <c r="Q12" i="165"/>
  <c r="O61" i="165"/>
  <c r="O73" i="165"/>
  <c r="O67" i="165"/>
  <c r="O14" i="165"/>
  <c r="O16" i="165"/>
  <c r="N25" i="165"/>
  <c r="N100" i="165" s="1"/>
  <c r="N17" i="165"/>
  <c r="K56" i="165"/>
  <c r="K57" i="165" s="1"/>
  <c r="K58" i="165" s="1"/>
  <c r="K68" i="165"/>
  <c r="K50" i="165"/>
  <c r="K51" i="165" s="1"/>
  <c r="K52" i="165" s="1"/>
  <c r="K74" i="165"/>
  <c r="K62" i="165"/>
  <c r="L37" i="165"/>
  <c r="L38" i="165" s="1"/>
  <c r="L39" i="165" s="1"/>
  <c r="L55" i="165"/>
  <c r="L49" i="165"/>
  <c r="J53" i="165"/>
  <c r="J75" i="165"/>
  <c r="J76" i="165" s="1"/>
  <c r="J63" i="165"/>
  <c r="I79" i="165"/>
  <c r="I80" i="165" s="1"/>
  <c r="I81" i="165" s="1"/>
  <c r="I65" i="165"/>
  <c r="I64" i="165"/>
  <c r="I71" i="165"/>
  <c r="I83" i="165"/>
  <c r="I84" i="165" s="1"/>
  <c r="I85" i="165" s="1"/>
  <c r="I70" i="165"/>
  <c r="M36" i="165"/>
  <c r="M32" i="165" s="1"/>
  <c r="M26" i="165"/>
  <c r="M27" i="165" s="1"/>
  <c r="M28" i="165" s="1"/>
  <c r="J59" i="165"/>
  <c r="J69" i="165"/>
  <c r="M21" i="165"/>
  <c r="DX320" i="110"/>
  <c r="DV320" i="110"/>
  <c r="DV327" i="110" s="1"/>
  <c r="DX327" i="110" s="1"/>
  <c r="P99" i="166" l="1"/>
  <c r="P36" i="166"/>
  <c r="P26" i="166"/>
  <c r="P27" i="166" s="1"/>
  <c r="P28" i="166" s="1"/>
  <c r="P88" i="166"/>
  <c r="P89" i="166" s="1"/>
  <c r="M112" i="166"/>
  <c r="M121" i="166"/>
  <c r="N56" i="166"/>
  <c r="N57" i="166" s="1"/>
  <c r="N58" i="166" s="1"/>
  <c r="N68" i="166"/>
  <c r="N50" i="166"/>
  <c r="N51" i="166" s="1"/>
  <c r="N52" i="166" s="1"/>
  <c r="N74" i="166"/>
  <c r="N62" i="166"/>
  <c r="L79" i="166"/>
  <c r="L80" i="166" s="1"/>
  <c r="L81" i="166" s="1"/>
  <c r="L65" i="166"/>
  <c r="L64" i="166"/>
  <c r="M59" i="166"/>
  <c r="M69" i="166"/>
  <c r="P32" i="166"/>
  <c r="P21" i="166"/>
  <c r="M53" i="166"/>
  <c r="M63" i="166"/>
  <c r="M75" i="166"/>
  <c r="M76" i="166" s="1"/>
  <c r="Q17" i="166"/>
  <c r="N102" i="166"/>
  <c r="S13" i="166"/>
  <c r="T12" i="166"/>
  <c r="R61" i="166"/>
  <c r="R73" i="166"/>
  <c r="R67" i="166"/>
  <c r="R14" i="166"/>
  <c r="R16" i="166"/>
  <c r="L83" i="166"/>
  <c r="L84" i="166" s="1"/>
  <c r="L85" i="166" s="1"/>
  <c r="L71" i="166"/>
  <c r="L70" i="166"/>
  <c r="O37" i="166"/>
  <c r="O38" i="166" s="1"/>
  <c r="O39" i="166" s="1"/>
  <c r="O49" i="166"/>
  <c r="O55" i="166"/>
  <c r="Q25" i="166"/>
  <c r="N111" i="166"/>
  <c r="N115" i="166"/>
  <c r="N117" i="166" s="1"/>
  <c r="O109" i="166"/>
  <c r="O101" i="166"/>
  <c r="O100" i="166"/>
  <c r="O110" i="166"/>
  <c r="O116" i="166" s="1"/>
  <c r="L113" i="165"/>
  <c r="L122" i="165"/>
  <c r="N110" i="165"/>
  <c r="N111" i="165"/>
  <c r="N117" i="165" s="1"/>
  <c r="M112" i="165"/>
  <c r="M116" i="165"/>
  <c r="M118" i="165" s="1"/>
  <c r="N102" i="165"/>
  <c r="N101" i="165"/>
  <c r="N88" i="165"/>
  <c r="N89" i="165" s="1"/>
  <c r="M103" i="165"/>
  <c r="K53" i="165"/>
  <c r="K75" i="165"/>
  <c r="K76" i="165" s="1"/>
  <c r="K63" i="165"/>
  <c r="O17" i="165"/>
  <c r="J83" i="165"/>
  <c r="J84" i="165" s="1"/>
  <c r="J85" i="165" s="1"/>
  <c r="J71" i="165"/>
  <c r="J70" i="165"/>
  <c r="L50" i="165"/>
  <c r="L51" i="165" s="1"/>
  <c r="L52" i="165" s="1"/>
  <c r="L62" i="165"/>
  <c r="L74" i="165"/>
  <c r="K59" i="165"/>
  <c r="K69" i="165"/>
  <c r="O25" i="165"/>
  <c r="O100" i="165" s="1"/>
  <c r="L56" i="165"/>
  <c r="L57" i="165" s="1"/>
  <c r="L58" i="165" s="1"/>
  <c r="L68" i="165"/>
  <c r="M37" i="165"/>
  <c r="M38" i="165" s="1"/>
  <c r="M39" i="165" s="1"/>
  <c r="M49" i="165"/>
  <c r="M55" i="165"/>
  <c r="N36" i="165"/>
  <c r="N32" i="165" s="1"/>
  <c r="N26" i="165"/>
  <c r="N27" i="165" s="1"/>
  <c r="N28" i="165" s="1"/>
  <c r="Q13" i="165"/>
  <c r="R12" i="165"/>
  <c r="J65" i="165"/>
  <c r="J79" i="165"/>
  <c r="J80" i="165" s="1"/>
  <c r="J81" i="165" s="1"/>
  <c r="J64" i="165"/>
  <c r="N21" i="165"/>
  <c r="P73" i="165"/>
  <c r="P61" i="165"/>
  <c r="P67" i="165"/>
  <c r="P14" i="165"/>
  <c r="P16" i="165"/>
  <c r="DX328" i="110"/>
  <c r="DV326" i="110" s="1"/>
  <c r="DV325" i="110" s="1"/>
  <c r="DX325" i="110" s="1"/>
  <c r="DX326" i="110" s="1"/>
  <c r="DV322" i="110" s="1"/>
  <c r="D17" i="137"/>
  <c r="N112" i="166" l="1"/>
  <c r="N121" i="166"/>
  <c r="T13" i="166"/>
  <c r="U12" i="166"/>
  <c r="S73" i="166"/>
  <c r="S67" i="166"/>
  <c r="S61" i="166"/>
  <c r="S14" i="166"/>
  <c r="S16" i="166"/>
  <c r="N59" i="166"/>
  <c r="N69" i="166"/>
  <c r="Q99" i="166"/>
  <c r="Q26" i="166"/>
  <c r="Q27" i="166" s="1"/>
  <c r="Q28" i="166" s="1"/>
  <c r="Q36" i="166"/>
  <c r="Q88" i="166"/>
  <c r="Q89" i="166" s="1"/>
  <c r="Q21" i="166"/>
  <c r="R17" i="166"/>
  <c r="M83" i="166"/>
  <c r="M84" i="166" s="1"/>
  <c r="M85" i="166" s="1"/>
  <c r="M71" i="166"/>
  <c r="M70" i="166"/>
  <c r="R25" i="166"/>
  <c r="R21" i="166" s="1"/>
  <c r="O56" i="166"/>
  <c r="O57" i="166" s="1"/>
  <c r="O58" i="166" s="1"/>
  <c r="O68" i="166"/>
  <c r="Q32" i="166"/>
  <c r="N53" i="166"/>
  <c r="N75" i="166"/>
  <c r="N76" i="166" s="1"/>
  <c r="N63" i="166"/>
  <c r="P37" i="166"/>
  <c r="P38" i="166" s="1"/>
  <c r="P39" i="166" s="1"/>
  <c r="P55" i="166"/>
  <c r="P49" i="166"/>
  <c r="O111" i="166"/>
  <c r="O115" i="166"/>
  <c r="O117" i="166" s="1"/>
  <c r="M79" i="166"/>
  <c r="M80" i="166" s="1"/>
  <c r="M81" i="166" s="1"/>
  <c r="M65" i="166"/>
  <c r="M64" i="166"/>
  <c r="O102" i="166"/>
  <c r="O50" i="166"/>
  <c r="O51" i="166" s="1"/>
  <c r="O52" i="166" s="1"/>
  <c r="O74" i="166"/>
  <c r="O62" i="166"/>
  <c r="P109" i="166"/>
  <c r="P101" i="166"/>
  <c r="P100" i="166"/>
  <c r="P110" i="166"/>
  <c r="P116" i="166" s="1"/>
  <c r="M113" i="165"/>
  <c r="M122" i="165"/>
  <c r="O110" i="165"/>
  <c r="O111" i="165"/>
  <c r="O117" i="165" s="1"/>
  <c r="N116" i="165"/>
  <c r="N118" i="165" s="1"/>
  <c r="N112" i="165"/>
  <c r="O102" i="165"/>
  <c r="O101" i="165"/>
  <c r="O21" i="165"/>
  <c r="O88" i="165"/>
  <c r="O89" i="165" s="1"/>
  <c r="N103" i="165"/>
  <c r="M56" i="165"/>
  <c r="M57" i="165" s="1"/>
  <c r="M58" i="165" s="1"/>
  <c r="M68" i="165"/>
  <c r="M50" i="165"/>
  <c r="M51" i="165" s="1"/>
  <c r="M52" i="165" s="1"/>
  <c r="M74" i="165"/>
  <c r="M62" i="165"/>
  <c r="P25" i="165"/>
  <c r="P100" i="165" s="1"/>
  <c r="R13" i="165"/>
  <c r="S12" i="165"/>
  <c r="L59" i="165"/>
  <c r="L69" i="165"/>
  <c r="K83" i="165"/>
  <c r="K84" i="165" s="1"/>
  <c r="K85" i="165" s="1"/>
  <c r="K71" i="165"/>
  <c r="K70" i="165"/>
  <c r="Q73" i="165"/>
  <c r="Q67" i="165"/>
  <c r="Q61" i="165"/>
  <c r="Q14" i="165"/>
  <c r="Q16" i="165"/>
  <c r="K65" i="165"/>
  <c r="K79" i="165"/>
  <c r="K80" i="165" s="1"/>
  <c r="K81" i="165" s="1"/>
  <c r="K64" i="165"/>
  <c r="P17" i="165"/>
  <c r="N37" i="165"/>
  <c r="N38" i="165" s="1"/>
  <c r="N39" i="165" s="1"/>
  <c r="N49" i="165"/>
  <c r="N55" i="165"/>
  <c r="O36" i="165"/>
  <c r="O32" i="165" s="1"/>
  <c r="O26" i="165"/>
  <c r="O27" i="165" s="1"/>
  <c r="O28" i="165" s="1"/>
  <c r="L53" i="165"/>
  <c r="L63" i="165"/>
  <c r="L75" i="165"/>
  <c r="L76" i="165" s="1"/>
  <c r="P111" i="166" l="1"/>
  <c r="P115" i="166"/>
  <c r="P117" i="166" s="1"/>
  <c r="Q110" i="166"/>
  <c r="Q116" i="166" s="1"/>
  <c r="Q109" i="166"/>
  <c r="Q100" i="166"/>
  <c r="Q101" i="166"/>
  <c r="O112" i="166"/>
  <c r="O121" i="166"/>
  <c r="N83" i="166"/>
  <c r="N84" i="166" s="1"/>
  <c r="N85" i="166" s="1"/>
  <c r="N71" i="166"/>
  <c r="N70" i="166"/>
  <c r="P50" i="166"/>
  <c r="P51" i="166" s="1"/>
  <c r="P52" i="166" s="1"/>
  <c r="P62" i="166"/>
  <c r="P74" i="166"/>
  <c r="O59" i="166"/>
  <c r="O69" i="166"/>
  <c r="U13" i="166"/>
  <c r="V12" i="166"/>
  <c r="O53" i="166"/>
  <c r="O75" i="166"/>
  <c r="O76" i="166" s="1"/>
  <c r="O63" i="166"/>
  <c r="P56" i="166"/>
  <c r="P57" i="166" s="1"/>
  <c r="P58" i="166" s="1"/>
  <c r="P68" i="166"/>
  <c r="S25" i="166"/>
  <c r="S21" i="166"/>
  <c r="T73" i="166"/>
  <c r="T67" i="166"/>
  <c r="T61" i="166"/>
  <c r="T14" i="166"/>
  <c r="T16" i="166"/>
  <c r="S17" i="166"/>
  <c r="R99" i="166"/>
  <c r="R26" i="166"/>
  <c r="R27" i="166" s="1"/>
  <c r="R28" i="166" s="1"/>
  <c r="R36" i="166"/>
  <c r="R32" i="166" s="1"/>
  <c r="R88" i="166"/>
  <c r="R89" i="166" s="1"/>
  <c r="P102" i="166"/>
  <c r="N79" i="166"/>
  <c r="N80" i="166" s="1"/>
  <c r="N81" i="166" s="1"/>
  <c r="N65" i="166"/>
  <c r="N64" i="166"/>
  <c r="Q37" i="166"/>
  <c r="Q38" i="166" s="1"/>
  <c r="Q39" i="166" s="1"/>
  <c r="Q55" i="166"/>
  <c r="Q49" i="166"/>
  <c r="N113" i="165"/>
  <c r="N122" i="165"/>
  <c r="P110" i="165"/>
  <c r="P111" i="165"/>
  <c r="P117" i="165" s="1"/>
  <c r="P21" i="165"/>
  <c r="O116" i="165"/>
  <c r="O118" i="165" s="1"/>
  <c r="O112" i="165"/>
  <c r="P102" i="165"/>
  <c r="P101" i="165"/>
  <c r="P88" i="165"/>
  <c r="P89" i="165" s="1"/>
  <c r="O103" i="165"/>
  <c r="P36" i="165"/>
  <c r="P32" i="165" s="1"/>
  <c r="P26" i="165"/>
  <c r="P27" i="165" s="1"/>
  <c r="P28" i="165" s="1"/>
  <c r="L79" i="165"/>
  <c r="L80" i="165" s="1"/>
  <c r="L81" i="165" s="1"/>
  <c r="L65" i="165"/>
  <c r="L64" i="165"/>
  <c r="Q25" i="165"/>
  <c r="Q100" i="165" s="1"/>
  <c r="Q21" i="165"/>
  <c r="Q17" i="165"/>
  <c r="L83" i="165"/>
  <c r="L84" i="165" s="1"/>
  <c r="L85" i="165" s="1"/>
  <c r="L71" i="165"/>
  <c r="L70" i="165"/>
  <c r="M53" i="165"/>
  <c r="M63" i="165"/>
  <c r="M75" i="165"/>
  <c r="M76" i="165" s="1"/>
  <c r="R73" i="165"/>
  <c r="R67" i="165"/>
  <c r="R61" i="165"/>
  <c r="R14" i="165"/>
  <c r="R16" i="165"/>
  <c r="N56" i="165"/>
  <c r="N57" i="165" s="1"/>
  <c r="N58" i="165" s="1"/>
  <c r="N68" i="165"/>
  <c r="N50" i="165"/>
  <c r="N51" i="165" s="1"/>
  <c r="N52" i="165" s="1"/>
  <c r="N74" i="165"/>
  <c r="N62" i="165"/>
  <c r="O37" i="165"/>
  <c r="O38" i="165" s="1"/>
  <c r="O39" i="165" s="1"/>
  <c r="O55" i="165"/>
  <c r="O49" i="165"/>
  <c r="T12" i="165"/>
  <c r="S13" i="165"/>
  <c r="M59" i="165"/>
  <c r="M69" i="165"/>
  <c r="Q56" i="166" l="1"/>
  <c r="Q57" i="166" s="1"/>
  <c r="Q58" i="166" s="1"/>
  <c r="Q68" i="166"/>
  <c r="V13" i="166"/>
  <c r="W12" i="166"/>
  <c r="U67" i="166"/>
  <c r="U73" i="166"/>
  <c r="U61" i="166"/>
  <c r="U14" i="166"/>
  <c r="U16" i="166"/>
  <c r="Q111" i="166"/>
  <c r="Q115" i="166"/>
  <c r="Q117" i="166" s="1"/>
  <c r="Q102" i="166"/>
  <c r="T25" i="166"/>
  <c r="T21" i="166"/>
  <c r="S99" i="166"/>
  <c r="S26" i="166"/>
  <c r="S27" i="166" s="1"/>
  <c r="S28" i="166" s="1"/>
  <c r="S36" i="166"/>
  <c r="S88" i="166"/>
  <c r="S89" i="166" s="1"/>
  <c r="O83" i="166"/>
  <c r="O84" i="166" s="1"/>
  <c r="O85" i="166" s="1"/>
  <c r="O71" i="166"/>
  <c r="O70" i="166"/>
  <c r="P53" i="166"/>
  <c r="P63" i="166"/>
  <c r="P75" i="166"/>
  <c r="P76" i="166" s="1"/>
  <c r="R110" i="166"/>
  <c r="R116" i="166" s="1"/>
  <c r="R109" i="166"/>
  <c r="R100" i="166"/>
  <c r="R101" i="166"/>
  <c r="T17" i="166"/>
  <c r="P59" i="166"/>
  <c r="P69" i="166"/>
  <c r="P112" i="166"/>
  <c r="P121" i="166"/>
  <c r="Q50" i="166"/>
  <c r="Q51" i="166" s="1"/>
  <c r="Q52" i="166" s="1"/>
  <c r="Q62" i="166"/>
  <c r="Q74" i="166"/>
  <c r="R37" i="166"/>
  <c r="R38" i="166" s="1"/>
  <c r="R39" i="166" s="1"/>
  <c r="R55" i="166"/>
  <c r="R49" i="166"/>
  <c r="O79" i="166"/>
  <c r="O80" i="166" s="1"/>
  <c r="O81" i="166" s="1"/>
  <c r="O65" i="166"/>
  <c r="O64" i="166"/>
  <c r="O113" i="165"/>
  <c r="O122" i="165"/>
  <c r="Q111" i="165"/>
  <c r="Q117" i="165" s="1"/>
  <c r="Q110" i="165"/>
  <c r="P116" i="165"/>
  <c r="P118" i="165" s="1"/>
  <c r="P112" i="165"/>
  <c r="Q102" i="165"/>
  <c r="Q101" i="165"/>
  <c r="Q88" i="165"/>
  <c r="Q89" i="165" s="1"/>
  <c r="P103" i="165"/>
  <c r="R25" i="165"/>
  <c r="R100" i="165" s="1"/>
  <c r="Q36" i="165"/>
  <c r="Q32" i="165" s="1"/>
  <c r="Q26" i="165"/>
  <c r="Q27" i="165" s="1"/>
  <c r="Q28" i="165" s="1"/>
  <c r="O50" i="165"/>
  <c r="O51" i="165" s="1"/>
  <c r="O52" i="165" s="1"/>
  <c r="O62" i="165"/>
  <c r="O74" i="165"/>
  <c r="M83" i="165"/>
  <c r="M84" i="165" s="1"/>
  <c r="M85" i="165" s="1"/>
  <c r="M71" i="165"/>
  <c r="M70" i="165"/>
  <c r="R17" i="165"/>
  <c r="O56" i="165"/>
  <c r="O57" i="165" s="1"/>
  <c r="O58" i="165" s="1"/>
  <c r="O68" i="165"/>
  <c r="S67" i="165"/>
  <c r="S73" i="165"/>
  <c r="S61" i="165"/>
  <c r="S14" i="165"/>
  <c r="S16" i="165"/>
  <c r="N53" i="165"/>
  <c r="N75" i="165"/>
  <c r="N76" i="165" s="1"/>
  <c r="N63" i="165"/>
  <c r="M79" i="165"/>
  <c r="M80" i="165" s="1"/>
  <c r="M81" i="165" s="1"/>
  <c r="M65" i="165"/>
  <c r="M64" i="165"/>
  <c r="T13" i="165"/>
  <c r="U12" i="165"/>
  <c r="N59" i="165"/>
  <c r="N69" i="165"/>
  <c r="P37" i="165"/>
  <c r="P38" i="165" s="1"/>
  <c r="P39" i="165" s="1"/>
  <c r="P55" i="165"/>
  <c r="P49" i="165"/>
  <c r="Q53" i="166" l="1"/>
  <c r="Q63" i="166"/>
  <c r="Q75" i="166"/>
  <c r="Q76" i="166" s="1"/>
  <c r="R102" i="166"/>
  <c r="R115" i="166"/>
  <c r="R117" i="166" s="1"/>
  <c r="R111" i="166"/>
  <c r="R50" i="166"/>
  <c r="R51" i="166" s="1"/>
  <c r="R52" i="166" s="1"/>
  <c r="R62" i="166"/>
  <c r="R74" i="166"/>
  <c r="P83" i="166"/>
  <c r="P84" i="166" s="1"/>
  <c r="P85" i="166" s="1"/>
  <c r="P71" i="166"/>
  <c r="P70" i="166"/>
  <c r="S37" i="166"/>
  <c r="S38" i="166" s="1"/>
  <c r="S39" i="166" s="1"/>
  <c r="S55" i="166"/>
  <c r="S49" i="166"/>
  <c r="Q112" i="166"/>
  <c r="Q121" i="166"/>
  <c r="W13" i="166"/>
  <c r="X12" i="166"/>
  <c r="V67" i="166"/>
  <c r="V61" i="166"/>
  <c r="V14" i="166"/>
  <c r="V16" i="166"/>
  <c r="V73" i="166"/>
  <c r="P79" i="166"/>
  <c r="P80" i="166" s="1"/>
  <c r="P81" i="166" s="1"/>
  <c r="P65" i="166"/>
  <c r="P64" i="166"/>
  <c r="S110" i="166"/>
  <c r="S116" i="166" s="1"/>
  <c r="S109" i="166"/>
  <c r="S100" i="166"/>
  <c r="S101" i="166"/>
  <c r="U17" i="166"/>
  <c r="R56" i="166"/>
  <c r="R57" i="166" s="1"/>
  <c r="R58" i="166" s="1"/>
  <c r="R68" i="166"/>
  <c r="U25" i="166"/>
  <c r="U21" i="166" s="1"/>
  <c r="S32" i="166"/>
  <c r="T99" i="166"/>
  <c r="T26" i="166"/>
  <c r="T27" i="166" s="1"/>
  <c r="T28" i="166" s="1"/>
  <c r="T36" i="166"/>
  <c r="T88" i="166"/>
  <c r="T89" i="166" s="1"/>
  <c r="Q59" i="166"/>
  <c r="Q69" i="166"/>
  <c r="P113" i="165"/>
  <c r="P122" i="165"/>
  <c r="R21" i="165"/>
  <c r="R110" i="165"/>
  <c r="R111" i="165"/>
  <c r="R117" i="165" s="1"/>
  <c r="Q116" i="165"/>
  <c r="Q118" i="165" s="1"/>
  <c r="Q112" i="165"/>
  <c r="R102" i="165"/>
  <c r="R101" i="165"/>
  <c r="R88" i="165"/>
  <c r="R89" i="165" s="1"/>
  <c r="Q103" i="165"/>
  <c r="R36" i="165"/>
  <c r="R26" i="165"/>
  <c r="R27" i="165" s="1"/>
  <c r="R28" i="165" s="1"/>
  <c r="U13" i="165"/>
  <c r="V12" i="165"/>
  <c r="T67" i="165"/>
  <c r="T73" i="165"/>
  <c r="T61" i="165"/>
  <c r="T16" i="165"/>
  <c r="T14" i="165"/>
  <c r="O59" i="165"/>
  <c r="O69" i="165"/>
  <c r="N83" i="165"/>
  <c r="N84" i="165" s="1"/>
  <c r="N85" i="165" s="1"/>
  <c r="N71" i="165"/>
  <c r="N70" i="165"/>
  <c r="P56" i="165"/>
  <c r="P57" i="165" s="1"/>
  <c r="P58" i="165" s="1"/>
  <c r="P68" i="165"/>
  <c r="N79" i="165"/>
  <c r="N80" i="165" s="1"/>
  <c r="N81" i="165" s="1"/>
  <c r="N65" i="165"/>
  <c r="N64" i="165"/>
  <c r="P50" i="165"/>
  <c r="P51" i="165" s="1"/>
  <c r="P52" i="165" s="1"/>
  <c r="P62" i="165"/>
  <c r="P74" i="165"/>
  <c r="O53" i="165"/>
  <c r="O75" i="165"/>
  <c r="O76" i="165" s="1"/>
  <c r="O63" i="165"/>
  <c r="S25" i="165"/>
  <c r="S100" i="165" s="1"/>
  <c r="R32" i="165"/>
  <c r="S17" i="165"/>
  <c r="Q37" i="165"/>
  <c r="Q38" i="165" s="1"/>
  <c r="Q39" i="165" s="1"/>
  <c r="Q49" i="165"/>
  <c r="Q55" i="165"/>
  <c r="E21" i="126"/>
  <c r="I27" i="126"/>
  <c r="B33" i="124"/>
  <c r="B14" i="124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6" i="124"/>
  <c r="B7" i="124"/>
  <c r="B8" i="124" s="1"/>
  <c r="B9" i="124" s="1"/>
  <c r="B10" i="124" s="1"/>
  <c r="B11" i="124" s="1"/>
  <c r="B12" i="124" s="1"/>
  <c r="B13" i="124" s="1"/>
  <c r="S81" i="124"/>
  <c r="B53" i="124"/>
  <c r="B54" i="124" s="1"/>
  <c r="B55" i="124" s="1"/>
  <c r="B56" i="124" s="1"/>
  <c r="B57" i="124" s="1"/>
  <c r="B58" i="124" s="1"/>
  <c r="B59" i="124" s="1"/>
  <c r="B60" i="124" s="1"/>
  <c r="B61" i="124" s="1"/>
  <c r="B62" i="124" s="1"/>
  <c r="B63" i="124" s="1"/>
  <c r="B64" i="124" s="1"/>
  <c r="B65" i="124" s="1"/>
  <c r="B66" i="124" s="1"/>
  <c r="B67" i="124" s="1"/>
  <c r="B68" i="124" s="1"/>
  <c r="B69" i="124" s="1"/>
  <c r="B70" i="124" s="1"/>
  <c r="B71" i="124" s="1"/>
  <c r="B72" i="124" s="1"/>
  <c r="B73" i="124" s="1"/>
  <c r="B74" i="124" s="1"/>
  <c r="B75" i="124" s="1"/>
  <c r="B76" i="124" s="1"/>
  <c r="B77" i="124" s="1"/>
  <c r="B78" i="124" s="1"/>
  <c r="B79" i="124" s="1"/>
  <c r="B80" i="124" s="1"/>
  <c r="X13" i="166" l="1"/>
  <c r="Y12" i="166"/>
  <c r="R59" i="166"/>
  <c r="R69" i="166"/>
  <c r="T37" i="166"/>
  <c r="T38" i="166" s="1"/>
  <c r="T39" i="166" s="1"/>
  <c r="T55" i="166"/>
  <c r="T49" i="166"/>
  <c r="T109" i="166"/>
  <c r="T110" i="166"/>
  <c r="T116" i="166" s="1"/>
  <c r="T101" i="166"/>
  <c r="T100" i="166"/>
  <c r="T102" i="166" s="1"/>
  <c r="W67" i="166"/>
  <c r="W61" i="166"/>
  <c r="W73" i="166"/>
  <c r="W16" i="166"/>
  <c r="W14" i="166"/>
  <c r="R112" i="166"/>
  <c r="R121" i="166"/>
  <c r="T32" i="166"/>
  <c r="S102" i="166"/>
  <c r="V21" i="166"/>
  <c r="V25" i="166"/>
  <c r="Q83" i="166"/>
  <c r="Q84" i="166" s="1"/>
  <c r="Q85" i="166" s="1"/>
  <c r="Q71" i="166"/>
  <c r="Q70" i="166"/>
  <c r="S111" i="166"/>
  <c r="S115" i="166"/>
  <c r="S117" i="166" s="1"/>
  <c r="V17" i="166"/>
  <c r="Q79" i="166"/>
  <c r="Q80" i="166" s="1"/>
  <c r="Q81" i="166" s="1"/>
  <c r="Q65" i="166"/>
  <c r="Q64" i="166"/>
  <c r="S56" i="166"/>
  <c r="S57" i="166" s="1"/>
  <c r="S58" i="166" s="1"/>
  <c r="S68" i="166"/>
  <c r="U32" i="166"/>
  <c r="U99" i="166"/>
  <c r="U36" i="166"/>
  <c r="U26" i="166"/>
  <c r="U27" i="166" s="1"/>
  <c r="U28" i="166" s="1"/>
  <c r="U88" i="166"/>
  <c r="U89" i="166" s="1"/>
  <c r="S50" i="166"/>
  <c r="S51" i="166" s="1"/>
  <c r="S52" i="166" s="1"/>
  <c r="S62" i="166"/>
  <c r="S74" i="166"/>
  <c r="R53" i="166"/>
  <c r="R75" i="166"/>
  <c r="R76" i="166" s="1"/>
  <c r="R63" i="166"/>
  <c r="Q113" i="165"/>
  <c r="Q122" i="165"/>
  <c r="S110" i="165"/>
  <c r="S111" i="165"/>
  <c r="S117" i="165" s="1"/>
  <c r="R112" i="165"/>
  <c r="R116" i="165"/>
  <c r="R118" i="165" s="1"/>
  <c r="S102" i="165"/>
  <c r="S101" i="165"/>
  <c r="S88" i="165"/>
  <c r="S89" i="165" s="1"/>
  <c r="R103" i="165"/>
  <c r="O83" i="165"/>
  <c r="O84" i="165" s="1"/>
  <c r="O85" i="165" s="1"/>
  <c r="O71" i="165"/>
  <c r="O70" i="165"/>
  <c r="U73" i="165"/>
  <c r="U67" i="165"/>
  <c r="U61" i="165"/>
  <c r="U14" i="165"/>
  <c r="U16" i="165"/>
  <c r="S36" i="165"/>
  <c r="S32" i="165" s="1"/>
  <c r="S26" i="165"/>
  <c r="S27" i="165" s="1"/>
  <c r="S28" i="165" s="1"/>
  <c r="Q56" i="165"/>
  <c r="Q57" i="165" s="1"/>
  <c r="Q58" i="165" s="1"/>
  <c r="Q68" i="165"/>
  <c r="O65" i="165"/>
  <c r="O79" i="165"/>
  <c r="O80" i="165" s="1"/>
  <c r="O81" i="165" s="1"/>
  <c r="O64" i="165"/>
  <c r="T17" i="165"/>
  <c r="P53" i="165"/>
  <c r="P63" i="165"/>
  <c r="P75" i="165"/>
  <c r="P76" i="165" s="1"/>
  <c r="S21" i="165"/>
  <c r="Q50" i="165"/>
  <c r="Q51" i="165" s="1"/>
  <c r="Q52" i="165" s="1"/>
  <c r="Q74" i="165"/>
  <c r="Q62" i="165"/>
  <c r="V13" i="165"/>
  <c r="W12" i="165"/>
  <c r="P59" i="165"/>
  <c r="P69" i="165"/>
  <c r="T25" i="165"/>
  <c r="T100" i="165" s="1"/>
  <c r="R37" i="165"/>
  <c r="R38" i="165" s="1"/>
  <c r="R39" i="165" s="1"/>
  <c r="R55" i="165"/>
  <c r="R49" i="165"/>
  <c r="C48" i="137"/>
  <c r="D44" i="137"/>
  <c r="D47" i="137"/>
  <c r="F44" i="137"/>
  <c r="D48" i="137"/>
  <c r="F48" i="137" s="1"/>
  <c r="T50" i="166" l="1"/>
  <c r="T51" i="166" s="1"/>
  <c r="T52" i="166" s="1"/>
  <c r="T74" i="166"/>
  <c r="T62" i="166"/>
  <c r="S112" i="166"/>
  <c r="S121" i="166"/>
  <c r="T56" i="166"/>
  <c r="T57" i="166" s="1"/>
  <c r="T58" i="166" s="1"/>
  <c r="T68" i="166"/>
  <c r="T115" i="166"/>
  <c r="T117" i="166" s="1"/>
  <c r="T111" i="166"/>
  <c r="S59" i="166"/>
  <c r="S69" i="166"/>
  <c r="S53" i="166"/>
  <c r="S63" i="166"/>
  <c r="S75" i="166"/>
  <c r="S76" i="166" s="1"/>
  <c r="R71" i="166"/>
  <c r="R83" i="166"/>
  <c r="R84" i="166" s="1"/>
  <c r="R85" i="166" s="1"/>
  <c r="R70" i="166"/>
  <c r="U110" i="166"/>
  <c r="U116" i="166" s="1"/>
  <c r="U109" i="166"/>
  <c r="U101" i="166"/>
  <c r="U100" i="166"/>
  <c r="W17" i="166"/>
  <c r="Y13" i="166"/>
  <c r="Z12" i="166"/>
  <c r="R79" i="166"/>
  <c r="R80" i="166" s="1"/>
  <c r="R81" i="166" s="1"/>
  <c r="R65" i="166"/>
  <c r="R64" i="166"/>
  <c r="U37" i="166"/>
  <c r="U38" i="166" s="1"/>
  <c r="U39" i="166" s="1"/>
  <c r="U55" i="166"/>
  <c r="U49" i="166"/>
  <c r="V32" i="166"/>
  <c r="V99" i="166"/>
  <c r="V36" i="166"/>
  <c r="V26" i="166"/>
  <c r="V27" i="166" s="1"/>
  <c r="V28" i="166" s="1"/>
  <c r="V88" i="166"/>
  <c r="V89" i="166" s="1"/>
  <c r="W21" i="166"/>
  <c r="W25" i="166"/>
  <c r="X61" i="166"/>
  <c r="X73" i="166"/>
  <c r="X67" i="166"/>
  <c r="X14" i="166"/>
  <c r="X16" i="166"/>
  <c r="R113" i="165"/>
  <c r="R122" i="165"/>
  <c r="T110" i="165"/>
  <c r="T111" i="165"/>
  <c r="T117" i="165" s="1"/>
  <c r="S112" i="165"/>
  <c r="S116" i="165"/>
  <c r="S118" i="165" s="1"/>
  <c r="T101" i="165"/>
  <c r="T102" i="165"/>
  <c r="T88" i="165"/>
  <c r="T89" i="165" s="1"/>
  <c r="S103" i="165"/>
  <c r="Q59" i="165"/>
  <c r="Q69" i="165"/>
  <c r="V61" i="165"/>
  <c r="V73" i="165"/>
  <c r="V16" i="165"/>
  <c r="V67" i="165"/>
  <c r="V14" i="165"/>
  <c r="R56" i="165"/>
  <c r="R57" i="165" s="1"/>
  <c r="R58" i="165" s="1"/>
  <c r="R68" i="165"/>
  <c r="W13" i="165"/>
  <c r="X12" i="165"/>
  <c r="T36" i="165"/>
  <c r="T26" i="165"/>
  <c r="T27" i="165" s="1"/>
  <c r="T28" i="165" s="1"/>
  <c r="P65" i="165"/>
  <c r="P79" i="165"/>
  <c r="P80" i="165" s="1"/>
  <c r="P81" i="165" s="1"/>
  <c r="P64" i="165"/>
  <c r="R50" i="165"/>
  <c r="R51" i="165" s="1"/>
  <c r="R52" i="165" s="1"/>
  <c r="R74" i="165"/>
  <c r="R62" i="165"/>
  <c r="Q53" i="165"/>
  <c r="Q63" i="165"/>
  <c r="Q75" i="165"/>
  <c r="Q76" i="165" s="1"/>
  <c r="S37" i="165"/>
  <c r="S38" i="165" s="1"/>
  <c r="S39" i="165" s="1"/>
  <c r="S49" i="165"/>
  <c r="S55" i="165"/>
  <c r="T21" i="165"/>
  <c r="U25" i="165"/>
  <c r="U100" i="165" s="1"/>
  <c r="P71" i="165"/>
  <c r="P83" i="165"/>
  <c r="P84" i="165" s="1"/>
  <c r="P85" i="165" s="1"/>
  <c r="P70" i="165"/>
  <c r="U17" i="165"/>
  <c r="G111" i="145"/>
  <c r="F111" i="145"/>
  <c r="D117" i="145"/>
  <c r="D99" i="145"/>
  <c r="C90" i="145"/>
  <c r="C106" i="145"/>
  <c r="C107" i="145" s="1"/>
  <c r="C108" i="145" s="1"/>
  <c r="C41" i="145"/>
  <c r="C42" i="145" s="1"/>
  <c r="C43" i="145" s="1"/>
  <c r="D34" i="145"/>
  <c r="U102" i="166" l="1"/>
  <c r="S79" i="166"/>
  <c r="S80" i="166" s="1"/>
  <c r="S81" i="166" s="1"/>
  <c r="S65" i="166"/>
  <c r="S64" i="166"/>
  <c r="V37" i="166"/>
  <c r="V38" i="166" s="1"/>
  <c r="V39" i="166" s="1"/>
  <c r="V55" i="166"/>
  <c r="V49" i="166"/>
  <c r="U111" i="166"/>
  <c r="U115" i="166"/>
  <c r="U117" i="166" s="1"/>
  <c r="S71" i="166"/>
  <c r="S83" i="166"/>
  <c r="S84" i="166" s="1"/>
  <c r="S85" i="166" s="1"/>
  <c r="S70" i="166"/>
  <c r="V110" i="166"/>
  <c r="V116" i="166" s="1"/>
  <c r="V109" i="166"/>
  <c r="V100" i="166"/>
  <c r="V101" i="166"/>
  <c r="Z13" i="166"/>
  <c r="AA12" i="166"/>
  <c r="T59" i="166"/>
  <c r="T69" i="166"/>
  <c r="T112" i="166"/>
  <c r="T121" i="166"/>
  <c r="X25" i="166"/>
  <c r="W32" i="166"/>
  <c r="X17" i="166"/>
  <c r="Y61" i="166"/>
  <c r="Y73" i="166"/>
  <c r="Y67" i="166"/>
  <c r="Y16" i="166"/>
  <c r="Y14" i="166"/>
  <c r="U50" i="166"/>
  <c r="U51" i="166" s="1"/>
  <c r="U52" i="166" s="1"/>
  <c r="U74" i="166"/>
  <c r="U62" i="166"/>
  <c r="T53" i="166"/>
  <c r="T75" i="166"/>
  <c r="T76" i="166" s="1"/>
  <c r="T63" i="166"/>
  <c r="W99" i="166"/>
  <c r="W36" i="166"/>
  <c r="W26" i="166"/>
  <c r="W27" i="166" s="1"/>
  <c r="W28" i="166" s="1"/>
  <c r="W88" i="166"/>
  <c r="W89" i="166" s="1"/>
  <c r="U56" i="166"/>
  <c r="U57" i="166" s="1"/>
  <c r="U58" i="166" s="1"/>
  <c r="U68" i="166"/>
  <c r="S113" i="165"/>
  <c r="S122" i="165"/>
  <c r="U110" i="165"/>
  <c r="U111" i="165"/>
  <c r="U117" i="165" s="1"/>
  <c r="T112" i="165"/>
  <c r="T116" i="165"/>
  <c r="T118" i="165" s="1"/>
  <c r="U102" i="165"/>
  <c r="U101" i="165"/>
  <c r="U88" i="165"/>
  <c r="U89" i="165" s="1"/>
  <c r="T103" i="165"/>
  <c r="V25" i="165"/>
  <c r="X13" i="165"/>
  <c r="Y12" i="165"/>
  <c r="S56" i="165"/>
  <c r="S57" i="165" s="1"/>
  <c r="S58" i="165" s="1"/>
  <c r="S68" i="165"/>
  <c r="R53" i="165"/>
  <c r="R63" i="165"/>
  <c r="R75" i="165"/>
  <c r="R76" i="165" s="1"/>
  <c r="W61" i="165"/>
  <c r="W67" i="165"/>
  <c r="W14" i="165"/>
  <c r="W73" i="165"/>
  <c r="W16" i="165"/>
  <c r="U36" i="165"/>
  <c r="U26" i="165"/>
  <c r="U27" i="165" s="1"/>
  <c r="U28" i="165" s="1"/>
  <c r="T37" i="165"/>
  <c r="T38" i="165" s="1"/>
  <c r="T39" i="165" s="1"/>
  <c r="T49" i="165"/>
  <c r="T55" i="165"/>
  <c r="U21" i="165"/>
  <c r="T32" i="165"/>
  <c r="S50" i="165"/>
  <c r="S51" i="165" s="1"/>
  <c r="S52" i="165" s="1"/>
  <c r="S74" i="165"/>
  <c r="S62" i="165"/>
  <c r="R59" i="165"/>
  <c r="R69" i="165"/>
  <c r="Q71" i="165"/>
  <c r="Q83" i="165"/>
  <c r="Q84" i="165" s="1"/>
  <c r="Q85" i="165" s="1"/>
  <c r="Q70" i="165"/>
  <c r="Q65" i="165"/>
  <c r="Q79" i="165"/>
  <c r="Q80" i="165" s="1"/>
  <c r="Q81" i="165" s="1"/>
  <c r="Q64" i="165"/>
  <c r="V17" i="165"/>
  <c r="C25" i="145"/>
  <c r="C122" i="145"/>
  <c r="C115" i="145"/>
  <c r="C96" i="145"/>
  <c r="C97" i="145" s="1"/>
  <c r="C86" i="145"/>
  <c r="G92" i="145" s="1"/>
  <c r="C79" i="145"/>
  <c r="C74" i="145"/>
  <c r="C73" i="145"/>
  <c r="C72" i="145"/>
  <c r="C70" i="145"/>
  <c r="C56" i="145"/>
  <c r="D51" i="145"/>
  <c r="C49" i="145"/>
  <c r="C52" i="145" s="1"/>
  <c r="G27" i="145"/>
  <c r="C31" i="145"/>
  <c r="C32" i="145" s="1"/>
  <c r="C21" i="145"/>
  <c r="C59" i="145" s="1"/>
  <c r="C14" i="145"/>
  <c r="C9" i="145"/>
  <c r="C8" i="145"/>
  <c r="C7" i="145"/>
  <c r="C6" i="145"/>
  <c r="C5" i="145"/>
  <c r="C4" i="145"/>
  <c r="V56" i="166" l="1"/>
  <c r="V57" i="166" s="1"/>
  <c r="V58" i="166" s="1"/>
  <c r="V68" i="166"/>
  <c r="V50" i="166"/>
  <c r="V51" i="166" s="1"/>
  <c r="V52" i="166" s="1"/>
  <c r="V62" i="166"/>
  <c r="V74" i="166"/>
  <c r="W37" i="166"/>
  <c r="W38" i="166" s="1"/>
  <c r="W39" i="166" s="1"/>
  <c r="W55" i="166"/>
  <c r="W49" i="166"/>
  <c r="Y17" i="166"/>
  <c r="V111" i="166"/>
  <c r="V115" i="166"/>
  <c r="V117" i="166" s="1"/>
  <c r="W109" i="166"/>
  <c r="W101" i="166"/>
  <c r="W100" i="166"/>
  <c r="W102" i="166" s="1"/>
  <c r="W110" i="166"/>
  <c r="W116" i="166" s="1"/>
  <c r="AA13" i="166"/>
  <c r="AB12" i="166"/>
  <c r="U59" i="166"/>
  <c r="U69" i="166"/>
  <c r="U53" i="166"/>
  <c r="U63" i="166"/>
  <c r="U75" i="166"/>
  <c r="U76" i="166" s="1"/>
  <c r="T83" i="166"/>
  <c r="T84" i="166" s="1"/>
  <c r="T85" i="166" s="1"/>
  <c r="T71" i="166"/>
  <c r="T70" i="166"/>
  <c r="T79" i="166"/>
  <c r="T80" i="166" s="1"/>
  <c r="T81" i="166" s="1"/>
  <c r="T65" i="166"/>
  <c r="T64" i="166"/>
  <c r="Y21" i="166"/>
  <c r="Y25" i="166"/>
  <c r="Z61" i="166"/>
  <c r="Z73" i="166"/>
  <c r="Z67" i="166"/>
  <c r="Z14" i="166"/>
  <c r="Z16" i="166"/>
  <c r="X99" i="166"/>
  <c r="X36" i="166"/>
  <c r="X26" i="166"/>
  <c r="X27" i="166" s="1"/>
  <c r="X28" i="166" s="1"/>
  <c r="X88" i="166"/>
  <c r="X89" i="166" s="1"/>
  <c r="X21" i="166"/>
  <c r="V102" i="166"/>
  <c r="U112" i="166"/>
  <c r="U121" i="166"/>
  <c r="T113" i="165"/>
  <c r="T122" i="165"/>
  <c r="U112" i="165"/>
  <c r="U116" i="165"/>
  <c r="U118" i="165" s="1"/>
  <c r="V21" i="165"/>
  <c r="V100" i="165"/>
  <c r="V88" i="165"/>
  <c r="V89" i="165" s="1"/>
  <c r="U103" i="165"/>
  <c r="S53" i="165"/>
  <c r="S63" i="165"/>
  <c r="S75" i="165"/>
  <c r="S76" i="165" s="1"/>
  <c r="U37" i="165"/>
  <c r="U38" i="165" s="1"/>
  <c r="U39" i="165" s="1"/>
  <c r="U49" i="165"/>
  <c r="U55" i="165"/>
  <c r="U32" i="165"/>
  <c r="R65" i="165"/>
  <c r="R79" i="165"/>
  <c r="R80" i="165" s="1"/>
  <c r="R81" i="165" s="1"/>
  <c r="R64" i="165"/>
  <c r="R71" i="165"/>
  <c r="R83" i="165"/>
  <c r="R84" i="165" s="1"/>
  <c r="R85" i="165" s="1"/>
  <c r="R70" i="165"/>
  <c r="W25" i="165"/>
  <c r="W100" i="165" s="1"/>
  <c r="W21" i="165"/>
  <c r="T56" i="165"/>
  <c r="T57" i="165" s="1"/>
  <c r="T58" i="165" s="1"/>
  <c r="T68" i="165"/>
  <c r="W17" i="165"/>
  <c r="S59" i="165"/>
  <c r="S69" i="165"/>
  <c r="T50" i="165"/>
  <c r="T51" i="165" s="1"/>
  <c r="T52" i="165" s="1"/>
  <c r="T74" i="165"/>
  <c r="T62" i="165"/>
  <c r="Y13" i="165"/>
  <c r="Z12" i="165"/>
  <c r="X73" i="165"/>
  <c r="X61" i="165"/>
  <c r="X67" i="165"/>
  <c r="X14" i="165"/>
  <c r="X16" i="165"/>
  <c r="V26" i="165"/>
  <c r="V27" i="165" s="1"/>
  <c r="V28" i="165" s="1"/>
  <c r="V36" i="165"/>
  <c r="C116" i="145"/>
  <c r="C50" i="145"/>
  <c r="D118" i="145"/>
  <c r="C118" i="145"/>
  <c r="F118" i="145"/>
  <c r="D52" i="145"/>
  <c r="F52" i="145" s="1"/>
  <c r="C125" i="145"/>
  <c r="I5" i="145"/>
  <c r="J5" i="145" s="1"/>
  <c r="K5" i="145" s="1"/>
  <c r="L5" i="145" s="1"/>
  <c r="M5" i="145" s="1"/>
  <c r="N5" i="145" s="1"/>
  <c r="O5" i="145" s="1"/>
  <c r="P5" i="145" s="1"/>
  <c r="Q5" i="145" s="1"/>
  <c r="R5" i="145" s="1"/>
  <c r="S5" i="145" s="1"/>
  <c r="T5" i="145" s="1"/>
  <c r="U5" i="145" s="1"/>
  <c r="V5" i="145" s="1"/>
  <c r="W5" i="145" s="1"/>
  <c r="X5" i="145" s="1"/>
  <c r="Y5" i="145" s="1"/>
  <c r="Z5" i="145" s="1"/>
  <c r="AA5" i="145" s="1"/>
  <c r="AB5" i="145" s="1"/>
  <c r="AC5" i="145" s="1"/>
  <c r="AD5" i="145" s="1"/>
  <c r="AE5" i="145" s="1"/>
  <c r="AF5" i="145" s="1"/>
  <c r="AG5" i="145" s="1"/>
  <c r="AH5" i="145" s="1"/>
  <c r="AI5" i="145" s="1"/>
  <c r="AJ5" i="145" s="1"/>
  <c r="AK5" i="145" s="1"/>
  <c r="AL5" i="145" s="1"/>
  <c r="AM5" i="145" s="1"/>
  <c r="AN5" i="145" s="1"/>
  <c r="AO5" i="145" s="1"/>
  <c r="AP5" i="145" s="1"/>
  <c r="AQ5" i="145" s="1"/>
  <c r="AR5" i="145" s="1"/>
  <c r="AS5" i="145" s="1"/>
  <c r="AT5" i="145" s="1"/>
  <c r="AU5" i="145" s="1"/>
  <c r="AV5" i="145" s="1"/>
  <c r="AW5" i="145" s="1"/>
  <c r="AX5" i="145" s="1"/>
  <c r="AY5" i="145" s="1"/>
  <c r="AZ5" i="145" s="1"/>
  <c r="BA5" i="145" s="1"/>
  <c r="BB5" i="145" s="1"/>
  <c r="BC5" i="145" s="1"/>
  <c r="BD5" i="145" s="1"/>
  <c r="BE5" i="145" s="1"/>
  <c r="BF5" i="145" s="1"/>
  <c r="BG5" i="145" s="1"/>
  <c r="BH5" i="145" s="1"/>
  <c r="BI5" i="145" s="1"/>
  <c r="BJ5" i="145" s="1"/>
  <c r="BK5" i="145" s="1"/>
  <c r="BL5" i="145" s="1"/>
  <c r="BM5" i="145" s="1"/>
  <c r="BN5" i="145" s="1"/>
  <c r="BO5" i="145" s="1"/>
  <c r="BP5" i="145" s="1"/>
  <c r="BQ5" i="145" s="1"/>
  <c r="BR5" i="145" s="1"/>
  <c r="BS5" i="145" s="1"/>
  <c r="BT5" i="145" s="1"/>
  <c r="BU5" i="145" s="1"/>
  <c r="BV5" i="145" s="1"/>
  <c r="BW5" i="145" s="1"/>
  <c r="BX5" i="145" s="1"/>
  <c r="BY5" i="145" s="1"/>
  <c r="BZ5" i="145" s="1"/>
  <c r="CA5" i="145" s="1"/>
  <c r="CB5" i="145" s="1"/>
  <c r="CC5" i="145" s="1"/>
  <c r="CD5" i="145" s="1"/>
  <c r="CE5" i="145" s="1"/>
  <c r="CF5" i="145" s="1"/>
  <c r="CG5" i="145" s="1"/>
  <c r="CH5" i="145" s="1"/>
  <c r="CI5" i="145" s="1"/>
  <c r="CJ5" i="145" s="1"/>
  <c r="CK5" i="145" s="1"/>
  <c r="CL5" i="145" s="1"/>
  <c r="CM5" i="145" s="1"/>
  <c r="CN5" i="145" s="1"/>
  <c r="CO5" i="145" s="1"/>
  <c r="CP5" i="145" s="1"/>
  <c r="CQ5" i="145" s="1"/>
  <c r="CR5" i="145" s="1"/>
  <c r="CS5" i="145" s="1"/>
  <c r="CT5" i="145" s="1"/>
  <c r="CU5" i="145" s="1"/>
  <c r="CV5" i="145" s="1"/>
  <c r="CW5" i="145" s="1"/>
  <c r="CX5" i="145" s="1"/>
  <c r="CY5" i="145" s="1"/>
  <c r="CZ5" i="145" s="1"/>
  <c r="DA5" i="145" s="1"/>
  <c r="DB5" i="145" s="1"/>
  <c r="DC5" i="145" s="1"/>
  <c r="DD5" i="145" s="1"/>
  <c r="DE5" i="145" s="1"/>
  <c r="DF5" i="145" s="1"/>
  <c r="DG5" i="145" s="1"/>
  <c r="DH5" i="145" s="1"/>
  <c r="DI5" i="145" s="1"/>
  <c r="DJ5" i="145" s="1"/>
  <c r="DK5" i="145" s="1"/>
  <c r="DL5" i="145" s="1"/>
  <c r="DM5" i="145" s="1"/>
  <c r="DN5" i="145" s="1"/>
  <c r="DO5" i="145" s="1"/>
  <c r="DP5" i="145" s="1"/>
  <c r="DQ5" i="145" s="1"/>
  <c r="DR5" i="145" s="1"/>
  <c r="DS5" i="145" s="1"/>
  <c r="DT5" i="145" s="1"/>
  <c r="DU5" i="145" s="1"/>
  <c r="DV5" i="145" s="1"/>
  <c r="DW5" i="145" s="1"/>
  <c r="DX5" i="145" s="1"/>
  <c r="G99" i="145"/>
  <c r="G51" i="145"/>
  <c r="D35" i="145"/>
  <c r="F51" i="145"/>
  <c r="C35" i="145"/>
  <c r="G34" i="145"/>
  <c r="F34" i="145"/>
  <c r="C33" i="145"/>
  <c r="G117" i="145"/>
  <c r="D100" i="145"/>
  <c r="F117" i="145"/>
  <c r="C100" i="145"/>
  <c r="F99" i="145"/>
  <c r="C98" i="145"/>
  <c r="C71" i="145"/>
  <c r="U79" i="166" l="1"/>
  <c r="U80" i="166" s="1"/>
  <c r="U81" i="166" s="1"/>
  <c r="U65" i="166"/>
  <c r="U64" i="166"/>
  <c r="Z17" i="166"/>
  <c r="U83" i="166"/>
  <c r="U84" i="166" s="1"/>
  <c r="U85" i="166" s="1"/>
  <c r="U71" i="166"/>
  <c r="U70" i="166"/>
  <c r="W111" i="166"/>
  <c r="W115" i="166"/>
  <c r="W117" i="166" s="1"/>
  <c r="W56" i="166"/>
  <c r="W57" i="166" s="1"/>
  <c r="W58" i="166" s="1"/>
  <c r="W68" i="166"/>
  <c r="AB13" i="166"/>
  <c r="AC12" i="166"/>
  <c r="AC13" i="166" s="1"/>
  <c r="V112" i="166"/>
  <c r="V121" i="166"/>
  <c r="V53" i="166"/>
  <c r="V75" i="166"/>
  <c r="V76" i="166" s="1"/>
  <c r="V63" i="166"/>
  <c r="Z25" i="166"/>
  <c r="Z21" i="166" s="1"/>
  <c r="X37" i="166"/>
  <c r="X38" i="166" s="1"/>
  <c r="X39" i="166" s="1"/>
  <c r="X55" i="166"/>
  <c r="X49" i="166"/>
  <c r="X32" i="166"/>
  <c r="V59" i="166"/>
  <c r="V69" i="166"/>
  <c r="AA73" i="166"/>
  <c r="AA67" i="166"/>
  <c r="AA61" i="166"/>
  <c r="AA14" i="166"/>
  <c r="AA16" i="166"/>
  <c r="X109" i="166"/>
  <c r="X110" i="166"/>
  <c r="X116" i="166" s="1"/>
  <c r="X101" i="166"/>
  <c r="X100" i="166"/>
  <c r="X102" i="166" s="1"/>
  <c r="Y99" i="166"/>
  <c r="Y36" i="166"/>
  <c r="Y26" i="166"/>
  <c r="Y27" i="166" s="1"/>
  <c r="Y28" i="166" s="1"/>
  <c r="Y88" i="166"/>
  <c r="Y89" i="166" s="1"/>
  <c r="W50" i="166"/>
  <c r="W51" i="166" s="1"/>
  <c r="W52" i="166" s="1"/>
  <c r="W62" i="166"/>
  <c r="W74" i="166"/>
  <c r="U113" i="165"/>
  <c r="U122" i="165"/>
  <c r="V110" i="165"/>
  <c r="V111" i="165"/>
  <c r="V117" i="165" s="1"/>
  <c r="W110" i="165"/>
  <c r="W111" i="165"/>
  <c r="W117" i="165" s="1"/>
  <c r="W102" i="165"/>
  <c r="W101" i="165"/>
  <c r="V102" i="165"/>
  <c r="V101" i="165"/>
  <c r="W88" i="165"/>
  <c r="W89" i="165" s="1"/>
  <c r="S71" i="165"/>
  <c r="S83" i="165"/>
  <c r="S84" i="165" s="1"/>
  <c r="S85" i="165" s="1"/>
  <c r="S70" i="165"/>
  <c r="W36" i="165"/>
  <c r="W32" i="165" s="1"/>
  <c r="W26" i="165"/>
  <c r="W27" i="165" s="1"/>
  <c r="W28" i="165" s="1"/>
  <c r="V37" i="165"/>
  <c r="V38" i="165" s="1"/>
  <c r="V39" i="165" s="1"/>
  <c r="V49" i="165"/>
  <c r="V55" i="165"/>
  <c r="U56" i="165"/>
  <c r="U57" i="165" s="1"/>
  <c r="U58" i="165" s="1"/>
  <c r="U68" i="165"/>
  <c r="Y73" i="165"/>
  <c r="Y61" i="165"/>
  <c r="Y67" i="165"/>
  <c r="Y14" i="165"/>
  <c r="Y16" i="165"/>
  <c r="T53" i="165"/>
  <c r="T75" i="165"/>
  <c r="T76" i="165" s="1"/>
  <c r="T63" i="165"/>
  <c r="U50" i="165"/>
  <c r="U51" i="165" s="1"/>
  <c r="U52" i="165" s="1"/>
  <c r="U62" i="165"/>
  <c r="U74" i="165"/>
  <c r="X25" i="165"/>
  <c r="V32" i="165"/>
  <c r="Z13" i="165"/>
  <c r="AA12" i="165"/>
  <c r="X17" i="165"/>
  <c r="T59" i="165"/>
  <c r="T69" i="165"/>
  <c r="S65" i="165"/>
  <c r="S79" i="165"/>
  <c r="S80" i="165" s="1"/>
  <c r="S81" i="165" s="1"/>
  <c r="S64" i="165"/>
  <c r="C121" i="145"/>
  <c r="C123" i="145" s="1"/>
  <c r="G110" i="145"/>
  <c r="G45" i="145"/>
  <c r="C55" i="145"/>
  <c r="C57" i="145" s="1"/>
  <c r="F35" i="145"/>
  <c r="C126" i="145"/>
  <c r="C127" i="145" s="1"/>
  <c r="C129" i="145" s="1"/>
  <c r="C75" i="145"/>
  <c r="F100" i="145"/>
  <c r="C60" i="145"/>
  <c r="C61" i="145" s="1"/>
  <c r="C63" i="145" s="1"/>
  <c r="C10" i="145"/>
  <c r="I70" i="145"/>
  <c r="J70" i="145" s="1"/>
  <c r="K70" i="145" s="1"/>
  <c r="L70" i="145" s="1"/>
  <c r="M70" i="145" s="1"/>
  <c r="N70" i="145" s="1"/>
  <c r="O70" i="145" s="1"/>
  <c r="P70" i="145" s="1"/>
  <c r="W53" i="166" l="1"/>
  <c r="W63" i="166"/>
  <c r="W75" i="166"/>
  <c r="W76" i="166" s="1"/>
  <c r="V83" i="166"/>
  <c r="V84" i="166" s="1"/>
  <c r="V85" i="166" s="1"/>
  <c r="V71" i="166"/>
  <c r="V70" i="166"/>
  <c r="AB73" i="166"/>
  <c r="AB67" i="166"/>
  <c r="AB61" i="166"/>
  <c r="AB14" i="166"/>
  <c r="AB16" i="166"/>
  <c r="AA25" i="166"/>
  <c r="AA19" i="166"/>
  <c r="AA21" i="166"/>
  <c r="X111" i="166"/>
  <c r="X115" i="166"/>
  <c r="X117" i="166" s="1"/>
  <c r="Y37" i="166"/>
  <c r="Y38" i="166" s="1"/>
  <c r="Y39" i="166" s="1"/>
  <c r="Y49" i="166"/>
  <c r="Y55" i="166"/>
  <c r="X50" i="166"/>
  <c r="X51" i="166" s="1"/>
  <c r="X52" i="166" s="1"/>
  <c r="X74" i="166"/>
  <c r="X62" i="166"/>
  <c r="AC67" i="166"/>
  <c r="AC61" i="166"/>
  <c r="AC73" i="166"/>
  <c r="AC14" i="166"/>
  <c r="AC16" i="166"/>
  <c r="V79" i="166"/>
  <c r="V80" i="166" s="1"/>
  <c r="V81" i="166" s="1"/>
  <c r="V65" i="166"/>
  <c r="V64" i="166"/>
  <c r="Z99" i="166"/>
  <c r="Z26" i="166"/>
  <c r="Z27" i="166" s="1"/>
  <c r="Z28" i="166" s="1"/>
  <c r="Z36" i="166"/>
  <c r="Z88" i="166"/>
  <c r="Z89" i="166" s="1"/>
  <c r="AA17" i="166"/>
  <c r="W59" i="166"/>
  <c r="W69" i="166"/>
  <c r="Y110" i="166"/>
  <c r="Y116" i="166" s="1"/>
  <c r="Y109" i="166"/>
  <c r="Y101" i="166"/>
  <c r="Y100" i="166"/>
  <c r="Y102" i="166" s="1"/>
  <c r="X56" i="166"/>
  <c r="X57" i="166" s="1"/>
  <c r="X58" i="166" s="1"/>
  <c r="X68" i="166"/>
  <c r="Y32" i="166"/>
  <c r="W112" i="166"/>
  <c r="W121" i="166"/>
  <c r="W112" i="165"/>
  <c r="W116" i="165"/>
  <c r="W118" i="165" s="1"/>
  <c r="V116" i="165"/>
  <c r="V118" i="165" s="1"/>
  <c r="V112" i="165"/>
  <c r="V103" i="165"/>
  <c r="X21" i="165"/>
  <c r="X100" i="165"/>
  <c r="X88" i="165"/>
  <c r="X89" i="165" s="1"/>
  <c r="W103" i="165"/>
  <c r="Z73" i="165"/>
  <c r="Z61" i="165"/>
  <c r="Z67" i="165"/>
  <c r="Z14" i="165"/>
  <c r="Z16" i="165"/>
  <c r="T79" i="165"/>
  <c r="T80" i="165" s="1"/>
  <c r="T81" i="165" s="1"/>
  <c r="T65" i="165"/>
  <c r="T64" i="165"/>
  <c r="W37" i="165"/>
  <c r="W38" i="165" s="1"/>
  <c r="W39" i="165" s="1"/>
  <c r="W49" i="165"/>
  <c r="W55" i="165"/>
  <c r="U53" i="165"/>
  <c r="U75" i="165"/>
  <c r="U76" i="165" s="1"/>
  <c r="U63" i="165"/>
  <c r="AB12" i="165"/>
  <c r="AA13" i="165"/>
  <c r="U59" i="165"/>
  <c r="U69" i="165"/>
  <c r="T83" i="165"/>
  <c r="T84" i="165" s="1"/>
  <c r="T85" i="165" s="1"/>
  <c r="T71" i="165"/>
  <c r="T70" i="165"/>
  <c r="X36" i="165"/>
  <c r="X32" i="165" s="1"/>
  <c r="X26" i="165"/>
  <c r="X27" i="165" s="1"/>
  <c r="X28" i="165" s="1"/>
  <c r="Y25" i="165"/>
  <c r="Y17" i="165"/>
  <c r="V56" i="165"/>
  <c r="V57" i="165" s="1"/>
  <c r="V58" i="165" s="1"/>
  <c r="V68" i="165"/>
  <c r="V50" i="165"/>
  <c r="V51" i="165" s="1"/>
  <c r="V52" i="165" s="1"/>
  <c r="V74" i="165"/>
  <c r="V62" i="165"/>
  <c r="ED7" i="145"/>
  <c r="BR7" i="145"/>
  <c r="DU7" i="145"/>
  <c r="BI7" i="145"/>
  <c r="DL7" i="145"/>
  <c r="AZ7" i="145"/>
  <c r="DC7" i="145"/>
  <c r="AQ7" i="145"/>
  <c r="DB7" i="145"/>
  <c r="AP7" i="145"/>
  <c r="CS7" i="145"/>
  <c r="AG7" i="145"/>
  <c r="DH7" i="145"/>
  <c r="AU7" i="145"/>
  <c r="CY7" i="145"/>
  <c r="W7" i="145"/>
  <c r="DY7" i="145"/>
  <c r="DP7" i="145"/>
  <c r="DS7" i="145"/>
  <c r="DV7" i="145"/>
  <c r="BJ7" i="145"/>
  <c r="DM7" i="145"/>
  <c r="BA7" i="145"/>
  <c r="DD7" i="145"/>
  <c r="AR7" i="145"/>
  <c r="CU7" i="145"/>
  <c r="AI7" i="145"/>
  <c r="CT7" i="145"/>
  <c r="AH7" i="145"/>
  <c r="CK7" i="145"/>
  <c r="Y7" i="145"/>
  <c r="CB7" i="145"/>
  <c r="O7" i="145"/>
  <c r="BS7" i="145"/>
  <c r="CR7" i="145"/>
  <c r="AW7" i="145"/>
  <c r="DN7" i="145"/>
  <c r="BB7" i="145"/>
  <c r="DE7" i="145"/>
  <c r="AS7" i="145"/>
  <c r="CV7" i="145"/>
  <c r="AJ7" i="145"/>
  <c r="CM7" i="145"/>
  <c r="AA7" i="145"/>
  <c r="CL7" i="145"/>
  <c r="Z7" i="145"/>
  <c r="CC7" i="145"/>
  <c r="Q7" i="145"/>
  <c r="AV7" i="145"/>
  <c r="DO7" i="145"/>
  <c r="AM7" i="145"/>
  <c r="BV7" i="145"/>
  <c r="BT7" i="145"/>
  <c r="BG7" i="145"/>
  <c r="DF7" i="145"/>
  <c r="AT7" i="145"/>
  <c r="CW7" i="145"/>
  <c r="AK7" i="145"/>
  <c r="CN7" i="145"/>
  <c r="AB7" i="145"/>
  <c r="CE7" i="145"/>
  <c r="S7" i="145"/>
  <c r="CD7" i="145"/>
  <c r="R7" i="145"/>
  <c r="BU7" i="145"/>
  <c r="DX7" i="145"/>
  <c r="P7" i="145"/>
  <c r="CZ7" i="145"/>
  <c r="CQ7" i="145"/>
  <c r="BM7" i="145"/>
  <c r="BF7" i="145"/>
  <c r="CX7" i="145"/>
  <c r="AL7" i="145"/>
  <c r="CO7" i="145"/>
  <c r="AC7" i="145"/>
  <c r="CF7" i="145"/>
  <c r="T7" i="145"/>
  <c r="BW7" i="145"/>
  <c r="CP7" i="145"/>
  <c r="AD7" i="145"/>
  <c r="CG7" i="145"/>
  <c r="U7" i="145"/>
  <c r="BX7" i="145"/>
  <c r="EA7" i="145"/>
  <c r="BO7" i="145"/>
  <c r="DZ7" i="145"/>
  <c r="BN7" i="145"/>
  <c r="DQ7" i="145"/>
  <c r="BE7" i="145"/>
  <c r="CJ7" i="145"/>
  <c r="AF7" i="145"/>
  <c r="AN7" i="145"/>
  <c r="DW7" i="145"/>
  <c r="CH7" i="145"/>
  <c r="V7" i="145"/>
  <c r="BY7" i="145"/>
  <c r="EB7" i="145"/>
  <c r="BP7" i="145"/>
  <c r="DR7" i="145"/>
  <c r="BD7" i="145"/>
  <c r="DG7" i="145"/>
  <c r="BL7" i="145"/>
  <c r="BK7" i="145"/>
  <c r="BZ7" i="145"/>
  <c r="EC7" i="145"/>
  <c r="BQ7" i="145"/>
  <c r="DT7" i="145"/>
  <c r="BH7" i="145"/>
  <c r="DK7" i="145"/>
  <c r="AY7" i="145"/>
  <c r="DJ7" i="145"/>
  <c r="AX7" i="145"/>
  <c r="DA7" i="145"/>
  <c r="AO7" i="145"/>
  <c r="X7" i="145"/>
  <c r="CA7" i="145"/>
  <c r="BC7" i="145"/>
  <c r="AE7" i="145"/>
  <c r="CI7" i="145"/>
  <c r="DI7" i="145"/>
  <c r="DA72" i="145"/>
  <c r="CS72" i="145"/>
  <c r="CK72" i="145"/>
  <c r="CC72" i="145"/>
  <c r="BU72" i="145"/>
  <c r="BM72" i="145"/>
  <c r="BE72" i="145"/>
  <c r="AW72" i="145"/>
  <c r="AO72" i="145"/>
  <c r="AG72" i="145"/>
  <c r="Y72" i="145"/>
  <c r="Q72" i="145"/>
  <c r="CZ72" i="145"/>
  <c r="CR72" i="145"/>
  <c r="CJ72" i="145"/>
  <c r="CB72" i="145"/>
  <c r="BT72" i="145"/>
  <c r="BL72" i="145"/>
  <c r="BD72" i="145"/>
  <c r="AV72" i="145"/>
  <c r="AN72" i="145"/>
  <c r="AF72" i="145"/>
  <c r="X72" i="145"/>
  <c r="CY72" i="145"/>
  <c r="CQ72" i="145"/>
  <c r="CI72" i="145"/>
  <c r="CA72" i="145"/>
  <c r="BS72" i="145"/>
  <c r="BK72" i="145"/>
  <c r="BC72" i="145"/>
  <c r="AU72" i="145"/>
  <c r="AM72" i="145"/>
  <c r="AE72" i="145"/>
  <c r="W72" i="145"/>
  <c r="CX72" i="145"/>
  <c r="CP72" i="145"/>
  <c r="CH72" i="145"/>
  <c r="BZ72" i="145"/>
  <c r="BR72" i="145"/>
  <c r="BJ72" i="145"/>
  <c r="BB72" i="145"/>
  <c r="AT72" i="145"/>
  <c r="AL72" i="145"/>
  <c r="AD72" i="145"/>
  <c r="V72" i="145"/>
  <c r="CW72" i="145"/>
  <c r="CO72" i="145"/>
  <c r="CG72" i="145"/>
  <c r="BY72" i="145"/>
  <c r="BQ72" i="145"/>
  <c r="BI72" i="145"/>
  <c r="BA72" i="145"/>
  <c r="AS72" i="145"/>
  <c r="AK72" i="145"/>
  <c r="AC72" i="145"/>
  <c r="U72" i="145"/>
  <c r="Q70" i="145"/>
  <c r="R70" i="145" s="1"/>
  <c r="S70" i="145" s="1"/>
  <c r="T70" i="145" s="1"/>
  <c r="U70" i="145" s="1"/>
  <c r="V70" i="145" s="1"/>
  <c r="W70" i="145" s="1"/>
  <c r="X70" i="145" s="1"/>
  <c r="Y70" i="145" s="1"/>
  <c r="Z70" i="145" s="1"/>
  <c r="AA70" i="145" s="1"/>
  <c r="AB70" i="145" s="1"/>
  <c r="AC70" i="145" s="1"/>
  <c r="AD70" i="145" s="1"/>
  <c r="AE70" i="145" s="1"/>
  <c r="AF70" i="145" s="1"/>
  <c r="AG70" i="145" s="1"/>
  <c r="AH70" i="145" s="1"/>
  <c r="AI70" i="145" s="1"/>
  <c r="AJ70" i="145" s="1"/>
  <c r="AK70" i="145" s="1"/>
  <c r="AL70" i="145" s="1"/>
  <c r="AM70" i="145" s="1"/>
  <c r="AN70" i="145" s="1"/>
  <c r="AO70" i="145" s="1"/>
  <c r="AP70" i="145" s="1"/>
  <c r="AQ70" i="145" s="1"/>
  <c r="AR70" i="145" s="1"/>
  <c r="AS70" i="145" s="1"/>
  <c r="AT70" i="145" s="1"/>
  <c r="AU70" i="145" s="1"/>
  <c r="AV70" i="145" s="1"/>
  <c r="AW70" i="145" s="1"/>
  <c r="AX70" i="145" s="1"/>
  <c r="AY70" i="145" s="1"/>
  <c r="AZ70" i="145" s="1"/>
  <c r="BA70" i="145" s="1"/>
  <c r="BB70" i="145" s="1"/>
  <c r="BC70" i="145" s="1"/>
  <c r="BD70" i="145" s="1"/>
  <c r="BE70" i="145" s="1"/>
  <c r="BF70" i="145" s="1"/>
  <c r="BG70" i="145" s="1"/>
  <c r="BH70" i="145" s="1"/>
  <c r="BI70" i="145" s="1"/>
  <c r="BJ70" i="145" s="1"/>
  <c r="BK70" i="145" s="1"/>
  <c r="BL70" i="145" s="1"/>
  <c r="BM70" i="145" s="1"/>
  <c r="BN70" i="145" s="1"/>
  <c r="BO70" i="145" s="1"/>
  <c r="BP70" i="145" s="1"/>
  <c r="BQ70" i="145" s="1"/>
  <c r="BR70" i="145" s="1"/>
  <c r="BS70" i="145" s="1"/>
  <c r="BT70" i="145" s="1"/>
  <c r="BU70" i="145" s="1"/>
  <c r="BV70" i="145" s="1"/>
  <c r="BW70" i="145" s="1"/>
  <c r="BX70" i="145" s="1"/>
  <c r="BY70" i="145" s="1"/>
  <c r="BZ70" i="145" s="1"/>
  <c r="CA70" i="145" s="1"/>
  <c r="CB70" i="145" s="1"/>
  <c r="CC70" i="145" s="1"/>
  <c r="CD70" i="145" s="1"/>
  <c r="CE70" i="145" s="1"/>
  <c r="CF70" i="145" s="1"/>
  <c r="CG70" i="145" s="1"/>
  <c r="CH70" i="145" s="1"/>
  <c r="CI70" i="145" s="1"/>
  <c r="CJ70" i="145" s="1"/>
  <c r="CK70" i="145" s="1"/>
  <c r="CL70" i="145" s="1"/>
  <c r="CM70" i="145" s="1"/>
  <c r="CN70" i="145" s="1"/>
  <c r="CO70" i="145" s="1"/>
  <c r="CP70" i="145" s="1"/>
  <c r="CQ70" i="145" s="1"/>
  <c r="CR70" i="145" s="1"/>
  <c r="CS70" i="145" s="1"/>
  <c r="CT70" i="145" s="1"/>
  <c r="CV72" i="145"/>
  <c r="CN72" i="145"/>
  <c r="CF72" i="145"/>
  <c r="BX72" i="145"/>
  <c r="BP72" i="145"/>
  <c r="BH72" i="145"/>
  <c r="AZ72" i="145"/>
  <c r="AR72" i="145"/>
  <c r="AJ72" i="145"/>
  <c r="AB72" i="145"/>
  <c r="T72" i="145"/>
  <c r="CU72" i="145"/>
  <c r="CM72" i="145"/>
  <c r="CE72" i="145"/>
  <c r="BW72" i="145"/>
  <c r="BO72" i="145"/>
  <c r="BG72" i="145"/>
  <c r="AY72" i="145"/>
  <c r="AQ72" i="145"/>
  <c r="AI72" i="145"/>
  <c r="AA72" i="145"/>
  <c r="S72" i="145"/>
  <c r="DB72" i="145"/>
  <c r="AP72" i="145"/>
  <c r="CL72" i="145"/>
  <c r="Z72" i="145"/>
  <c r="CD72" i="145"/>
  <c r="R72" i="145"/>
  <c r="BF72" i="145"/>
  <c r="BV72" i="145"/>
  <c r="CT72" i="145"/>
  <c r="BN72" i="145"/>
  <c r="AX72" i="145"/>
  <c r="AH72" i="145"/>
  <c r="Z37" i="166" l="1"/>
  <c r="Z38" i="166" s="1"/>
  <c r="Z39" i="166" s="1"/>
  <c r="Z49" i="166"/>
  <c r="Z55" i="166"/>
  <c r="AC17" i="166"/>
  <c r="X53" i="166"/>
  <c r="X63" i="166"/>
  <c r="X75" i="166"/>
  <c r="X76" i="166" s="1"/>
  <c r="AC25" i="166"/>
  <c r="AC21" i="166"/>
  <c r="Y111" i="166"/>
  <c r="Y115" i="166"/>
  <c r="Y117" i="166" s="1"/>
  <c r="Y56" i="166"/>
  <c r="Y57" i="166" s="1"/>
  <c r="Y58" i="166" s="1"/>
  <c r="Y68" i="166"/>
  <c r="AA99" i="166"/>
  <c r="AA26" i="166"/>
  <c r="AA27" i="166" s="1"/>
  <c r="AA28" i="166" s="1"/>
  <c r="AA36" i="166"/>
  <c r="C105" i="166"/>
  <c r="AA88" i="166"/>
  <c r="AA89" i="166" s="1"/>
  <c r="Z110" i="166"/>
  <c r="Z116" i="166" s="1"/>
  <c r="Z109" i="166"/>
  <c r="Z101" i="166"/>
  <c r="Z100" i="166"/>
  <c r="Y50" i="166"/>
  <c r="Y51" i="166" s="1"/>
  <c r="Y52" i="166" s="1"/>
  <c r="Y62" i="166"/>
  <c r="Y74" i="166"/>
  <c r="AB25" i="166"/>
  <c r="AB21" i="166" s="1"/>
  <c r="W83" i="166"/>
  <c r="W84" i="166" s="1"/>
  <c r="W85" i="166" s="1"/>
  <c r="W71" i="166"/>
  <c r="W70" i="166"/>
  <c r="AB17" i="166"/>
  <c r="X59" i="166"/>
  <c r="X69" i="166"/>
  <c r="AA31" i="166"/>
  <c r="X112" i="166"/>
  <c r="X121" i="166"/>
  <c r="W79" i="166"/>
  <c r="W80" i="166" s="1"/>
  <c r="W81" i="166" s="1"/>
  <c r="W65" i="166"/>
  <c r="W64" i="166"/>
  <c r="Z32" i="166"/>
  <c r="V113" i="165"/>
  <c r="V122" i="165"/>
  <c r="W113" i="165"/>
  <c r="W122" i="165"/>
  <c r="X110" i="165"/>
  <c r="X111" i="165"/>
  <c r="X117" i="165" s="1"/>
  <c r="Y21" i="165"/>
  <c r="Y100" i="165"/>
  <c r="X101" i="165"/>
  <c r="X103" i="165" s="1"/>
  <c r="X102" i="165"/>
  <c r="Y88" i="165"/>
  <c r="Y89" i="165" s="1"/>
  <c r="AA67" i="165"/>
  <c r="AA61" i="165"/>
  <c r="AA14" i="165"/>
  <c r="AA16" i="165"/>
  <c r="AA73" i="165"/>
  <c r="U79" i="165"/>
  <c r="U80" i="165" s="1"/>
  <c r="U81" i="165" s="1"/>
  <c r="U65" i="165"/>
  <c r="U64" i="165"/>
  <c r="V59" i="165"/>
  <c r="V69" i="165"/>
  <c r="Z25" i="165"/>
  <c r="Z100" i="165" s="1"/>
  <c r="AB13" i="165"/>
  <c r="AC12" i="165"/>
  <c r="AC13" i="165" s="1"/>
  <c r="X37" i="165"/>
  <c r="X38" i="165" s="1"/>
  <c r="X39" i="165" s="1"/>
  <c r="X49" i="165"/>
  <c r="X55" i="165"/>
  <c r="W56" i="165"/>
  <c r="W57" i="165" s="1"/>
  <c r="W58" i="165" s="1"/>
  <c r="W68" i="165"/>
  <c r="Z17" i="165"/>
  <c r="U83" i="165"/>
  <c r="U84" i="165" s="1"/>
  <c r="U85" i="165" s="1"/>
  <c r="U71" i="165"/>
  <c r="U70" i="165"/>
  <c r="W50" i="165"/>
  <c r="W51" i="165" s="1"/>
  <c r="W52" i="165" s="1"/>
  <c r="W74" i="165"/>
  <c r="W62" i="165"/>
  <c r="V53" i="165"/>
  <c r="V75" i="165"/>
  <c r="V76" i="165" s="1"/>
  <c r="V63" i="165"/>
  <c r="Y36" i="165"/>
  <c r="Y32" i="165" s="1"/>
  <c r="Y26" i="165"/>
  <c r="Y27" i="165" s="1"/>
  <c r="Y28" i="165" s="1"/>
  <c r="F28" i="113"/>
  <c r="Z79" i="113"/>
  <c r="AA79" i="113"/>
  <c r="AA78" i="113"/>
  <c r="E78" i="113"/>
  <c r="O80" i="113"/>
  <c r="C65" i="113"/>
  <c r="C64" i="137"/>
  <c r="C55" i="137"/>
  <c r="F47" i="137"/>
  <c r="D42" i="137"/>
  <c r="F42" i="137" s="1"/>
  <c r="D41" i="137"/>
  <c r="D39" i="137"/>
  <c r="F39" i="137" s="1"/>
  <c r="D38" i="137"/>
  <c r="B36" i="137"/>
  <c r="F30" i="137"/>
  <c r="F29" i="137"/>
  <c r="C28" i="137"/>
  <c r="F28" i="137" s="1"/>
  <c r="F27" i="137"/>
  <c r="F26" i="137"/>
  <c r="D22" i="137"/>
  <c r="F22" i="137" s="1"/>
  <c r="D21" i="137"/>
  <c r="F21" i="137" s="1"/>
  <c r="D20" i="137"/>
  <c r="F20" i="137" s="1"/>
  <c r="D19" i="137"/>
  <c r="F19" i="137" s="1"/>
  <c r="D18" i="137"/>
  <c r="F18" i="137" s="1"/>
  <c r="F17" i="137"/>
  <c r="B16" i="137"/>
  <c r="C17" i="137" s="1"/>
  <c r="C12" i="137"/>
  <c r="C11" i="137"/>
  <c r="E4" i="137"/>
  <c r="J3" i="137"/>
  <c r="J4" i="137" s="1"/>
  <c r="J11" i="137" s="1"/>
  <c r="I3" i="137"/>
  <c r="I4" i="137" s="1"/>
  <c r="H3" i="137"/>
  <c r="H4" i="137" s="1"/>
  <c r="H11" i="137" s="1"/>
  <c r="G3" i="137"/>
  <c r="G4" i="137" s="1"/>
  <c r="G11" i="137" s="1"/>
  <c r="F3" i="137"/>
  <c r="F4" i="137" s="1"/>
  <c r="F11" i="137" s="1"/>
  <c r="E3" i="137"/>
  <c r="D3" i="137"/>
  <c r="F68" i="113"/>
  <c r="AA110" i="166" l="1"/>
  <c r="AA116" i="166" s="1"/>
  <c r="AA109" i="166"/>
  <c r="AA100" i="166"/>
  <c r="AA102" i="166" s="1"/>
  <c r="AA101" i="166"/>
  <c r="X83" i="166"/>
  <c r="X84" i="166" s="1"/>
  <c r="X85" i="166" s="1"/>
  <c r="X71" i="166"/>
  <c r="X70" i="166"/>
  <c r="Z115" i="166"/>
  <c r="Z117" i="166" s="1"/>
  <c r="Z111" i="166"/>
  <c r="X79" i="166"/>
  <c r="X80" i="166" s="1"/>
  <c r="X81" i="166" s="1"/>
  <c r="X65" i="166"/>
  <c r="X64" i="166"/>
  <c r="AC32" i="166"/>
  <c r="Y59" i="166"/>
  <c r="Y69" i="166"/>
  <c r="Y112" i="166"/>
  <c r="Y121" i="166"/>
  <c r="Y53" i="166"/>
  <c r="Y63" i="166"/>
  <c r="Y75" i="166"/>
  <c r="Y76" i="166" s="1"/>
  <c r="AE105" i="166"/>
  <c r="AE106" i="166" s="1"/>
  <c r="V105" i="166"/>
  <c r="V106" i="166" s="1"/>
  <c r="N105" i="166"/>
  <c r="N106" i="166" s="1"/>
  <c r="F105" i="166"/>
  <c r="F106" i="166" s="1"/>
  <c r="AC105" i="166"/>
  <c r="AC106" i="166" s="1"/>
  <c r="U105" i="166"/>
  <c r="U106" i="166" s="1"/>
  <c r="M105" i="166"/>
  <c r="M106" i="166" s="1"/>
  <c r="E105" i="166"/>
  <c r="E106" i="166" s="1"/>
  <c r="AB105" i="166"/>
  <c r="AB106" i="166" s="1"/>
  <c r="T105" i="166"/>
  <c r="T106" i="166" s="1"/>
  <c r="L105" i="166"/>
  <c r="L106" i="166" s="1"/>
  <c r="AL105" i="166"/>
  <c r="AL106" i="166" s="1"/>
  <c r="AA105" i="166"/>
  <c r="AA106" i="166" s="1"/>
  <c r="S105" i="166"/>
  <c r="S106" i="166" s="1"/>
  <c r="K105" i="166"/>
  <c r="K106" i="166" s="1"/>
  <c r="AK105" i="166"/>
  <c r="AK106" i="166" s="1"/>
  <c r="Z105" i="166"/>
  <c r="Z106" i="166" s="1"/>
  <c r="R105" i="166"/>
  <c r="R106" i="166" s="1"/>
  <c r="J105" i="166"/>
  <c r="J106" i="166" s="1"/>
  <c r="AH105" i="166"/>
  <c r="AH106" i="166" s="1"/>
  <c r="X105" i="166"/>
  <c r="X106" i="166" s="1"/>
  <c r="P105" i="166"/>
  <c r="P106" i="166" s="1"/>
  <c r="H105" i="166"/>
  <c r="H106" i="166" s="1"/>
  <c r="AF105" i="166"/>
  <c r="AF106" i="166" s="1"/>
  <c r="Y105" i="166"/>
  <c r="Y106" i="166" s="1"/>
  <c r="W105" i="166"/>
  <c r="W106" i="166" s="1"/>
  <c r="Q105" i="166"/>
  <c r="Q106" i="166" s="1"/>
  <c r="O105" i="166"/>
  <c r="O106" i="166" s="1"/>
  <c r="I105" i="166"/>
  <c r="I106" i="166" s="1"/>
  <c r="AI105" i="166"/>
  <c r="AI106" i="166" s="1"/>
  <c r="G105" i="166"/>
  <c r="G106" i="166" s="1"/>
  <c r="Z56" i="166"/>
  <c r="Z57" i="166" s="1"/>
  <c r="Z58" i="166" s="1"/>
  <c r="Z68" i="166"/>
  <c r="AA37" i="166"/>
  <c r="AA38" i="166" s="1"/>
  <c r="AA39" i="166" s="1"/>
  <c r="AA55" i="166"/>
  <c r="AA49" i="166"/>
  <c r="AC99" i="166"/>
  <c r="AC26" i="166"/>
  <c r="AC27" i="166" s="1"/>
  <c r="AC28" i="166" s="1"/>
  <c r="AC36" i="166"/>
  <c r="AC88" i="166"/>
  <c r="AC89" i="166" s="1"/>
  <c r="Z50" i="166"/>
  <c r="Z51" i="166" s="1"/>
  <c r="Z52" i="166" s="1"/>
  <c r="Z62" i="166"/>
  <c r="Z74" i="166"/>
  <c r="AB99" i="166"/>
  <c r="AB26" i="166"/>
  <c r="AB27" i="166" s="1"/>
  <c r="AB28" i="166" s="1"/>
  <c r="AB36" i="166"/>
  <c r="AB32" i="166" s="1"/>
  <c r="AB88" i="166"/>
  <c r="AB89" i="166" s="1"/>
  <c r="AA32" i="166"/>
  <c r="Z102" i="166"/>
  <c r="Z111" i="165"/>
  <c r="Z117" i="165" s="1"/>
  <c r="Z110" i="165"/>
  <c r="Y110" i="165"/>
  <c r="Y111" i="165"/>
  <c r="Y117" i="165" s="1"/>
  <c r="X112" i="165"/>
  <c r="X116" i="165"/>
  <c r="X118" i="165" s="1"/>
  <c r="Y102" i="165"/>
  <c r="Y101" i="165"/>
  <c r="Z101" i="165"/>
  <c r="Z102" i="165"/>
  <c r="Z88" i="165"/>
  <c r="Z89" i="165" s="1"/>
  <c r="Z36" i="165"/>
  <c r="Z32" i="165" s="1"/>
  <c r="Z26" i="165"/>
  <c r="Z27" i="165" s="1"/>
  <c r="Z28" i="165" s="1"/>
  <c r="Z21" i="165"/>
  <c r="W59" i="165"/>
  <c r="W69" i="165"/>
  <c r="Y37" i="165"/>
  <c r="Y38" i="165" s="1"/>
  <c r="Y39" i="165" s="1"/>
  <c r="Y55" i="165"/>
  <c r="Y49" i="165"/>
  <c r="AA17" i="165"/>
  <c r="X56" i="165"/>
  <c r="X57" i="165" s="1"/>
  <c r="X58" i="165" s="1"/>
  <c r="X68" i="165"/>
  <c r="V83" i="165"/>
  <c r="V84" i="165" s="1"/>
  <c r="V85" i="165" s="1"/>
  <c r="V71" i="165"/>
  <c r="V70" i="165"/>
  <c r="AA19" i="165"/>
  <c r="AA25" i="165"/>
  <c r="V79" i="165"/>
  <c r="V80" i="165" s="1"/>
  <c r="V81" i="165" s="1"/>
  <c r="V65" i="165"/>
  <c r="V64" i="165"/>
  <c r="AC67" i="165"/>
  <c r="AC73" i="165"/>
  <c r="AC16" i="165"/>
  <c r="AC61" i="165"/>
  <c r="AC14" i="165"/>
  <c r="W53" i="165"/>
  <c r="W63" i="165"/>
  <c r="W75" i="165"/>
  <c r="W76" i="165" s="1"/>
  <c r="X50" i="165"/>
  <c r="X51" i="165" s="1"/>
  <c r="X52" i="165" s="1"/>
  <c r="X74" i="165"/>
  <c r="X62" i="165"/>
  <c r="AB67" i="165"/>
  <c r="AB73" i="165"/>
  <c r="AB61" i="165"/>
  <c r="AB16" i="165"/>
  <c r="AB14" i="165"/>
  <c r="D27" i="137"/>
  <c r="C22" i="137"/>
  <c r="D62" i="137"/>
  <c r="C38" i="137"/>
  <c r="C41" i="137"/>
  <c r="D59" i="137"/>
  <c r="C44" i="137"/>
  <c r="C45" i="137" s="1"/>
  <c r="C20" i="137"/>
  <c r="D4" i="137"/>
  <c r="F38" i="137"/>
  <c r="M62" i="137"/>
  <c r="E11" i="137"/>
  <c r="C19" i="137"/>
  <c r="D67" i="137"/>
  <c r="F67" i="137" s="1"/>
  <c r="H68" i="137"/>
  <c r="H42" i="137"/>
  <c r="I27" i="137"/>
  <c r="H59" i="137"/>
  <c r="H65" i="137"/>
  <c r="H39" i="137"/>
  <c r="H62" i="137"/>
  <c r="H73" i="137"/>
  <c r="F41" i="137"/>
  <c r="D11" i="137"/>
  <c r="D8" i="137"/>
  <c r="D7" i="137"/>
  <c r="D30" i="137"/>
  <c r="C18" i="137"/>
  <c r="C25" i="137"/>
  <c r="C24" i="137" s="1"/>
  <c r="D28" i="137"/>
  <c r="I28" i="137" s="1"/>
  <c r="I11" i="137"/>
  <c r="C21" i="137"/>
  <c r="D26" i="137"/>
  <c r="I26" i="137" s="1"/>
  <c r="D65" i="137"/>
  <c r="M65" i="137" s="1"/>
  <c r="D29" i="137"/>
  <c r="E44" i="126"/>
  <c r="C25" i="113"/>
  <c r="C66" i="113"/>
  <c r="Y71" i="166" l="1"/>
  <c r="Y83" i="166"/>
  <c r="Y84" i="166" s="1"/>
  <c r="Y85" i="166" s="1"/>
  <c r="Y70" i="166"/>
  <c r="AA56" i="166"/>
  <c r="AA57" i="166" s="1"/>
  <c r="AA58" i="166" s="1"/>
  <c r="AA68" i="166"/>
  <c r="AC37" i="166"/>
  <c r="AC38" i="166" s="1"/>
  <c r="AC39" i="166" s="1"/>
  <c r="AC55" i="166"/>
  <c r="AC49" i="166"/>
  <c r="Y79" i="166"/>
  <c r="Y80" i="166" s="1"/>
  <c r="Y81" i="166" s="1"/>
  <c r="Y65" i="166"/>
  <c r="Y64" i="166"/>
  <c r="Z59" i="166"/>
  <c r="Z69" i="166"/>
  <c r="AC110" i="166"/>
  <c r="AC116" i="166" s="1"/>
  <c r="AC109" i="166"/>
  <c r="AC100" i="166"/>
  <c r="AC102" i="166" s="1"/>
  <c r="AC101" i="166"/>
  <c r="AA111" i="166"/>
  <c r="AA115" i="166"/>
  <c r="AA117" i="166" s="1"/>
  <c r="Z53" i="166"/>
  <c r="Z63" i="166"/>
  <c r="Z75" i="166"/>
  <c r="Z76" i="166" s="1"/>
  <c r="AB37" i="166"/>
  <c r="AB38" i="166" s="1"/>
  <c r="AB39" i="166" s="1"/>
  <c r="AB55" i="166"/>
  <c r="AB49" i="166"/>
  <c r="AB109" i="166"/>
  <c r="AB101" i="166"/>
  <c r="AB110" i="166"/>
  <c r="AB116" i="166" s="1"/>
  <c r="AB100" i="166"/>
  <c r="AA50" i="166"/>
  <c r="AA51" i="166" s="1"/>
  <c r="AA52" i="166" s="1"/>
  <c r="AA62" i="166"/>
  <c r="AA74" i="166"/>
  <c r="Z112" i="166"/>
  <c r="Z121" i="166"/>
  <c r="AA100" i="165"/>
  <c r="AA101" i="165" s="1"/>
  <c r="C106" i="165"/>
  <c r="L106" i="165" s="1"/>
  <c r="L107" i="165" s="1"/>
  <c r="X113" i="165"/>
  <c r="X122" i="165"/>
  <c r="Y103" i="165"/>
  <c r="Y112" i="165"/>
  <c r="Y116" i="165"/>
  <c r="Y118" i="165" s="1"/>
  <c r="Z112" i="165"/>
  <c r="Z116" i="165"/>
  <c r="Z118" i="165" s="1"/>
  <c r="Z103" i="165"/>
  <c r="AA88" i="165"/>
  <c r="AA89" i="165" s="1"/>
  <c r="W79" i="165"/>
  <c r="W80" i="165" s="1"/>
  <c r="W81" i="165" s="1"/>
  <c r="W65" i="165"/>
  <c r="W64" i="165"/>
  <c r="Y50" i="165"/>
  <c r="Y51" i="165" s="1"/>
  <c r="Y52" i="165" s="1"/>
  <c r="Y74" i="165"/>
  <c r="Y62" i="165"/>
  <c r="X59" i="165"/>
  <c r="X69" i="165"/>
  <c r="Y56" i="165"/>
  <c r="Y57" i="165" s="1"/>
  <c r="Y58" i="165" s="1"/>
  <c r="Y68" i="165"/>
  <c r="W83" i="165"/>
  <c r="W84" i="165" s="1"/>
  <c r="W85" i="165" s="1"/>
  <c r="W71" i="165"/>
  <c r="W70" i="165"/>
  <c r="AB17" i="165"/>
  <c r="AA26" i="165"/>
  <c r="AA27" i="165" s="1"/>
  <c r="AA28" i="165" s="1"/>
  <c r="AA36" i="165"/>
  <c r="AA31" i="165"/>
  <c r="AC17" i="165"/>
  <c r="AB25" i="165"/>
  <c r="AB100" i="165" s="1"/>
  <c r="X53" i="165"/>
  <c r="X63" i="165"/>
  <c r="X75" i="165"/>
  <c r="X76" i="165" s="1"/>
  <c r="AC25" i="165"/>
  <c r="AC100" i="165" s="1"/>
  <c r="AA21" i="165"/>
  <c r="Z37" i="165"/>
  <c r="Z38" i="165" s="1"/>
  <c r="Z39" i="165" s="1"/>
  <c r="Z55" i="165"/>
  <c r="Z49" i="165"/>
  <c r="D68" i="137"/>
  <c r="F68" i="137" s="1"/>
  <c r="M59" i="137"/>
  <c r="C57" i="137"/>
  <c r="FC38" i="103"/>
  <c r="FC37" i="103"/>
  <c r="FC18" i="103"/>
  <c r="FC17" i="103"/>
  <c r="FB23" i="103"/>
  <c r="FB4" i="103"/>
  <c r="AA110" i="165" l="1"/>
  <c r="AC111" i="166"/>
  <c r="AC115" i="166"/>
  <c r="AC117" i="166" s="1"/>
  <c r="AC56" i="166"/>
  <c r="AC57" i="166" s="1"/>
  <c r="AC58" i="166" s="1"/>
  <c r="AC68" i="166"/>
  <c r="AB56" i="166"/>
  <c r="AB57" i="166" s="1"/>
  <c r="AB58" i="166" s="1"/>
  <c r="AB68" i="166"/>
  <c r="AB102" i="166"/>
  <c r="Z65" i="166"/>
  <c r="Z79" i="166"/>
  <c r="Z80" i="166" s="1"/>
  <c r="Z81" i="166" s="1"/>
  <c r="Z64" i="166"/>
  <c r="Z71" i="166"/>
  <c r="Z83" i="166"/>
  <c r="Z84" i="166" s="1"/>
  <c r="Z85" i="166" s="1"/>
  <c r="Z70" i="166"/>
  <c r="AA53" i="166"/>
  <c r="AA63" i="166"/>
  <c r="AA75" i="166"/>
  <c r="AA76" i="166" s="1"/>
  <c r="AA59" i="166"/>
  <c r="AA69" i="166"/>
  <c r="AB115" i="166"/>
  <c r="AB117" i="166" s="1"/>
  <c r="AB111" i="166"/>
  <c r="AA112" i="166"/>
  <c r="AA121" i="166"/>
  <c r="AC50" i="166"/>
  <c r="AC51" i="166" s="1"/>
  <c r="AC52" i="166" s="1"/>
  <c r="AC62" i="166"/>
  <c r="AC74" i="166"/>
  <c r="AB50" i="166"/>
  <c r="AB51" i="166" s="1"/>
  <c r="AB52" i="166" s="1"/>
  <c r="AB74" i="166"/>
  <c r="AB62" i="166"/>
  <c r="AA111" i="165"/>
  <c r="AA117" i="165" s="1"/>
  <c r="AA102" i="165"/>
  <c r="AA103" i="165" s="1"/>
  <c r="Z113" i="165"/>
  <c r="Z122" i="165"/>
  <c r="Y113" i="165"/>
  <c r="Y122" i="165"/>
  <c r="AB110" i="165"/>
  <c r="AB111" i="165"/>
  <c r="AB117" i="165" s="1"/>
  <c r="AA112" i="165"/>
  <c r="AA116" i="165"/>
  <c r="AA118" i="165" s="1"/>
  <c r="AC110" i="165"/>
  <c r="AC111" i="165"/>
  <c r="AC117" i="165" s="1"/>
  <c r="AB101" i="165"/>
  <c r="AB102" i="165"/>
  <c r="AC102" i="165"/>
  <c r="AC101" i="165"/>
  <c r="AC103" i="165" s="1"/>
  <c r="AB88" i="165"/>
  <c r="AB89" i="165" s="1"/>
  <c r="AC88" i="165"/>
  <c r="AC89" i="165" s="1"/>
  <c r="AH106" i="165"/>
  <c r="AH107" i="165" s="1"/>
  <c r="J106" i="165"/>
  <c r="J107" i="165" s="1"/>
  <c r="U106" i="165"/>
  <c r="U107" i="165" s="1"/>
  <c r="N106" i="165"/>
  <c r="N107" i="165" s="1"/>
  <c r="AB106" i="165"/>
  <c r="AB107" i="165" s="1"/>
  <c r="R106" i="165"/>
  <c r="R107" i="165" s="1"/>
  <c r="K106" i="165"/>
  <c r="K107" i="165" s="1"/>
  <c r="AC106" i="165"/>
  <c r="AC107" i="165" s="1"/>
  <c r="F106" i="165"/>
  <c r="F107" i="165" s="1"/>
  <c r="G106" i="165"/>
  <c r="G107" i="165" s="1"/>
  <c r="Z106" i="165"/>
  <c r="Z107" i="165" s="1"/>
  <c r="S106" i="165"/>
  <c r="S107" i="165" s="1"/>
  <c r="E106" i="165"/>
  <c r="E107" i="165" s="1"/>
  <c r="Y106" i="165"/>
  <c r="Y107" i="165" s="1"/>
  <c r="M106" i="165"/>
  <c r="M107" i="165" s="1"/>
  <c r="O106" i="165"/>
  <c r="O107" i="165" s="1"/>
  <c r="AK106" i="165"/>
  <c r="AK107" i="165" s="1"/>
  <c r="AA106" i="165"/>
  <c r="AA107" i="165" s="1"/>
  <c r="V106" i="165"/>
  <c r="V107" i="165" s="1"/>
  <c r="P106" i="165"/>
  <c r="P107" i="165" s="1"/>
  <c r="X106" i="165"/>
  <c r="X107" i="165" s="1"/>
  <c r="AF106" i="165"/>
  <c r="AF107" i="165" s="1"/>
  <c r="I106" i="165"/>
  <c r="I107" i="165" s="1"/>
  <c r="AL106" i="165"/>
  <c r="AL107" i="165" s="1"/>
  <c r="AE106" i="165"/>
  <c r="AE107" i="165" s="1"/>
  <c r="H106" i="165"/>
  <c r="H107" i="165" s="1"/>
  <c r="Q106" i="165"/>
  <c r="Q107" i="165" s="1"/>
  <c r="T106" i="165"/>
  <c r="T107" i="165" s="1"/>
  <c r="W106" i="165"/>
  <c r="W107" i="165" s="1"/>
  <c r="AI106" i="165"/>
  <c r="AI107" i="165" s="1"/>
  <c r="AA37" i="165"/>
  <c r="AA38" i="165" s="1"/>
  <c r="AA39" i="165" s="1"/>
  <c r="AA49" i="165"/>
  <c r="AA55" i="165"/>
  <c r="Y59" i="165"/>
  <c r="Y69" i="165"/>
  <c r="Y53" i="165"/>
  <c r="Y75" i="165"/>
  <c r="Y76" i="165" s="1"/>
  <c r="Y63" i="165"/>
  <c r="Z56" i="165"/>
  <c r="Z57" i="165" s="1"/>
  <c r="Z58" i="165" s="1"/>
  <c r="Z68" i="165"/>
  <c r="X71" i="165"/>
  <c r="X83" i="165"/>
  <c r="X84" i="165" s="1"/>
  <c r="X85" i="165" s="1"/>
  <c r="X70" i="165"/>
  <c r="Z50" i="165"/>
  <c r="Z51" i="165" s="1"/>
  <c r="Z52" i="165" s="1"/>
  <c r="Z74" i="165"/>
  <c r="Z62" i="165"/>
  <c r="AB26" i="165"/>
  <c r="AB27" i="165" s="1"/>
  <c r="AB28" i="165" s="1"/>
  <c r="AB36" i="165"/>
  <c r="AB32" i="165" s="1"/>
  <c r="AB21" i="165"/>
  <c r="AC26" i="165"/>
  <c r="AC27" i="165" s="1"/>
  <c r="AC28" i="165" s="1"/>
  <c r="AC36" i="165"/>
  <c r="AC32" i="165" s="1"/>
  <c r="X79" i="165"/>
  <c r="X80" i="165" s="1"/>
  <c r="X81" i="165" s="1"/>
  <c r="X65" i="165"/>
  <c r="X64" i="165"/>
  <c r="AC21" i="165"/>
  <c r="AA32" i="165"/>
  <c r="C71" i="137"/>
  <c r="D71" i="137" s="1"/>
  <c r="F71" i="137" s="1"/>
  <c r="C31" i="137"/>
  <c r="D31" i="137" s="1"/>
  <c r="F31" i="137" s="1"/>
  <c r="C70" i="137"/>
  <c r="C56" i="137"/>
  <c r="C50" i="137"/>
  <c r="D50" i="137" s="1"/>
  <c r="B4" i="124"/>
  <c r="B5" i="124" s="1"/>
  <c r="AB59" i="166" l="1"/>
  <c r="AB69" i="166"/>
  <c r="AC53" i="166"/>
  <c r="AC75" i="166"/>
  <c r="AC76" i="166" s="1"/>
  <c r="AC63" i="166"/>
  <c r="AB112" i="166"/>
  <c r="AB121" i="166"/>
  <c r="AC59" i="166"/>
  <c r="AC69" i="166"/>
  <c r="AA65" i="166"/>
  <c r="AA79" i="166"/>
  <c r="AA80" i="166" s="1"/>
  <c r="AA81" i="166" s="1"/>
  <c r="AA64" i="166"/>
  <c r="AB53" i="166"/>
  <c r="AB75" i="166"/>
  <c r="AB76" i="166" s="1"/>
  <c r="AB63" i="166"/>
  <c r="AA71" i="166"/>
  <c r="AA83" i="166"/>
  <c r="AA84" i="166" s="1"/>
  <c r="AA85" i="166" s="1"/>
  <c r="AA70" i="166"/>
  <c r="AC112" i="166"/>
  <c r="AC121" i="166"/>
  <c r="AA113" i="165"/>
  <c r="AA122" i="165"/>
  <c r="AB112" i="165"/>
  <c r="AB116" i="165"/>
  <c r="AB118" i="165" s="1"/>
  <c r="AC112" i="165"/>
  <c r="AC116" i="165"/>
  <c r="AC118" i="165" s="1"/>
  <c r="AB103" i="165"/>
  <c r="Y79" i="165"/>
  <c r="Y80" i="165" s="1"/>
  <c r="Y81" i="165" s="1"/>
  <c r="Y65" i="165"/>
  <c r="Y64" i="165"/>
  <c r="Z53" i="165"/>
  <c r="Z75" i="165"/>
  <c r="Z76" i="165" s="1"/>
  <c r="Z63" i="165"/>
  <c r="AC37" i="165"/>
  <c r="AC38" i="165" s="1"/>
  <c r="AC39" i="165" s="1"/>
  <c r="AC55" i="165"/>
  <c r="AC49" i="165"/>
  <c r="AA56" i="165"/>
  <c r="AA57" i="165" s="1"/>
  <c r="AA58" i="165" s="1"/>
  <c r="AA68" i="165"/>
  <c r="Y71" i="165"/>
  <c r="Y83" i="165"/>
  <c r="Y84" i="165" s="1"/>
  <c r="Y85" i="165" s="1"/>
  <c r="Y70" i="165"/>
  <c r="AB37" i="165"/>
  <c r="AB38" i="165" s="1"/>
  <c r="AB39" i="165" s="1"/>
  <c r="AB55" i="165"/>
  <c r="AB49" i="165"/>
  <c r="AA50" i="165"/>
  <c r="AA51" i="165" s="1"/>
  <c r="AA52" i="165" s="1"/>
  <c r="AA74" i="165"/>
  <c r="AA62" i="165"/>
  <c r="Z59" i="165"/>
  <c r="Z69" i="165"/>
  <c r="B28" i="124"/>
  <c r="B29" i="124" s="1"/>
  <c r="B30" i="124" s="1"/>
  <c r="B31" i="124" s="1"/>
  <c r="B32" i="124" s="1"/>
  <c r="F50" i="137"/>
  <c r="D51" i="137"/>
  <c r="F51" i="137" s="1"/>
  <c r="D70" i="137"/>
  <c r="F70" i="137" s="1"/>
  <c r="C72" i="137"/>
  <c r="D72" i="137" s="1"/>
  <c r="AB79" i="166" l="1"/>
  <c r="AB80" i="166" s="1"/>
  <c r="AB81" i="166" s="1"/>
  <c r="AB65" i="166"/>
  <c r="AB64" i="166"/>
  <c r="AC79" i="166"/>
  <c r="AC80" i="166" s="1"/>
  <c r="AC81" i="166" s="1"/>
  <c r="AC65" i="166"/>
  <c r="AC64" i="166"/>
  <c r="AB83" i="166"/>
  <c r="AB84" i="166" s="1"/>
  <c r="AB85" i="166" s="1"/>
  <c r="AB71" i="166"/>
  <c r="AB70" i="166"/>
  <c r="AC83" i="166"/>
  <c r="AC84" i="166" s="1"/>
  <c r="AC85" i="166" s="1"/>
  <c r="AC71" i="166"/>
  <c r="AC70" i="166"/>
  <c r="AC113" i="165"/>
  <c r="AC122" i="165"/>
  <c r="AB113" i="165"/>
  <c r="AB122" i="165"/>
  <c r="Z83" i="165"/>
  <c r="Z84" i="165" s="1"/>
  <c r="Z85" i="165" s="1"/>
  <c r="Z71" i="165"/>
  <c r="Z70" i="165"/>
  <c r="AB56" i="165"/>
  <c r="AB57" i="165" s="1"/>
  <c r="AB58" i="165" s="1"/>
  <c r="AB68" i="165"/>
  <c r="AC56" i="165"/>
  <c r="AC57" i="165" s="1"/>
  <c r="AC58" i="165" s="1"/>
  <c r="AC68" i="165"/>
  <c r="Z65" i="165"/>
  <c r="Z79" i="165"/>
  <c r="Z80" i="165" s="1"/>
  <c r="Z81" i="165" s="1"/>
  <c r="Z64" i="165"/>
  <c r="AA53" i="165"/>
  <c r="AA75" i="165"/>
  <c r="AA76" i="165" s="1"/>
  <c r="AA63" i="165"/>
  <c r="AA59" i="165"/>
  <c r="AA69" i="165"/>
  <c r="AB50" i="165"/>
  <c r="AB51" i="165" s="1"/>
  <c r="AB52" i="165" s="1"/>
  <c r="AB74" i="165"/>
  <c r="AB62" i="165"/>
  <c r="AC50" i="165"/>
  <c r="AC51" i="165" s="1"/>
  <c r="AC52" i="165" s="1"/>
  <c r="AC74" i="165"/>
  <c r="AC62" i="165"/>
  <c r="B35" i="124"/>
  <c r="B36" i="124" s="1"/>
  <c r="B37" i="124" s="1"/>
  <c r="B38" i="124" s="1"/>
  <c r="D73" i="137"/>
  <c r="F73" i="137" s="1"/>
  <c r="F72" i="137"/>
  <c r="FG26" i="127"/>
  <c r="FE26" i="127"/>
  <c r="FG25" i="127"/>
  <c r="FE25" i="127"/>
  <c r="FG24" i="127"/>
  <c r="FE24" i="127"/>
  <c r="FI23" i="127"/>
  <c r="FH24" i="127" s="1"/>
  <c r="FI24" i="127" s="1"/>
  <c r="FH25" i="127" s="1"/>
  <c r="FG23" i="127"/>
  <c r="AC59" i="165" l="1"/>
  <c r="AC69" i="165"/>
  <c r="AA83" i="165"/>
  <c r="AA84" i="165" s="1"/>
  <c r="AA85" i="165" s="1"/>
  <c r="AA71" i="165"/>
  <c r="AA70" i="165"/>
  <c r="AA65" i="165"/>
  <c r="AA79" i="165"/>
  <c r="AA80" i="165" s="1"/>
  <c r="AA81" i="165" s="1"/>
  <c r="AA64" i="165"/>
  <c r="AC53" i="165"/>
  <c r="AC63" i="165"/>
  <c r="AC75" i="165"/>
  <c r="AC76" i="165" s="1"/>
  <c r="AB53" i="165"/>
  <c r="AB63" i="165"/>
  <c r="AB75" i="165"/>
  <c r="AB76" i="165" s="1"/>
  <c r="AB59" i="165"/>
  <c r="AB69" i="165"/>
  <c r="FI25" i="127"/>
  <c r="AB71" i="165" l="1"/>
  <c r="AB83" i="165"/>
  <c r="AB84" i="165" s="1"/>
  <c r="AB85" i="165" s="1"/>
  <c r="AB70" i="165"/>
  <c r="AB79" i="165"/>
  <c r="AB80" i="165" s="1"/>
  <c r="AB81" i="165" s="1"/>
  <c r="AB65" i="165"/>
  <c r="AB64" i="165"/>
  <c r="AC79" i="165"/>
  <c r="AC80" i="165" s="1"/>
  <c r="AC81" i="165" s="1"/>
  <c r="AC65" i="165"/>
  <c r="AC64" i="165"/>
  <c r="AC83" i="165"/>
  <c r="AC84" i="165" s="1"/>
  <c r="AC85" i="165" s="1"/>
  <c r="AC71" i="165"/>
  <c r="AC70" i="165"/>
  <c r="E23" i="126"/>
  <c r="E24" i="126" s="1"/>
  <c r="E25" i="126" s="1"/>
  <c r="F23" i="126"/>
  <c r="B38" i="126"/>
  <c r="E17" i="126"/>
  <c r="B43" i="124"/>
  <c r="B44" i="124" s="1"/>
  <c r="B45" i="124" s="1"/>
  <c r="B46" i="124" s="1"/>
  <c r="B47" i="124" s="1"/>
  <c r="F29" i="126" l="1"/>
  <c r="F33" i="126" s="1"/>
  <c r="F34" i="126" s="1"/>
  <c r="F39" i="126" s="1"/>
  <c r="F24" i="126"/>
  <c r="F25" i="126" s="1"/>
  <c r="F26" i="126" s="1"/>
  <c r="E29" i="126"/>
  <c r="E33" i="126" s="1"/>
  <c r="E26" i="126"/>
  <c r="F30" i="126" l="1"/>
  <c r="F41" i="126"/>
  <c r="E34" i="126"/>
  <c r="E39" i="126" s="1"/>
  <c r="E41" i="126" s="1"/>
  <c r="E30" i="126"/>
  <c r="G43" i="103" l="1"/>
  <c r="G22" i="103"/>
  <c r="B4" i="117" l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9" i="117" s="1"/>
  <c r="B30" i="117" s="1"/>
  <c r="B31" i="117" s="1"/>
  <c r="B32" i="117" s="1"/>
  <c r="B33" i="117" s="1"/>
  <c r="B35" i="117" s="1"/>
  <c r="B37" i="117" s="1"/>
  <c r="B38" i="117" s="1"/>
  <c r="B39" i="117" s="1"/>
  <c r="B40" i="117" s="1"/>
  <c r="B41" i="117" s="1"/>
  <c r="B42" i="117" s="1"/>
  <c r="B43" i="117" s="1"/>
  <c r="B44" i="117" s="1"/>
  <c r="B46" i="117" s="1"/>
  <c r="B47" i="117" s="1"/>
  <c r="B48" i="117" s="1"/>
  <c r="B49" i="117" s="1"/>
  <c r="B50" i="117" s="1"/>
  <c r="B51" i="117" s="1"/>
  <c r="B52" i="117" s="1"/>
  <c r="B53" i="117" s="1"/>
  <c r="B54" i="117" s="1"/>
  <c r="B55" i="117" s="1"/>
  <c r="B56" i="117" s="1"/>
  <c r="B57" i="117" s="1"/>
  <c r="B58" i="117" s="1"/>
  <c r="B59" i="117" s="1"/>
  <c r="B60" i="117" s="1"/>
  <c r="B61" i="117" s="1"/>
  <c r="B62" i="117" s="1"/>
  <c r="B63" i="117" s="1"/>
  <c r="B64" i="117" s="1"/>
  <c r="B65" i="117" s="1"/>
  <c r="B67" i="117" s="1"/>
  <c r="B68" i="117" s="1"/>
  <c r="B71" i="117" s="1"/>
  <c r="B72" i="117" s="1"/>
  <c r="B73" i="117" s="1"/>
  <c r="B74" i="117" s="1"/>
  <c r="B75" i="117" s="1"/>
  <c r="B76" i="117" s="1"/>
  <c r="B78" i="117" s="1"/>
  <c r="B79" i="117" s="1"/>
  <c r="B80" i="117" s="1"/>
  <c r="B81" i="117" s="1"/>
  <c r="B82" i="117" s="1"/>
  <c r="B83" i="117" s="1"/>
  <c r="B84" i="117" s="1"/>
  <c r="B85" i="117" s="1"/>
  <c r="B86" i="117" s="1"/>
  <c r="B87" i="117" s="1"/>
  <c r="B91" i="117" s="1"/>
  <c r="B92" i="117" s="1"/>
  <c r="B93" i="117" s="1"/>
  <c r="B94" i="117" s="1"/>
  <c r="B95" i="117" s="1"/>
  <c r="B96" i="117" s="1"/>
  <c r="B97" i="117" s="1"/>
  <c r="B100" i="117" s="1"/>
  <c r="B101" i="117" s="1"/>
  <c r="B102" i="117" s="1"/>
  <c r="B103" i="117" s="1"/>
  <c r="B104" i="117" s="1"/>
  <c r="B105" i="117" s="1"/>
  <c r="B106" i="117" s="1"/>
  <c r="B107" i="117" s="1"/>
  <c r="B108" i="117" s="1"/>
  <c r="B109" i="117" s="1"/>
  <c r="B110" i="117" s="1"/>
  <c r="B111" i="117" s="1"/>
  <c r="B112" i="117" s="1"/>
  <c r="B113" i="117" s="1"/>
  <c r="B114" i="117" s="1"/>
  <c r="B115" i="117" s="1"/>
  <c r="B116" i="117" s="1"/>
  <c r="B117" i="117" s="1"/>
  <c r="B118" i="117" s="1"/>
  <c r="B119" i="117" s="1"/>
  <c r="B120" i="117" s="1"/>
  <c r="B121" i="117" s="1"/>
  <c r="B122" i="117" s="1"/>
  <c r="B123" i="117" s="1"/>
  <c r="B124" i="117" s="1"/>
  <c r="B125" i="117" s="1"/>
  <c r="B126" i="117" s="1"/>
  <c r="B127" i="117" s="1"/>
  <c r="B128" i="117" s="1"/>
  <c r="B129" i="117" s="1"/>
  <c r="B130" i="117" s="1"/>
  <c r="B131" i="117" s="1"/>
  <c r="B132" i="117" s="1"/>
  <c r="B133" i="117" s="1"/>
  <c r="B134" i="117" s="1"/>
  <c r="B135" i="117" s="1"/>
  <c r="B136" i="117" s="1"/>
  <c r="B137" i="117" s="1"/>
  <c r="B138" i="117" s="1"/>
  <c r="B139" i="117" s="1"/>
  <c r="B140" i="117" s="1"/>
  <c r="B141" i="117" s="1"/>
  <c r="B142" i="117" s="1"/>
  <c r="B143" i="117" s="1"/>
  <c r="B144" i="117" s="1"/>
  <c r="B145" i="117" s="1"/>
  <c r="B146" i="117" s="1"/>
  <c r="B147" i="117" s="1"/>
  <c r="B148" i="117" s="1"/>
  <c r="B149" i="117" s="1"/>
  <c r="B150" i="117" s="1"/>
  <c r="B151" i="117" s="1"/>
  <c r="B152" i="117" s="1"/>
  <c r="B153" i="117" s="1"/>
  <c r="B154" i="117" s="1"/>
  <c r="B155" i="117" s="1"/>
  <c r="B156" i="117" s="1"/>
  <c r="B157" i="117" s="1"/>
  <c r="B158" i="117" s="1"/>
  <c r="B159" i="117" s="1"/>
  <c r="B160" i="117" s="1"/>
  <c r="B161" i="117" s="1"/>
  <c r="B162" i="117" s="1"/>
  <c r="B163" i="117" s="1"/>
  <c r="B164" i="117" s="1"/>
  <c r="B165" i="117" s="1"/>
  <c r="B166" i="117" s="1"/>
  <c r="B167" i="117" s="1"/>
  <c r="B168" i="117" s="1"/>
  <c r="B169" i="117" s="1"/>
  <c r="B170" i="117" s="1"/>
  <c r="B171" i="117" s="1"/>
  <c r="B172" i="117" s="1"/>
  <c r="B173" i="117" s="1"/>
  <c r="B174" i="117" s="1"/>
  <c r="B175" i="117" s="1"/>
  <c r="B176" i="117" s="1"/>
  <c r="B177" i="117" s="1"/>
  <c r="B178" i="117" s="1"/>
  <c r="B179" i="117" s="1"/>
  <c r="B180" i="117" s="1"/>
  <c r="B181" i="117" s="1"/>
  <c r="B182" i="117" s="1"/>
  <c r="B183" i="117" s="1"/>
  <c r="B184" i="117" s="1"/>
  <c r="B185" i="117" s="1"/>
  <c r="B186" i="117" s="1"/>
  <c r="B187" i="117" s="1"/>
  <c r="B188" i="117" s="1"/>
  <c r="B189" i="117" s="1"/>
  <c r="B190" i="117" s="1"/>
  <c r="B191" i="117" s="1"/>
  <c r="B192" i="117" s="1"/>
  <c r="B193" i="117" s="1"/>
  <c r="B194" i="117" s="1"/>
  <c r="B195" i="117" s="1"/>
  <c r="B196" i="117" s="1"/>
  <c r="B197" i="117" s="1"/>
  <c r="B198" i="117" s="1"/>
  <c r="B199" i="117" s="1"/>
  <c r="B200" i="117" s="1"/>
  <c r="B201" i="117" s="1"/>
  <c r="B202" i="117" s="1"/>
  <c r="B203" i="117" s="1"/>
  <c r="B204" i="117" s="1"/>
  <c r="B205" i="117" s="1"/>
  <c r="B206" i="117" s="1"/>
  <c r="B207" i="117" s="1"/>
  <c r="B208" i="117" s="1"/>
  <c r="B209" i="117" s="1"/>
  <c r="B210" i="117" s="1"/>
  <c r="B211" i="117" s="1"/>
  <c r="B212" i="117" s="1"/>
  <c r="B213" i="117" s="1"/>
  <c r="B214" i="117" s="1"/>
  <c r="B215" i="117" s="1"/>
  <c r="B216" i="117" s="1"/>
  <c r="B217" i="117" s="1"/>
  <c r="B218" i="117" s="1"/>
  <c r="B219" i="117" s="1"/>
  <c r="B220" i="117" s="1"/>
  <c r="B221" i="117" s="1"/>
  <c r="B222" i="117" s="1"/>
  <c r="B223" i="117" s="1"/>
  <c r="B224" i="117" s="1"/>
  <c r="B225" i="117" s="1"/>
  <c r="B226" i="117" s="1"/>
  <c r="B227" i="117" s="1"/>
  <c r="B230" i="117" s="1"/>
  <c r="B231" i="117" s="1"/>
  <c r="B232" i="117" s="1"/>
  <c r="B233" i="117" s="1"/>
  <c r="B234" i="117" s="1"/>
  <c r="B237" i="117" s="1"/>
  <c r="B238" i="117" s="1"/>
  <c r="B239" i="117" s="1"/>
  <c r="B47" i="116"/>
  <c r="B48" i="116" s="1"/>
  <c r="B49" i="116" s="1"/>
  <c r="B50" i="116" s="1"/>
  <c r="B51" i="116" s="1"/>
  <c r="B52" i="116" s="1"/>
  <c r="B53" i="116" s="1"/>
  <c r="B54" i="116" s="1"/>
  <c r="B55" i="116" s="1"/>
  <c r="B56" i="116" s="1"/>
  <c r="B57" i="116" s="1"/>
  <c r="B58" i="116" s="1"/>
  <c r="B59" i="116" s="1"/>
  <c r="B60" i="116" s="1"/>
  <c r="B62" i="116" s="1"/>
  <c r="B63" i="116" s="1"/>
  <c r="B64" i="116" s="1"/>
  <c r="B65" i="116" s="1"/>
  <c r="B66" i="116" s="1"/>
  <c r="B67" i="116" s="1"/>
  <c r="B68" i="116" s="1"/>
  <c r="B69" i="116" s="1"/>
  <c r="B70" i="116" s="1"/>
  <c r="B71" i="116" s="1"/>
  <c r="B72" i="116" s="1"/>
  <c r="B73" i="116" s="1"/>
  <c r="B42" i="116"/>
  <c r="B43" i="116" s="1"/>
  <c r="B44" i="116" s="1"/>
  <c r="B41" i="116"/>
  <c r="B40" i="116"/>
  <c r="T32" i="116"/>
  <c r="B6" i="116"/>
  <c r="B8" i="116" s="1"/>
  <c r="B9" i="116" s="1"/>
  <c r="B10" i="116" s="1"/>
  <c r="B11" i="116" s="1"/>
  <c r="B12" i="116" s="1"/>
  <c r="B13" i="116" s="1"/>
  <c r="B14" i="116" s="1"/>
  <c r="B15" i="116" s="1"/>
  <c r="B16" i="116" s="1"/>
  <c r="B17" i="116" s="1"/>
  <c r="B18" i="116" s="1"/>
  <c r="B19" i="116" s="1"/>
  <c r="B20" i="116" s="1"/>
  <c r="B21" i="116" s="1"/>
  <c r="B22" i="116" s="1"/>
  <c r="B23" i="116" s="1"/>
  <c r="B24" i="116" s="1"/>
  <c r="B25" i="116" s="1"/>
  <c r="B27" i="116" s="1"/>
  <c r="B28" i="116" s="1"/>
  <c r="B29" i="116" s="1"/>
  <c r="B30" i="116" s="1"/>
  <c r="B32" i="116" s="1"/>
  <c r="B33" i="116" s="1"/>
  <c r="B34" i="116" s="1"/>
  <c r="B35" i="116" s="1"/>
  <c r="B36" i="116" s="1"/>
  <c r="B37" i="116" s="1"/>
  <c r="B5" i="116"/>
  <c r="B4" i="116"/>
  <c r="D112" i="103" l="1"/>
  <c r="D101" i="103"/>
  <c r="D104" i="103"/>
  <c r="D113" i="103" l="1"/>
  <c r="G68" i="113"/>
  <c r="H68" i="113"/>
  <c r="I68" i="113"/>
  <c r="J68" i="113"/>
  <c r="K68" i="113"/>
  <c r="L68" i="113"/>
  <c r="M68" i="113"/>
  <c r="N68" i="113"/>
  <c r="O68" i="113"/>
  <c r="O69" i="113" s="1"/>
  <c r="O70" i="113" s="1"/>
  <c r="O71" i="113" s="1"/>
  <c r="P68" i="113"/>
  <c r="Q68" i="113"/>
  <c r="R68" i="113"/>
  <c r="S68" i="113"/>
  <c r="T68" i="113"/>
  <c r="T69" i="113" s="1"/>
  <c r="U68" i="113"/>
  <c r="U69" i="113" s="1"/>
  <c r="V68" i="113"/>
  <c r="W68" i="113"/>
  <c r="X68" i="113"/>
  <c r="X69" i="113" s="1"/>
  <c r="Y68" i="113"/>
  <c r="Y69" i="113" s="1"/>
  <c r="Z68" i="113"/>
  <c r="Z69" i="113" s="1"/>
  <c r="AA68" i="113"/>
  <c r="AA69" i="113" s="1"/>
  <c r="F69" i="113"/>
  <c r="G28" i="113"/>
  <c r="H28" i="113"/>
  <c r="I28" i="113"/>
  <c r="J28" i="113"/>
  <c r="K28" i="113"/>
  <c r="L28" i="113"/>
  <c r="M28" i="113"/>
  <c r="N28" i="113"/>
  <c r="O28" i="113"/>
  <c r="P28" i="113"/>
  <c r="Q28" i="113"/>
  <c r="R28" i="113"/>
  <c r="S28" i="113"/>
  <c r="T28" i="113"/>
  <c r="U28" i="113"/>
  <c r="V28" i="113"/>
  <c r="W28" i="113"/>
  <c r="X28" i="113"/>
  <c r="Y28" i="113"/>
  <c r="Z28" i="113"/>
  <c r="AA28" i="113"/>
  <c r="Q69" i="113"/>
  <c r="R69" i="113"/>
  <c r="S69" i="113"/>
  <c r="V69" i="113"/>
  <c r="W69" i="113"/>
  <c r="C46" i="113"/>
  <c r="C87" i="113"/>
  <c r="D115" i="103" l="1"/>
  <c r="D116" i="103" s="1"/>
  <c r="D117" i="103" s="1"/>
  <c r="D119" i="103" s="1"/>
  <c r="D120" i="103" s="1"/>
  <c r="DY35" i="110"/>
  <c r="DY31" i="110"/>
  <c r="DY29" i="110"/>
  <c r="DY27" i="110"/>
  <c r="DY25" i="110"/>
  <c r="DY23" i="110"/>
  <c r="E69" i="113"/>
  <c r="AD69" i="113"/>
  <c r="AC69" i="113"/>
  <c r="P69" i="113"/>
  <c r="N69" i="113"/>
  <c r="M69" i="113"/>
  <c r="L69" i="113"/>
  <c r="K69" i="113"/>
  <c r="J69" i="113"/>
  <c r="I69" i="113"/>
  <c r="H69" i="113"/>
  <c r="G69" i="113"/>
  <c r="U70" i="113"/>
  <c r="C26" i="113"/>
  <c r="DY18" i="110"/>
  <c r="DY14" i="110"/>
  <c r="DY12" i="110"/>
  <c r="DY10" i="110"/>
  <c r="DY8" i="110"/>
  <c r="DY6" i="110"/>
  <c r="M14" i="113"/>
  <c r="N14" i="113"/>
  <c r="AC29" i="113"/>
  <c r="AD29" i="113"/>
  <c r="U73" i="113" l="1"/>
  <c r="U71" i="113"/>
  <c r="O73" i="113"/>
  <c r="W70" i="113"/>
  <c r="X70" i="113"/>
  <c r="Y70" i="113"/>
  <c r="T70" i="113"/>
  <c r="R70" i="113"/>
  <c r="V70" i="113"/>
  <c r="Z70" i="113"/>
  <c r="Q70" i="113"/>
  <c r="AA70" i="113"/>
  <c r="S70" i="113"/>
  <c r="J70" i="113"/>
  <c r="L70" i="113"/>
  <c r="K70" i="113"/>
  <c r="AC70" i="113"/>
  <c r="AC73" i="113" s="1"/>
  <c r="M70" i="113"/>
  <c r="AD70" i="113"/>
  <c r="AD73" i="113" s="1"/>
  <c r="F70" i="113"/>
  <c r="N70" i="113"/>
  <c r="E70" i="113"/>
  <c r="G70" i="113"/>
  <c r="H70" i="113"/>
  <c r="P70" i="113"/>
  <c r="I70" i="113"/>
  <c r="AD30" i="113"/>
  <c r="AC30" i="113"/>
  <c r="E29" i="113"/>
  <c r="AF28" i="113"/>
  <c r="AF29" i="113" s="1"/>
  <c r="AF30" i="113" s="1"/>
  <c r="AE28" i="113"/>
  <c r="AE29" i="113" s="1"/>
  <c r="AE30" i="113" s="1"/>
  <c r="P14" i="113"/>
  <c r="O14" i="113"/>
  <c r="L14" i="113"/>
  <c r="K14" i="113"/>
  <c r="J14" i="113"/>
  <c r="I14" i="113"/>
  <c r="H14" i="113"/>
  <c r="G14" i="113"/>
  <c r="F14" i="113"/>
  <c r="E14" i="113"/>
  <c r="C11" i="113"/>
  <c r="E9" i="113"/>
  <c r="G7" i="113"/>
  <c r="F7" i="113"/>
  <c r="E6" i="113"/>
  <c r="E7" i="113" s="1"/>
  <c r="G4" i="113"/>
  <c r="F4" i="113"/>
  <c r="E36" i="111"/>
  <c r="M25" i="111"/>
  <c r="M30" i="111"/>
  <c r="M31" i="111"/>
  <c r="N28" i="111"/>
  <c r="N46" i="111" s="1"/>
  <c r="M28" i="111"/>
  <c r="M46" i="111" s="1"/>
  <c r="K46" i="111"/>
  <c r="L46" i="111"/>
  <c r="F46" i="111"/>
  <c r="G46" i="111"/>
  <c r="H46" i="111"/>
  <c r="I46" i="111"/>
  <c r="J46" i="111"/>
  <c r="F37" i="111"/>
  <c r="G37" i="111"/>
  <c r="H37" i="111"/>
  <c r="I37" i="111"/>
  <c r="E37" i="111"/>
  <c r="N15" i="111"/>
  <c r="L24" i="111"/>
  <c r="H14" i="111"/>
  <c r="I14" i="111"/>
  <c r="E14" i="111"/>
  <c r="F23" i="111"/>
  <c r="F24" i="111" s="1"/>
  <c r="G23" i="111"/>
  <c r="G24" i="111" s="1"/>
  <c r="H23" i="111"/>
  <c r="H24" i="111" s="1"/>
  <c r="I23" i="111"/>
  <c r="I24" i="111" s="1"/>
  <c r="J23" i="111"/>
  <c r="J24" i="111" s="1"/>
  <c r="K23" i="111"/>
  <c r="K24" i="111" s="1"/>
  <c r="L23" i="111"/>
  <c r="M23" i="111"/>
  <c r="M24" i="111" s="1"/>
  <c r="N23" i="111"/>
  <c r="N24" i="111" s="1"/>
  <c r="N25" i="111" s="1"/>
  <c r="N27" i="111" s="1"/>
  <c r="E23" i="111"/>
  <c r="E24" i="111" s="1"/>
  <c r="C38" i="111"/>
  <c r="N35" i="111"/>
  <c r="M35" i="111"/>
  <c r="J35" i="111"/>
  <c r="J37" i="111" s="1"/>
  <c r="C53" i="111"/>
  <c r="C52" i="111"/>
  <c r="C47" i="111"/>
  <c r="C51" i="111" s="1"/>
  <c r="E46" i="111"/>
  <c r="L44" i="111"/>
  <c r="K44" i="111"/>
  <c r="K35" i="111" s="1"/>
  <c r="K37" i="111" s="1"/>
  <c r="N14" i="111"/>
  <c r="M14" i="111"/>
  <c r="L14" i="111"/>
  <c r="K14" i="111"/>
  <c r="J14" i="111"/>
  <c r="G14" i="111"/>
  <c r="F14" i="111"/>
  <c r="E9" i="111"/>
  <c r="C11" i="111"/>
  <c r="C12" i="111" s="1"/>
  <c r="G7" i="111"/>
  <c r="F7" i="111"/>
  <c r="E6" i="111"/>
  <c r="E7" i="111" s="1"/>
  <c r="G4" i="111"/>
  <c r="F4" i="111"/>
  <c r="E4" i="111"/>
  <c r="Z7" i="10"/>
  <c r="Z8" i="10" s="1"/>
  <c r="Z9" i="10"/>
  <c r="Z10" i="10"/>
  <c r="AA10" i="10"/>
  <c r="Y10" i="10"/>
  <c r="AB10" i="10" s="1"/>
  <c r="AA7" i="10"/>
  <c r="AA8" i="10" s="1"/>
  <c r="AA9" i="10"/>
  <c r="Y9" i="10"/>
  <c r="AB9" i="10" s="1"/>
  <c r="Y7" i="10"/>
  <c r="Y8" i="10" s="1"/>
  <c r="AB8" i="10" s="1"/>
  <c r="G73" i="113" l="1"/>
  <c r="G71" i="113"/>
  <c r="H73" i="113"/>
  <c r="H71" i="113"/>
  <c r="K73" i="113"/>
  <c r="K71" i="113"/>
  <c r="R73" i="113"/>
  <c r="R71" i="113"/>
  <c r="Y73" i="113"/>
  <c r="Y71" i="113"/>
  <c r="N73" i="113"/>
  <c r="N71" i="113"/>
  <c r="S73" i="113"/>
  <c r="S71" i="113"/>
  <c r="X73" i="113"/>
  <c r="X71" i="113"/>
  <c r="L73" i="113"/>
  <c r="L71" i="113"/>
  <c r="F73" i="113"/>
  <c r="F71" i="113"/>
  <c r="AA73" i="113"/>
  <c r="AA71" i="113"/>
  <c r="W73" i="113"/>
  <c r="W71" i="113"/>
  <c r="T73" i="113"/>
  <c r="T71" i="113"/>
  <c r="Q73" i="113"/>
  <c r="Q71" i="113"/>
  <c r="J73" i="113"/>
  <c r="J71" i="113"/>
  <c r="I73" i="113"/>
  <c r="I71" i="113"/>
  <c r="M73" i="113"/>
  <c r="M71" i="113"/>
  <c r="Z73" i="113"/>
  <c r="Z71" i="113"/>
  <c r="E73" i="113"/>
  <c r="E71" i="113"/>
  <c r="P73" i="113"/>
  <c r="P71" i="113"/>
  <c r="V73" i="113"/>
  <c r="V71" i="113"/>
  <c r="C75" i="113"/>
  <c r="C76" i="113" s="1"/>
  <c r="AD9" i="10"/>
  <c r="AD10" i="10"/>
  <c r="AC10" i="10"/>
  <c r="AC9" i="10"/>
  <c r="AC8" i="10"/>
  <c r="AD8" i="10"/>
  <c r="E30" i="113"/>
  <c r="E32" i="113" s="1"/>
  <c r="O15" i="113"/>
  <c r="AE32" i="113" s="1"/>
  <c r="F29" i="113"/>
  <c r="F30" i="113" s="1"/>
  <c r="F32" i="113" s="1"/>
  <c r="P15" i="113"/>
  <c r="P20" i="113" s="1"/>
  <c r="C12" i="113"/>
  <c r="N37" i="111"/>
  <c r="M37" i="111"/>
  <c r="E15" i="111"/>
  <c r="E18" i="111" s="1"/>
  <c r="L15" i="111"/>
  <c r="L25" i="111" s="1"/>
  <c r="L27" i="111" s="1"/>
  <c r="M15" i="111"/>
  <c r="M20" i="111" s="1"/>
  <c r="E20" i="111"/>
  <c r="E19" i="111"/>
  <c r="E16" i="111"/>
  <c r="I15" i="111"/>
  <c r="I18" i="111" s="1"/>
  <c r="H15" i="111"/>
  <c r="H25" i="111" s="1"/>
  <c r="H27" i="111" s="1"/>
  <c r="H30" i="111" s="1"/>
  <c r="N30" i="111"/>
  <c r="N45" i="111" s="1"/>
  <c r="N20" i="111"/>
  <c r="L35" i="111"/>
  <c r="L37" i="111" s="1"/>
  <c r="E79" i="113" l="1"/>
  <c r="O78" i="113"/>
  <c r="U78" i="113"/>
  <c r="U79" i="113" s="1"/>
  <c r="Y78" i="113"/>
  <c r="Y79" i="113" s="1"/>
  <c r="W78" i="113"/>
  <c r="W79" i="113" s="1"/>
  <c r="T78" i="113"/>
  <c r="T79" i="113" s="1"/>
  <c r="Z78" i="113"/>
  <c r="V78" i="113"/>
  <c r="V79" i="113" s="1"/>
  <c r="X78" i="113"/>
  <c r="X79" i="113" s="1"/>
  <c r="Q78" i="113"/>
  <c r="Q79" i="113" s="1"/>
  <c r="S78" i="113"/>
  <c r="S79" i="113" s="1"/>
  <c r="R78" i="113"/>
  <c r="R79" i="113" s="1"/>
  <c r="AC78" i="113"/>
  <c r="AD78" i="113"/>
  <c r="F78" i="113"/>
  <c r="F79" i="113" s="1"/>
  <c r="G78" i="113"/>
  <c r="P78" i="113"/>
  <c r="I78" i="113"/>
  <c r="L78" i="113"/>
  <c r="J78" i="113"/>
  <c r="H78" i="113"/>
  <c r="M78" i="113"/>
  <c r="N78" i="113"/>
  <c r="K78" i="113"/>
  <c r="O20" i="113"/>
  <c r="G15" i="113"/>
  <c r="G18" i="113" s="1"/>
  <c r="AD32" i="113"/>
  <c r="AC32" i="113"/>
  <c r="M15" i="113"/>
  <c r="N15" i="113"/>
  <c r="P18" i="113"/>
  <c r="P16" i="113"/>
  <c r="G29" i="113"/>
  <c r="G30" i="113" s="1"/>
  <c r="G32" i="113" s="1"/>
  <c r="P19" i="113"/>
  <c r="AF32" i="113"/>
  <c r="I15" i="113"/>
  <c r="I20" i="113" s="1"/>
  <c r="K15" i="113"/>
  <c r="K16" i="113" s="1"/>
  <c r="F15" i="113"/>
  <c r="F19" i="113" s="1"/>
  <c r="H15" i="113"/>
  <c r="L15" i="113"/>
  <c r="L18" i="113" s="1"/>
  <c r="E15" i="113"/>
  <c r="E20" i="113" s="1"/>
  <c r="J15" i="113"/>
  <c r="J16" i="113" s="1"/>
  <c r="O19" i="113"/>
  <c r="O18" i="113"/>
  <c r="O16" i="113"/>
  <c r="H31" i="111"/>
  <c r="H36" i="111"/>
  <c r="H45" i="111"/>
  <c r="H19" i="111"/>
  <c r="N47" i="111"/>
  <c r="N48" i="111"/>
  <c r="N49" i="111"/>
  <c r="I25" i="111"/>
  <c r="I27" i="111" s="1"/>
  <c r="I30" i="111" s="1"/>
  <c r="M19" i="111"/>
  <c r="M18" i="111"/>
  <c r="M27" i="111"/>
  <c r="M45" i="111" s="1"/>
  <c r="H16" i="111"/>
  <c r="H18" i="111"/>
  <c r="N18" i="111"/>
  <c r="I16" i="111"/>
  <c r="I20" i="111"/>
  <c r="H20" i="111"/>
  <c r="N19" i="111"/>
  <c r="I19" i="111"/>
  <c r="N16" i="111"/>
  <c r="M16" i="111"/>
  <c r="J15" i="111"/>
  <c r="J25" i="111" s="1"/>
  <c r="J27" i="111" s="1"/>
  <c r="G15" i="111"/>
  <c r="G25" i="111" s="1"/>
  <c r="G27" i="111" s="1"/>
  <c r="G30" i="111" s="1"/>
  <c r="F15" i="111"/>
  <c r="F25" i="111" s="1"/>
  <c r="F27" i="111" s="1"/>
  <c r="E25" i="111"/>
  <c r="E27" i="111" s="1"/>
  <c r="E30" i="111" s="1"/>
  <c r="K15" i="111"/>
  <c r="K25" i="111" s="1"/>
  <c r="K27" i="111" s="1"/>
  <c r="N31" i="111"/>
  <c r="N36" i="111"/>
  <c r="E82" i="113" l="1"/>
  <c r="E80" i="113"/>
  <c r="X80" i="113"/>
  <c r="X82" i="113"/>
  <c r="Z80" i="113"/>
  <c r="Z82" i="113"/>
  <c r="R80" i="113"/>
  <c r="R82" i="113"/>
  <c r="W80" i="113"/>
  <c r="W82" i="113"/>
  <c r="Q80" i="113"/>
  <c r="Q82" i="113"/>
  <c r="V82" i="113"/>
  <c r="V80" i="113"/>
  <c r="T82" i="113"/>
  <c r="T80" i="113"/>
  <c r="AA80" i="113"/>
  <c r="AA82" i="113"/>
  <c r="Y80" i="113"/>
  <c r="Y82" i="113"/>
  <c r="S82" i="113"/>
  <c r="S80" i="113"/>
  <c r="U82" i="113"/>
  <c r="U80" i="113"/>
  <c r="Q89" i="113"/>
  <c r="Q91" i="113"/>
  <c r="Q87" i="113"/>
  <c r="X89" i="113"/>
  <c r="X87" i="113"/>
  <c r="X91" i="113"/>
  <c r="V91" i="113"/>
  <c r="V87" i="113"/>
  <c r="V89" i="113"/>
  <c r="Z87" i="113"/>
  <c r="Z89" i="113"/>
  <c r="Z91" i="113"/>
  <c r="T91" i="113"/>
  <c r="T87" i="113"/>
  <c r="T89" i="113"/>
  <c r="R87" i="113"/>
  <c r="R89" i="113"/>
  <c r="R91" i="113"/>
  <c r="W91" i="113"/>
  <c r="W89" i="113"/>
  <c r="W87" i="113"/>
  <c r="AA87" i="113"/>
  <c r="AA89" i="113"/>
  <c r="AA91" i="113"/>
  <c r="Y91" i="113"/>
  <c r="Y89" i="113"/>
  <c r="Y87" i="113"/>
  <c r="S87" i="113"/>
  <c r="S89" i="113"/>
  <c r="S91" i="113"/>
  <c r="U91" i="113"/>
  <c r="U87" i="113"/>
  <c r="U89" i="113"/>
  <c r="G20" i="113"/>
  <c r="G19" i="113"/>
  <c r="G16" i="113"/>
  <c r="M18" i="113"/>
  <c r="M20" i="113"/>
  <c r="M19" i="113"/>
  <c r="M16" i="113"/>
  <c r="N19" i="113"/>
  <c r="N16" i="113"/>
  <c r="N18" i="113"/>
  <c r="N20" i="113"/>
  <c r="I16" i="113"/>
  <c r="F16" i="113"/>
  <c r="I18" i="113"/>
  <c r="I19" i="113"/>
  <c r="H29" i="113"/>
  <c r="H30" i="113" s="1"/>
  <c r="H32" i="113" s="1"/>
  <c r="F18" i="113"/>
  <c r="F20" i="113"/>
  <c r="J20" i="113"/>
  <c r="J18" i="113"/>
  <c r="L20" i="113"/>
  <c r="E18" i="113"/>
  <c r="H16" i="113"/>
  <c r="H20" i="113"/>
  <c r="H19" i="113"/>
  <c r="H18" i="113"/>
  <c r="E19" i="113"/>
  <c r="K18" i="113"/>
  <c r="J19" i="113"/>
  <c r="L19" i="113"/>
  <c r="E16" i="113"/>
  <c r="L16" i="113"/>
  <c r="K19" i="113"/>
  <c r="K20" i="113"/>
  <c r="I29" i="113"/>
  <c r="I30" i="113" s="1"/>
  <c r="I32" i="113" s="1"/>
  <c r="M47" i="111"/>
  <c r="M48" i="111"/>
  <c r="M49" i="111"/>
  <c r="N39" i="111"/>
  <c r="N40" i="111"/>
  <c r="N38" i="111"/>
  <c r="E31" i="111"/>
  <c r="E38" i="111"/>
  <c r="I31" i="111"/>
  <c r="I45" i="111"/>
  <c r="I36" i="111"/>
  <c r="H48" i="111"/>
  <c r="H47" i="111"/>
  <c r="H50" i="111" s="1"/>
  <c r="H49" i="111"/>
  <c r="G36" i="111"/>
  <c r="G45" i="111"/>
  <c r="H38" i="111"/>
  <c r="H39" i="111"/>
  <c r="H40" i="111"/>
  <c r="L19" i="111"/>
  <c r="L18" i="111"/>
  <c r="L20" i="111"/>
  <c r="K20" i="111"/>
  <c r="K18" i="111"/>
  <c r="K19" i="111"/>
  <c r="F19" i="111"/>
  <c r="F18" i="111"/>
  <c r="F20" i="111"/>
  <c r="G20" i="111"/>
  <c r="G18" i="111"/>
  <c r="G19" i="111"/>
  <c r="J18" i="111"/>
  <c r="J20" i="111"/>
  <c r="J19" i="111"/>
  <c r="J16" i="111"/>
  <c r="K16" i="111"/>
  <c r="M36" i="111"/>
  <c r="N50" i="111"/>
  <c r="F16" i="111"/>
  <c r="G16" i="111"/>
  <c r="L16" i="111"/>
  <c r="B47" i="106"/>
  <c r="B48" i="106" s="1"/>
  <c r="B49" i="106" s="1"/>
  <c r="B50" i="106" s="1"/>
  <c r="B51" i="106" s="1"/>
  <c r="B52" i="106" s="1"/>
  <c r="B53" i="106" s="1"/>
  <c r="B54" i="106" s="1"/>
  <c r="B55" i="106" s="1"/>
  <c r="B56" i="106" s="1"/>
  <c r="B57" i="106" s="1"/>
  <c r="B58" i="106" s="1"/>
  <c r="B59" i="106" s="1"/>
  <c r="B60" i="106" s="1"/>
  <c r="B62" i="106" s="1"/>
  <c r="B63" i="106" s="1"/>
  <c r="B64" i="106" s="1"/>
  <c r="B65" i="106" s="1"/>
  <c r="B66" i="106" s="1"/>
  <c r="B67" i="106" s="1"/>
  <c r="B68" i="106" s="1"/>
  <c r="B69" i="106" s="1"/>
  <c r="B70" i="106" s="1"/>
  <c r="B71" i="106" s="1"/>
  <c r="B72" i="106" s="1"/>
  <c r="B73" i="106" s="1"/>
  <c r="B41" i="106"/>
  <c r="B42" i="106" s="1"/>
  <c r="B43" i="106" s="1"/>
  <c r="B44" i="106" s="1"/>
  <c r="B40" i="106"/>
  <c r="T32" i="106"/>
  <c r="B5" i="106"/>
  <c r="B6" i="106" s="1"/>
  <c r="B8" i="106" s="1"/>
  <c r="B9" i="106" s="1"/>
  <c r="B10" i="106" s="1"/>
  <c r="B11" i="106" s="1"/>
  <c r="B12" i="106" s="1"/>
  <c r="B13" i="106" s="1"/>
  <c r="B14" i="106" s="1"/>
  <c r="B15" i="106" s="1"/>
  <c r="B16" i="106" s="1"/>
  <c r="B17" i="106" s="1"/>
  <c r="B18" i="106" s="1"/>
  <c r="B19" i="106" s="1"/>
  <c r="B20" i="106" s="1"/>
  <c r="B21" i="106" s="1"/>
  <c r="B22" i="106" s="1"/>
  <c r="B23" i="106" s="1"/>
  <c r="B24" i="106" s="1"/>
  <c r="B25" i="106" s="1"/>
  <c r="B27" i="106" s="1"/>
  <c r="B28" i="106" s="1"/>
  <c r="B29" i="106" s="1"/>
  <c r="B30" i="106" s="1"/>
  <c r="B32" i="106" s="1"/>
  <c r="B33" i="106" s="1"/>
  <c r="B34" i="106" s="1"/>
  <c r="B35" i="106" s="1"/>
  <c r="B36" i="106" s="1"/>
  <c r="B37" i="106" s="1"/>
  <c r="B4" i="106"/>
  <c r="E87" i="113" l="1"/>
  <c r="Y95" i="113"/>
  <c r="Q96" i="113"/>
  <c r="U95" i="113"/>
  <c r="Y96" i="113"/>
  <c r="R95" i="113"/>
  <c r="V95" i="113"/>
  <c r="Q95" i="113"/>
  <c r="AA96" i="113"/>
  <c r="AA95" i="113"/>
  <c r="S95" i="113"/>
  <c r="W94" i="113"/>
  <c r="T96" i="113"/>
  <c r="X94" i="113"/>
  <c r="R96" i="113"/>
  <c r="U96" i="113"/>
  <c r="V96" i="113"/>
  <c r="S96" i="113"/>
  <c r="T94" i="113"/>
  <c r="S94" i="113"/>
  <c r="W95" i="113"/>
  <c r="Z96" i="113"/>
  <c r="X95" i="113"/>
  <c r="Z94" i="113"/>
  <c r="T95" i="113"/>
  <c r="AA94" i="113"/>
  <c r="X96" i="113"/>
  <c r="Y94" i="113"/>
  <c r="W96" i="113"/>
  <c r="Z95" i="113"/>
  <c r="Q94" i="113"/>
  <c r="U88" i="113"/>
  <c r="U94" i="113"/>
  <c r="R88" i="113"/>
  <c r="R94" i="113"/>
  <c r="V88" i="113"/>
  <c r="V94" i="113"/>
  <c r="Q93" i="113"/>
  <c r="AA88" i="113"/>
  <c r="T88" i="113"/>
  <c r="W88" i="113"/>
  <c r="Y88" i="113"/>
  <c r="Q88" i="113"/>
  <c r="X93" i="113"/>
  <c r="X88" i="113"/>
  <c r="S88" i="113"/>
  <c r="Z88" i="113"/>
  <c r="E91" i="113"/>
  <c r="Y93" i="113"/>
  <c r="E89" i="113"/>
  <c r="V93" i="113"/>
  <c r="U93" i="113"/>
  <c r="T93" i="113"/>
  <c r="W93" i="113"/>
  <c r="S93" i="113"/>
  <c r="AA93" i="113"/>
  <c r="Z93" i="113"/>
  <c r="R93" i="113"/>
  <c r="S90" i="113"/>
  <c r="Y90" i="113"/>
  <c r="Q90" i="113"/>
  <c r="AA90" i="113"/>
  <c r="X90" i="113"/>
  <c r="Z90" i="113"/>
  <c r="R90" i="113"/>
  <c r="T90" i="113"/>
  <c r="V90" i="113"/>
  <c r="T92" i="113"/>
  <c r="W90" i="113"/>
  <c r="U90" i="113"/>
  <c r="AD79" i="113"/>
  <c r="G79" i="113"/>
  <c r="F80" i="113"/>
  <c r="AC79" i="113"/>
  <c r="J29" i="113"/>
  <c r="J30" i="113" s="1"/>
  <c r="J32" i="113" s="1"/>
  <c r="I38" i="111"/>
  <c r="I39" i="111"/>
  <c r="I40" i="111"/>
  <c r="I47" i="111"/>
  <c r="I50" i="111" s="1"/>
  <c r="I48" i="111"/>
  <c r="I49" i="111"/>
  <c r="M40" i="111"/>
  <c r="M38" i="111"/>
  <c r="M39" i="111"/>
  <c r="G40" i="111"/>
  <c r="G39" i="111"/>
  <c r="G38" i="111"/>
  <c r="H53" i="111"/>
  <c r="H51" i="111"/>
  <c r="H52" i="111"/>
  <c r="G49" i="111"/>
  <c r="G47" i="111"/>
  <c r="G48" i="111"/>
  <c r="N52" i="111"/>
  <c r="N53" i="111"/>
  <c r="N51" i="111"/>
  <c r="M50" i="111"/>
  <c r="L30" i="111"/>
  <c r="L45" i="111" s="1"/>
  <c r="K30" i="111"/>
  <c r="K45" i="111" s="1"/>
  <c r="F30" i="111"/>
  <c r="J30" i="111"/>
  <c r="Y103" i="113" l="1"/>
  <c r="Z97" i="113"/>
  <c r="V98" i="113"/>
  <c r="V99" i="113"/>
  <c r="Y98" i="113"/>
  <c r="Z98" i="113"/>
  <c r="R99" i="113"/>
  <c r="T99" i="113"/>
  <c r="X97" i="113"/>
  <c r="X98" i="113"/>
  <c r="E104" i="113"/>
  <c r="E107" i="113" s="1"/>
  <c r="X99" i="113"/>
  <c r="AA97" i="113"/>
  <c r="S99" i="113"/>
  <c r="Y97" i="113"/>
  <c r="X103" i="113"/>
  <c r="S98" i="113"/>
  <c r="W99" i="113"/>
  <c r="AA98" i="113"/>
  <c r="U98" i="113"/>
  <c r="T102" i="113"/>
  <c r="T97" i="113"/>
  <c r="Y104" i="113"/>
  <c r="Y107" i="113" s="1"/>
  <c r="W98" i="113"/>
  <c r="Z99" i="113"/>
  <c r="R104" i="113"/>
  <c r="AA99" i="113"/>
  <c r="Q102" i="113"/>
  <c r="S103" i="113"/>
  <c r="E103" i="113"/>
  <c r="X104" i="113"/>
  <c r="X107" i="113" s="1"/>
  <c r="U102" i="113"/>
  <c r="Y99" i="113"/>
  <c r="T98" i="113"/>
  <c r="Z103" i="113"/>
  <c r="AA102" i="113"/>
  <c r="Z104" i="113"/>
  <c r="S104" i="113"/>
  <c r="X102" i="113"/>
  <c r="E102" i="113"/>
  <c r="Q103" i="113"/>
  <c r="U103" i="113"/>
  <c r="AA103" i="113"/>
  <c r="W104" i="113"/>
  <c r="V104" i="113"/>
  <c r="T104" i="113"/>
  <c r="V103" i="113"/>
  <c r="Q104" i="113"/>
  <c r="V102" i="113"/>
  <c r="W103" i="113"/>
  <c r="U97" i="113"/>
  <c r="Y102" i="113"/>
  <c r="Z102" i="113"/>
  <c r="S102" i="113"/>
  <c r="U104" i="113"/>
  <c r="W102" i="113"/>
  <c r="R102" i="113"/>
  <c r="R103" i="113"/>
  <c r="R97" i="113"/>
  <c r="T103" i="113"/>
  <c r="U99" i="113"/>
  <c r="AA104" i="113"/>
  <c r="R98" i="113"/>
  <c r="V97" i="113"/>
  <c r="W97" i="113"/>
  <c r="S97" i="113"/>
  <c r="AC89" i="113"/>
  <c r="AC103" i="113" s="1"/>
  <c r="AC87" i="113"/>
  <c r="AC102" i="113" s="1"/>
  <c r="AC91" i="113"/>
  <c r="AC104" i="113" s="1"/>
  <c r="G89" i="113"/>
  <c r="G91" i="113"/>
  <c r="G104" i="113" s="1"/>
  <c r="G87" i="113"/>
  <c r="G102" i="113" s="1"/>
  <c r="F91" i="113"/>
  <c r="F104" i="113" s="1"/>
  <c r="F87" i="113"/>
  <c r="F102" i="113" s="1"/>
  <c r="F89" i="113"/>
  <c r="AD91" i="113"/>
  <c r="AD104" i="113" s="1"/>
  <c r="AD87" i="113"/>
  <c r="AD102" i="113" s="1"/>
  <c r="AD89" i="113"/>
  <c r="AD103" i="113" s="1"/>
  <c r="G80" i="113"/>
  <c r="AD82" i="113"/>
  <c r="AD80" i="113"/>
  <c r="AC82" i="113"/>
  <c r="AC80" i="113"/>
  <c r="G82" i="113"/>
  <c r="F82" i="113"/>
  <c r="I79" i="113"/>
  <c r="H79" i="113"/>
  <c r="K29" i="113"/>
  <c r="K30" i="113" s="1"/>
  <c r="K32" i="113" s="1"/>
  <c r="I53" i="111"/>
  <c r="I52" i="111"/>
  <c r="I51" i="111"/>
  <c r="K48" i="111"/>
  <c r="K49" i="111"/>
  <c r="K47" i="111"/>
  <c r="F45" i="111"/>
  <c r="F36" i="111"/>
  <c r="L47" i="111"/>
  <c r="L48" i="111"/>
  <c r="L49" i="111"/>
  <c r="J45" i="111"/>
  <c r="J36" i="111"/>
  <c r="M53" i="111"/>
  <c r="M51" i="111"/>
  <c r="M52" i="111"/>
  <c r="K36" i="111"/>
  <c r="K31" i="111"/>
  <c r="L36" i="111"/>
  <c r="L31" i="111"/>
  <c r="G31" i="111"/>
  <c r="E45" i="111"/>
  <c r="J31" i="111"/>
  <c r="F31" i="111"/>
  <c r="Y105" i="113" l="1"/>
  <c r="E108" i="113"/>
  <c r="E109" i="113" s="1"/>
  <c r="Q105" i="113"/>
  <c r="R108" i="113"/>
  <c r="R109" i="113" s="1"/>
  <c r="X105" i="113"/>
  <c r="R105" i="113"/>
  <c r="X108" i="113"/>
  <c r="X109" i="113" s="1"/>
  <c r="T105" i="113"/>
  <c r="U105" i="113"/>
  <c r="R107" i="113"/>
  <c r="Y108" i="113"/>
  <c r="Y109" i="113" s="1"/>
  <c r="AC105" i="113"/>
  <c r="Q107" i="113"/>
  <c r="Q108" i="113"/>
  <c r="Q109" i="113" s="1"/>
  <c r="T107" i="113"/>
  <c r="T108" i="113"/>
  <c r="T109" i="113" s="1"/>
  <c r="G95" i="113"/>
  <c r="G103" i="113"/>
  <c r="G105" i="113" s="1"/>
  <c r="AD105" i="113"/>
  <c r="F95" i="113"/>
  <c r="F103" i="113"/>
  <c r="E105" i="113"/>
  <c r="U107" i="113"/>
  <c r="U108" i="113"/>
  <c r="U109" i="113" s="1"/>
  <c r="V105" i="113"/>
  <c r="V107" i="113"/>
  <c r="V108" i="113"/>
  <c r="V109" i="113" s="1"/>
  <c r="S107" i="113"/>
  <c r="S108" i="113"/>
  <c r="S109" i="113" s="1"/>
  <c r="S105" i="113"/>
  <c r="W105" i="113"/>
  <c r="W107" i="113"/>
  <c r="W108" i="113"/>
  <c r="W109" i="113" s="1"/>
  <c r="Z105" i="113"/>
  <c r="Z107" i="113"/>
  <c r="Z108" i="113"/>
  <c r="Z109" i="113" s="1"/>
  <c r="AA108" i="113"/>
  <c r="AA109" i="113" s="1"/>
  <c r="AA107" i="113"/>
  <c r="F107" i="113"/>
  <c r="G107" i="113"/>
  <c r="AA105" i="113"/>
  <c r="AD93" i="113"/>
  <c r="AC93" i="113"/>
  <c r="F93" i="113"/>
  <c r="H89" i="113"/>
  <c r="H103" i="113" s="1"/>
  <c r="H91" i="113"/>
  <c r="H104" i="113" s="1"/>
  <c r="H87" i="113"/>
  <c r="H102" i="113" s="1"/>
  <c r="I89" i="113"/>
  <c r="I103" i="113" s="1"/>
  <c r="I87" i="113"/>
  <c r="I102" i="113" s="1"/>
  <c r="I91" i="113"/>
  <c r="I104" i="113" s="1"/>
  <c r="G93" i="113"/>
  <c r="AD96" i="113"/>
  <c r="I82" i="113"/>
  <c r="I80" i="113"/>
  <c r="H82" i="113"/>
  <c r="H80" i="113"/>
  <c r="AD88" i="113"/>
  <c r="AD94" i="113"/>
  <c r="AC90" i="113"/>
  <c r="AC95" i="113"/>
  <c r="AC88" i="113"/>
  <c r="AC94" i="113"/>
  <c r="E90" i="113"/>
  <c r="E95" i="113"/>
  <c r="AD90" i="113"/>
  <c r="AD95" i="113"/>
  <c r="F90" i="113"/>
  <c r="G90" i="113"/>
  <c r="J79" i="113"/>
  <c r="J87" i="113" s="1"/>
  <c r="J102" i="113" s="1"/>
  <c r="AC96" i="113"/>
  <c r="L29" i="113"/>
  <c r="L30" i="113" s="1"/>
  <c r="L32" i="113" s="1"/>
  <c r="F40" i="111"/>
  <c r="F39" i="111"/>
  <c r="F38" i="111"/>
  <c r="B33" i="111"/>
  <c r="E33" i="111" s="1"/>
  <c r="B32" i="111"/>
  <c r="F32" i="111" s="1"/>
  <c r="J49" i="111"/>
  <c r="J47" i="111"/>
  <c r="J48" i="111"/>
  <c r="F47" i="111"/>
  <c r="F48" i="111"/>
  <c r="F49" i="111"/>
  <c r="J38" i="111"/>
  <c r="J39" i="111"/>
  <c r="J40" i="111"/>
  <c r="L38" i="111"/>
  <c r="L39" i="111"/>
  <c r="L40" i="111"/>
  <c r="K38" i="111"/>
  <c r="K39" i="111"/>
  <c r="K40" i="111"/>
  <c r="F50" i="111"/>
  <c r="E49" i="111"/>
  <c r="E48" i="111"/>
  <c r="E47" i="111"/>
  <c r="E40" i="111"/>
  <c r="E39" i="111"/>
  <c r="G50" i="111"/>
  <c r="G98" i="113" l="1"/>
  <c r="G108" i="113"/>
  <c r="G109" i="113" s="1"/>
  <c r="H107" i="113"/>
  <c r="H108" i="113"/>
  <c r="H109" i="113" s="1"/>
  <c r="F108" i="113"/>
  <c r="F105" i="113"/>
  <c r="I107" i="113"/>
  <c r="I108" i="113"/>
  <c r="I109" i="113" s="1"/>
  <c r="H105" i="113"/>
  <c r="I105" i="113"/>
  <c r="J89" i="113"/>
  <c r="J103" i="113" s="1"/>
  <c r="J91" i="113"/>
  <c r="J104" i="113" s="1"/>
  <c r="I93" i="113"/>
  <c r="H93" i="113"/>
  <c r="AD92" i="113"/>
  <c r="J82" i="113"/>
  <c r="J80" i="113"/>
  <c r="F98" i="113"/>
  <c r="I90" i="113"/>
  <c r="I95" i="113"/>
  <c r="H90" i="113"/>
  <c r="H95" i="113"/>
  <c r="H98" i="113" s="1"/>
  <c r="AC92" i="113"/>
  <c r="K79" i="113"/>
  <c r="K87" i="113" s="1"/>
  <c r="K102" i="113" s="1"/>
  <c r="M29" i="113"/>
  <c r="M30" i="113" s="1"/>
  <c r="M32" i="113" s="1"/>
  <c r="H32" i="111"/>
  <c r="I32" i="111"/>
  <c r="E32" i="111"/>
  <c r="H33" i="111"/>
  <c r="I33" i="111"/>
  <c r="K50" i="111"/>
  <c r="K53" i="111" s="1"/>
  <c r="L50" i="111"/>
  <c r="J50" i="111"/>
  <c r="G53" i="111"/>
  <c r="G52" i="111"/>
  <c r="G51" i="111"/>
  <c r="F51" i="111"/>
  <c r="F53" i="111"/>
  <c r="F52" i="111"/>
  <c r="G32" i="111"/>
  <c r="J32" i="111"/>
  <c r="L32" i="111"/>
  <c r="N33" i="111"/>
  <c r="M33" i="111"/>
  <c r="K32" i="111"/>
  <c r="E50" i="111"/>
  <c r="G33" i="111"/>
  <c r="N32" i="111"/>
  <c r="M32" i="111"/>
  <c r="F33" i="111"/>
  <c r="BM65" i="104"/>
  <c r="K65" i="104"/>
  <c r="AC62" i="104"/>
  <c r="K57" i="104"/>
  <c r="K58" i="104" s="1"/>
  <c r="E57" i="104"/>
  <c r="E58" i="104" s="1"/>
  <c r="AC56" i="104"/>
  <c r="AC57" i="104" s="1"/>
  <c r="AC58" i="104" s="1"/>
  <c r="K52" i="104"/>
  <c r="K53" i="104" s="1"/>
  <c r="L46" i="104"/>
  <c r="E62" i="104" s="1"/>
  <c r="L43" i="104"/>
  <c r="K31" i="104"/>
  <c r="AC28" i="104"/>
  <c r="BG23" i="104"/>
  <c r="BG24" i="104" s="1"/>
  <c r="BG25" i="104" s="1"/>
  <c r="BG26" i="104" s="1"/>
  <c r="K23" i="104"/>
  <c r="K24" i="104" s="1"/>
  <c r="K25" i="104" s="1"/>
  <c r="K26" i="104" s="1"/>
  <c r="K27" i="104" s="1"/>
  <c r="K29" i="104" s="1"/>
  <c r="K30" i="104" s="1"/>
  <c r="E23" i="104"/>
  <c r="E24" i="104" s="1"/>
  <c r="BM22" i="104"/>
  <c r="BS22" i="104" s="1"/>
  <c r="AC22" i="104"/>
  <c r="AC23" i="104" s="1"/>
  <c r="AC24" i="104" s="1"/>
  <c r="BG19" i="104"/>
  <c r="BS18" i="104"/>
  <c r="BY18" i="104" s="1"/>
  <c r="BY19" i="104" s="1"/>
  <c r="BM18" i="104"/>
  <c r="BM19" i="104" s="1"/>
  <c r="K18" i="104"/>
  <c r="E18" i="104" s="1"/>
  <c r="E19" i="104" s="1"/>
  <c r="L12" i="104"/>
  <c r="BM62" i="104" s="1"/>
  <c r="L9" i="104"/>
  <c r="E72" i="103"/>
  <c r="E44" i="103"/>
  <c r="F44" i="103" s="1"/>
  <c r="G44" i="103" s="1"/>
  <c r="H44" i="103" s="1"/>
  <c r="I44" i="103" s="1"/>
  <c r="J44" i="103" s="1"/>
  <c r="K44" i="103" s="1"/>
  <c r="L44" i="103" s="1"/>
  <c r="M44" i="103" s="1"/>
  <c r="N44" i="103" s="1"/>
  <c r="O44" i="103" s="1"/>
  <c r="P44" i="103" s="1"/>
  <c r="Q44" i="103" s="1"/>
  <c r="R44" i="103" s="1"/>
  <c r="S44" i="103" s="1"/>
  <c r="T44" i="103" s="1"/>
  <c r="U44" i="103" s="1"/>
  <c r="V44" i="103" s="1"/>
  <c r="W44" i="103" s="1"/>
  <c r="X44" i="103" s="1"/>
  <c r="Y44" i="103" s="1"/>
  <c r="Z44" i="103" s="1"/>
  <c r="AA44" i="103" s="1"/>
  <c r="AB44" i="103" s="1"/>
  <c r="AC44" i="103" s="1"/>
  <c r="AD44" i="103" s="1"/>
  <c r="AE44" i="103" s="1"/>
  <c r="AF44" i="103" s="1"/>
  <c r="AG44" i="103" s="1"/>
  <c r="AH44" i="103" s="1"/>
  <c r="AI44" i="103" s="1"/>
  <c r="AJ44" i="103" s="1"/>
  <c r="AK44" i="103" s="1"/>
  <c r="AL44" i="103" s="1"/>
  <c r="AM44" i="103" s="1"/>
  <c r="AN44" i="103" s="1"/>
  <c r="AO44" i="103" s="1"/>
  <c r="AP44" i="103" s="1"/>
  <c r="AQ44" i="103" s="1"/>
  <c r="AR44" i="103" s="1"/>
  <c r="AS44" i="103" s="1"/>
  <c r="AT44" i="103" s="1"/>
  <c r="AU44" i="103" s="1"/>
  <c r="AV44" i="103" s="1"/>
  <c r="AW44" i="103" s="1"/>
  <c r="AX44" i="103" s="1"/>
  <c r="AY44" i="103" s="1"/>
  <c r="AZ44" i="103" s="1"/>
  <c r="BA44" i="103" s="1"/>
  <c r="BB44" i="103" s="1"/>
  <c r="BC44" i="103" s="1"/>
  <c r="BD44" i="103" s="1"/>
  <c r="BE44" i="103" s="1"/>
  <c r="BF44" i="103" s="1"/>
  <c r="BG44" i="103" s="1"/>
  <c r="BH44" i="103" s="1"/>
  <c r="BI44" i="103" s="1"/>
  <c r="BJ44" i="103" s="1"/>
  <c r="BK44" i="103" s="1"/>
  <c r="BL44" i="103" s="1"/>
  <c r="BM44" i="103" s="1"/>
  <c r="BN44" i="103" s="1"/>
  <c r="BO44" i="103" s="1"/>
  <c r="BP44" i="103" s="1"/>
  <c r="BQ44" i="103" s="1"/>
  <c r="BR44" i="103" s="1"/>
  <c r="BS44" i="103" s="1"/>
  <c r="BT44" i="103" s="1"/>
  <c r="BU44" i="103" s="1"/>
  <c r="BV44" i="103" s="1"/>
  <c r="BW44" i="103" s="1"/>
  <c r="BX44" i="103" s="1"/>
  <c r="BY44" i="103" s="1"/>
  <c r="BZ44" i="103" s="1"/>
  <c r="CA44" i="103" s="1"/>
  <c r="CB44" i="103" s="1"/>
  <c r="CC44" i="103" s="1"/>
  <c r="CD44" i="103" s="1"/>
  <c r="CE44" i="103" s="1"/>
  <c r="CF44" i="103" s="1"/>
  <c r="CG44" i="103" s="1"/>
  <c r="CH44" i="103" s="1"/>
  <c r="CI44" i="103" s="1"/>
  <c r="CJ44" i="103" s="1"/>
  <c r="CK44" i="103" s="1"/>
  <c r="CL44" i="103" s="1"/>
  <c r="CM44" i="103" s="1"/>
  <c r="CN44" i="103" s="1"/>
  <c r="CO44" i="103" s="1"/>
  <c r="CP44" i="103" s="1"/>
  <c r="CQ44" i="103" s="1"/>
  <c r="CR44" i="103" s="1"/>
  <c r="CS44" i="103" s="1"/>
  <c r="CT44" i="103" s="1"/>
  <c r="CU44" i="103" s="1"/>
  <c r="CV44" i="103" s="1"/>
  <c r="CW44" i="103" s="1"/>
  <c r="CX44" i="103" s="1"/>
  <c r="CY44" i="103" s="1"/>
  <c r="CZ44" i="103" s="1"/>
  <c r="DA44" i="103" s="1"/>
  <c r="DB44" i="103" s="1"/>
  <c r="DC44" i="103" s="1"/>
  <c r="DD44" i="103" s="1"/>
  <c r="DE44" i="103" s="1"/>
  <c r="DF44" i="103" s="1"/>
  <c r="DG44" i="103" s="1"/>
  <c r="DH44" i="103" s="1"/>
  <c r="DI44" i="103" s="1"/>
  <c r="DJ44" i="103" s="1"/>
  <c r="DK44" i="103" s="1"/>
  <c r="DL44" i="103" s="1"/>
  <c r="DM44" i="103" s="1"/>
  <c r="DN44" i="103" s="1"/>
  <c r="DO44" i="103" s="1"/>
  <c r="DP44" i="103" s="1"/>
  <c r="DQ44" i="103" s="1"/>
  <c r="DR44" i="103" s="1"/>
  <c r="DS44" i="103" s="1"/>
  <c r="DT44" i="103" s="1"/>
  <c r="DU44" i="103" s="1"/>
  <c r="DV44" i="103" s="1"/>
  <c r="DW44" i="103" s="1"/>
  <c r="DX44" i="103" s="1"/>
  <c r="DY44" i="103" s="1"/>
  <c r="DZ44" i="103" s="1"/>
  <c r="EA44" i="103" s="1"/>
  <c r="EB44" i="103" s="1"/>
  <c r="EC44" i="103" s="1"/>
  <c r="ED44" i="103" s="1"/>
  <c r="EE44" i="103" s="1"/>
  <c r="EF44" i="103" s="1"/>
  <c r="EG44" i="103" s="1"/>
  <c r="EH44" i="103" s="1"/>
  <c r="EI44" i="103" s="1"/>
  <c r="EJ44" i="103" s="1"/>
  <c r="EK44" i="103" s="1"/>
  <c r="EL44" i="103" s="1"/>
  <c r="EM44" i="103" s="1"/>
  <c r="EN44" i="103" s="1"/>
  <c r="EO44" i="103" s="1"/>
  <c r="EP44" i="103" s="1"/>
  <c r="EQ44" i="103" s="1"/>
  <c r="ER44" i="103" s="1"/>
  <c r="ES44" i="103" s="1"/>
  <c r="ET44" i="103" s="1"/>
  <c r="EU44" i="103" s="1"/>
  <c r="EV44" i="103" s="1"/>
  <c r="EW44" i="103" s="1"/>
  <c r="EX44" i="103" s="1"/>
  <c r="E23" i="103"/>
  <c r="E88" i="103"/>
  <c r="E87" i="103"/>
  <c r="B85" i="103"/>
  <c r="D75" i="103"/>
  <c r="E74" i="103"/>
  <c r="F74" i="103" s="1"/>
  <c r="F75" i="103" s="1"/>
  <c r="D73" i="103"/>
  <c r="G71" i="103"/>
  <c r="E60" i="103"/>
  <c r="E59" i="103"/>
  <c r="B57" i="103"/>
  <c r="D47" i="103"/>
  <c r="E46" i="103"/>
  <c r="F46" i="103" s="1"/>
  <c r="F47" i="103" s="1"/>
  <c r="E38" i="103"/>
  <c r="E37" i="103"/>
  <c r="D26" i="103"/>
  <c r="E25" i="103"/>
  <c r="D24" i="103"/>
  <c r="E18" i="103"/>
  <c r="F18" i="103" s="1"/>
  <c r="G18" i="103" s="1"/>
  <c r="H18" i="103" s="1"/>
  <c r="I18" i="103" s="1"/>
  <c r="J18" i="103" s="1"/>
  <c r="K18" i="103" s="1"/>
  <c r="L18" i="103" s="1"/>
  <c r="M18" i="103" s="1"/>
  <c r="N18" i="103" s="1"/>
  <c r="O18" i="103" s="1"/>
  <c r="P18" i="103" s="1"/>
  <c r="Q18" i="103" s="1"/>
  <c r="R18" i="103" s="1"/>
  <c r="S18" i="103" s="1"/>
  <c r="T18" i="103" s="1"/>
  <c r="U18" i="103" s="1"/>
  <c r="V18" i="103" s="1"/>
  <c r="W18" i="103" s="1"/>
  <c r="X18" i="103" s="1"/>
  <c r="Y18" i="103" s="1"/>
  <c r="Z18" i="103" s="1"/>
  <c r="AA18" i="103" s="1"/>
  <c r="AB18" i="103" s="1"/>
  <c r="AC18" i="103" s="1"/>
  <c r="AD18" i="103" s="1"/>
  <c r="AE18" i="103" s="1"/>
  <c r="AF18" i="103" s="1"/>
  <c r="AG18" i="103" s="1"/>
  <c r="AH18" i="103" s="1"/>
  <c r="AI18" i="103" s="1"/>
  <c r="AJ18" i="103" s="1"/>
  <c r="AK18" i="103" s="1"/>
  <c r="AL18" i="103" s="1"/>
  <c r="AM18" i="103" s="1"/>
  <c r="AN18" i="103" s="1"/>
  <c r="AO18" i="103" s="1"/>
  <c r="AP18" i="103" s="1"/>
  <c r="AQ18" i="103" s="1"/>
  <c r="AR18" i="103" s="1"/>
  <c r="AS18" i="103" s="1"/>
  <c r="AT18" i="103" s="1"/>
  <c r="AU18" i="103" s="1"/>
  <c r="AV18" i="103" s="1"/>
  <c r="AW18" i="103" s="1"/>
  <c r="AX18" i="103" s="1"/>
  <c r="AY18" i="103" s="1"/>
  <c r="AZ18" i="103" s="1"/>
  <c r="BA18" i="103" s="1"/>
  <c r="BB18" i="103" s="1"/>
  <c r="BC18" i="103" s="1"/>
  <c r="BD18" i="103" s="1"/>
  <c r="BE18" i="103" s="1"/>
  <c r="BF18" i="103" s="1"/>
  <c r="BG18" i="103" s="1"/>
  <c r="BH18" i="103" s="1"/>
  <c r="BI18" i="103" s="1"/>
  <c r="BJ18" i="103" s="1"/>
  <c r="BK18" i="103" s="1"/>
  <c r="BL18" i="103" s="1"/>
  <c r="BM18" i="103" s="1"/>
  <c r="BN18" i="103" s="1"/>
  <c r="BO18" i="103" s="1"/>
  <c r="BP18" i="103" s="1"/>
  <c r="BQ18" i="103" s="1"/>
  <c r="BR18" i="103" s="1"/>
  <c r="BS18" i="103" s="1"/>
  <c r="BT18" i="103" s="1"/>
  <c r="BU18" i="103" s="1"/>
  <c r="BV18" i="103" s="1"/>
  <c r="BW18" i="103" s="1"/>
  <c r="BX18" i="103" s="1"/>
  <c r="BY18" i="103" s="1"/>
  <c r="BZ18" i="103" s="1"/>
  <c r="CA18" i="103" s="1"/>
  <c r="CB18" i="103" s="1"/>
  <c r="CC18" i="103" s="1"/>
  <c r="CD18" i="103" s="1"/>
  <c r="CE18" i="103" s="1"/>
  <c r="CF18" i="103" s="1"/>
  <c r="CG18" i="103" s="1"/>
  <c r="CH18" i="103" s="1"/>
  <c r="CI18" i="103" s="1"/>
  <c r="CJ18" i="103" s="1"/>
  <c r="CK18" i="103" s="1"/>
  <c r="CL18" i="103" s="1"/>
  <c r="CM18" i="103" s="1"/>
  <c r="CN18" i="103" s="1"/>
  <c r="CO18" i="103" s="1"/>
  <c r="CP18" i="103" s="1"/>
  <c r="CQ18" i="103" s="1"/>
  <c r="CR18" i="103" s="1"/>
  <c r="CS18" i="103" s="1"/>
  <c r="CT18" i="103" s="1"/>
  <c r="CU18" i="103" s="1"/>
  <c r="CV18" i="103" s="1"/>
  <c r="CW18" i="103" s="1"/>
  <c r="CX18" i="103" s="1"/>
  <c r="CY18" i="103" s="1"/>
  <c r="CZ18" i="103" s="1"/>
  <c r="DA18" i="103" s="1"/>
  <c r="DB18" i="103" s="1"/>
  <c r="DC18" i="103" s="1"/>
  <c r="DD18" i="103" s="1"/>
  <c r="DE18" i="103" s="1"/>
  <c r="DF18" i="103" s="1"/>
  <c r="DG18" i="103" s="1"/>
  <c r="DH18" i="103" s="1"/>
  <c r="DI18" i="103" s="1"/>
  <c r="DJ18" i="103" s="1"/>
  <c r="DK18" i="103" s="1"/>
  <c r="DL18" i="103" s="1"/>
  <c r="DM18" i="103" s="1"/>
  <c r="DN18" i="103" s="1"/>
  <c r="DO18" i="103" s="1"/>
  <c r="DP18" i="103" s="1"/>
  <c r="DQ18" i="103" s="1"/>
  <c r="DR18" i="103" s="1"/>
  <c r="DS18" i="103" s="1"/>
  <c r="DT18" i="103" s="1"/>
  <c r="DU18" i="103" s="1"/>
  <c r="DV18" i="103" s="1"/>
  <c r="DW18" i="103" s="1"/>
  <c r="DX18" i="103" s="1"/>
  <c r="DY18" i="103" s="1"/>
  <c r="DZ18" i="103" s="1"/>
  <c r="EA18" i="103" s="1"/>
  <c r="EB18" i="103" s="1"/>
  <c r="EC18" i="103" s="1"/>
  <c r="ED18" i="103" s="1"/>
  <c r="EE18" i="103" s="1"/>
  <c r="EF18" i="103" s="1"/>
  <c r="EG18" i="103" s="1"/>
  <c r="EH18" i="103" s="1"/>
  <c r="EI18" i="103" s="1"/>
  <c r="EJ18" i="103" s="1"/>
  <c r="EK18" i="103" s="1"/>
  <c r="EL18" i="103" s="1"/>
  <c r="EM18" i="103" s="1"/>
  <c r="EN18" i="103" s="1"/>
  <c r="EO18" i="103" s="1"/>
  <c r="EP18" i="103" s="1"/>
  <c r="EQ18" i="103" s="1"/>
  <c r="ER18" i="103" s="1"/>
  <c r="ES18" i="103" s="1"/>
  <c r="ET18" i="103" s="1"/>
  <c r="EU18" i="103" s="1"/>
  <c r="EV18" i="103" s="1"/>
  <c r="EW18" i="103" s="1"/>
  <c r="EX18" i="103" s="1"/>
  <c r="E17" i="103"/>
  <c r="F17" i="103" s="1"/>
  <c r="G17" i="103" s="1"/>
  <c r="H17" i="103" s="1"/>
  <c r="I17" i="103" s="1"/>
  <c r="J17" i="103" s="1"/>
  <c r="K17" i="103" s="1"/>
  <c r="L17" i="103" s="1"/>
  <c r="M17" i="103" s="1"/>
  <c r="N17" i="103" s="1"/>
  <c r="O17" i="103" s="1"/>
  <c r="P17" i="103" s="1"/>
  <c r="Q17" i="103" s="1"/>
  <c r="R17" i="103" s="1"/>
  <c r="S17" i="103" s="1"/>
  <c r="T17" i="103" s="1"/>
  <c r="U17" i="103" s="1"/>
  <c r="V17" i="103" s="1"/>
  <c r="W17" i="103" s="1"/>
  <c r="X17" i="103" s="1"/>
  <c r="Y17" i="103" s="1"/>
  <c r="Z17" i="103" s="1"/>
  <c r="AA17" i="103" s="1"/>
  <c r="AB17" i="103" s="1"/>
  <c r="AC17" i="103" s="1"/>
  <c r="AD17" i="103" s="1"/>
  <c r="AE17" i="103" s="1"/>
  <c r="AF17" i="103" s="1"/>
  <c r="AG17" i="103" s="1"/>
  <c r="AH17" i="103" s="1"/>
  <c r="AI17" i="103" s="1"/>
  <c r="AJ17" i="103" s="1"/>
  <c r="AK17" i="103" s="1"/>
  <c r="AL17" i="103" s="1"/>
  <c r="AM17" i="103" s="1"/>
  <c r="AN17" i="103" s="1"/>
  <c r="AO17" i="103" s="1"/>
  <c r="AP17" i="103" s="1"/>
  <c r="AQ17" i="103" s="1"/>
  <c r="AR17" i="103" s="1"/>
  <c r="AS17" i="103" s="1"/>
  <c r="AT17" i="103" s="1"/>
  <c r="AU17" i="103" s="1"/>
  <c r="AV17" i="103" s="1"/>
  <c r="AW17" i="103" s="1"/>
  <c r="AX17" i="103" s="1"/>
  <c r="AY17" i="103" s="1"/>
  <c r="AZ17" i="103" s="1"/>
  <c r="BA17" i="103" s="1"/>
  <c r="BB17" i="103" s="1"/>
  <c r="BC17" i="103" s="1"/>
  <c r="BD17" i="103" s="1"/>
  <c r="BE17" i="103" s="1"/>
  <c r="BF17" i="103" s="1"/>
  <c r="BG17" i="103" s="1"/>
  <c r="BH17" i="103" s="1"/>
  <c r="BI17" i="103" s="1"/>
  <c r="BJ17" i="103" s="1"/>
  <c r="BK17" i="103" s="1"/>
  <c r="BL17" i="103" s="1"/>
  <c r="BM17" i="103" s="1"/>
  <c r="BN17" i="103" s="1"/>
  <c r="BO17" i="103" s="1"/>
  <c r="BP17" i="103" s="1"/>
  <c r="BQ17" i="103" s="1"/>
  <c r="BR17" i="103" s="1"/>
  <c r="BS17" i="103" s="1"/>
  <c r="BT17" i="103" s="1"/>
  <c r="BU17" i="103" s="1"/>
  <c r="BV17" i="103" s="1"/>
  <c r="BW17" i="103" s="1"/>
  <c r="BX17" i="103" s="1"/>
  <c r="BY17" i="103" s="1"/>
  <c r="BZ17" i="103" s="1"/>
  <c r="CA17" i="103" s="1"/>
  <c r="CB17" i="103" s="1"/>
  <c r="CC17" i="103" s="1"/>
  <c r="CD17" i="103" s="1"/>
  <c r="CE17" i="103" s="1"/>
  <c r="CF17" i="103" s="1"/>
  <c r="CG17" i="103" s="1"/>
  <c r="CH17" i="103" s="1"/>
  <c r="CI17" i="103" s="1"/>
  <c r="CJ17" i="103" s="1"/>
  <c r="CK17" i="103" s="1"/>
  <c r="CL17" i="103" s="1"/>
  <c r="CM17" i="103" s="1"/>
  <c r="CN17" i="103" s="1"/>
  <c r="CO17" i="103" s="1"/>
  <c r="CP17" i="103" s="1"/>
  <c r="CQ17" i="103" s="1"/>
  <c r="CR17" i="103" s="1"/>
  <c r="CS17" i="103" s="1"/>
  <c r="CT17" i="103" s="1"/>
  <c r="CU17" i="103" s="1"/>
  <c r="CV17" i="103" s="1"/>
  <c r="CW17" i="103" s="1"/>
  <c r="CX17" i="103" s="1"/>
  <c r="CY17" i="103" s="1"/>
  <c r="CZ17" i="103" s="1"/>
  <c r="DA17" i="103" s="1"/>
  <c r="DB17" i="103" s="1"/>
  <c r="DC17" i="103" s="1"/>
  <c r="DD17" i="103" s="1"/>
  <c r="DE17" i="103" s="1"/>
  <c r="DF17" i="103" s="1"/>
  <c r="DG17" i="103" s="1"/>
  <c r="DH17" i="103" s="1"/>
  <c r="DI17" i="103" s="1"/>
  <c r="DJ17" i="103" s="1"/>
  <c r="DK17" i="103" s="1"/>
  <c r="DL17" i="103" s="1"/>
  <c r="DM17" i="103" s="1"/>
  <c r="DN17" i="103" s="1"/>
  <c r="DO17" i="103" s="1"/>
  <c r="DP17" i="103" s="1"/>
  <c r="DQ17" i="103" s="1"/>
  <c r="DR17" i="103" s="1"/>
  <c r="DS17" i="103" s="1"/>
  <c r="DT17" i="103" s="1"/>
  <c r="DU17" i="103" s="1"/>
  <c r="DV17" i="103" s="1"/>
  <c r="DW17" i="103" s="1"/>
  <c r="DX17" i="103" s="1"/>
  <c r="DY17" i="103" s="1"/>
  <c r="DZ17" i="103" s="1"/>
  <c r="EA17" i="103" s="1"/>
  <c r="EB17" i="103" s="1"/>
  <c r="EC17" i="103" s="1"/>
  <c r="ED17" i="103" s="1"/>
  <c r="EE17" i="103" s="1"/>
  <c r="EF17" i="103" s="1"/>
  <c r="EG17" i="103" s="1"/>
  <c r="EH17" i="103" s="1"/>
  <c r="EI17" i="103" s="1"/>
  <c r="EJ17" i="103" s="1"/>
  <c r="EK17" i="103" s="1"/>
  <c r="EL17" i="103" s="1"/>
  <c r="EM17" i="103" s="1"/>
  <c r="EN17" i="103" s="1"/>
  <c r="EO17" i="103" s="1"/>
  <c r="EP17" i="103" s="1"/>
  <c r="EQ17" i="103" s="1"/>
  <c r="ER17" i="103" s="1"/>
  <c r="ES17" i="103" s="1"/>
  <c r="ET17" i="103" s="1"/>
  <c r="EU17" i="103" s="1"/>
  <c r="EV17" i="103" s="1"/>
  <c r="EW17" i="103" s="1"/>
  <c r="EX17" i="103" s="1"/>
  <c r="D6" i="103"/>
  <c r="E5" i="103"/>
  <c r="F5" i="103" s="1"/>
  <c r="F6" i="103" s="1"/>
  <c r="G2" i="103"/>
  <c r="J105" i="113" l="1"/>
  <c r="J107" i="113"/>
  <c r="J108" i="113"/>
  <c r="J109" i="113" s="1"/>
  <c r="F109" i="113"/>
  <c r="F87" i="103"/>
  <c r="G87" i="103" s="1"/>
  <c r="H87" i="103" s="1"/>
  <c r="I87" i="103" s="1"/>
  <c r="J87" i="103" s="1"/>
  <c r="K87" i="103" s="1"/>
  <c r="L87" i="103" s="1"/>
  <c r="M87" i="103" s="1"/>
  <c r="N87" i="103" s="1"/>
  <c r="O87" i="103" s="1"/>
  <c r="P87" i="103" s="1"/>
  <c r="Q87" i="103" s="1"/>
  <c r="R87" i="103" s="1"/>
  <c r="S87" i="103" s="1"/>
  <c r="T87" i="103" s="1"/>
  <c r="U87" i="103" s="1"/>
  <c r="V87" i="103" s="1"/>
  <c r="W87" i="103" s="1"/>
  <c r="X87" i="103" s="1"/>
  <c r="Y87" i="103" s="1"/>
  <c r="Z87" i="103" s="1"/>
  <c r="AA87" i="103" s="1"/>
  <c r="AB87" i="103" s="1"/>
  <c r="AC87" i="103" s="1"/>
  <c r="AD87" i="103" s="1"/>
  <c r="AE87" i="103" s="1"/>
  <c r="AF87" i="103" s="1"/>
  <c r="AG87" i="103" s="1"/>
  <c r="AH87" i="103" s="1"/>
  <c r="AI87" i="103" s="1"/>
  <c r="AJ87" i="103" s="1"/>
  <c r="AK87" i="103" s="1"/>
  <c r="AL87" i="103" s="1"/>
  <c r="AM87" i="103" s="1"/>
  <c r="AN87" i="103" s="1"/>
  <c r="AO87" i="103" s="1"/>
  <c r="AP87" i="103" s="1"/>
  <c r="AQ87" i="103" s="1"/>
  <c r="AR87" i="103" s="1"/>
  <c r="AS87" i="103" s="1"/>
  <c r="AT87" i="103" s="1"/>
  <c r="AU87" i="103" s="1"/>
  <c r="AV87" i="103" s="1"/>
  <c r="AW87" i="103" s="1"/>
  <c r="AX87" i="103" s="1"/>
  <c r="AY87" i="103" s="1"/>
  <c r="AZ87" i="103" s="1"/>
  <c r="BA87" i="103" s="1"/>
  <c r="BB87" i="103" s="1"/>
  <c r="BC87" i="103" s="1"/>
  <c r="BD87" i="103" s="1"/>
  <c r="BE87" i="103" s="1"/>
  <c r="BF87" i="103" s="1"/>
  <c r="BG87" i="103" s="1"/>
  <c r="BH87" i="103" s="1"/>
  <c r="BI87" i="103" s="1"/>
  <c r="BJ87" i="103" s="1"/>
  <c r="BK87" i="103" s="1"/>
  <c r="BL87" i="103" s="1"/>
  <c r="BM87" i="103" s="1"/>
  <c r="BN87" i="103" s="1"/>
  <c r="BO87" i="103" s="1"/>
  <c r="BP87" i="103" s="1"/>
  <c r="BQ87" i="103" s="1"/>
  <c r="BR87" i="103" s="1"/>
  <c r="BS87" i="103" s="1"/>
  <c r="BT87" i="103" s="1"/>
  <c r="BU87" i="103" s="1"/>
  <c r="BV87" i="103" s="1"/>
  <c r="BW87" i="103" s="1"/>
  <c r="BX87" i="103" s="1"/>
  <c r="BY87" i="103" s="1"/>
  <c r="BZ87" i="103" s="1"/>
  <c r="CA87" i="103" s="1"/>
  <c r="CB87" i="103" s="1"/>
  <c r="CC87" i="103" s="1"/>
  <c r="CD87" i="103" s="1"/>
  <c r="CE87" i="103" s="1"/>
  <c r="CF87" i="103" s="1"/>
  <c r="CG87" i="103" s="1"/>
  <c r="CH87" i="103" s="1"/>
  <c r="CI87" i="103" s="1"/>
  <c r="CJ87" i="103" s="1"/>
  <c r="CK87" i="103" s="1"/>
  <c r="CL87" i="103" s="1"/>
  <c r="CM87" i="103" s="1"/>
  <c r="CN87" i="103" s="1"/>
  <c r="CO87" i="103" s="1"/>
  <c r="CP87" i="103" s="1"/>
  <c r="CQ87" i="103" s="1"/>
  <c r="CR87" i="103" s="1"/>
  <c r="CS87" i="103" s="1"/>
  <c r="CT87" i="103" s="1"/>
  <c r="CU87" i="103" s="1"/>
  <c r="CV87" i="103" s="1"/>
  <c r="CW87" i="103" s="1"/>
  <c r="CX87" i="103" s="1"/>
  <c r="CY87" i="103" s="1"/>
  <c r="CZ87" i="103" s="1"/>
  <c r="DA87" i="103" s="1"/>
  <c r="DB87" i="103" s="1"/>
  <c r="DC87" i="103" s="1"/>
  <c r="DD87" i="103" s="1"/>
  <c r="DE87" i="103" s="1"/>
  <c r="DF87" i="103" s="1"/>
  <c r="DG87" i="103" s="1"/>
  <c r="DH87" i="103" s="1"/>
  <c r="DI87" i="103" s="1"/>
  <c r="DJ87" i="103" s="1"/>
  <c r="DK87" i="103" s="1"/>
  <c r="DL87" i="103" s="1"/>
  <c r="DM87" i="103" s="1"/>
  <c r="DN87" i="103" s="1"/>
  <c r="DO87" i="103" s="1"/>
  <c r="DP87" i="103" s="1"/>
  <c r="DQ87" i="103" s="1"/>
  <c r="DR87" i="103" s="1"/>
  <c r="DS87" i="103" s="1"/>
  <c r="DT87" i="103" s="1"/>
  <c r="DU87" i="103" s="1"/>
  <c r="DV87" i="103" s="1"/>
  <c r="DW87" i="103" s="1"/>
  <c r="DX87" i="103" s="1"/>
  <c r="DY87" i="103" s="1"/>
  <c r="DZ87" i="103" s="1"/>
  <c r="EA87" i="103" s="1"/>
  <c r="EB87" i="103" s="1"/>
  <c r="EC87" i="103" s="1"/>
  <c r="ED87" i="103" s="1"/>
  <c r="EE87" i="103" s="1"/>
  <c r="EF87" i="103" s="1"/>
  <c r="EG87" i="103" s="1"/>
  <c r="EH87" i="103" s="1"/>
  <c r="EI87" i="103" s="1"/>
  <c r="EJ87" i="103" s="1"/>
  <c r="EK87" i="103" s="1"/>
  <c r="EL87" i="103" s="1"/>
  <c r="EM87" i="103" s="1"/>
  <c r="EN87" i="103" s="1"/>
  <c r="EO87" i="103" s="1"/>
  <c r="EP87" i="103" s="1"/>
  <c r="EQ87" i="103" s="1"/>
  <c r="ER87" i="103" s="1"/>
  <c r="ES87" i="103" s="1"/>
  <c r="ET87" i="103" s="1"/>
  <c r="EU87" i="103" s="1"/>
  <c r="EV87" i="103" s="1"/>
  <c r="EW87" i="103" s="1"/>
  <c r="EX87" i="103" s="1"/>
  <c r="FC87" i="103" s="1"/>
  <c r="F59" i="103"/>
  <c r="G59" i="103" s="1"/>
  <c r="H59" i="103" s="1"/>
  <c r="I59" i="103" s="1"/>
  <c r="J59" i="103" s="1"/>
  <c r="K59" i="103" s="1"/>
  <c r="L59" i="103" s="1"/>
  <c r="M59" i="103" s="1"/>
  <c r="N59" i="103" s="1"/>
  <c r="O59" i="103" s="1"/>
  <c r="P59" i="103" s="1"/>
  <c r="Q59" i="103" s="1"/>
  <c r="R59" i="103" s="1"/>
  <c r="S59" i="103" s="1"/>
  <c r="T59" i="103" s="1"/>
  <c r="U59" i="103" s="1"/>
  <c r="V59" i="103" s="1"/>
  <c r="W59" i="103" s="1"/>
  <c r="X59" i="103" s="1"/>
  <c r="Y59" i="103" s="1"/>
  <c r="Z59" i="103" s="1"/>
  <c r="AA59" i="103" s="1"/>
  <c r="AB59" i="103" s="1"/>
  <c r="AC59" i="103" s="1"/>
  <c r="AD59" i="103" s="1"/>
  <c r="AE59" i="103" s="1"/>
  <c r="AF59" i="103" s="1"/>
  <c r="AG59" i="103" s="1"/>
  <c r="AH59" i="103" s="1"/>
  <c r="AI59" i="103" s="1"/>
  <c r="AJ59" i="103" s="1"/>
  <c r="AK59" i="103" s="1"/>
  <c r="AL59" i="103" s="1"/>
  <c r="AM59" i="103" s="1"/>
  <c r="AN59" i="103" s="1"/>
  <c r="AO59" i="103" s="1"/>
  <c r="AP59" i="103" s="1"/>
  <c r="AQ59" i="103" s="1"/>
  <c r="AR59" i="103" s="1"/>
  <c r="AS59" i="103" s="1"/>
  <c r="AT59" i="103" s="1"/>
  <c r="AU59" i="103" s="1"/>
  <c r="AV59" i="103" s="1"/>
  <c r="AW59" i="103" s="1"/>
  <c r="AX59" i="103" s="1"/>
  <c r="AY59" i="103" s="1"/>
  <c r="AZ59" i="103" s="1"/>
  <c r="BA59" i="103" s="1"/>
  <c r="BB59" i="103" s="1"/>
  <c r="BC59" i="103" s="1"/>
  <c r="BD59" i="103" s="1"/>
  <c r="BE59" i="103" s="1"/>
  <c r="BF59" i="103" s="1"/>
  <c r="BG59" i="103" s="1"/>
  <c r="BH59" i="103" s="1"/>
  <c r="BI59" i="103" s="1"/>
  <c r="BJ59" i="103" s="1"/>
  <c r="BK59" i="103" s="1"/>
  <c r="BL59" i="103" s="1"/>
  <c r="BM59" i="103" s="1"/>
  <c r="BN59" i="103" s="1"/>
  <c r="BO59" i="103" s="1"/>
  <c r="BP59" i="103" s="1"/>
  <c r="BQ59" i="103" s="1"/>
  <c r="BR59" i="103" s="1"/>
  <c r="BS59" i="103" s="1"/>
  <c r="BT59" i="103" s="1"/>
  <c r="BU59" i="103" s="1"/>
  <c r="BV59" i="103" s="1"/>
  <c r="BW59" i="103" s="1"/>
  <c r="BX59" i="103" s="1"/>
  <c r="BY59" i="103" s="1"/>
  <c r="BZ59" i="103" s="1"/>
  <c r="CA59" i="103" s="1"/>
  <c r="CB59" i="103" s="1"/>
  <c r="CC59" i="103" s="1"/>
  <c r="CD59" i="103" s="1"/>
  <c r="CE59" i="103" s="1"/>
  <c r="CF59" i="103" s="1"/>
  <c r="CG59" i="103" s="1"/>
  <c r="CH59" i="103" s="1"/>
  <c r="CI59" i="103" s="1"/>
  <c r="CJ59" i="103" s="1"/>
  <c r="CK59" i="103" s="1"/>
  <c r="CL59" i="103" s="1"/>
  <c r="CM59" i="103" s="1"/>
  <c r="CN59" i="103" s="1"/>
  <c r="CO59" i="103" s="1"/>
  <c r="CP59" i="103" s="1"/>
  <c r="CQ59" i="103" s="1"/>
  <c r="CR59" i="103" s="1"/>
  <c r="CS59" i="103" s="1"/>
  <c r="CT59" i="103" s="1"/>
  <c r="CU59" i="103" s="1"/>
  <c r="CV59" i="103" s="1"/>
  <c r="CW59" i="103" s="1"/>
  <c r="CX59" i="103" s="1"/>
  <c r="CY59" i="103" s="1"/>
  <c r="CZ59" i="103" s="1"/>
  <c r="DA59" i="103" s="1"/>
  <c r="DB59" i="103" s="1"/>
  <c r="DC59" i="103" s="1"/>
  <c r="DD59" i="103" s="1"/>
  <c r="DE59" i="103" s="1"/>
  <c r="DF59" i="103" s="1"/>
  <c r="DG59" i="103" s="1"/>
  <c r="DH59" i="103" s="1"/>
  <c r="DI59" i="103" s="1"/>
  <c r="DJ59" i="103" s="1"/>
  <c r="DK59" i="103" s="1"/>
  <c r="DL59" i="103" s="1"/>
  <c r="DM59" i="103" s="1"/>
  <c r="DN59" i="103" s="1"/>
  <c r="DO59" i="103" s="1"/>
  <c r="DP59" i="103" s="1"/>
  <c r="DQ59" i="103" s="1"/>
  <c r="DR59" i="103" s="1"/>
  <c r="DS59" i="103" s="1"/>
  <c r="DT59" i="103" s="1"/>
  <c r="DU59" i="103" s="1"/>
  <c r="DV59" i="103" s="1"/>
  <c r="DW59" i="103" s="1"/>
  <c r="DX59" i="103" s="1"/>
  <c r="DY59" i="103" s="1"/>
  <c r="DZ59" i="103" s="1"/>
  <c r="EA59" i="103" s="1"/>
  <c r="EB59" i="103" s="1"/>
  <c r="EC59" i="103" s="1"/>
  <c r="ED59" i="103" s="1"/>
  <c r="EE59" i="103" s="1"/>
  <c r="EF59" i="103" s="1"/>
  <c r="EG59" i="103" s="1"/>
  <c r="EH59" i="103" s="1"/>
  <c r="EI59" i="103" s="1"/>
  <c r="EJ59" i="103" s="1"/>
  <c r="EK59" i="103" s="1"/>
  <c r="EL59" i="103" s="1"/>
  <c r="EM59" i="103" s="1"/>
  <c r="EN59" i="103" s="1"/>
  <c r="EO59" i="103" s="1"/>
  <c r="EP59" i="103" s="1"/>
  <c r="EQ59" i="103" s="1"/>
  <c r="ER59" i="103" s="1"/>
  <c r="ES59" i="103" s="1"/>
  <c r="ET59" i="103" s="1"/>
  <c r="EU59" i="103" s="1"/>
  <c r="EV59" i="103" s="1"/>
  <c r="EW59" i="103" s="1"/>
  <c r="EX59" i="103" s="1"/>
  <c r="FC59" i="103" s="1"/>
  <c r="F37" i="103"/>
  <c r="G37" i="103" s="1"/>
  <c r="H37" i="103" s="1"/>
  <c r="I37" i="103" s="1"/>
  <c r="J37" i="103" s="1"/>
  <c r="K37" i="103" s="1"/>
  <c r="L37" i="103" s="1"/>
  <c r="M37" i="103" s="1"/>
  <c r="N37" i="103" s="1"/>
  <c r="O37" i="103" s="1"/>
  <c r="P37" i="103" s="1"/>
  <c r="Q37" i="103" s="1"/>
  <c r="R37" i="103" s="1"/>
  <c r="S37" i="103" s="1"/>
  <c r="T37" i="103" s="1"/>
  <c r="U37" i="103" s="1"/>
  <c r="V37" i="103" s="1"/>
  <c r="W37" i="103" s="1"/>
  <c r="X37" i="103" s="1"/>
  <c r="Y37" i="103" s="1"/>
  <c r="Z37" i="103" s="1"/>
  <c r="AA37" i="103" s="1"/>
  <c r="AB37" i="103" s="1"/>
  <c r="AC37" i="103" s="1"/>
  <c r="AD37" i="103" s="1"/>
  <c r="AE37" i="103" s="1"/>
  <c r="AF37" i="103" s="1"/>
  <c r="AG37" i="103" s="1"/>
  <c r="AH37" i="103" s="1"/>
  <c r="AI37" i="103" s="1"/>
  <c r="AJ37" i="103" s="1"/>
  <c r="AK37" i="103" s="1"/>
  <c r="AL37" i="103" s="1"/>
  <c r="AM37" i="103" s="1"/>
  <c r="AN37" i="103" s="1"/>
  <c r="AO37" i="103" s="1"/>
  <c r="AP37" i="103" s="1"/>
  <c r="AQ37" i="103" s="1"/>
  <c r="AR37" i="103" s="1"/>
  <c r="AS37" i="103" s="1"/>
  <c r="AT37" i="103" s="1"/>
  <c r="AU37" i="103" s="1"/>
  <c r="AV37" i="103" s="1"/>
  <c r="AW37" i="103" s="1"/>
  <c r="AX37" i="103" s="1"/>
  <c r="AY37" i="103" s="1"/>
  <c r="AZ37" i="103" s="1"/>
  <c r="BA37" i="103" s="1"/>
  <c r="BB37" i="103" s="1"/>
  <c r="BC37" i="103" s="1"/>
  <c r="BD37" i="103" s="1"/>
  <c r="BE37" i="103" s="1"/>
  <c r="BF37" i="103" s="1"/>
  <c r="BG37" i="103" s="1"/>
  <c r="BH37" i="103" s="1"/>
  <c r="BI37" i="103" s="1"/>
  <c r="BJ37" i="103" s="1"/>
  <c r="BK37" i="103" s="1"/>
  <c r="BL37" i="103" s="1"/>
  <c r="BM37" i="103" s="1"/>
  <c r="BN37" i="103" s="1"/>
  <c r="BO37" i="103" s="1"/>
  <c r="BP37" i="103" s="1"/>
  <c r="BQ37" i="103" s="1"/>
  <c r="BR37" i="103" s="1"/>
  <c r="BS37" i="103" s="1"/>
  <c r="BT37" i="103" s="1"/>
  <c r="BU37" i="103" s="1"/>
  <c r="BV37" i="103" s="1"/>
  <c r="BW37" i="103" s="1"/>
  <c r="BX37" i="103" s="1"/>
  <c r="BY37" i="103" s="1"/>
  <c r="BZ37" i="103" s="1"/>
  <c r="CA37" i="103" s="1"/>
  <c r="CB37" i="103" s="1"/>
  <c r="CC37" i="103" s="1"/>
  <c r="CD37" i="103" s="1"/>
  <c r="CE37" i="103" s="1"/>
  <c r="CF37" i="103" s="1"/>
  <c r="CG37" i="103" s="1"/>
  <c r="CH37" i="103" s="1"/>
  <c r="CI37" i="103" s="1"/>
  <c r="CJ37" i="103" s="1"/>
  <c r="CK37" i="103" s="1"/>
  <c r="CL37" i="103" s="1"/>
  <c r="CM37" i="103" s="1"/>
  <c r="CN37" i="103" s="1"/>
  <c r="CO37" i="103" s="1"/>
  <c r="CP37" i="103" s="1"/>
  <c r="CQ37" i="103" s="1"/>
  <c r="CR37" i="103" s="1"/>
  <c r="CS37" i="103" s="1"/>
  <c r="CT37" i="103" s="1"/>
  <c r="CU37" i="103" s="1"/>
  <c r="CV37" i="103" s="1"/>
  <c r="CW37" i="103" s="1"/>
  <c r="CX37" i="103" s="1"/>
  <c r="CY37" i="103" s="1"/>
  <c r="CZ37" i="103" s="1"/>
  <c r="DA37" i="103" s="1"/>
  <c r="DB37" i="103" s="1"/>
  <c r="DC37" i="103" s="1"/>
  <c r="DD37" i="103" s="1"/>
  <c r="DE37" i="103" s="1"/>
  <c r="DF37" i="103" s="1"/>
  <c r="DG37" i="103" s="1"/>
  <c r="DH37" i="103" s="1"/>
  <c r="DI37" i="103" s="1"/>
  <c r="DJ37" i="103" s="1"/>
  <c r="DK37" i="103" s="1"/>
  <c r="DL37" i="103" s="1"/>
  <c r="DM37" i="103" s="1"/>
  <c r="DN37" i="103" s="1"/>
  <c r="DO37" i="103" s="1"/>
  <c r="DP37" i="103" s="1"/>
  <c r="DQ37" i="103" s="1"/>
  <c r="DR37" i="103" s="1"/>
  <c r="DS37" i="103" s="1"/>
  <c r="DT37" i="103" s="1"/>
  <c r="DU37" i="103" s="1"/>
  <c r="DV37" i="103" s="1"/>
  <c r="DW37" i="103" s="1"/>
  <c r="DX37" i="103" s="1"/>
  <c r="DY37" i="103" s="1"/>
  <c r="DZ37" i="103" s="1"/>
  <c r="EA37" i="103" s="1"/>
  <c r="EB37" i="103" s="1"/>
  <c r="EC37" i="103" s="1"/>
  <c r="ED37" i="103" s="1"/>
  <c r="EE37" i="103" s="1"/>
  <c r="EF37" i="103" s="1"/>
  <c r="EG37" i="103" s="1"/>
  <c r="EH37" i="103" s="1"/>
  <c r="EI37" i="103" s="1"/>
  <c r="EJ37" i="103" s="1"/>
  <c r="EK37" i="103" s="1"/>
  <c r="EL37" i="103" s="1"/>
  <c r="EM37" i="103" s="1"/>
  <c r="EN37" i="103" s="1"/>
  <c r="EO37" i="103" s="1"/>
  <c r="EP37" i="103" s="1"/>
  <c r="EQ37" i="103" s="1"/>
  <c r="ER37" i="103" s="1"/>
  <c r="ES37" i="103" s="1"/>
  <c r="ET37" i="103" s="1"/>
  <c r="EU37" i="103" s="1"/>
  <c r="EV37" i="103" s="1"/>
  <c r="EW37" i="103" s="1"/>
  <c r="EX37" i="103" s="1"/>
  <c r="F72" i="103"/>
  <c r="G72" i="103" s="1"/>
  <c r="H72" i="103" s="1"/>
  <c r="I72" i="103" s="1"/>
  <c r="J72" i="103" s="1"/>
  <c r="K72" i="103" s="1"/>
  <c r="L72" i="103" s="1"/>
  <c r="M72" i="103" s="1"/>
  <c r="N72" i="103" s="1"/>
  <c r="O72" i="103" s="1"/>
  <c r="P72" i="103" s="1"/>
  <c r="Q72" i="103" s="1"/>
  <c r="R72" i="103" s="1"/>
  <c r="S72" i="103" s="1"/>
  <c r="T72" i="103" s="1"/>
  <c r="U72" i="103" s="1"/>
  <c r="V72" i="103" s="1"/>
  <c r="W72" i="103" s="1"/>
  <c r="X72" i="103" s="1"/>
  <c r="Y72" i="103" s="1"/>
  <c r="Z72" i="103" s="1"/>
  <c r="AA72" i="103" s="1"/>
  <c r="AB72" i="103" s="1"/>
  <c r="AC72" i="103" s="1"/>
  <c r="AD72" i="103" s="1"/>
  <c r="AE72" i="103" s="1"/>
  <c r="AF72" i="103" s="1"/>
  <c r="AG72" i="103" s="1"/>
  <c r="AH72" i="103" s="1"/>
  <c r="AI72" i="103" s="1"/>
  <c r="AJ72" i="103" s="1"/>
  <c r="AK72" i="103" s="1"/>
  <c r="AL72" i="103" s="1"/>
  <c r="AM72" i="103" s="1"/>
  <c r="AN72" i="103" s="1"/>
  <c r="AO72" i="103" s="1"/>
  <c r="AP72" i="103" s="1"/>
  <c r="AQ72" i="103" s="1"/>
  <c r="AR72" i="103" s="1"/>
  <c r="AS72" i="103" s="1"/>
  <c r="AT72" i="103" s="1"/>
  <c r="AU72" i="103" s="1"/>
  <c r="AV72" i="103" s="1"/>
  <c r="AW72" i="103" s="1"/>
  <c r="AX72" i="103" s="1"/>
  <c r="AY72" i="103" s="1"/>
  <c r="AZ72" i="103" s="1"/>
  <c r="BA72" i="103" s="1"/>
  <c r="BB72" i="103" s="1"/>
  <c r="BC72" i="103" s="1"/>
  <c r="BD72" i="103" s="1"/>
  <c r="BE72" i="103" s="1"/>
  <c r="BF72" i="103" s="1"/>
  <c r="BG72" i="103" s="1"/>
  <c r="BH72" i="103" s="1"/>
  <c r="BI72" i="103" s="1"/>
  <c r="BJ72" i="103" s="1"/>
  <c r="BK72" i="103" s="1"/>
  <c r="BL72" i="103" s="1"/>
  <c r="BM72" i="103" s="1"/>
  <c r="BN72" i="103" s="1"/>
  <c r="BO72" i="103" s="1"/>
  <c r="BP72" i="103" s="1"/>
  <c r="BQ72" i="103" s="1"/>
  <c r="BR72" i="103" s="1"/>
  <c r="BS72" i="103" s="1"/>
  <c r="BT72" i="103" s="1"/>
  <c r="BU72" i="103" s="1"/>
  <c r="BV72" i="103" s="1"/>
  <c r="BW72" i="103" s="1"/>
  <c r="BX72" i="103" s="1"/>
  <c r="BY72" i="103" s="1"/>
  <c r="BZ72" i="103" s="1"/>
  <c r="CA72" i="103" s="1"/>
  <c r="CB72" i="103" s="1"/>
  <c r="CC72" i="103" s="1"/>
  <c r="CD72" i="103" s="1"/>
  <c r="CE72" i="103" s="1"/>
  <c r="CF72" i="103" s="1"/>
  <c r="CG72" i="103" s="1"/>
  <c r="CH72" i="103" s="1"/>
  <c r="CI72" i="103" s="1"/>
  <c r="CJ72" i="103" s="1"/>
  <c r="CK72" i="103" s="1"/>
  <c r="CL72" i="103" s="1"/>
  <c r="CM72" i="103" s="1"/>
  <c r="CN72" i="103" s="1"/>
  <c r="CO72" i="103" s="1"/>
  <c r="CP72" i="103" s="1"/>
  <c r="CQ72" i="103" s="1"/>
  <c r="CR72" i="103" s="1"/>
  <c r="CS72" i="103" s="1"/>
  <c r="CT72" i="103" s="1"/>
  <c r="CU72" i="103" s="1"/>
  <c r="CV72" i="103" s="1"/>
  <c r="CW72" i="103" s="1"/>
  <c r="CX72" i="103" s="1"/>
  <c r="CY72" i="103" s="1"/>
  <c r="CZ72" i="103" s="1"/>
  <c r="DA72" i="103" s="1"/>
  <c r="DB72" i="103" s="1"/>
  <c r="DC72" i="103" s="1"/>
  <c r="DD72" i="103" s="1"/>
  <c r="DE72" i="103" s="1"/>
  <c r="DF72" i="103" s="1"/>
  <c r="DG72" i="103" s="1"/>
  <c r="DH72" i="103" s="1"/>
  <c r="DI72" i="103" s="1"/>
  <c r="DJ72" i="103" s="1"/>
  <c r="DK72" i="103" s="1"/>
  <c r="DL72" i="103" s="1"/>
  <c r="DM72" i="103" s="1"/>
  <c r="DN72" i="103" s="1"/>
  <c r="DO72" i="103" s="1"/>
  <c r="DP72" i="103" s="1"/>
  <c r="DQ72" i="103" s="1"/>
  <c r="DR72" i="103" s="1"/>
  <c r="DS72" i="103" s="1"/>
  <c r="DT72" i="103" s="1"/>
  <c r="DU72" i="103" s="1"/>
  <c r="DV72" i="103" s="1"/>
  <c r="DW72" i="103" s="1"/>
  <c r="DX72" i="103" s="1"/>
  <c r="DY72" i="103" s="1"/>
  <c r="DZ72" i="103" s="1"/>
  <c r="EA72" i="103" s="1"/>
  <c r="EB72" i="103" s="1"/>
  <c r="EC72" i="103" s="1"/>
  <c r="ED72" i="103" s="1"/>
  <c r="EE72" i="103" s="1"/>
  <c r="EF72" i="103" s="1"/>
  <c r="EG72" i="103" s="1"/>
  <c r="EH72" i="103" s="1"/>
  <c r="EI72" i="103" s="1"/>
  <c r="EJ72" i="103" s="1"/>
  <c r="EK72" i="103" s="1"/>
  <c r="EL72" i="103" s="1"/>
  <c r="EM72" i="103" s="1"/>
  <c r="EN72" i="103" s="1"/>
  <c r="EO72" i="103" s="1"/>
  <c r="EP72" i="103" s="1"/>
  <c r="EQ72" i="103" s="1"/>
  <c r="ER72" i="103" s="1"/>
  <c r="ES72" i="103" s="1"/>
  <c r="ET72" i="103" s="1"/>
  <c r="EU72" i="103" s="1"/>
  <c r="EV72" i="103" s="1"/>
  <c r="EW72" i="103" s="1"/>
  <c r="EX72" i="103" s="1"/>
  <c r="F23" i="103"/>
  <c r="G23" i="103" s="1"/>
  <c r="H23" i="103" s="1"/>
  <c r="I23" i="103" s="1"/>
  <c r="J23" i="103" s="1"/>
  <c r="K23" i="103" s="1"/>
  <c r="L23" i="103" s="1"/>
  <c r="M23" i="103" s="1"/>
  <c r="N23" i="103" s="1"/>
  <c r="O23" i="103" s="1"/>
  <c r="P23" i="103" s="1"/>
  <c r="Q23" i="103" s="1"/>
  <c r="R23" i="103" s="1"/>
  <c r="S23" i="103" s="1"/>
  <c r="T23" i="103" s="1"/>
  <c r="U23" i="103" s="1"/>
  <c r="V23" i="103" s="1"/>
  <c r="W23" i="103" s="1"/>
  <c r="X23" i="103" s="1"/>
  <c r="Y23" i="103" s="1"/>
  <c r="Z23" i="103" s="1"/>
  <c r="AA23" i="103" s="1"/>
  <c r="AB23" i="103" s="1"/>
  <c r="AC23" i="103" s="1"/>
  <c r="AD23" i="103" s="1"/>
  <c r="AE23" i="103" s="1"/>
  <c r="AF23" i="103" s="1"/>
  <c r="F88" i="103"/>
  <c r="F60" i="103"/>
  <c r="E26" i="103"/>
  <c r="F25" i="103"/>
  <c r="F26" i="103" s="1"/>
  <c r="F38" i="103"/>
  <c r="D76" i="103"/>
  <c r="D77" i="103" s="1"/>
  <c r="D27" i="103"/>
  <c r="D28" i="103" s="1"/>
  <c r="D29" i="103" s="1"/>
  <c r="D30" i="103" s="1"/>
  <c r="K89" i="113"/>
  <c r="K103" i="113" s="1"/>
  <c r="K91" i="113"/>
  <c r="K104" i="113" s="1"/>
  <c r="J93" i="113"/>
  <c r="I98" i="113"/>
  <c r="K82" i="113"/>
  <c r="K80" i="113"/>
  <c r="J90" i="113"/>
  <c r="J95" i="113"/>
  <c r="J98" i="113" s="1"/>
  <c r="L79" i="113"/>
  <c r="M79" i="113"/>
  <c r="N29" i="113"/>
  <c r="N30" i="113" s="1"/>
  <c r="N32" i="113" s="1"/>
  <c r="K51" i="111"/>
  <c r="K52" i="111"/>
  <c r="L52" i="111"/>
  <c r="L51" i="111"/>
  <c r="L53" i="111"/>
  <c r="J53" i="111"/>
  <c r="J52" i="111"/>
  <c r="J51" i="111"/>
  <c r="E53" i="111"/>
  <c r="E52" i="111"/>
  <c r="E51" i="111"/>
  <c r="AC25" i="104"/>
  <c r="AC26" i="104" s="1"/>
  <c r="AC27" i="104" s="1"/>
  <c r="E24" i="103"/>
  <c r="E27" i="103" s="1"/>
  <c r="E28" i="103" s="1"/>
  <c r="E29" i="103" s="1"/>
  <c r="E30" i="103" s="1"/>
  <c r="BS19" i="104"/>
  <c r="AI18" i="104"/>
  <c r="AI19" i="104" s="1"/>
  <c r="BS23" i="104"/>
  <c r="BS24" i="104" s="1"/>
  <c r="BS25" i="104" s="1"/>
  <c r="BS26" i="104" s="1"/>
  <c r="BS27" i="104" s="1"/>
  <c r="BY22" i="104"/>
  <c r="BY23" i="104" s="1"/>
  <c r="BY24" i="104" s="1"/>
  <c r="BY25" i="104" s="1"/>
  <c r="BY26" i="104" s="1"/>
  <c r="BY27" i="104" s="1"/>
  <c r="BM23" i="104"/>
  <c r="BM24" i="104" s="1"/>
  <c r="BM25" i="104" s="1"/>
  <c r="BM26" i="104" s="1"/>
  <c r="AC59" i="104"/>
  <c r="AC60" i="104" s="1"/>
  <c r="AC61" i="104" s="1"/>
  <c r="AC18" i="104"/>
  <c r="AC19" i="104" s="1"/>
  <c r="E59" i="104"/>
  <c r="E60" i="104" s="1"/>
  <c r="E61" i="104" s="1"/>
  <c r="E63" i="104" s="1"/>
  <c r="E64" i="104" s="1"/>
  <c r="K19" i="104"/>
  <c r="BS28" i="104"/>
  <c r="K59" i="104"/>
  <c r="K60" i="104" s="1"/>
  <c r="K61" i="104" s="1"/>
  <c r="K63" i="104" s="1"/>
  <c r="K64" i="104" s="1"/>
  <c r="E25" i="104"/>
  <c r="E26" i="104" s="1"/>
  <c r="E27" i="104" s="1"/>
  <c r="BY28" i="104"/>
  <c r="AC29" i="104"/>
  <c r="AC30" i="104" s="1"/>
  <c r="AC63" i="104"/>
  <c r="AC64" i="104" s="1"/>
  <c r="E28" i="104"/>
  <c r="E52" i="104"/>
  <c r="E53" i="104" s="1"/>
  <c r="BG62" i="104"/>
  <c r="AC52" i="104"/>
  <c r="AC53" i="104" s="1"/>
  <c r="AI52" i="104"/>
  <c r="AI53" i="104" s="1"/>
  <c r="AI56" i="104"/>
  <c r="AI22" i="104"/>
  <c r="E6" i="103"/>
  <c r="E47" i="103"/>
  <c r="G5" i="103"/>
  <c r="G46" i="103"/>
  <c r="E45" i="103"/>
  <c r="D45" i="103"/>
  <c r="D48" i="103" s="1"/>
  <c r="D49" i="103" s="1"/>
  <c r="E75" i="103"/>
  <c r="K105" i="113" l="1"/>
  <c r="K108" i="113"/>
  <c r="K107" i="113"/>
  <c r="F24" i="103"/>
  <c r="F27" i="103" s="1"/>
  <c r="F28" i="103" s="1"/>
  <c r="F29" i="103" s="1"/>
  <c r="F30" i="103" s="1"/>
  <c r="F73" i="103"/>
  <c r="F76" i="103" s="1"/>
  <c r="G88" i="103"/>
  <c r="H88" i="103" s="1"/>
  <c r="I88" i="103" s="1"/>
  <c r="J88" i="103" s="1"/>
  <c r="K88" i="103" s="1"/>
  <c r="L88" i="103" s="1"/>
  <c r="M88" i="103" s="1"/>
  <c r="N88" i="103" s="1"/>
  <c r="O88" i="103" s="1"/>
  <c r="P88" i="103" s="1"/>
  <c r="Q88" i="103" s="1"/>
  <c r="R88" i="103" s="1"/>
  <c r="S88" i="103" s="1"/>
  <c r="T88" i="103" s="1"/>
  <c r="U88" i="103" s="1"/>
  <c r="V88" i="103" s="1"/>
  <c r="W88" i="103" s="1"/>
  <c r="X88" i="103" s="1"/>
  <c r="Y88" i="103" s="1"/>
  <c r="Z88" i="103" s="1"/>
  <c r="AA88" i="103" s="1"/>
  <c r="AB88" i="103" s="1"/>
  <c r="AC88" i="103" s="1"/>
  <c r="AD88" i="103" s="1"/>
  <c r="AE88" i="103" s="1"/>
  <c r="AF88" i="103" s="1"/>
  <c r="AG88" i="103" s="1"/>
  <c r="AH88" i="103" s="1"/>
  <c r="AI88" i="103" s="1"/>
  <c r="AJ88" i="103" s="1"/>
  <c r="AK88" i="103" s="1"/>
  <c r="AL88" i="103" s="1"/>
  <c r="AM88" i="103" s="1"/>
  <c r="AN88" i="103" s="1"/>
  <c r="AO88" i="103" s="1"/>
  <c r="AP88" i="103" s="1"/>
  <c r="AQ88" i="103" s="1"/>
  <c r="AR88" i="103" s="1"/>
  <c r="AS88" i="103" s="1"/>
  <c r="AT88" i="103" s="1"/>
  <c r="AU88" i="103" s="1"/>
  <c r="AV88" i="103" s="1"/>
  <c r="AW88" i="103" s="1"/>
  <c r="AX88" i="103" s="1"/>
  <c r="AY88" i="103" s="1"/>
  <c r="AZ88" i="103" s="1"/>
  <c r="BA88" i="103" s="1"/>
  <c r="BB88" i="103" s="1"/>
  <c r="BC88" i="103" s="1"/>
  <c r="BD88" i="103" s="1"/>
  <c r="BE88" i="103" s="1"/>
  <c r="BF88" i="103" s="1"/>
  <c r="BG88" i="103" s="1"/>
  <c r="BH88" i="103" s="1"/>
  <c r="BI88" i="103" s="1"/>
  <c r="BJ88" i="103" s="1"/>
  <c r="BK88" i="103" s="1"/>
  <c r="BL88" i="103" s="1"/>
  <c r="BM88" i="103" s="1"/>
  <c r="BN88" i="103" s="1"/>
  <c r="BO88" i="103" s="1"/>
  <c r="BP88" i="103" s="1"/>
  <c r="BQ88" i="103" s="1"/>
  <c r="BR88" i="103" s="1"/>
  <c r="BS88" i="103" s="1"/>
  <c r="BT88" i="103" s="1"/>
  <c r="BU88" i="103" s="1"/>
  <c r="BV88" i="103" s="1"/>
  <c r="BW88" i="103" s="1"/>
  <c r="BX88" i="103" s="1"/>
  <c r="BY88" i="103" s="1"/>
  <c r="BZ88" i="103" s="1"/>
  <c r="CA88" i="103" s="1"/>
  <c r="CB88" i="103" s="1"/>
  <c r="CC88" i="103" s="1"/>
  <c r="CD88" i="103" s="1"/>
  <c r="CE88" i="103" s="1"/>
  <c r="CF88" i="103" s="1"/>
  <c r="CG88" i="103" s="1"/>
  <c r="CH88" i="103" s="1"/>
  <c r="CI88" i="103" s="1"/>
  <c r="CJ88" i="103" s="1"/>
  <c r="CK88" i="103" s="1"/>
  <c r="CL88" i="103" s="1"/>
  <c r="CM88" i="103" s="1"/>
  <c r="CN88" i="103" s="1"/>
  <c r="CO88" i="103" s="1"/>
  <c r="CP88" i="103" s="1"/>
  <c r="CQ88" i="103" s="1"/>
  <c r="CR88" i="103" s="1"/>
  <c r="CS88" i="103" s="1"/>
  <c r="CT88" i="103" s="1"/>
  <c r="CU88" i="103" s="1"/>
  <c r="CV88" i="103" s="1"/>
  <c r="CW88" i="103" s="1"/>
  <c r="CX88" i="103" s="1"/>
  <c r="CY88" i="103" s="1"/>
  <c r="CZ88" i="103" s="1"/>
  <c r="DA88" i="103" s="1"/>
  <c r="DB88" i="103" s="1"/>
  <c r="DC88" i="103" s="1"/>
  <c r="DD88" i="103" s="1"/>
  <c r="DE88" i="103" s="1"/>
  <c r="DF88" i="103" s="1"/>
  <c r="DG88" i="103" s="1"/>
  <c r="DH88" i="103" s="1"/>
  <c r="DI88" i="103" s="1"/>
  <c r="DJ88" i="103" s="1"/>
  <c r="DK88" i="103" s="1"/>
  <c r="DL88" i="103" s="1"/>
  <c r="DM88" i="103" s="1"/>
  <c r="DN88" i="103" s="1"/>
  <c r="DO88" i="103" s="1"/>
  <c r="DP88" i="103" s="1"/>
  <c r="DQ88" i="103" s="1"/>
  <c r="DR88" i="103" s="1"/>
  <c r="DS88" i="103" s="1"/>
  <c r="DT88" i="103" s="1"/>
  <c r="DU88" i="103" s="1"/>
  <c r="DV88" i="103" s="1"/>
  <c r="DW88" i="103" s="1"/>
  <c r="DX88" i="103" s="1"/>
  <c r="DY88" i="103" s="1"/>
  <c r="DZ88" i="103" s="1"/>
  <c r="EA88" i="103" s="1"/>
  <c r="EB88" i="103" s="1"/>
  <c r="EC88" i="103" s="1"/>
  <c r="ED88" i="103" s="1"/>
  <c r="EE88" i="103" s="1"/>
  <c r="EF88" i="103" s="1"/>
  <c r="EG88" i="103" s="1"/>
  <c r="EH88" i="103" s="1"/>
  <c r="EI88" i="103" s="1"/>
  <c r="EJ88" i="103" s="1"/>
  <c r="EK88" i="103" s="1"/>
  <c r="EL88" i="103" s="1"/>
  <c r="EM88" i="103" s="1"/>
  <c r="EN88" i="103" s="1"/>
  <c r="EO88" i="103" s="1"/>
  <c r="EP88" i="103" s="1"/>
  <c r="EQ88" i="103" s="1"/>
  <c r="ER88" i="103" s="1"/>
  <c r="ES88" i="103" s="1"/>
  <c r="ET88" i="103" s="1"/>
  <c r="EU88" i="103" s="1"/>
  <c r="EV88" i="103" s="1"/>
  <c r="EW88" i="103" s="1"/>
  <c r="EX88" i="103" s="1"/>
  <c r="FC88" i="103" s="1"/>
  <c r="F45" i="103"/>
  <c r="F48" i="103" s="1"/>
  <c r="G60" i="103"/>
  <c r="H60" i="103" s="1"/>
  <c r="I60" i="103" s="1"/>
  <c r="J60" i="103" s="1"/>
  <c r="K60" i="103" s="1"/>
  <c r="L60" i="103" s="1"/>
  <c r="M60" i="103" s="1"/>
  <c r="N60" i="103" s="1"/>
  <c r="O60" i="103" s="1"/>
  <c r="P60" i="103" s="1"/>
  <c r="Q60" i="103" s="1"/>
  <c r="R60" i="103" s="1"/>
  <c r="S60" i="103" s="1"/>
  <c r="T60" i="103" s="1"/>
  <c r="U60" i="103" s="1"/>
  <c r="V60" i="103" s="1"/>
  <c r="W60" i="103" s="1"/>
  <c r="X60" i="103" s="1"/>
  <c r="Y60" i="103" s="1"/>
  <c r="Z60" i="103" s="1"/>
  <c r="AA60" i="103" s="1"/>
  <c r="AB60" i="103" s="1"/>
  <c r="AC60" i="103" s="1"/>
  <c r="AD60" i="103" s="1"/>
  <c r="AE60" i="103" s="1"/>
  <c r="AF60" i="103" s="1"/>
  <c r="AG60" i="103" s="1"/>
  <c r="AH60" i="103" s="1"/>
  <c r="AI60" i="103" s="1"/>
  <c r="AJ60" i="103" s="1"/>
  <c r="AK60" i="103" s="1"/>
  <c r="AL60" i="103" s="1"/>
  <c r="AM60" i="103" s="1"/>
  <c r="AN60" i="103" s="1"/>
  <c r="AO60" i="103" s="1"/>
  <c r="AP60" i="103" s="1"/>
  <c r="AQ60" i="103" s="1"/>
  <c r="AR60" i="103" s="1"/>
  <c r="AS60" i="103" s="1"/>
  <c r="AT60" i="103" s="1"/>
  <c r="AU60" i="103" s="1"/>
  <c r="AV60" i="103" s="1"/>
  <c r="AW60" i="103" s="1"/>
  <c r="AX60" i="103" s="1"/>
  <c r="AY60" i="103" s="1"/>
  <c r="AZ60" i="103" s="1"/>
  <c r="BA60" i="103" s="1"/>
  <c r="BB60" i="103" s="1"/>
  <c r="BC60" i="103" s="1"/>
  <c r="BD60" i="103" s="1"/>
  <c r="BE60" i="103" s="1"/>
  <c r="BF60" i="103" s="1"/>
  <c r="BG60" i="103" s="1"/>
  <c r="BH60" i="103" s="1"/>
  <c r="BI60" i="103" s="1"/>
  <c r="BJ60" i="103" s="1"/>
  <c r="BK60" i="103" s="1"/>
  <c r="BL60" i="103" s="1"/>
  <c r="BM60" i="103" s="1"/>
  <c r="BN60" i="103" s="1"/>
  <c r="BO60" i="103" s="1"/>
  <c r="BP60" i="103" s="1"/>
  <c r="BQ60" i="103" s="1"/>
  <c r="BR60" i="103" s="1"/>
  <c r="BS60" i="103" s="1"/>
  <c r="BT60" i="103" s="1"/>
  <c r="BU60" i="103" s="1"/>
  <c r="BV60" i="103" s="1"/>
  <c r="BW60" i="103" s="1"/>
  <c r="BX60" i="103" s="1"/>
  <c r="BY60" i="103" s="1"/>
  <c r="BZ60" i="103" s="1"/>
  <c r="CA60" i="103" s="1"/>
  <c r="CB60" i="103" s="1"/>
  <c r="CC60" i="103" s="1"/>
  <c r="CD60" i="103" s="1"/>
  <c r="CE60" i="103" s="1"/>
  <c r="CF60" i="103" s="1"/>
  <c r="CG60" i="103" s="1"/>
  <c r="CH60" i="103" s="1"/>
  <c r="CI60" i="103" s="1"/>
  <c r="CJ60" i="103" s="1"/>
  <c r="CK60" i="103" s="1"/>
  <c r="CL60" i="103" s="1"/>
  <c r="CM60" i="103" s="1"/>
  <c r="CN60" i="103" s="1"/>
  <c r="CO60" i="103" s="1"/>
  <c r="CP60" i="103" s="1"/>
  <c r="CQ60" i="103" s="1"/>
  <c r="CR60" i="103" s="1"/>
  <c r="CS60" i="103" s="1"/>
  <c r="CT60" i="103" s="1"/>
  <c r="CU60" i="103" s="1"/>
  <c r="CV60" i="103" s="1"/>
  <c r="CW60" i="103" s="1"/>
  <c r="CX60" i="103" s="1"/>
  <c r="CY60" i="103" s="1"/>
  <c r="CZ60" i="103" s="1"/>
  <c r="DA60" i="103" s="1"/>
  <c r="DB60" i="103" s="1"/>
  <c r="DC60" i="103" s="1"/>
  <c r="DD60" i="103" s="1"/>
  <c r="DE60" i="103" s="1"/>
  <c r="DF60" i="103" s="1"/>
  <c r="DG60" i="103" s="1"/>
  <c r="DH60" i="103" s="1"/>
  <c r="DI60" i="103" s="1"/>
  <c r="DJ60" i="103" s="1"/>
  <c r="DK60" i="103" s="1"/>
  <c r="DL60" i="103" s="1"/>
  <c r="DM60" i="103" s="1"/>
  <c r="DN60" i="103" s="1"/>
  <c r="DO60" i="103" s="1"/>
  <c r="DP60" i="103" s="1"/>
  <c r="DQ60" i="103" s="1"/>
  <c r="DR60" i="103" s="1"/>
  <c r="DS60" i="103" s="1"/>
  <c r="DT60" i="103" s="1"/>
  <c r="DU60" i="103" s="1"/>
  <c r="DV60" i="103" s="1"/>
  <c r="DW60" i="103" s="1"/>
  <c r="DX60" i="103" s="1"/>
  <c r="DY60" i="103" s="1"/>
  <c r="DZ60" i="103" s="1"/>
  <c r="EA60" i="103" s="1"/>
  <c r="EB60" i="103" s="1"/>
  <c r="EC60" i="103" s="1"/>
  <c r="ED60" i="103" s="1"/>
  <c r="EE60" i="103" s="1"/>
  <c r="EF60" i="103" s="1"/>
  <c r="EG60" i="103" s="1"/>
  <c r="EH60" i="103" s="1"/>
  <c r="EI60" i="103" s="1"/>
  <c r="EJ60" i="103" s="1"/>
  <c r="EK60" i="103" s="1"/>
  <c r="EL60" i="103" s="1"/>
  <c r="EM60" i="103" s="1"/>
  <c r="EN60" i="103" s="1"/>
  <c r="EO60" i="103" s="1"/>
  <c r="EP60" i="103" s="1"/>
  <c r="EQ60" i="103" s="1"/>
  <c r="ER60" i="103" s="1"/>
  <c r="ES60" i="103" s="1"/>
  <c r="ET60" i="103" s="1"/>
  <c r="EU60" i="103" s="1"/>
  <c r="EV60" i="103" s="1"/>
  <c r="EW60" i="103" s="1"/>
  <c r="EX60" i="103" s="1"/>
  <c r="FC60" i="103" s="1"/>
  <c r="G38" i="103"/>
  <c r="H38" i="103" s="1"/>
  <c r="I38" i="103" s="1"/>
  <c r="J38" i="103" s="1"/>
  <c r="K38" i="103" s="1"/>
  <c r="L38" i="103" s="1"/>
  <c r="M38" i="103" s="1"/>
  <c r="N38" i="103" s="1"/>
  <c r="O38" i="103" s="1"/>
  <c r="P38" i="103" s="1"/>
  <c r="Q38" i="103" s="1"/>
  <c r="R38" i="103" s="1"/>
  <c r="S38" i="103" s="1"/>
  <c r="T38" i="103" s="1"/>
  <c r="U38" i="103" s="1"/>
  <c r="V38" i="103" s="1"/>
  <c r="W38" i="103" s="1"/>
  <c r="X38" i="103" s="1"/>
  <c r="Y38" i="103" s="1"/>
  <c r="Z38" i="103" s="1"/>
  <c r="AA38" i="103" s="1"/>
  <c r="AB38" i="103" s="1"/>
  <c r="AC38" i="103" s="1"/>
  <c r="AD38" i="103" s="1"/>
  <c r="AE38" i="103" s="1"/>
  <c r="AF38" i="103" s="1"/>
  <c r="AG38" i="103" s="1"/>
  <c r="AH38" i="103" s="1"/>
  <c r="AI38" i="103" s="1"/>
  <c r="AJ38" i="103" s="1"/>
  <c r="E48" i="103"/>
  <c r="E49" i="103" s="1"/>
  <c r="D31" i="103"/>
  <c r="D34" i="103"/>
  <c r="D35" i="103" s="1"/>
  <c r="D36" i="103" s="1"/>
  <c r="M91" i="113"/>
  <c r="M104" i="113" s="1"/>
  <c r="M87" i="113"/>
  <c r="M102" i="113" s="1"/>
  <c r="M89" i="113"/>
  <c r="M103" i="113" s="1"/>
  <c r="L87" i="113"/>
  <c r="L102" i="113" s="1"/>
  <c r="L89" i="113"/>
  <c r="L103" i="113" s="1"/>
  <c r="L91" i="113"/>
  <c r="L104" i="113" s="1"/>
  <c r="K93" i="113"/>
  <c r="M82" i="113"/>
  <c r="M80" i="113"/>
  <c r="L82" i="113"/>
  <c r="L80" i="113"/>
  <c r="K90" i="113"/>
  <c r="K95" i="113"/>
  <c r="K98" i="113" s="1"/>
  <c r="O29" i="113"/>
  <c r="O30" i="113" s="1"/>
  <c r="BY29" i="104"/>
  <c r="BY30" i="104" s="1"/>
  <c r="E29" i="104"/>
  <c r="E30" i="104" s="1"/>
  <c r="BS29" i="104"/>
  <c r="BS30" i="104" s="1"/>
  <c r="AI23" i="104"/>
  <c r="AI24" i="104" s="1"/>
  <c r="AI25" i="104" s="1"/>
  <c r="AI26" i="104" s="1"/>
  <c r="AO22" i="104"/>
  <c r="AO18" i="104"/>
  <c r="AO19" i="104" s="1"/>
  <c r="AI57" i="104"/>
  <c r="AI58" i="104" s="1"/>
  <c r="AI59" i="104" s="1"/>
  <c r="AI60" i="104" s="1"/>
  <c r="AI61" i="104" s="1"/>
  <c r="AO56" i="104"/>
  <c r="AO52" i="104"/>
  <c r="AO53" i="104" s="1"/>
  <c r="E73" i="103"/>
  <c r="E76" i="103" s="1"/>
  <c r="D79" i="103"/>
  <c r="D78" i="103"/>
  <c r="E31" i="103"/>
  <c r="G6" i="103"/>
  <c r="H5" i="103"/>
  <c r="H46" i="103"/>
  <c r="G47" i="103"/>
  <c r="G74" i="103"/>
  <c r="G25" i="103"/>
  <c r="E34" i="103"/>
  <c r="E35" i="103" s="1"/>
  <c r="E36" i="103" s="1"/>
  <c r="M107" i="113" l="1"/>
  <c r="M108" i="113"/>
  <c r="M109" i="113" s="1"/>
  <c r="K109" i="113"/>
  <c r="L107" i="113"/>
  <c r="L108" i="113"/>
  <c r="L109" i="113" s="1"/>
  <c r="L105" i="113"/>
  <c r="M105" i="113"/>
  <c r="AK73" i="103"/>
  <c r="AL73" i="103"/>
  <c r="AJ73" i="103"/>
  <c r="F77" i="103"/>
  <c r="F49" i="103"/>
  <c r="F34" i="103"/>
  <c r="F35" i="103" s="1"/>
  <c r="F36" i="103" s="1"/>
  <c r="AJ24" i="103"/>
  <c r="AK38" i="103"/>
  <c r="F31" i="103"/>
  <c r="D50" i="103"/>
  <c r="D51" i="103"/>
  <c r="D39" i="103"/>
  <c r="D40" i="103" s="1"/>
  <c r="D32" i="103"/>
  <c r="M93" i="113"/>
  <c r="M88" i="113"/>
  <c r="L93" i="113"/>
  <c r="M90" i="113"/>
  <c r="M95" i="113"/>
  <c r="L90" i="113"/>
  <c r="L95" i="113"/>
  <c r="N79" i="113"/>
  <c r="O32" i="113"/>
  <c r="C34" i="113" s="1"/>
  <c r="P29" i="113"/>
  <c r="P30" i="113" s="1"/>
  <c r="AO57" i="104"/>
  <c r="AO58" i="104" s="1"/>
  <c r="AO59" i="104" s="1"/>
  <c r="AO60" i="104" s="1"/>
  <c r="AO61" i="104" s="1"/>
  <c r="AU56" i="104"/>
  <c r="AU52" i="104"/>
  <c r="AU53" i="104" s="1"/>
  <c r="AU18" i="104"/>
  <c r="AU19" i="104" s="1"/>
  <c r="AO23" i="104"/>
  <c r="AO24" i="104" s="1"/>
  <c r="AO25" i="104" s="1"/>
  <c r="AO26" i="104" s="1"/>
  <c r="AU22" i="104"/>
  <c r="AU23" i="104" s="1"/>
  <c r="AU24" i="104" s="1"/>
  <c r="AU25" i="104" s="1"/>
  <c r="AU26" i="104" s="1"/>
  <c r="G45" i="103"/>
  <c r="G48" i="103" s="1"/>
  <c r="I5" i="103"/>
  <c r="H6" i="103"/>
  <c r="AM73" i="103"/>
  <c r="G26" i="103"/>
  <c r="H25" i="103"/>
  <c r="E39" i="103"/>
  <c r="E40" i="103" s="1"/>
  <c r="E32" i="103"/>
  <c r="G24" i="103"/>
  <c r="E51" i="103"/>
  <c r="E50" i="103"/>
  <c r="H74" i="103"/>
  <c r="G75" i="103"/>
  <c r="D92" i="103"/>
  <c r="D80" i="103"/>
  <c r="D81" i="103"/>
  <c r="D82" i="103" s="1"/>
  <c r="D84" i="103"/>
  <c r="H47" i="103"/>
  <c r="I46" i="103"/>
  <c r="E77" i="103"/>
  <c r="E33" i="103" l="1"/>
  <c r="D33" i="103"/>
  <c r="L98" i="113"/>
  <c r="F78" i="103"/>
  <c r="F79" i="103"/>
  <c r="F50" i="103"/>
  <c r="F51" i="103"/>
  <c r="F39" i="103"/>
  <c r="F40" i="103" s="1"/>
  <c r="F32" i="103"/>
  <c r="F33" i="103" s="1"/>
  <c r="AL38" i="103"/>
  <c r="AK24" i="103"/>
  <c r="N91" i="113"/>
  <c r="N104" i="113" s="1"/>
  <c r="N89" i="113"/>
  <c r="N103" i="113" s="1"/>
  <c r="N87" i="113"/>
  <c r="N102" i="113" s="1"/>
  <c r="M98" i="113"/>
  <c r="N82" i="113"/>
  <c r="N80" i="113"/>
  <c r="O79" i="113"/>
  <c r="O87" i="113" s="1"/>
  <c r="P32" i="113"/>
  <c r="Q29" i="113"/>
  <c r="Q30" i="113" s="1"/>
  <c r="AU57" i="104"/>
  <c r="AU58" i="104" s="1"/>
  <c r="AU59" i="104" s="1"/>
  <c r="AU60" i="104" s="1"/>
  <c r="AU61" i="104" s="1"/>
  <c r="BA56" i="104"/>
  <c r="BA52" i="104"/>
  <c r="BA53" i="104" s="1"/>
  <c r="I47" i="103"/>
  <c r="J46" i="103"/>
  <c r="H75" i="103"/>
  <c r="I74" i="103"/>
  <c r="D52" i="103"/>
  <c r="D56" i="103"/>
  <c r="D53" i="103"/>
  <c r="D54" i="103" s="1"/>
  <c r="G27" i="103"/>
  <c r="G28" i="103" s="1"/>
  <c r="G29" i="103" s="1"/>
  <c r="G30" i="103" s="1"/>
  <c r="H24" i="103"/>
  <c r="J5" i="103"/>
  <c r="I6" i="103"/>
  <c r="E52" i="103"/>
  <c r="E56" i="103"/>
  <c r="E53" i="103"/>
  <c r="E54" i="103" s="1"/>
  <c r="G49" i="103"/>
  <c r="G73" i="103"/>
  <c r="G76" i="103" s="1"/>
  <c r="D85" i="103"/>
  <c r="D90" i="103"/>
  <c r="D91" i="103" s="1"/>
  <c r="H26" i="103"/>
  <c r="I25" i="103"/>
  <c r="AN73" i="103"/>
  <c r="H45" i="103"/>
  <c r="H48" i="103" s="1"/>
  <c r="E79" i="103"/>
  <c r="E78" i="103"/>
  <c r="N107" i="113" l="1"/>
  <c r="N108" i="113"/>
  <c r="N105" i="113"/>
  <c r="F80" i="103"/>
  <c r="F92" i="103"/>
  <c r="F84" i="103"/>
  <c r="F81" i="103"/>
  <c r="F82" i="103" s="1"/>
  <c r="F52" i="103"/>
  <c r="F56" i="103"/>
  <c r="F53" i="103"/>
  <c r="F54" i="103" s="1"/>
  <c r="AL24" i="103"/>
  <c r="AM38" i="103"/>
  <c r="AM24" i="103" s="1"/>
  <c r="N93" i="113"/>
  <c r="N88" i="113"/>
  <c r="O91" i="113"/>
  <c r="O104" i="113" s="1"/>
  <c r="O102" i="113"/>
  <c r="O89" i="113"/>
  <c r="O103" i="113" s="1"/>
  <c r="O82" i="113"/>
  <c r="N90" i="113"/>
  <c r="N95" i="113"/>
  <c r="P79" i="113"/>
  <c r="Q32" i="113"/>
  <c r="R29" i="113"/>
  <c r="R30" i="113" s="1"/>
  <c r="BA57" i="104"/>
  <c r="BA58" i="104" s="1"/>
  <c r="BA59" i="104" s="1"/>
  <c r="BA60" i="104" s="1"/>
  <c r="BA61" i="104" s="1"/>
  <c r="BG56" i="104"/>
  <c r="BG52" i="104"/>
  <c r="BG53" i="104" s="1"/>
  <c r="G77" i="103"/>
  <c r="G34" i="103"/>
  <c r="G35" i="103" s="1"/>
  <c r="G36" i="103" s="1"/>
  <c r="AO73" i="103"/>
  <c r="H73" i="103"/>
  <c r="H76" i="103" s="1"/>
  <c r="J6" i="103"/>
  <c r="K5" i="103"/>
  <c r="G31" i="103"/>
  <c r="G51" i="103"/>
  <c r="G50" i="103"/>
  <c r="H27" i="103"/>
  <c r="H28" i="103" s="1"/>
  <c r="H29" i="103" s="1"/>
  <c r="H30" i="103" s="1"/>
  <c r="I26" i="103"/>
  <c r="J25" i="103"/>
  <c r="I24" i="103"/>
  <c r="I75" i="103"/>
  <c r="J74" i="103"/>
  <c r="E92" i="103"/>
  <c r="E80" i="103"/>
  <c r="E84" i="103"/>
  <c r="E81" i="103"/>
  <c r="E82" i="103" s="1"/>
  <c r="H49" i="103"/>
  <c r="D57" i="103"/>
  <c r="D62" i="103"/>
  <c r="D63" i="103" s="1"/>
  <c r="D69" i="103" s="1"/>
  <c r="J47" i="103"/>
  <c r="K46" i="103"/>
  <c r="I45" i="103"/>
  <c r="I48" i="103" s="1"/>
  <c r="D86" i="103"/>
  <c r="D89" i="103"/>
  <c r="E57" i="103"/>
  <c r="E62" i="103"/>
  <c r="E63" i="103" s="1"/>
  <c r="E69" i="103" s="1"/>
  <c r="AO38" i="103"/>
  <c r="AN24" i="103"/>
  <c r="O105" i="113" l="1"/>
  <c r="O107" i="113"/>
  <c r="O108" i="113"/>
  <c r="O109" i="113" s="1"/>
  <c r="N98" i="113"/>
  <c r="N109" i="113"/>
  <c r="F85" i="103"/>
  <c r="F90" i="103"/>
  <c r="F91" i="103" s="1"/>
  <c r="F57" i="103"/>
  <c r="F62" i="103"/>
  <c r="F63" i="103" s="1"/>
  <c r="F69" i="103" s="1"/>
  <c r="O88" i="113"/>
  <c r="P89" i="113"/>
  <c r="P103" i="113" s="1"/>
  <c r="P91" i="113"/>
  <c r="P104" i="113" s="1"/>
  <c r="P87" i="113"/>
  <c r="P102" i="113" s="1"/>
  <c r="O93" i="113"/>
  <c r="P82" i="113"/>
  <c r="P80" i="113"/>
  <c r="O90" i="113"/>
  <c r="O95" i="113"/>
  <c r="R32" i="113"/>
  <c r="S29" i="113"/>
  <c r="S30" i="113" s="1"/>
  <c r="BG57" i="104"/>
  <c r="BG58" i="104" s="1"/>
  <c r="BG59" i="104" s="1"/>
  <c r="BG60" i="104" s="1"/>
  <c r="BG61" i="104" s="1"/>
  <c r="BG63" i="104" s="1"/>
  <c r="BG64" i="104" s="1"/>
  <c r="BM56" i="104"/>
  <c r="BM57" i="104" s="1"/>
  <c r="BM58" i="104" s="1"/>
  <c r="BM59" i="104" s="1"/>
  <c r="BM60" i="104" s="1"/>
  <c r="BM61" i="104" s="1"/>
  <c r="BM63" i="104" s="1"/>
  <c r="BM64" i="104" s="1"/>
  <c r="BM52" i="104"/>
  <c r="BM53" i="104" s="1"/>
  <c r="J45" i="103"/>
  <c r="J48" i="103" s="1"/>
  <c r="H51" i="103"/>
  <c r="H50" i="103"/>
  <c r="J24" i="103"/>
  <c r="E85" i="103"/>
  <c r="E90" i="103"/>
  <c r="E91" i="103" s="1"/>
  <c r="I27" i="103"/>
  <c r="I28" i="103" s="1"/>
  <c r="I29" i="103" s="1"/>
  <c r="I30" i="103" s="1"/>
  <c r="AO24" i="103"/>
  <c r="AP38" i="103"/>
  <c r="L46" i="103"/>
  <c r="K47" i="103"/>
  <c r="H31" i="103"/>
  <c r="AP73" i="103"/>
  <c r="G39" i="103"/>
  <c r="G40" i="103" s="1"/>
  <c r="G32" i="103"/>
  <c r="E58" i="103"/>
  <c r="K74" i="103"/>
  <c r="J75" i="103"/>
  <c r="K25" i="103"/>
  <c r="J26" i="103"/>
  <c r="G52" i="103"/>
  <c r="G56" i="103"/>
  <c r="G53" i="103"/>
  <c r="G54" i="103" s="1"/>
  <c r="L5" i="103"/>
  <c r="K6" i="103"/>
  <c r="D58" i="103"/>
  <c r="I73" i="103"/>
  <c r="I76" i="103" s="1"/>
  <c r="G78" i="103"/>
  <c r="G79" i="103"/>
  <c r="I49" i="103"/>
  <c r="H34" i="103"/>
  <c r="H35" i="103" s="1"/>
  <c r="H36" i="103" s="1"/>
  <c r="H77" i="103"/>
  <c r="E111" i="113" l="1"/>
  <c r="E112" i="113"/>
  <c r="G33" i="103"/>
  <c r="P107" i="113"/>
  <c r="P108" i="113"/>
  <c r="P105" i="113"/>
  <c r="O98" i="113"/>
  <c r="F89" i="103"/>
  <c r="F86" i="103"/>
  <c r="F58" i="103"/>
  <c r="I34" i="103"/>
  <c r="I35" i="103" s="1"/>
  <c r="I36" i="103" s="1"/>
  <c r="P88" i="113"/>
  <c r="P93" i="113"/>
  <c r="P90" i="113"/>
  <c r="P95" i="113"/>
  <c r="S32" i="113"/>
  <c r="T29" i="113"/>
  <c r="T30" i="113" s="1"/>
  <c r="AQ73" i="103"/>
  <c r="K24" i="103"/>
  <c r="I50" i="103"/>
  <c r="I51" i="103"/>
  <c r="L25" i="103"/>
  <c r="K26" i="103"/>
  <c r="I31" i="103"/>
  <c r="J27" i="103"/>
  <c r="J28" i="103" s="1"/>
  <c r="J29" i="103" s="1"/>
  <c r="J30" i="103" s="1"/>
  <c r="H39" i="103"/>
  <c r="H40" i="103" s="1"/>
  <c r="H32" i="103"/>
  <c r="H33" i="103" s="1"/>
  <c r="M5" i="103"/>
  <c r="L6" i="103"/>
  <c r="K75" i="103"/>
  <c r="L74" i="103"/>
  <c r="E89" i="103"/>
  <c r="E86" i="103"/>
  <c r="H52" i="103"/>
  <c r="H56" i="103"/>
  <c r="H53" i="103"/>
  <c r="H54" i="103" s="1"/>
  <c r="I77" i="103"/>
  <c r="M46" i="103"/>
  <c r="L47" i="103"/>
  <c r="J49" i="103"/>
  <c r="G92" i="103"/>
  <c r="G80" i="103"/>
  <c r="G84" i="103"/>
  <c r="G81" i="103"/>
  <c r="G82" i="103" s="1"/>
  <c r="H78" i="103"/>
  <c r="H79" i="103"/>
  <c r="J73" i="103"/>
  <c r="J76" i="103" s="1"/>
  <c r="G57" i="103"/>
  <c r="G62" i="103"/>
  <c r="G63" i="103" s="1"/>
  <c r="G69" i="103" s="1"/>
  <c r="AQ38" i="103"/>
  <c r="AP24" i="103"/>
  <c r="K45" i="103"/>
  <c r="K48" i="103" s="1"/>
  <c r="AG95" i="113" l="1"/>
  <c r="AH95" i="113"/>
  <c r="P109" i="113"/>
  <c r="Q98" i="113"/>
  <c r="P98" i="113"/>
  <c r="T32" i="113"/>
  <c r="U29" i="113"/>
  <c r="U30" i="113" s="1"/>
  <c r="K73" i="103"/>
  <c r="K76" i="103" s="1"/>
  <c r="L24" i="103"/>
  <c r="J77" i="103"/>
  <c r="J51" i="103"/>
  <c r="J50" i="103"/>
  <c r="H57" i="103"/>
  <c r="H62" i="103"/>
  <c r="H63" i="103" s="1"/>
  <c r="H69" i="103" s="1"/>
  <c r="L75" i="103"/>
  <c r="M74" i="103"/>
  <c r="L26" i="103"/>
  <c r="M25" i="103"/>
  <c r="K27" i="103"/>
  <c r="K28" i="103" s="1"/>
  <c r="K29" i="103" s="1"/>
  <c r="K30" i="103" s="1"/>
  <c r="AR38" i="103"/>
  <c r="AQ24" i="103"/>
  <c r="AR73" i="103"/>
  <c r="H92" i="103"/>
  <c r="H80" i="103"/>
  <c r="H84" i="103"/>
  <c r="H81" i="103"/>
  <c r="H82" i="103" s="1"/>
  <c r="N46" i="103"/>
  <c r="M47" i="103"/>
  <c r="M6" i="103"/>
  <c r="N5" i="103"/>
  <c r="I52" i="103"/>
  <c r="I56" i="103"/>
  <c r="I53" i="103"/>
  <c r="I54" i="103" s="1"/>
  <c r="J34" i="103"/>
  <c r="J35" i="103" s="1"/>
  <c r="J36" i="103" s="1"/>
  <c r="L45" i="103"/>
  <c r="L48" i="103" s="1"/>
  <c r="G58" i="103"/>
  <c r="G85" i="103"/>
  <c r="G90" i="103"/>
  <c r="G91" i="103" s="1"/>
  <c r="I79" i="103"/>
  <c r="I78" i="103"/>
  <c r="J31" i="103"/>
  <c r="K49" i="103"/>
  <c r="I39" i="103"/>
  <c r="I40" i="103" s="1"/>
  <c r="I32" i="103"/>
  <c r="I33" i="103" s="1"/>
  <c r="AH98" i="113" l="1"/>
  <c r="AG98" i="113"/>
  <c r="U32" i="113"/>
  <c r="V29" i="113"/>
  <c r="V30" i="113" s="1"/>
  <c r="K31" i="103"/>
  <c r="K32" i="103" s="1"/>
  <c r="K33" i="103" s="1"/>
  <c r="L49" i="103"/>
  <c r="H85" i="103"/>
  <c r="H90" i="103"/>
  <c r="H91" i="103" s="1"/>
  <c r="M24" i="103"/>
  <c r="I92" i="103"/>
  <c r="I80" i="103"/>
  <c r="I84" i="103"/>
  <c r="I81" i="103"/>
  <c r="I82" i="103" s="1"/>
  <c r="AS38" i="103"/>
  <c r="AR24" i="103"/>
  <c r="H58" i="103"/>
  <c r="L27" i="103"/>
  <c r="L28" i="103" s="1"/>
  <c r="L29" i="103" s="1"/>
  <c r="L30" i="103" s="1"/>
  <c r="J32" i="103"/>
  <c r="J33" i="103" s="1"/>
  <c r="J39" i="103"/>
  <c r="J40" i="103" s="1"/>
  <c r="K51" i="103"/>
  <c r="K50" i="103"/>
  <c r="O46" i="103"/>
  <c r="N47" i="103"/>
  <c r="AS73" i="103"/>
  <c r="K34" i="103"/>
  <c r="K35" i="103" s="1"/>
  <c r="K36" i="103" s="1"/>
  <c r="G89" i="103"/>
  <c r="G86" i="103"/>
  <c r="I57" i="103"/>
  <c r="I62" i="103"/>
  <c r="I63" i="103" s="1"/>
  <c r="I69" i="103" s="1"/>
  <c r="J52" i="103"/>
  <c r="J56" i="103"/>
  <c r="J53" i="103"/>
  <c r="J54" i="103" s="1"/>
  <c r="N6" i="103"/>
  <c r="O5" i="103"/>
  <c r="M26" i="103"/>
  <c r="N25" i="103"/>
  <c r="J78" i="103"/>
  <c r="J79" i="103"/>
  <c r="L73" i="103"/>
  <c r="L76" i="103" s="1"/>
  <c r="M45" i="103"/>
  <c r="M48" i="103" s="1"/>
  <c r="M75" i="103"/>
  <c r="N74" i="103"/>
  <c r="K77" i="103"/>
  <c r="L34" i="103" l="1"/>
  <c r="L35" i="103" s="1"/>
  <c r="L36" i="103" s="1"/>
  <c r="V32" i="113"/>
  <c r="W29" i="113"/>
  <c r="W30" i="113" s="1"/>
  <c r="L31" i="103"/>
  <c r="K39" i="103"/>
  <c r="K40" i="103" s="1"/>
  <c r="M49" i="103"/>
  <c r="J92" i="103"/>
  <c r="J80" i="103"/>
  <c r="J84" i="103"/>
  <c r="J81" i="103"/>
  <c r="J82" i="103" s="1"/>
  <c r="O6" i="103"/>
  <c r="P5" i="103"/>
  <c r="N26" i="103"/>
  <c r="O25" i="103"/>
  <c r="I58" i="103"/>
  <c r="P46" i="103"/>
  <c r="O47" i="103"/>
  <c r="K78" i="103"/>
  <c r="K79" i="103"/>
  <c r="J57" i="103"/>
  <c r="J62" i="103"/>
  <c r="J63" i="103" s="1"/>
  <c r="J69" i="103" s="1"/>
  <c r="H89" i="103"/>
  <c r="H86" i="103"/>
  <c r="L77" i="103"/>
  <c r="K52" i="103"/>
  <c r="K56" i="103"/>
  <c r="K53" i="103"/>
  <c r="K54" i="103" s="1"/>
  <c r="AT38" i="103"/>
  <c r="AS24" i="103"/>
  <c r="L50" i="103"/>
  <c r="L51" i="103"/>
  <c r="O74" i="103"/>
  <c r="N75" i="103"/>
  <c r="M73" i="103"/>
  <c r="M76" i="103" s="1"/>
  <c r="N24" i="103"/>
  <c r="M27" i="103"/>
  <c r="M28" i="103" s="1"/>
  <c r="M29" i="103" s="1"/>
  <c r="M30" i="103" s="1"/>
  <c r="N45" i="103"/>
  <c r="N48" i="103" s="1"/>
  <c r="AT73" i="103"/>
  <c r="I85" i="103"/>
  <c r="I90" i="103"/>
  <c r="I91" i="103" s="1"/>
  <c r="L39" i="103" l="1"/>
  <c r="L40" i="103" s="1"/>
  <c r="W32" i="113"/>
  <c r="X29" i="113"/>
  <c r="X30" i="113" s="1"/>
  <c r="L32" i="103"/>
  <c r="L33" i="103" s="1"/>
  <c r="M31" i="103"/>
  <c r="M32" i="103" s="1"/>
  <c r="M33" i="103" s="1"/>
  <c r="N49" i="103"/>
  <c r="K57" i="103"/>
  <c r="K62" i="103"/>
  <c r="K63" i="103" s="1"/>
  <c r="K69" i="103" s="1"/>
  <c r="Q5" i="103"/>
  <c r="P6" i="103"/>
  <c r="O45" i="103"/>
  <c r="O48" i="103" s="1"/>
  <c r="AU38" i="103"/>
  <c r="AT24" i="103"/>
  <c r="M77" i="103"/>
  <c r="O24" i="103"/>
  <c r="P74" i="103"/>
  <c r="O75" i="103"/>
  <c r="J58" i="103"/>
  <c r="O26" i="103"/>
  <c r="P25" i="103"/>
  <c r="I89" i="103"/>
  <c r="I86" i="103"/>
  <c r="N27" i="103"/>
  <c r="N28" i="103" s="1"/>
  <c r="N29" i="103" s="1"/>
  <c r="N30" i="103" s="1"/>
  <c r="L52" i="103"/>
  <c r="L56" i="103"/>
  <c r="L53" i="103"/>
  <c r="L54" i="103" s="1"/>
  <c r="L79" i="103"/>
  <c r="L78" i="103"/>
  <c r="M34" i="103"/>
  <c r="M35" i="103" s="1"/>
  <c r="M36" i="103" s="1"/>
  <c r="J85" i="103"/>
  <c r="J90" i="103"/>
  <c r="J91" i="103" s="1"/>
  <c r="N73" i="103"/>
  <c r="N76" i="103" s="1"/>
  <c r="P47" i="103"/>
  <c r="Q46" i="103"/>
  <c r="K92" i="103"/>
  <c r="K80" i="103"/>
  <c r="K84" i="103"/>
  <c r="K81" i="103"/>
  <c r="K82" i="103" s="1"/>
  <c r="AU73" i="103"/>
  <c r="M51" i="103"/>
  <c r="M50" i="103"/>
  <c r="N34" i="103" l="1"/>
  <c r="N35" i="103" s="1"/>
  <c r="N36" i="103" s="1"/>
  <c r="X32" i="113"/>
  <c r="Y29" i="113"/>
  <c r="Y30" i="113" s="1"/>
  <c r="N31" i="103"/>
  <c r="N32" i="103" s="1"/>
  <c r="N33" i="103" s="1"/>
  <c r="N77" i="103"/>
  <c r="L92" i="103"/>
  <c r="L80" i="103"/>
  <c r="L84" i="103"/>
  <c r="L81" i="103"/>
  <c r="L82" i="103" s="1"/>
  <c r="P24" i="103"/>
  <c r="O73" i="103"/>
  <c r="O76" i="103" s="1"/>
  <c r="Q25" i="103"/>
  <c r="P26" i="103"/>
  <c r="O49" i="103"/>
  <c r="R5" i="103"/>
  <c r="Q6" i="103"/>
  <c r="AV73" i="103"/>
  <c r="L57" i="103"/>
  <c r="L62" i="103"/>
  <c r="L63" i="103" s="1"/>
  <c r="L69" i="103" s="1"/>
  <c r="M79" i="103"/>
  <c r="M78" i="103"/>
  <c r="P45" i="103"/>
  <c r="P48" i="103" s="1"/>
  <c r="Q47" i="103"/>
  <c r="R46" i="103"/>
  <c r="P75" i="103"/>
  <c r="Q74" i="103"/>
  <c r="K58" i="103"/>
  <c r="M52" i="103"/>
  <c r="M56" i="103"/>
  <c r="M53" i="103"/>
  <c r="M54" i="103" s="1"/>
  <c r="K85" i="103"/>
  <c r="K90" i="103"/>
  <c r="K91" i="103" s="1"/>
  <c r="O27" i="103"/>
  <c r="O28" i="103" s="1"/>
  <c r="O29" i="103" s="1"/>
  <c r="O30" i="103" s="1"/>
  <c r="J89" i="103"/>
  <c r="J86" i="103"/>
  <c r="AV38" i="103"/>
  <c r="AU24" i="103"/>
  <c r="N50" i="103"/>
  <c r="N51" i="103"/>
  <c r="M39" i="103"/>
  <c r="M40" i="103" s="1"/>
  <c r="N39" i="103" l="1"/>
  <c r="N40" i="103" s="1"/>
  <c r="Y32" i="113"/>
  <c r="Z29" i="113"/>
  <c r="Z30" i="113" s="1"/>
  <c r="AA29" i="113"/>
  <c r="AA30" i="113" s="1"/>
  <c r="O51" i="103"/>
  <c r="O50" i="103"/>
  <c r="P27" i="103"/>
  <c r="P28" i="103" s="1"/>
  <c r="P29" i="103" s="1"/>
  <c r="P30" i="103" s="1"/>
  <c r="N79" i="103"/>
  <c r="N78" i="103"/>
  <c r="AV24" i="103"/>
  <c r="AW38" i="103"/>
  <c r="Q26" i="103"/>
  <c r="R25" i="103"/>
  <c r="O34" i="103"/>
  <c r="O35" i="103" s="1"/>
  <c r="O36" i="103" s="1"/>
  <c r="O77" i="103"/>
  <c r="M57" i="103"/>
  <c r="M62" i="103"/>
  <c r="M63" i="103" s="1"/>
  <c r="M69" i="103" s="1"/>
  <c r="Q75" i="103"/>
  <c r="R74" i="103"/>
  <c r="Q24" i="103"/>
  <c r="N52" i="103"/>
  <c r="N56" i="103"/>
  <c r="N53" i="103"/>
  <c r="N54" i="103" s="1"/>
  <c r="R47" i="103"/>
  <c r="S46" i="103"/>
  <c r="P73" i="103"/>
  <c r="P76" i="103" s="1"/>
  <c r="L85" i="103"/>
  <c r="L90" i="103"/>
  <c r="L91" i="103" s="1"/>
  <c r="Q45" i="103"/>
  <c r="Q48" i="103" s="1"/>
  <c r="L58" i="103"/>
  <c r="K86" i="103"/>
  <c r="K89" i="103"/>
  <c r="M92" i="103"/>
  <c r="M80" i="103"/>
  <c r="M84" i="103"/>
  <c r="M81" i="103"/>
  <c r="M82" i="103" s="1"/>
  <c r="O31" i="103"/>
  <c r="P49" i="103"/>
  <c r="AW73" i="103"/>
  <c r="R6" i="103"/>
  <c r="S5" i="103"/>
  <c r="AA32" i="113" l="1"/>
  <c r="Z32" i="113"/>
  <c r="T5" i="103"/>
  <c r="S6" i="103"/>
  <c r="N92" i="103"/>
  <c r="N80" i="103"/>
  <c r="N84" i="103"/>
  <c r="N81" i="103"/>
  <c r="N82" i="103" s="1"/>
  <c r="T46" i="103"/>
  <c r="S47" i="103"/>
  <c r="M85" i="103"/>
  <c r="M90" i="103"/>
  <c r="M91" i="103" s="1"/>
  <c r="L86" i="103"/>
  <c r="L89" i="103"/>
  <c r="O39" i="103"/>
  <c r="O40" i="103" s="1"/>
  <c r="O32" i="103"/>
  <c r="O33" i="103" s="1"/>
  <c r="S74" i="103"/>
  <c r="R75" i="103"/>
  <c r="AX73" i="103"/>
  <c r="Q73" i="103"/>
  <c r="Q76" i="103" s="1"/>
  <c r="N57" i="103"/>
  <c r="N62" i="103"/>
  <c r="N63" i="103" s="1"/>
  <c r="N69" i="103" s="1"/>
  <c r="M58" i="103"/>
  <c r="P31" i="103"/>
  <c r="Q49" i="103"/>
  <c r="P77" i="103"/>
  <c r="S25" i="103"/>
  <c r="R26" i="103"/>
  <c r="P34" i="103"/>
  <c r="P35" i="103" s="1"/>
  <c r="P36" i="103" s="1"/>
  <c r="R45" i="103"/>
  <c r="R48" i="103" s="1"/>
  <c r="P51" i="103"/>
  <c r="P50" i="103"/>
  <c r="R24" i="103"/>
  <c r="O78" i="103"/>
  <c r="O79" i="103"/>
  <c r="AW24" i="103"/>
  <c r="AX38" i="103"/>
  <c r="O52" i="103"/>
  <c r="O56" i="103"/>
  <c r="O53" i="103"/>
  <c r="O54" i="103" s="1"/>
  <c r="Q27" i="103"/>
  <c r="Q28" i="103" s="1"/>
  <c r="Q29" i="103" s="1"/>
  <c r="Q30" i="103" s="1"/>
  <c r="M89" i="103" l="1"/>
  <c r="M86" i="103"/>
  <c r="Q34" i="103"/>
  <c r="Q35" i="103" s="1"/>
  <c r="Q36" i="103" s="1"/>
  <c r="P78" i="103"/>
  <c r="P79" i="103"/>
  <c r="Q31" i="103"/>
  <c r="O92" i="103"/>
  <c r="O80" i="103"/>
  <c r="O84" i="103"/>
  <c r="O81" i="103"/>
  <c r="O82" i="103" s="1"/>
  <c r="N58" i="103"/>
  <c r="S75" i="103"/>
  <c r="T74" i="103"/>
  <c r="P52" i="103"/>
  <c r="P56" i="103"/>
  <c r="P53" i="103"/>
  <c r="P54" i="103" s="1"/>
  <c r="R49" i="103"/>
  <c r="Q77" i="103"/>
  <c r="U46" i="103"/>
  <c r="T47" i="103"/>
  <c r="AY38" i="103"/>
  <c r="AX24" i="103"/>
  <c r="R27" i="103"/>
  <c r="R28" i="103" s="1"/>
  <c r="R29" i="103" s="1"/>
  <c r="R30" i="103" s="1"/>
  <c r="S45" i="103"/>
  <c r="S48" i="103" s="1"/>
  <c r="Q50" i="103"/>
  <c r="Q51" i="103"/>
  <c r="R73" i="103"/>
  <c r="R76" i="103" s="1"/>
  <c r="P39" i="103"/>
  <c r="P40" i="103" s="1"/>
  <c r="P32" i="103"/>
  <c r="P33" i="103" s="1"/>
  <c r="AY73" i="103"/>
  <c r="T25" i="103"/>
  <c r="S26" i="103"/>
  <c r="O57" i="103"/>
  <c r="O62" i="103"/>
  <c r="O63" i="103" s="1"/>
  <c r="O69" i="103" s="1"/>
  <c r="S24" i="103"/>
  <c r="N85" i="103"/>
  <c r="N90" i="103"/>
  <c r="N91" i="103" s="1"/>
  <c r="U5" i="103"/>
  <c r="T6" i="103"/>
  <c r="U6" i="103" l="1"/>
  <c r="V5" i="103"/>
  <c r="T26" i="103"/>
  <c r="U25" i="103"/>
  <c r="R77" i="103"/>
  <c r="R31" i="103"/>
  <c r="R51" i="103"/>
  <c r="R50" i="103"/>
  <c r="T75" i="103"/>
  <c r="U74" i="103"/>
  <c r="Q32" i="103"/>
  <c r="Q33" i="103" s="1"/>
  <c r="Q39" i="103"/>
  <c r="Q40" i="103" s="1"/>
  <c r="AZ73" i="103"/>
  <c r="S73" i="103"/>
  <c r="S76" i="103" s="1"/>
  <c r="O58" i="103"/>
  <c r="Q79" i="103"/>
  <c r="Q78" i="103"/>
  <c r="Q52" i="103"/>
  <c r="Q56" i="103"/>
  <c r="Q53" i="103"/>
  <c r="Q54" i="103" s="1"/>
  <c r="AZ38" i="103"/>
  <c r="AY24" i="103"/>
  <c r="S49" i="103"/>
  <c r="S27" i="103"/>
  <c r="S28" i="103" s="1"/>
  <c r="S29" i="103" s="1"/>
  <c r="S30" i="103" s="1"/>
  <c r="R34" i="103"/>
  <c r="R35" i="103" s="1"/>
  <c r="R36" i="103" s="1"/>
  <c r="P57" i="103"/>
  <c r="P62" i="103"/>
  <c r="P63" i="103" s="1"/>
  <c r="P69" i="103" s="1"/>
  <c r="N89" i="103"/>
  <c r="N86" i="103"/>
  <c r="T24" i="103"/>
  <c r="T45" i="103"/>
  <c r="T48" i="103" s="1"/>
  <c r="V46" i="103"/>
  <c r="U47" i="103"/>
  <c r="O85" i="103"/>
  <c r="O90" i="103"/>
  <c r="O91" i="103" s="1"/>
  <c r="P92" i="103"/>
  <c r="P80" i="103"/>
  <c r="P84" i="103"/>
  <c r="P81" i="103"/>
  <c r="P82" i="103" s="1"/>
  <c r="C73" i="9"/>
  <c r="C72" i="9"/>
  <c r="C75" i="9" s="1"/>
  <c r="U24" i="103" l="1"/>
  <c r="R52" i="103"/>
  <c r="R56" i="103"/>
  <c r="R53" i="103"/>
  <c r="R54" i="103" s="1"/>
  <c r="T27" i="103"/>
  <c r="T28" i="103" s="1"/>
  <c r="T29" i="103" s="1"/>
  <c r="T30" i="103" s="1"/>
  <c r="Q57" i="103"/>
  <c r="Q62" i="103"/>
  <c r="Q63" i="103" s="1"/>
  <c r="Q69" i="103" s="1"/>
  <c r="R32" i="103"/>
  <c r="R33" i="103" s="1"/>
  <c r="R39" i="103"/>
  <c r="R40" i="103" s="1"/>
  <c r="O89" i="103"/>
  <c r="O86" i="103"/>
  <c r="S31" i="103"/>
  <c r="S32" i="103" s="1"/>
  <c r="S33" i="103" s="1"/>
  <c r="S34" i="103"/>
  <c r="S35" i="103" s="1"/>
  <c r="S36" i="103" s="1"/>
  <c r="R78" i="103"/>
  <c r="R79" i="103"/>
  <c r="W46" i="103"/>
  <c r="V47" i="103"/>
  <c r="S51" i="103"/>
  <c r="S50" i="103"/>
  <c r="T73" i="103"/>
  <c r="T76" i="103" s="1"/>
  <c r="U26" i="103"/>
  <c r="V25" i="103"/>
  <c r="U45" i="103"/>
  <c r="U48" i="103" s="1"/>
  <c r="Q92" i="103"/>
  <c r="Q80" i="103"/>
  <c r="Q84" i="103"/>
  <c r="Q81" i="103"/>
  <c r="Q82" i="103" s="1"/>
  <c r="S77" i="103"/>
  <c r="U75" i="103"/>
  <c r="V74" i="103"/>
  <c r="P85" i="103"/>
  <c r="P90" i="103"/>
  <c r="P91" i="103" s="1"/>
  <c r="T49" i="103"/>
  <c r="P58" i="103"/>
  <c r="V6" i="103"/>
  <c r="W5" i="103"/>
  <c r="BA38" i="103"/>
  <c r="AZ24" i="103"/>
  <c r="BA73" i="103"/>
  <c r="T34" i="103" l="1"/>
  <c r="T35" i="103" s="1"/>
  <c r="T36" i="103" s="1"/>
  <c r="T31" i="103"/>
  <c r="T32" i="103" s="1"/>
  <c r="T33" i="103" s="1"/>
  <c r="BB73" i="103"/>
  <c r="W74" i="103"/>
  <c r="V75" i="103"/>
  <c r="V45" i="103"/>
  <c r="V48" i="103" s="1"/>
  <c r="S39" i="103"/>
  <c r="S40" i="103" s="1"/>
  <c r="U49" i="103"/>
  <c r="S52" i="103"/>
  <c r="S56" i="103"/>
  <c r="S53" i="103"/>
  <c r="S54" i="103" s="1"/>
  <c r="S78" i="103"/>
  <c r="S79" i="103"/>
  <c r="R92" i="103"/>
  <c r="R80" i="103"/>
  <c r="R84" i="103"/>
  <c r="R81" i="103"/>
  <c r="R82" i="103" s="1"/>
  <c r="R57" i="103"/>
  <c r="R62" i="103"/>
  <c r="R63" i="103" s="1"/>
  <c r="R69" i="103" s="1"/>
  <c r="BB38" i="103"/>
  <c r="BA24" i="103"/>
  <c r="T50" i="103"/>
  <c r="T51" i="103"/>
  <c r="V26" i="103"/>
  <c r="W25" i="103"/>
  <c r="X46" i="103"/>
  <c r="W47" i="103"/>
  <c r="W6" i="103"/>
  <c r="X5" i="103"/>
  <c r="Q85" i="103"/>
  <c r="Q90" i="103"/>
  <c r="Q91" i="103" s="1"/>
  <c r="T77" i="103"/>
  <c r="P89" i="103"/>
  <c r="P86" i="103"/>
  <c r="U73" i="103"/>
  <c r="U76" i="103" s="1"/>
  <c r="Q58" i="103"/>
  <c r="V24" i="103"/>
  <c r="U27" i="103"/>
  <c r="U28" i="103" s="1"/>
  <c r="U29" i="103" s="1"/>
  <c r="U30" i="103" s="1"/>
  <c r="T39" i="103" l="1"/>
  <c r="T40" i="103" s="1"/>
  <c r="BC38" i="103"/>
  <c r="BB24" i="103"/>
  <c r="S92" i="103"/>
  <c r="S80" i="103"/>
  <c r="S84" i="103"/>
  <c r="S81" i="103"/>
  <c r="S82" i="103" s="1"/>
  <c r="U50" i="103"/>
  <c r="U51" i="103"/>
  <c r="W45" i="103"/>
  <c r="W48" i="103" s="1"/>
  <c r="Y5" i="103"/>
  <c r="X6" i="103"/>
  <c r="V73" i="103"/>
  <c r="V76" i="103" s="1"/>
  <c r="T79" i="103"/>
  <c r="T78" i="103"/>
  <c r="V49" i="103"/>
  <c r="W24" i="103"/>
  <c r="U77" i="103"/>
  <c r="X47" i="103"/>
  <c r="Y46" i="103"/>
  <c r="R58" i="103"/>
  <c r="U34" i="103"/>
  <c r="U35" i="103" s="1"/>
  <c r="U36" i="103" s="1"/>
  <c r="V27" i="103"/>
  <c r="V28" i="103" s="1"/>
  <c r="V29" i="103" s="1"/>
  <c r="V30" i="103" s="1"/>
  <c r="W26" i="103"/>
  <c r="X25" i="103"/>
  <c r="X74" i="103"/>
  <c r="W75" i="103"/>
  <c r="Q89" i="103"/>
  <c r="Q86" i="103"/>
  <c r="R85" i="103"/>
  <c r="R90" i="103"/>
  <c r="R91" i="103" s="1"/>
  <c r="U31" i="103"/>
  <c r="T52" i="103"/>
  <c r="T56" i="103"/>
  <c r="T53" i="103"/>
  <c r="T54" i="103" s="1"/>
  <c r="S57" i="103"/>
  <c r="S62" i="103"/>
  <c r="S63" i="103" s="1"/>
  <c r="S69" i="103" s="1"/>
  <c r="BC73" i="103"/>
  <c r="V31" i="103" l="1"/>
  <c r="V34" i="103"/>
  <c r="V35" i="103" s="1"/>
  <c r="V36" i="103" s="1"/>
  <c r="S85" i="103"/>
  <c r="S90" i="103"/>
  <c r="S91" i="103" s="1"/>
  <c r="X24" i="103"/>
  <c r="Z5" i="103"/>
  <c r="Y6" i="103"/>
  <c r="T57" i="103"/>
  <c r="T62" i="103"/>
  <c r="T63" i="103" s="1"/>
  <c r="T69" i="103" s="1"/>
  <c r="BD73" i="103"/>
  <c r="W27" i="103"/>
  <c r="W28" i="103" s="1"/>
  <c r="W29" i="103" s="1"/>
  <c r="W30" i="103" s="1"/>
  <c r="T92" i="103"/>
  <c r="T80" i="103"/>
  <c r="T84" i="103"/>
  <c r="T81" i="103"/>
  <c r="T82" i="103" s="1"/>
  <c r="W49" i="103"/>
  <c r="U79" i="103"/>
  <c r="U78" i="103"/>
  <c r="U39" i="103"/>
  <c r="U40" i="103" s="1"/>
  <c r="U32" i="103"/>
  <c r="U33" i="103" s="1"/>
  <c r="X75" i="103"/>
  <c r="Y74" i="103"/>
  <c r="W73" i="103"/>
  <c r="W76" i="103" s="1"/>
  <c r="X45" i="103"/>
  <c r="X48" i="103" s="1"/>
  <c r="V32" i="103"/>
  <c r="V33" i="103" s="1"/>
  <c r="Y25" i="103"/>
  <c r="X26" i="103"/>
  <c r="V50" i="103"/>
  <c r="V51" i="103"/>
  <c r="V77" i="103"/>
  <c r="BD38" i="103"/>
  <c r="BC24" i="103"/>
  <c r="S58" i="103"/>
  <c r="Y47" i="103"/>
  <c r="Z46" i="103"/>
  <c r="U52" i="103"/>
  <c r="U56" i="103"/>
  <c r="U53" i="103"/>
  <c r="U54" i="103" s="1"/>
  <c r="R89" i="103"/>
  <c r="R86" i="103"/>
  <c r="V39" i="103" l="1"/>
  <c r="V40" i="103" s="1"/>
  <c r="W31" i="103"/>
  <c r="W34" i="103"/>
  <c r="W35" i="103" s="1"/>
  <c r="W36" i="103" s="1"/>
  <c r="U92" i="103"/>
  <c r="U80" i="103"/>
  <c r="U84" i="103"/>
  <c r="U81" i="103"/>
  <c r="U82" i="103" s="1"/>
  <c r="X27" i="103"/>
  <c r="X28" i="103" s="1"/>
  <c r="X29" i="103" s="1"/>
  <c r="X30" i="103" s="1"/>
  <c r="Z47" i="103"/>
  <c r="AA46" i="103"/>
  <c r="BE73" i="103"/>
  <c r="Y24" i="103"/>
  <c r="W51" i="103"/>
  <c r="W50" i="103"/>
  <c r="V52" i="103"/>
  <c r="V56" i="103"/>
  <c r="V53" i="103"/>
  <c r="V54" i="103" s="1"/>
  <c r="X49" i="103"/>
  <c r="Y75" i="103"/>
  <c r="Z74" i="103"/>
  <c r="V79" i="103"/>
  <c r="V78" i="103"/>
  <c r="Y45" i="103"/>
  <c r="Y48" i="103" s="1"/>
  <c r="T85" i="103"/>
  <c r="T90" i="103"/>
  <c r="T91" i="103" s="1"/>
  <c r="BE38" i="103"/>
  <c r="BD24" i="103"/>
  <c r="AA5" i="103"/>
  <c r="Z6" i="103"/>
  <c r="Z25" i="103"/>
  <c r="Y26" i="103"/>
  <c r="W77" i="103"/>
  <c r="T58" i="103"/>
  <c r="U57" i="103"/>
  <c r="U62" i="103"/>
  <c r="U63" i="103" s="1"/>
  <c r="U69" i="103" s="1"/>
  <c r="X73" i="103"/>
  <c r="X76" i="103" s="1"/>
  <c r="S89" i="103"/>
  <c r="S86" i="103"/>
  <c r="W39" i="103" l="1"/>
  <c r="W40" i="103" s="1"/>
  <c r="W32" i="103"/>
  <c r="W33" i="103" s="1"/>
  <c r="X34" i="103"/>
  <c r="X35" i="103" s="1"/>
  <c r="X36" i="103" s="1"/>
  <c r="X31" i="103"/>
  <c r="AA25" i="103"/>
  <c r="Z26" i="103"/>
  <c r="Z24" i="103"/>
  <c r="U58" i="103"/>
  <c r="T86" i="103"/>
  <c r="T89" i="103"/>
  <c r="AA74" i="103"/>
  <c r="Z75" i="103"/>
  <c r="Y27" i="103"/>
  <c r="Y28" i="103" s="1"/>
  <c r="Y29" i="103" s="1"/>
  <c r="Y30" i="103" s="1"/>
  <c r="Y73" i="103"/>
  <c r="Y76" i="103" s="1"/>
  <c r="AB5" i="103"/>
  <c r="AA6" i="103"/>
  <c r="Y49" i="103"/>
  <c r="X51" i="103"/>
  <c r="X50" i="103"/>
  <c r="W52" i="103"/>
  <c r="W56" i="103"/>
  <c r="W53" i="103"/>
  <c r="W54" i="103" s="1"/>
  <c r="BF73" i="103"/>
  <c r="X77" i="103"/>
  <c r="Z45" i="103"/>
  <c r="Z48" i="103" s="1"/>
  <c r="U85" i="103"/>
  <c r="U90" i="103"/>
  <c r="U91" i="103" s="1"/>
  <c r="V92" i="103"/>
  <c r="V80" i="103"/>
  <c r="V84" i="103"/>
  <c r="V81" i="103"/>
  <c r="V82" i="103" s="1"/>
  <c r="W78" i="103"/>
  <c r="W79" i="103"/>
  <c r="BF38" i="103"/>
  <c r="BE24" i="103"/>
  <c r="AB46" i="103"/>
  <c r="AA47" i="103"/>
  <c r="V57" i="103"/>
  <c r="V62" i="103"/>
  <c r="V63" i="103" s="1"/>
  <c r="V69" i="103" s="1"/>
  <c r="X39" i="103" l="1"/>
  <c r="X40" i="103" s="1"/>
  <c r="X32" i="103"/>
  <c r="X33" i="103" s="1"/>
  <c r="W92" i="103"/>
  <c r="W80" i="103"/>
  <c r="W84" i="103"/>
  <c r="W81" i="103"/>
  <c r="W82" i="103" s="1"/>
  <c r="X52" i="103"/>
  <c r="X56" i="103"/>
  <c r="X53" i="103"/>
  <c r="X54" i="103" s="1"/>
  <c r="Y31" i="103"/>
  <c r="AA24" i="103"/>
  <c r="V58" i="103"/>
  <c r="Z27" i="103"/>
  <c r="Z28" i="103" s="1"/>
  <c r="Z29" i="103" s="1"/>
  <c r="Z30" i="103" s="1"/>
  <c r="Z49" i="103"/>
  <c r="BG73" i="103"/>
  <c r="Y50" i="103"/>
  <c r="Y51" i="103"/>
  <c r="BG38" i="103"/>
  <c r="BF24" i="103"/>
  <c r="V85" i="103"/>
  <c r="V90" i="103"/>
  <c r="V91" i="103" s="1"/>
  <c r="Y34" i="103"/>
  <c r="Y35" i="103" s="1"/>
  <c r="Y36" i="103" s="1"/>
  <c r="AA45" i="103"/>
  <c r="AA48" i="103" s="1"/>
  <c r="AB25" i="103"/>
  <c r="AA26" i="103"/>
  <c r="AC46" i="103"/>
  <c r="AB47" i="103"/>
  <c r="W57" i="103"/>
  <c r="W62" i="103"/>
  <c r="W63" i="103" s="1"/>
  <c r="W69" i="103" s="1"/>
  <c r="AC5" i="103"/>
  <c r="AB6" i="103"/>
  <c r="U89" i="103"/>
  <c r="U86" i="103"/>
  <c r="AA75" i="103"/>
  <c r="AB74" i="103"/>
  <c r="Y77" i="103"/>
  <c r="X78" i="103"/>
  <c r="X79" i="103"/>
  <c r="Z73" i="103"/>
  <c r="Z76" i="103" s="1"/>
  <c r="Y52" i="103" l="1"/>
  <c r="Y56" i="103"/>
  <c r="Y53" i="103"/>
  <c r="Y54" i="103" s="1"/>
  <c r="Z31" i="103"/>
  <c r="X57" i="103"/>
  <c r="X62" i="103"/>
  <c r="X63" i="103" s="1"/>
  <c r="X69" i="103" s="1"/>
  <c r="AD46" i="103"/>
  <c r="AC47" i="103"/>
  <c r="AB26" i="103"/>
  <c r="AC25" i="103"/>
  <c r="BH73" i="103"/>
  <c r="Y79" i="103"/>
  <c r="Y78" i="103"/>
  <c r="AB45" i="103"/>
  <c r="AB48" i="103" s="1"/>
  <c r="AA27" i="103"/>
  <c r="AA28" i="103" s="1"/>
  <c r="AA29" i="103" s="1"/>
  <c r="AA30" i="103" s="1"/>
  <c r="V89" i="103"/>
  <c r="V86" i="103"/>
  <c r="AC6" i="103"/>
  <c r="AD5" i="103"/>
  <c r="AA49" i="103"/>
  <c r="BH38" i="103"/>
  <c r="BG24" i="103"/>
  <c r="Z51" i="103"/>
  <c r="Z50" i="103"/>
  <c r="AB24" i="103"/>
  <c r="W85" i="103"/>
  <c r="W90" i="103"/>
  <c r="W91" i="103" s="1"/>
  <c r="Z77" i="103"/>
  <c r="AA73" i="103"/>
  <c r="AA76" i="103" s="1"/>
  <c r="X92" i="103"/>
  <c r="X80" i="103"/>
  <c r="X84" i="103"/>
  <c r="X81" i="103"/>
  <c r="X82" i="103" s="1"/>
  <c r="Z34" i="103"/>
  <c r="Z35" i="103" s="1"/>
  <c r="Z36" i="103" s="1"/>
  <c r="Y32" i="103"/>
  <c r="Y33" i="103" s="1"/>
  <c r="Y39" i="103"/>
  <c r="Y40" i="103" s="1"/>
  <c r="AB75" i="103"/>
  <c r="AC74" i="103"/>
  <c r="W58" i="103"/>
  <c r="X85" i="103" l="1"/>
  <c r="X90" i="103"/>
  <c r="X91" i="103" s="1"/>
  <c r="AC45" i="103"/>
  <c r="AC48" i="103" s="1"/>
  <c r="BI38" i="103"/>
  <c r="BH24" i="103"/>
  <c r="AB49" i="103"/>
  <c r="X58" i="103"/>
  <c r="AE46" i="103"/>
  <c r="AD47" i="103"/>
  <c r="AC75" i="103"/>
  <c r="AD74" i="103"/>
  <c r="AA51" i="103"/>
  <c r="AA50" i="103"/>
  <c r="Z32" i="103"/>
  <c r="Z33" i="103" s="1"/>
  <c r="Z39" i="103"/>
  <c r="Z40" i="103" s="1"/>
  <c r="AB73" i="103"/>
  <c r="AB76" i="103" s="1"/>
  <c r="W89" i="103"/>
  <c r="W86" i="103"/>
  <c r="AC26" i="103"/>
  <c r="AD25" i="103"/>
  <c r="Z52" i="103"/>
  <c r="Z56" i="103"/>
  <c r="Z53" i="103"/>
  <c r="Z54" i="103" s="1"/>
  <c r="AA77" i="103"/>
  <c r="AC24" i="103"/>
  <c r="AD6" i="103"/>
  <c r="AE5" i="103"/>
  <c r="Y57" i="103"/>
  <c r="Y62" i="103"/>
  <c r="Y63" i="103" s="1"/>
  <c r="Y69" i="103" s="1"/>
  <c r="AB27" i="103"/>
  <c r="AB28" i="103" s="1"/>
  <c r="AB29" i="103" s="1"/>
  <c r="AB30" i="103" s="1"/>
  <c r="AA31" i="103"/>
  <c r="Y92" i="103"/>
  <c r="Y80" i="103"/>
  <c r="Y84" i="103"/>
  <c r="Y81" i="103"/>
  <c r="Y82" i="103" s="1"/>
  <c r="AA34" i="103"/>
  <c r="AA35" i="103" s="1"/>
  <c r="AA36" i="103" s="1"/>
  <c r="Z78" i="103"/>
  <c r="Z79" i="103"/>
  <c r="BI73" i="103"/>
  <c r="AB34" i="103" l="1"/>
  <c r="AB35" i="103" s="1"/>
  <c r="AB36" i="103" s="1"/>
  <c r="Y85" i="103"/>
  <c r="Y90" i="103"/>
  <c r="Y91" i="103" s="1"/>
  <c r="Y58" i="103"/>
  <c r="AB77" i="103"/>
  <c r="AE74" i="103"/>
  <c r="AD75" i="103"/>
  <c r="Z57" i="103"/>
  <c r="Z62" i="103"/>
  <c r="Z63" i="103" s="1"/>
  <c r="Z69" i="103" s="1"/>
  <c r="AC73" i="103"/>
  <c r="AC76" i="103" s="1"/>
  <c r="BJ38" i="103"/>
  <c r="BI24" i="103"/>
  <c r="BJ73" i="103"/>
  <c r="AE6" i="103"/>
  <c r="AF5" i="103"/>
  <c r="AA52" i="103"/>
  <c r="AA56" i="103"/>
  <c r="AA53" i="103"/>
  <c r="AA54" i="103" s="1"/>
  <c r="AA39" i="103"/>
  <c r="AA40" i="103" s="1"/>
  <c r="AA32" i="103"/>
  <c r="AA33" i="103" s="1"/>
  <c r="AF46" i="103"/>
  <c r="AE47" i="103"/>
  <c r="AC49" i="103"/>
  <c r="AD24" i="103"/>
  <c r="AD26" i="103"/>
  <c r="AE25" i="103"/>
  <c r="Z92" i="103"/>
  <c r="Z80" i="103"/>
  <c r="Z84" i="103"/>
  <c r="Z81" i="103"/>
  <c r="Z82" i="103" s="1"/>
  <c r="AC27" i="103"/>
  <c r="AC28" i="103" s="1"/>
  <c r="AC29" i="103" s="1"/>
  <c r="AC30" i="103" s="1"/>
  <c r="AB31" i="103"/>
  <c r="AA78" i="103"/>
  <c r="AA79" i="103"/>
  <c r="AB50" i="103"/>
  <c r="AB51" i="103"/>
  <c r="AD45" i="103"/>
  <c r="AD48" i="103" s="1"/>
  <c r="X89" i="103"/>
  <c r="X86" i="103"/>
  <c r="AB39" i="103" l="1"/>
  <c r="AB40" i="103" s="1"/>
  <c r="AB32" i="103"/>
  <c r="AB33" i="103" s="1"/>
  <c r="AG5" i="103"/>
  <c r="AF6" i="103"/>
  <c r="AD73" i="103"/>
  <c r="AD76" i="103" s="1"/>
  <c r="AD49" i="103"/>
  <c r="AC77" i="103"/>
  <c r="AF74" i="103"/>
  <c r="AE75" i="103"/>
  <c r="AE45" i="103"/>
  <c r="AE48" i="103" s="1"/>
  <c r="AA57" i="103"/>
  <c r="AA62" i="103"/>
  <c r="AA63" i="103" s="1"/>
  <c r="AA69" i="103" s="1"/>
  <c r="BK73" i="103"/>
  <c r="AB79" i="103"/>
  <c r="AB78" i="103"/>
  <c r="AC34" i="103"/>
  <c r="AC35" i="103" s="1"/>
  <c r="AC36" i="103" s="1"/>
  <c r="AE26" i="103"/>
  <c r="AF25" i="103"/>
  <c r="AB52" i="103"/>
  <c r="AB56" i="103"/>
  <c r="AB53" i="103"/>
  <c r="AB54" i="103" s="1"/>
  <c r="Z58" i="103"/>
  <c r="AC31" i="103"/>
  <c r="AE24" i="103"/>
  <c r="AF47" i="103"/>
  <c r="AG46" i="103"/>
  <c r="AA92" i="103"/>
  <c r="AA80" i="103"/>
  <c r="AA84" i="103"/>
  <c r="AA81" i="103"/>
  <c r="AA82" i="103" s="1"/>
  <c r="AD27" i="103"/>
  <c r="AD28" i="103" s="1"/>
  <c r="AD29" i="103" s="1"/>
  <c r="AD30" i="103" s="1"/>
  <c r="BK38" i="103"/>
  <c r="BJ24" i="103"/>
  <c r="Z85" i="103"/>
  <c r="Z90" i="103"/>
  <c r="Z91" i="103" s="1"/>
  <c r="AC50" i="103"/>
  <c r="AC51" i="103"/>
  <c r="Y89" i="103"/>
  <c r="Y86" i="103"/>
  <c r="AC52" i="103" l="1"/>
  <c r="AC56" i="103"/>
  <c r="AC53" i="103"/>
  <c r="AC54" i="103" s="1"/>
  <c r="AD31" i="103"/>
  <c r="AG47" i="103"/>
  <c r="AH46" i="103"/>
  <c r="AD34" i="103"/>
  <c r="AD35" i="103" s="1"/>
  <c r="AD36" i="103" s="1"/>
  <c r="AF26" i="103"/>
  <c r="AG25" i="103"/>
  <c r="AD77" i="103"/>
  <c r="AA58" i="103"/>
  <c r="AF75" i="103"/>
  <c r="AG74" i="103"/>
  <c r="AE73" i="103"/>
  <c r="AE76" i="103" s="1"/>
  <c r="Z89" i="103"/>
  <c r="Z86" i="103"/>
  <c r="AA85" i="103"/>
  <c r="AA90" i="103"/>
  <c r="AA91" i="103" s="1"/>
  <c r="AF24" i="103"/>
  <c r="AB57" i="103"/>
  <c r="AB62" i="103"/>
  <c r="AB63" i="103" s="1"/>
  <c r="AB69" i="103" s="1"/>
  <c r="AC79" i="103"/>
  <c r="AC78" i="103"/>
  <c r="AE27" i="103"/>
  <c r="AE28" i="103" s="1"/>
  <c r="AE29" i="103" s="1"/>
  <c r="AE30" i="103" s="1"/>
  <c r="BL38" i="103"/>
  <c r="BK24" i="103"/>
  <c r="AC39" i="103"/>
  <c r="AC40" i="103" s="1"/>
  <c r="AC32" i="103"/>
  <c r="AC33" i="103" s="1"/>
  <c r="AB92" i="103"/>
  <c r="AB80" i="103"/>
  <c r="AB84" i="103"/>
  <c r="AB81" i="103"/>
  <c r="AB82" i="103" s="1"/>
  <c r="AH5" i="103"/>
  <c r="AG6" i="103"/>
  <c r="BL73" i="103"/>
  <c r="AE49" i="103"/>
  <c r="AD50" i="103"/>
  <c r="AD51" i="103"/>
  <c r="AF45" i="103"/>
  <c r="AF48" i="103" s="1"/>
  <c r="AD52" i="103" l="1"/>
  <c r="AD56" i="103"/>
  <c r="AD53" i="103"/>
  <c r="AD54" i="103" s="1"/>
  <c r="AE77" i="103"/>
  <c r="AI5" i="103"/>
  <c r="AH6" i="103"/>
  <c r="AE31" i="103"/>
  <c r="AB58" i="103"/>
  <c r="AF73" i="103"/>
  <c r="AF76" i="103" s="1"/>
  <c r="AD79" i="103"/>
  <c r="AD78" i="103"/>
  <c r="AD39" i="103"/>
  <c r="AD40" i="103" s="1"/>
  <c r="AD32" i="103"/>
  <c r="AD33" i="103" s="1"/>
  <c r="AF27" i="103"/>
  <c r="AF28" i="103" s="1"/>
  <c r="AF29" i="103" s="1"/>
  <c r="AF30" i="103" s="1"/>
  <c r="AE51" i="103"/>
  <c r="AE50" i="103"/>
  <c r="AG24" i="103"/>
  <c r="AG75" i="103"/>
  <c r="AH74" i="103"/>
  <c r="AF49" i="103"/>
  <c r="BM73" i="103"/>
  <c r="BM38" i="103"/>
  <c r="BL24" i="103"/>
  <c r="AG26" i="103"/>
  <c r="AH25" i="103"/>
  <c r="AC92" i="103"/>
  <c r="AC80" i="103"/>
  <c r="AC84" i="103"/>
  <c r="AC81" i="103"/>
  <c r="AC82" i="103" s="1"/>
  <c r="AA86" i="103"/>
  <c r="AA89" i="103"/>
  <c r="AC57" i="103"/>
  <c r="AC62" i="103"/>
  <c r="AC63" i="103" s="1"/>
  <c r="AC69" i="103" s="1"/>
  <c r="AB85" i="103"/>
  <c r="AB90" i="103"/>
  <c r="AB91" i="103" s="1"/>
  <c r="AG45" i="103"/>
  <c r="AG48" i="103" s="1"/>
  <c r="AE34" i="103"/>
  <c r="AE35" i="103" s="1"/>
  <c r="AE36" i="103" s="1"/>
  <c r="AH47" i="103"/>
  <c r="AI46" i="103"/>
  <c r="AG73" i="103" l="1"/>
  <c r="AG76" i="103" s="1"/>
  <c r="AE52" i="103"/>
  <c r="AE56" i="103"/>
  <c r="AE53" i="103"/>
  <c r="AE54" i="103" s="1"/>
  <c r="AF77" i="103"/>
  <c r="AI74" i="103"/>
  <c r="AH75" i="103"/>
  <c r="AE78" i="103"/>
  <c r="AE79" i="103"/>
  <c r="AC85" i="103"/>
  <c r="AC90" i="103"/>
  <c r="AC91" i="103" s="1"/>
  <c r="BM24" i="103"/>
  <c r="BN38" i="103"/>
  <c r="AF31" i="103"/>
  <c r="AB86" i="103"/>
  <c r="AB89" i="103"/>
  <c r="BN73" i="103"/>
  <c r="AI24" i="103"/>
  <c r="AH24" i="103"/>
  <c r="AJ46" i="103"/>
  <c r="AI47" i="103"/>
  <c r="AG49" i="103"/>
  <c r="AG27" i="103"/>
  <c r="AG28" i="103" s="1"/>
  <c r="AG29" i="103" s="1"/>
  <c r="AG30" i="103" s="1"/>
  <c r="AE39" i="103"/>
  <c r="AE40" i="103" s="1"/>
  <c r="AE32" i="103"/>
  <c r="AE33" i="103" s="1"/>
  <c r="AD57" i="103"/>
  <c r="AD62" i="103"/>
  <c r="AD63" i="103" s="1"/>
  <c r="AD69" i="103" s="1"/>
  <c r="AH45" i="103"/>
  <c r="AH48" i="103" s="1"/>
  <c r="AC58" i="103"/>
  <c r="AF34" i="103"/>
  <c r="AF35" i="103" s="1"/>
  <c r="AF36" i="103" s="1"/>
  <c r="AI25" i="103"/>
  <c r="AH26" i="103"/>
  <c r="AF51" i="103"/>
  <c r="AF50" i="103"/>
  <c r="AD92" i="103"/>
  <c r="AD80" i="103"/>
  <c r="AD84" i="103"/>
  <c r="AD81" i="103"/>
  <c r="AD82" i="103" s="1"/>
  <c r="AJ5" i="103"/>
  <c r="AI6" i="103"/>
  <c r="AG31" i="103" l="1"/>
  <c r="AG32" i="103" s="1"/>
  <c r="AG33" i="103" s="1"/>
  <c r="BO38" i="103"/>
  <c r="BN24" i="103"/>
  <c r="AJ74" i="103"/>
  <c r="AI75" i="103"/>
  <c r="BO73" i="103"/>
  <c r="AG77" i="103"/>
  <c r="AG50" i="103"/>
  <c r="AG51" i="103"/>
  <c r="AC89" i="103"/>
  <c r="AC86" i="103"/>
  <c r="AF78" i="103"/>
  <c r="AF79" i="103"/>
  <c r="AH73" i="103"/>
  <c r="AH76" i="103" s="1"/>
  <c r="AD85" i="103"/>
  <c r="AD90" i="103"/>
  <c r="AD91" i="103" s="1"/>
  <c r="AD58" i="103"/>
  <c r="AE92" i="103"/>
  <c r="AE80" i="103"/>
  <c r="AE84" i="103"/>
  <c r="AE81" i="103"/>
  <c r="AE82" i="103" s="1"/>
  <c r="AG34" i="103"/>
  <c r="AG35" i="103" s="1"/>
  <c r="AG36" i="103" s="1"/>
  <c r="AH49" i="103"/>
  <c r="AK46" i="103"/>
  <c r="AJ47" i="103"/>
  <c r="AF39" i="103"/>
  <c r="AF40" i="103" s="1"/>
  <c r="AF32" i="103"/>
  <c r="AE57" i="103"/>
  <c r="AE62" i="103"/>
  <c r="AE63" i="103" s="1"/>
  <c r="AE69" i="103" s="1"/>
  <c r="AF52" i="103"/>
  <c r="AF56" i="103"/>
  <c r="AF53" i="103"/>
  <c r="AF54" i="103" s="1"/>
  <c r="AK5" i="103"/>
  <c r="AJ6" i="103"/>
  <c r="AJ25" i="103"/>
  <c r="AI26" i="103"/>
  <c r="AI45" i="103"/>
  <c r="AI48" i="103" s="1"/>
  <c r="AH27" i="103"/>
  <c r="AH28" i="103" s="1"/>
  <c r="AH29" i="103" s="1"/>
  <c r="AH30" i="103" s="1"/>
  <c r="AF33" i="103" l="1"/>
  <c r="EZ32" i="103"/>
  <c r="EY32" i="103"/>
  <c r="AG39" i="103"/>
  <c r="AG40" i="103" s="1"/>
  <c r="AF92" i="103"/>
  <c r="AF80" i="103"/>
  <c r="AF84" i="103"/>
  <c r="AF81" i="103"/>
  <c r="AF82" i="103" s="1"/>
  <c r="AJ45" i="103"/>
  <c r="AJ48" i="103" s="1"/>
  <c r="AF57" i="103"/>
  <c r="AF62" i="103"/>
  <c r="AF63" i="103" s="1"/>
  <c r="AF69" i="103" s="1"/>
  <c r="AE85" i="103"/>
  <c r="AE90" i="103"/>
  <c r="F93" i="103" s="1"/>
  <c r="F94" i="103" s="1"/>
  <c r="AG79" i="103"/>
  <c r="AG78" i="103"/>
  <c r="AI49" i="103"/>
  <c r="AL46" i="103"/>
  <c r="AK47" i="103"/>
  <c r="BP73" i="103"/>
  <c r="AH51" i="103"/>
  <c r="AH50" i="103"/>
  <c r="AJ75" i="103"/>
  <c r="AK74" i="103"/>
  <c r="AG52" i="103"/>
  <c r="AG56" i="103"/>
  <c r="AG53" i="103"/>
  <c r="AG54" i="103" s="1"/>
  <c r="AJ26" i="103"/>
  <c r="AK25" i="103"/>
  <c r="AH34" i="103"/>
  <c r="AH35" i="103" s="1"/>
  <c r="AH36" i="103" s="1"/>
  <c r="AI73" i="103"/>
  <c r="AI76" i="103" s="1"/>
  <c r="BP38" i="103"/>
  <c r="BO24" i="103"/>
  <c r="AD89" i="103"/>
  <c r="AD86" i="103"/>
  <c r="AE58" i="103"/>
  <c r="AH77" i="103"/>
  <c r="AI27" i="103"/>
  <c r="AI28" i="103" s="1"/>
  <c r="AI29" i="103" s="1"/>
  <c r="AI30" i="103" s="1"/>
  <c r="AH31" i="103"/>
  <c r="AL5" i="103"/>
  <c r="AK6" i="103"/>
  <c r="EZ33" i="103" l="1"/>
  <c r="EY33" i="103"/>
  <c r="EY82" i="103"/>
  <c r="EZ82" i="103"/>
  <c r="AH32" i="103"/>
  <c r="AH39" i="103"/>
  <c r="AH40" i="103" s="1"/>
  <c r="AI51" i="103"/>
  <c r="AI50" i="103"/>
  <c r="AF58" i="103"/>
  <c r="AG57" i="103"/>
  <c r="AG62" i="103"/>
  <c r="AG63" i="103" s="1"/>
  <c r="AG69" i="103" s="1"/>
  <c r="AH52" i="103"/>
  <c r="AH56" i="103"/>
  <c r="AH53" i="103"/>
  <c r="AH54" i="103" s="1"/>
  <c r="AK45" i="103"/>
  <c r="AK48" i="103" s="1"/>
  <c r="AK26" i="103"/>
  <c r="AL25" i="103"/>
  <c r="AJ49" i="103"/>
  <c r="AI31" i="103"/>
  <c r="AJ27" i="103"/>
  <c r="AJ28" i="103" s="1"/>
  <c r="AJ29" i="103" s="1"/>
  <c r="AJ30" i="103" s="1"/>
  <c r="BQ73" i="103"/>
  <c r="AG92" i="103"/>
  <c r="AG80" i="103"/>
  <c r="AG84" i="103"/>
  <c r="AG81" i="103"/>
  <c r="AG82" i="103" s="1"/>
  <c r="AI34" i="103"/>
  <c r="AI35" i="103" s="1"/>
  <c r="AI36" i="103" s="1"/>
  <c r="X93" i="103"/>
  <c r="X94" i="103" s="1"/>
  <c r="P93" i="103"/>
  <c r="P94" i="103" s="1"/>
  <c r="H93" i="103"/>
  <c r="H94" i="103" s="1"/>
  <c r="AA93" i="103"/>
  <c r="AA94" i="103" s="1"/>
  <c r="R93" i="103"/>
  <c r="R94" i="103" s="1"/>
  <c r="I93" i="103"/>
  <c r="I94" i="103" s="1"/>
  <c r="Y93" i="103"/>
  <c r="Y94" i="103" s="1"/>
  <c r="O93" i="103"/>
  <c r="O94" i="103" s="1"/>
  <c r="W93" i="103"/>
  <c r="W94" i="103" s="1"/>
  <c r="N93" i="103"/>
  <c r="N94" i="103" s="1"/>
  <c r="E93" i="103"/>
  <c r="E94" i="103" s="1"/>
  <c r="F95" i="103" s="1"/>
  <c r="AD93" i="103"/>
  <c r="AD94" i="103" s="1"/>
  <c r="U93" i="103"/>
  <c r="U94" i="103" s="1"/>
  <c r="L93" i="103"/>
  <c r="L94" i="103" s="1"/>
  <c r="AC93" i="103"/>
  <c r="AC94" i="103" s="1"/>
  <c r="T93" i="103"/>
  <c r="T94" i="103" s="1"/>
  <c r="K93" i="103"/>
  <c r="K94" i="103" s="1"/>
  <c r="AB93" i="103"/>
  <c r="AB94" i="103" s="1"/>
  <c r="D93" i="103"/>
  <c r="D94" i="103" s="1"/>
  <c r="Z93" i="103"/>
  <c r="Z94" i="103" s="1"/>
  <c r="V93" i="103"/>
  <c r="V94" i="103" s="1"/>
  <c r="S93" i="103"/>
  <c r="S94" i="103" s="1"/>
  <c r="M93" i="103"/>
  <c r="M94" i="103" s="1"/>
  <c r="J93" i="103"/>
  <c r="J94" i="103" s="1"/>
  <c r="AE93" i="103"/>
  <c r="AE94" i="103" s="1"/>
  <c r="Q93" i="103"/>
  <c r="Q94" i="103" s="1"/>
  <c r="G93" i="103"/>
  <c r="G94" i="103" s="1"/>
  <c r="F96" i="103" s="1"/>
  <c r="AE91" i="103"/>
  <c r="AH78" i="103"/>
  <c r="AH79" i="103"/>
  <c r="AK75" i="103"/>
  <c r="AL74" i="103"/>
  <c r="AE89" i="103"/>
  <c r="AE86" i="103"/>
  <c r="AF85" i="103"/>
  <c r="AF90" i="103"/>
  <c r="AF91" i="103" s="1"/>
  <c r="BQ38" i="103"/>
  <c r="BP24" i="103"/>
  <c r="AJ76" i="103"/>
  <c r="AL6" i="103"/>
  <c r="AM5" i="103"/>
  <c r="AI77" i="103"/>
  <c r="AM46" i="103"/>
  <c r="AL47" i="103"/>
  <c r="AH33" i="103" l="1"/>
  <c r="D96" i="103"/>
  <c r="AM6" i="103"/>
  <c r="AN5" i="103"/>
  <c r="AH92" i="103"/>
  <c r="AH80" i="103"/>
  <c r="AH84" i="103"/>
  <c r="AH81" i="103"/>
  <c r="AH82" i="103" s="1"/>
  <c r="G96" i="103"/>
  <c r="G95" i="103"/>
  <c r="S96" i="103"/>
  <c r="S95" i="103"/>
  <c r="N96" i="103"/>
  <c r="N95" i="103"/>
  <c r="AF93" i="103"/>
  <c r="AF94" i="103" s="1"/>
  <c r="AE96" i="103" s="1"/>
  <c r="AF89" i="103"/>
  <c r="AF86" i="103"/>
  <c r="W96" i="103"/>
  <c r="W95" i="103"/>
  <c r="Q95" i="103"/>
  <c r="Q96" i="103"/>
  <c r="J95" i="103"/>
  <c r="J96" i="103"/>
  <c r="O96" i="103"/>
  <c r="O95" i="103"/>
  <c r="AI39" i="103"/>
  <c r="AI40" i="103" s="1"/>
  <c r="AI32" i="103"/>
  <c r="AK49" i="103"/>
  <c r="M95" i="103"/>
  <c r="M96" i="103"/>
  <c r="AG58" i="103"/>
  <c r="AJ77" i="103"/>
  <c r="K96" i="103"/>
  <c r="K95" i="103"/>
  <c r="Y95" i="103"/>
  <c r="Y96" i="103"/>
  <c r="I95" i="103"/>
  <c r="I96" i="103"/>
  <c r="BR73" i="103"/>
  <c r="AJ50" i="103"/>
  <c r="AJ51" i="103"/>
  <c r="AL45" i="103"/>
  <c r="AL48" i="103" s="1"/>
  <c r="AM74" i="103"/>
  <c r="AL75" i="103"/>
  <c r="AE95" i="103"/>
  <c r="T95" i="103"/>
  <c r="T96" i="103"/>
  <c r="R95" i="103"/>
  <c r="R96" i="103"/>
  <c r="AN46" i="103"/>
  <c r="AM47" i="103"/>
  <c r="AK76" i="103"/>
  <c r="AC95" i="103"/>
  <c r="AC96" i="103"/>
  <c r="AA96" i="103"/>
  <c r="AA95" i="103"/>
  <c r="H96" i="103"/>
  <c r="H95" i="103"/>
  <c r="AL26" i="103"/>
  <c r="AM25" i="103"/>
  <c r="AH57" i="103"/>
  <c r="AH62" i="103"/>
  <c r="AH63" i="103" s="1"/>
  <c r="AH69" i="103" s="1"/>
  <c r="AI52" i="103"/>
  <c r="AI56" i="103"/>
  <c r="AI53" i="103"/>
  <c r="AI54" i="103" s="1"/>
  <c r="AB95" i="103"/>
  <c r="AB96" i="103"/>
  <c r="L96" i="103"/>
  <c r="L95" i="103"/>
  <c r="AI78" i="103"/>
  <c r="AI79" i="103"/>
  <c r="BR38" i="103"/>
  <c r="BQ24" i="103"/>
  <c r="Z95" i="103"/>
  <c r="Z96" i="103"/>
  <c r="U95" i="103"/>
  <c r="U96" i="103"/>
  <c r="P95" i="103"/>
  <c r="P96" i="103"/>
  <c r="AJ31" i="103"/>
  <c r="AK27" i="103"/>
  <c r="AK28" i="103" s="1"/>
  <c r="AK29" i="103" s="1"/>
  <c r="AK30" i="103" s="1"/>
  <c r="V96" i="103"/>
  <c r="V95" i="103"/>
  <c r="AD95" i="103"/>
  <c r="AD96" i="103"/>
  <c r="E95" i="103"/>
  <c r="E96" i="103"/>
  <c r="X95" i="103"/>
  <c r="X96" i="103"/>
  <c r="AG85" i="103"/>
  <c r="AG90" i="103"/>
  <c r="AJ34" i="103"/>
  <c r="AJ35" i="103" s="1"/>
  <c r="AJ36" i="103" s="1"/>
  <c r="AI33" i="103" l="1"/>
  <c r="AK31" i="103"/>
  <c r="AK34" i="103"/>
  <c r="AK35" i="103" s="1"/>
  <c r="AK36" i="103" s="1"/>
  <c r="AL27" i="103"/>
  <c r="AL28" i="103" s="1"/>
  <c r="AL29" i="103" s="1"/>
  <c r="AL30" i="103" s="1"/>
  <c r="AL76" i="103"/>
  <c r="AK77" i="103"/>
  <c r="AN74" i="103"/>
  <c r="AM75" i="103"/>
  <c r="BS73" i="103"/>
  <c r="AJ79" i="103"/>
  <c r="AJ78" i="103"/>
  <c r="AF95" i="103"/>
  <c r="AH85" i="103"/>
  <c r="AH90" i="103"/>
  <c r="AG91" i="103"/>
  <c r="AG93" i="103"/>
  <c r="AG94" i="103" s="1"/>
  <c r="AI57" i="103"/>
  <c r="AI62" i="103"/>
  <c r="AI63" i="103" s="1"/>
  <c r="AI69" i="103" s="1"/>
  <c r="BS38" i="103"/>
  <c r="BR24" i="103"/>
  <c r="AG89" i="103"/>
  <c r="AG86" i="103"/>
  <c r="AL49" i="103"/>
  <c r="AJ39" i="103"/>
  <c r="AJ40" i="103" s="1"/>
  <c r="AJ32" i="103"/>
  <c r="AJ33" i="103" s="1"/>
  <c r="AM26" i="103"/>
  <c r="AN25" i="103"/>
  <c r="AI92" i="103"/>
  <c r="AI80" i="103"/>
  <c r="AI84" i="103"/>
  <c r="AI81" i="103"/>
  <c r="AI82" i="103" s="1"/>
  <c r="AN47" i="103"/>
  <c r="AO46" i="103"/>
  <c r="AM45" i="103"/>
  <c r="AM48" i="103" s="1"/>
  <c r="AO5" i="103"/>
  <c r="AN6" i="103"/>
  <c r="AK32" i="103"/>
  <c r="AK33" i="103" s="1"/>
  <c r="AK50" i="103"/>
  <c r="AK51" i="103"/>
  <c r="AH58" i="103"/>
  <c r="AJ52" i="103"/>
  <c r="AJ56" i="103"/>
  <c r="AJ53" i="103"/>
  <c r="AJ54" i="103" s="1"/>
  <c r="AK39" i="103" l="1"/>
  <c r="AK40" i="103" s="1"/>
  <c r="AL31" i="103"/>
  <c r="AL32" i="103" s="1"/>
  <c r="AL33" i="103" s="1"/>
  <c r="AL34" i="103"/>
  <c r="AL35" i="103" s="1"/>
  <c r="AL36" i="103" s="1"/>
  <c r="AN26" i="103"/>
  <c r="AO25" i="103"/>
  <c r="BT73" i="103"/>
  <c r="AO47" i="103"/>
  <c r="AP46" i="103"/>
  <c r="AM27" i="103"/>
  <c r="AM28" i="103" s="1"/>
  <c r="AM29" i="103" s="1"/>
  <c r="AM30" i="103" s="1"/>
  <c r="AH91" i="103"/>
  <c r="AH93" i="103"/>
  <c r="AH94" i="103" s="1"/>
  <c r="AG96" i="103" s="1"/>
  <c r="AL77" i="103"/>
  <c r="AN45" i="103"/>
  <c r="AN48" i="103" s="1"/>
  <c r="BT38" i="103"/>
  <c r="BS24" i="103"/>
  <c r="AH89" i="103"/>
  <c r="AH86" i="103"/>
  <c r="AM76" i="103"/>
  <c r="AN75" i="103"/>
  <c r="AO74" i="103"/>
  <c r="AK52" i="103"/>
  <c r="AK56" i="103"/>
  <c r="AK53" i="103"/>
  <c r="AK54" i="103" s="1"/>
  <c r="AG95" i="103"/>
  <c r="AJ57" i="103"/>
  <c r="AJ62" i="103"/>
  <c r="AJ63" i="103" s="1"/>
  <c r="AJ69" i="103" s="1"/>
  <c r="AL50" i="103"/>
  <c r="AL51" i="103"/>
  <c r="AF96" i="103"/>
  <c r="AK79" i="103"/>
  <c r="AK78" i="103"/>
  <c r="AP5" i="103"/>
  <c r="AO6" i="103"/>
  <c r="AI85" i="103"/>
  <c r="AI90" i="103"/>
  <c r="AM49" i="103"/>
  <c r="AI58" i="103"/>
  <c r="AJ92" i="103"/>
  <c r="AJ80" i="103"/>
  <c r="AJ84" i="103"/>
  <c r="AJ81" i="103"/>
  <c r="AJ82" i="103" s="1"/>
  <c r="AL39" i="103" l="1"/>
  <c r="AL40" i="103" s="1"/>
  <c r="AM34" i="103"/>
  <c r="AM35" i="103" s="1"/>
  <c r="AM36" i="103" s="1"/>
  <c r="AM31" i="103"/>
  <c r="AM32" i="103" s="1"/>
  <c r="AM33" i="103" s="1"/>
  <c r="AJ85" i="103"/>
  <c r="AJ90" i="103"/>
  <c r="AJ58" i="103"/>
  <c r="AL79" i="103"/>
  <c r="AL78" i="103"/>
  <c r="AK92" i="103"/>
  <c r="AK80" i="103"/>
  <c r="AK84" i="103"/>
  <c r="AK81" i="103"/>
  <c r="AK82" i="103" s="1"/>
  <c r="AO75" i="103"/>
  <c r="AP74" i="103"/>
  <c r="AP47" i="103"/>
  <c r="AQ46" i="103"/>
  <c r="AN76" i="103"/>
  <c r="AH95" i="103"/>
  <c r="BU38" i="103"/>
  <c r="BT24" i="103"/>
  <c r="BU73" i="103"/>
  <c r="AI91" i="103"/>
  <c r="AI93" i="103"/>
  <c r="AI94" i="103" s="1"/>
  <c r="AH96" i="103" s="1"/>
  <c r="AL52" i="103"/>
  <c r="AL56" i="103"/>
  <c r="AL53" i="103"/>
  <c r="AL54" i="103" s="1"/>
  <c r="AK57" i="103"/>
  <c r="AK62" i="103"/>
  <c r="AK63" i="103" s="1"/>
  <c r="AK69" i="103" s="1"/>
  <c r="AM77" i="103"/>
  <c r="AI86" i="103"/>
  <c r="AI89" i="103"/>
  <c r="AN49" i="103"/>
  <c r="AM50" i="103"/>
  <c r="AM51" i="103"/>
  <c r="AO45" i="103"/>
  <c r="AO48" i="103" s="1"/>
  <c r="AO26" i="103"/>
  <c r="AP25" i="103"/>
  <c r="AP6" i="103"/>
  <c r="AQ5" i="103"/>
  <c r="AN27" i="103"/>
  <c r="AN28" i="103" s="1"/>
  <c r="AN29" i="103" s="1"/>
  <c r="AM39" i="103" l="1"/>
  <c r="AM40" i="103" s="1"/>
  <c r="AN30" i="103"/>
  <c r="AN34" i="103"/>
  <c r="AN35" i="103" s="1"/>
  <c r="AN36" i="103" s="1"/>
  <c r="AN31" i="103"/>
  <c r="AO49" i="103"/>
  <c r="AN50" i="103"/>
  <c r="AN51" i="103"/>
  <c r="BU24" i="103"/>
  <c r="BV38" i="103"/>
  <c r="AQ74" i="103"/>
  <c r="AP75" i="103"/>
  <c r="AL92" i="103"/>
  <c r="AL80" i="103"/>
  <c r="AL84" i="103"/>
  <c r="AL81" i="103"/>
  <c r="AL82" i="103" s="1"/>
  <c r="AP45" i="103"/>
  <c r="AP48" i="103" s="1"/>
  <c r="BV73" i="103"/>
  <c r="AO76" i="103"/>
  <c r="AK58" i="103"/>
  <c r="AK85" i="103"/>
  <c r="AK90" i="103"/>
  <c r="AR5" i="103"/>
  <c r="AQ6" i="103"/>
  <c r="AM52" i="103"/>
  <c r="AM56" i="103"/>
  <c r="AM53" i="103"/>
  <c r="AM54" i="103" s="1"/>
  <c r="AL57" i="103"/>
  <c r="AL62" i="103"/>
  <c r="AL63" i="103" s="1"/>
  <c r="AL69" i="103" s="1"/>
  <c r="AN77" i="103"/>
  <c r="AJ91" i="103"/>
  <c r="AJ93" i="103"/>
  <c r="AJ94" i="103" s="1"/>
  <c r="AQ25" i="103"/>
  <c r="AP26" i="103"/>
  <c r="AR46" i="103"/>
  <c r="AQ47" i="103"/>
  <c r="AJ86" i="103"/>
  <c r="AJ89" i="103"/>
  <c r="AO27" i="103"/>
  <c r="AO28" i="103" s="1"/>
  <c r="AO29" i="103" s="1"/>
  <c r="AO30" i="103" s="1"/>
  <c r="AM78" i="103"/>
  <c r="AM79" i="103"/>
  <c r="AI95" i="103"/>
  <c r="AN39" i="103" l="1"/>
  <c r="AN40" i="103" s="1"/>
  <c r="AN32" i="103"/>
  <c r="AO31" i="103"/>
  <c r="AO32" i="103" s="1"/>
  <c r="AO33" i="103" s="1"/>
  <c r="AR25" i="103"/>
  <c r="AQ26" i="103"/>
  <c r="AL85" i="103"/>
  <c r="AL90" i="103"/>
  <c r="AN52" i="103"/>
  <c r="AN56" i="103"/>
  <c r="AN53" i="103"/>
  <c r="AN54" i="103" s="1"/>
  <c r="BW38" i="103"/>
  <c r="BV24" i="103"/>
  <c r="AJ95" i="103"/>
  <c r="AL58" i="103"/>
  <c r="AK91" i="103"/>
  <c r="AK93" i="103"/>
  <c r="AK94" i="103" s="1"/>
  <c r="BW73" i="103"/>
  <c r="AO50" i="103"/>
  <c r="AO51" i="103"/>
  <c r="AN78" i="103"/>
  <c r="AN79" i="103"/>
  <c r="AO77" i="103"/>
  <c r="AO34" i="103"/>
  <c r="AO35" i="103" s="1"/>
  <c r="AO36" i="103" s="1"/>
  <c r="AS5" i="103"/>
  <c r="AR6" i="103"/>
  <c r="AI96" i="103"/>
  <c r="AK89" i="103"/>
  <c r="AK86" i="103"/>
  <c r="AP27" i="103"/>
  <c r="AP28" i="103" s="1"/>
  <c r="AP29" i="103" s="1"/>
  <c r="AP30" i="103" s="1"/>
  <c r="AP49" i="103"/>
  <c r="AP76" i="103"/>
  <c r="AM92" i="103"/>
  <c r="AM80" i="103"/>
  <c r="AM84" i="103"/>
  <c r="AM81" i="103"/>
  <c r="AM82" i="103" s="1"/>
  <c r="AS46" i="103"/>
  <c r="AR47" i="103"/>
  <c r="AM57" i="103"/>
  <c r="AM62" i="103"/>
  <c r="AM63" i="103" s="1"/>
  <c r="AM69" i="103" s="1"/>
  <c r="AQ45" i="103"/>
  <c r="AQ48" i="103" s="1"/>
  <c r="AR74" i="103"/>
  <c r="AQ75" i="103"/>
  <c r="AN33" i="103" l="1"/>
  <c r="AO39" i="103"/>
  <c r="AO40" i="103" s="1"/>
  <c r="AP31" i="103"/>
  <c r="AP32" i="103" s="1"/>
  <c r="AP33" i="103" s="1"/>
  <c r="AO52" i="103"/>
  <c r="AO56" i="103"/>
  <c r="AO53" i="103"/>
  <c r="AO54" i="103" s="1"/>
  <c r="BX38" i="103"/>
  <c r="BW24" i="103"/>
  <c r="AQ27" i="103"/>
  <c r="AQ28" i="103" s="1"/>
  <c r="AQ29" i="103" s="1"/>
  <c r="AQ30" i="103" s="1"/>
  <c r="AR26" i="103"/>
  <c r="AS25" i="103"/>
  <c r="AM58" i="103"/>
  <c r="AQ76" i="103"/>
  <c r="AS6" i="103"/>
  <c r="AT5" i="103"/>
  <c r="AR75" i="103"/>
  <c r="AS74" i="103"/>
  <c r="AT46" i="103"/>
  <c r="AS47" i="103"/>
  <c r="AR45" i="103"/>
  <c r="AR48" i="103" s="1"/>
  <c r="AP77" i="103"/>
  <c r="AO79" i="103"/>
  <c r="AO78" i="103"/>
  <c r="BX73" i="103"/>
  <c r="AN57" i="103"/>
  <c r="AN62" i="103"/>
  <c r="AN63" i="103" s="1"/>
  <c r="AN69" i="103" s="1"/>
  <c r="AQ49" i="103"/>
  <c r="AK95" i="103"/>
  <c r="AL91" i="103"/>
  <c r="AL93" i="103"/>
  <c r="AL94" i="103" s="1"/>
  <c r="AK96" i="103" s="1"/>
  <c r="AM85" i="103"/>
  <c r="AM90" i="103"/>
  <c r="AP34" i="103"/>
  <c r="AP35" i="103" s="1"/>
  <c r="AP36" i="103" s="1"/>
  <c r="AP51" i="103"/>
  <c r="AP50" i="103"/>
  <c r="AN92" i="103"/>
  <c r="AN80" i="103"/>
  <c r="AN84" i="103"/>
  <c r="AN81" i="103"/>
  <c r="AN82" i="103" s="1"/>
  <c r="AJ96" i="103"/>
  <c r="AL89" i="103"/>
  <c r="AL86" i="103"/>
  <c r="AP52" i="103" l="1"/>
  <c r="AP56" i="103"/>
  <c r="AP53" i="103"/>
  <c r="AP54" i="103" s="1"/>
  <c r="AS75" i="103"/>
  <c r="AT74" i="103"/>
  <c r="AS26" i="103"/>
  <c r="AT25" i="103"/>
  <c r="AR76" i="103"/>
  <c r="AR27" i="103"/>
  <c r="AR28" i="103" s="1"/>
  <c r="AR29" i="103" s="1"/>
  <c r="AR30" i="103" s="1"/>
  <c r="BY38" i="103"/>
  <c r="BX24" i="103"/>
  <c r="AN85" i="103"/>
  <c r="AN90" i="103"/>
  <c r="AM91" i="103"/>
  <c r="AM93" i="103"/>
  <c r="AM94" i="103" s="1"/>
  <c r="AL96" i="103" s="1"/>
  <c r="AS45" i="103"/>
  <c r="AS48" i="103" s="1"/>
  <c r="AT6" i="103"/>
  <c r="AU5" i="103"/>
  <c r="AM89" i="103"/>
  <c r="AM86" i="103"/>
  <c r="AQ51" i="103"/>
  <c r="AQ50" i="103"/>
  <c r="AR49" i="103"/>
  <c r="AO57" i="103"/>
  <c r="AO62" i="103"/>
  <c r="AO63" i="103" s="1"/>
  <c r="AO69" i="103" s="1"/>
  <c r="AL95" i="103"/>
  <c r="AQ77" i="103"/>
  <c r="AO92" i="103"/>
  <c r="AO80" i="103"/>
  <c r="AO84" i="103"/>
  <c r="AO81" i="103"/>
  <c r="AO82" i="103" s="1"/>
  <c r="AQ31" i="103"/>
  <c r="AN58" i="103"/>
  <c r="AP78" i="103"/>
  <c r="AP79" i="103"/>
  <c r="AP39" i="103"/>
  <c r="AP40" i="103" s="1"/>
  <c r="BY73" i="103"/>
  <c r="AU46" i="103"/>
  <c r="AT47" i="103"/>
  <c r="AQ34" i="103"/>
  <c r="AQ35" i="103" s="1"/>
  <c r="AQ36" i="103" s="1"/>
  <c r="AR31" i="103" l="1"/>
  <c r="AR32" i="103" s="1"/>
  <c r="AR33" i="103" s="1"/>
  <c r="BZ38" i="103"/>
  <c r="BY24" i="103"/>
  <c r="AQ78" i="103"/>
  <c r="AQ79" i="103"/>
  <c r="AQ39" i="103"/>
  <c r="AQ40" i="103" s="1"/>
  <c r="AQ32" i="103"/>
  <c r="AQ33" i="103" s="1"/>
  <c r="AQ52" i="103"/>
  <c r="AQ56" i="103"/>
  <c r="AQ53" i="103"/>
  <c r="AQ54" i="103" s="1"/>
  <c r="AT26" i="103"/>
  <c r="AU25" i="103"/>
  <c r="AP57" i="103"/>
  <c r="AP62" i="103"/>
  <c r="AP63" i="103" s="1"/>
  <c r="AP69" i="103" s="1"/>
  <c r="BZ73" i="103"/>
  <c r="AO85" i="103"/>
  <c r="AO90" i="103"/>
  <c r="AM95" i="103"/>
  <c r="AR34" i="103"/>
  <c r="AR35" i="103" s="1"/>
  <c r="AR36" i="103" s="1"/>
  <c r="AS27" i="103"/>
  <c r="AS28" i="103" s="1"/>
  <c r="AS29" i="103" s="1"/>
  <c r="AS30" i="103" s="1"/>
  <c r="AP92" i="103"/>
  <c r="AP80" i="103"/>
  <c r="AP84" i="103"/>
  <c r="AP81" i="103"/>
  <c r="AP82" i="103" s="1"/>
  <c r="AO58" i="103"/>
  <c r="AU6" i="103"/>
  <c r="AV5" i="103"/>
  <c r="AR77" i="103"/>
  <c r="AU74" i="103"/>
  <c r="AT75" i="103"/>
  <c r="AN91" i="103"/>
  <c r="AN93" i="103"/>
  <c r="AN94" i="103" s="1"/>
  <c r="AM96" i="103" s="1"/>
  <c r="AS76" i="103"/>
  <c r="AS49" i="103"/>
  <c r="AV46" i="103"/>
  <c r="AU47" i="103"/>
  <c r="AR50" i="103"/>
  <c r="AR51" i="103"/>
  <c r="AT45" i="103"/>
  <c r="AT48" i="103" s="1"/>
  <c r="AN89" i="103"/>
  <c r="AN86" i="103"/>
  <c r="AT49" i="103" l="1"/>
  <c r="AV74" i="103"/>
  <c r="AU75" i="103"/>
  <c r="AP85" i="103"/>
  <c r="AP90" i="103"/>
  <c r="AP58" i="103"/>
  <c r="AR39" i="103"/>
  <c r="AR40" i="103" s="1"/>
  <c r="AR79" i="103"/>
  <c r="AR78" i="103"/>
  <c r="AS77" i="103"/>
  <c r="AU26" i="103"/>
  <c r="AV25" i="103"/>
  <c r="AQ92" i="103"/>
  <c r="AQ80" i="103"/>
  <c r="AQ84" i="103"/>
  <c r="AQ81" i="103"/>
  <c r="AQ82" i="103" s="1"/>
  <c r="AR52" i="103"/>
  <c r="AR56" i="103"/>
  <c r="AR53" i="103"/>
  <c r="AR54" i="103" s="1"/>
  <c r="AW5" i="103"/>
  <c r="AV6" i="103"/>
  <c r="AO91" i="103"/>
  <c r="AO93" i="103"/>
  <c r="AO94" i="103" s="1"/>
  <c r="AT27" i="103"/>
  <c r="AT28" i="103" s="1"/>
  <c r="AT29" i="103" s="1"/>
  <c r="AT30" i="103" s="1"/>
  <c r="AN95" i="103"/>
  <c r="AO89" i="103"/>
  <c r="AO86" i="103"/>
  <c r="AS50" i="103"/>
  <c r="AS51" i="103"/>
  <c r="CA73" i="103"/>
  <c r="AQ57" i="103"/>
  <c r="AQ62" i="103"/>
  <c r="AQ63" i="103" s="1"/>
  <c r="AQ69" i="103" s="1"/>
  <c r="CA38" i="103"/>
  <c r="BZ24" i="103"/>
  <c r="AS31" i="103"/>
  <c r="AU45" i="103"/>
  <c r="AU48" i="103" s="1"/>
  <c r="AV47" i="103"/>
  <c r="AW46" i="103"/>
  <c r="AT76" i="103"/>
  <c r="AS34" i="103"/>
  <c r="AS35" i="103" s="1"/>
  <c r="AS36" i="103" s="1"/>
  <c r="AT31" i="103" l="1"/>
  <c r="AT32" i="103" s="1"/>
  <c r="AT33" i="103" s="1"/>
  <c r="AT34" i="103"/>
  <c r="AT35" i="103" s="1"/>
  <c r="AT36" i="103" s="1"/>
  <c r="AU27" i="103"/>
  <c r="AU28" i="103" s="1"/>
  <c r="AU29" i="103" s="1"/>
  <c r="AU30" i="103" s="1"/>
  <c r="AP91" i="103"/>
  <c r="AP93" i="103"/>
  <c r="AP94" i="103" s="1"/>
  <c r="AO96" i="103" s="1"/>
  <c r="AO95" i="103"/>
  <c r="AS79" i="103"/>
  <c r="AS78" i="103"/>
  <c r="AP89" i="103"/>
  <c r="AP86" i="103"/>
  <c r="AW47" i="103"/>
  <c r="AX46" i="103"/>
  <c r="AV45" i="103"/>
  <c r="AV48" i="103" s="1"/>
  <c r="AQ85" i="103"/>
  <c r="AQ90" i="103"/>
  <c r="AU76" i="103"/>
  <c r="AV75" i="103"/>
  <c r="AW74" i="103"/>
  <c r="AU49" i="103"/>
  <c r="AS52" i="103"/>
  <c r="AS56" i="103"/>
  <c r="AS53" i="103"/>
  <c r="AS54" i="103" s="1"/>
  <c r="AX5" i="103"/>
  <c r="AW6" i="103"/>
  <c r="AR92" i="103"/>
  <c r="AR80" i="103"/>
  <c r="AR84" i="103"/>
  <c r="AR81" i="103"/>
  <c r="AR82" i="103" s="1"/>
  <c r="AT50" i="103"/>
  <c r="AT51" i="103"/>
  <c r="CB38" i="103"/>
  <c r="CA24" i="103"/>
  <c r="AQ58" i="103"/>
  <c r="AT77" i="103"/>
  <c r="AS39" i="103"/>
  <c r="AS40" i="103" s="1"/>
  <c r="AS32" i="103"/>
  <c r="AS33" i="103" s="1"/>
  <c r="AN96" i="103"/>
  <c r="AW25" i="103"/>
  <c r="AV26" i="103"/>
  <c r="CB73" i="103"/>
  <c r="AR57" i="103"/>
  <c r="AR62" i="103"/>
  <c r="AR63" i="103" s="1"/>
  <c r="AR69" i="103" s="1"/>
  <c r="AT39" i="103" l="1"/>
  <c r="AT40" i="103" s="1"/>
  <c r="AW75" i="103"/>
  <c r="AX74" i="103"/>
  <c r="AW45" i="103"/>
  <c r="AW48" i="103" s="1"/>
  <c r="AU31" i="103"/>
  <c r="AU34" i="103"/>
  <c r="AU35" i="103" s="1"/>
  <c r="AU36" i="103" s="1"/>
  <c r="AT79" i="103"/>
  <c r="AT78" i="103"/>
  <c r="AV27" i="103"/>
  <c r="AV28" i="103" s="1"/>
  <c r="AV29" i="103" s="1"/>
  <c r="AV30" i="103" s="1"/>
  <c r="AV76" i="103"/>
  <c r="AX25" i="103"/>
  <c r="AW26" i="103"/>
  <c r="AU77" i="103"/>
  <c r="AS92" i="103"/>
  <c r="AS80" i="103"/>
  <c r="AS84" i="103"/>
  <c r="AS81" i="103"/>
  <c r="AS82" i="103" s="1"/>
  <c r="AR85" i="103"/>
  <c r="AR90" i="103"/>
  <c r="AU50" i="103"/>
  <c r="AU51" i="103"/>
  <c r="AR58" i="103"/>
  <c r="CC38" i="103"/>
  <c r="CB24" i="103"/>
  <c r="AQ91" i="103"/>
  <c r="AQ93" i="103"/>
  <c r="AQ94" i="103" s="1"/>
  <c r="AP96" i="103" s="1"/>
  <c r="CC73" i="103"/>
  <c r="AT52" i="103"/>
  <c r="AT56" i="103"/>
  <c r="AT53" i="103"/>
  <c r="AT54" i="103" s="1"/>
  <c r="AY5" i="103"/>
  <c r="AX6" i="103"/>
  <c r="AQ86" i="103"/>
  <c r="AQ89" i="103"/>
  <c r="AX47" i="103"/>
  <c r="AY46" i="103"/>
  <c r="AP95" i="103"/>
  <c r="AS57" i="103"/>
  <c r="AS62" i="103"/>
  <c r="AS63" i="103" s="1"/>
  <c r="AS69" i="103" s="1"/>
  <c r="AV49" i="103"/>
  <c r="AY25" i="103" l="1"/>
  <c r="AX26" i="103"/>
  <c r="CC24" i="103"/>
  <c r="CD38" i="103"/>
  <c r="AU52" i="103"/>
  <c r="AU56" i="103"/>
  <c r="AU53" i="103"/>
  <c r="AU54" i="103" s="1"/>
  <c r="AS85" i="103"/>
  <c r="AS90" i="103"/>
  <c r="AV77" i="103"/>
  <c r="AU39" i="103"/>
  <c r="AU40" i="103" s="1"/>
  <c r="AU32" i="103"/>
  <c r="AU33" i="103" s="1"/>
  <c r="AW49" i="103"/>
  <c r="CD73" i="103"/>
  <c r="AS58" i="103"/>
  <c r="AZ5" i="103"/>
  <c r="AY6" i="103"/>
  <c r="AX45" i="103"/>
  <c r="AX48" i="103" s="1"/>
  <c r="AV31" i="103"/>
  <c r="AT57" i="103"/>
  <c r="AT62" i="103"/>
  <c r="AT63" i="103" s="1"/>
  <c r="AT69" i="103" s="1"/>
  <c r="AQ95" i="103"/>
  <c r="AR91" i="103"/>
  <c r="AR93" i="103"/>
  <c r="AR94" i="103" s="1"/>
  <c r="AQ96" i="103" s="1"/>
  <c r="AU78" i="103"/>
  <c r="AU79" i="103"/>
  <c r="AV34" i="103"/>
  <c r="AV35" i="103" s="1"/>
  <c r="AV36" i="103" s="1"/>
  <c r="AY74" i="103"/>
  <c r="AX75" i="103"/>
  <c r="AZ46" i="103"/>
  <c r="AY47" i="103"/>
  <c r="AR86" i="103"/>
  <c r="AR89" i="103"/>
  <c r="AW76" i="103"/>
  <c r="AV50" i="103"/>
  <c r="AV51" i="103"/>
  <c r="AW27" i="103"/>
  <c r="AW28" i="103" s="1"/>
  <c r="AW29" i="103" s="1"/>
  <c r="AW30" i="103" s="1"/>
  <c r="AT92" i="103"/>
  <c r="AT80" i="103"/>
  <c r="AT84" i="103"/>
  <c r="AT81" i="103"/>
  <c r="AT82" i="103" s="1"/>
  <c r="AX76" i="103" l="1"/>
  <c r="AY75" i="103"/>
  <c r="AZ74" i="103"/>
  <c r="AT58" i="103"/>
  <c r="AW50" i="103"/>
  <c r="AW51" i="103"/>
  <c r="AU57" i="103"/>
  <c r="AU62" i="103"/>
  <c r="AU63" i="103" s="1"/>
  <c r="AU69" i="103" s="1"/>
  <c r="AU92" i="103"/>
  <c r="AU80" i="103"/>
  <c r="AU84" i="103"/>
  <c r="AU81" i="103"/>
  <c r="AU82" i="103" s="1"/>
  <c r="AV39" i="103"/>
  <c r="AV40" i="103" s="1"/>
  <c r="AV32" i="103"/>
  <c r="AV33" i="103" s="1"/>
  <c r="AV78" i="103"/>
  <c r="AV79" i="103"/>
  <c r="CE38" i="103"/>
  <c r="CD24" i="103"/>
  <c r="AY45" i="103"/>
  <c r="AY48" i="103" s="1"/>
  <c r="AW31" i="103"/>
  <c r="AW34" i="103"/>
  <c r="AW35" i="103" s="1"/>
  <c r="AW36" i="103" s="1"/>
  <c r="BA5" i="103"/>
  <c r="AZ6" i="103"/>
  <c r="AR95" i="103"/>
  <c r="AS91" i="103"/>
  <c r="AS93" i="103"/>
  <c r="AS94" i="103" s="1"/>
  <c r="AR96" i="103" s="1"/>
  <c r="AV52" i="103"/>
  <c r="AV56" i="103"/>
  <c r="AV53" i="103"/>
  <c r="AV54" i="103" s="1"/>
  <c r="CE73" i="103"/>
  <c r="AW77" i="103"/>
  <c r="AT85" i="103"/>
  <c r="AT90" i="103"/>
  <c r="AS89" i="103"/>
  <c r="AS86" i="103"/>
  <c r="AX27" i="103"/>
  <c r="AX28" i="103" s="1"/>
  <c r="AX29" i="103" s="1"/>
  <c r="AX30" i="103" s="1"/>
  <c r="BA46" i="103"/>
  <c r="AZ47" i="103"/>
  <c r="AX49" i="103"/>
  <c r="AZ25" i="103"/>
  <c r="AY26" i="103"/>
  <c r="AX34" i="103" l="1"/>
  <c r="AX35" i="103" s="1"/>
  <c r="AX36" i="103" s="1"/>
  <c r="AY49" i="103"/>
  <c r="AW52" i="103"/>
  <c r="AW56" i="103"/>
  <c r="AW53" i="103"/>
  <c r="AW54" i="103" s="1"/>
  <c r="BA6" i="103"/>
  <c r="BB5" i="103"/>
  <c r="AX51" i="103"/>
  <c r="AX50" i="103"/>
  <c r="AU85" i="103"/>
  <c r="AU90" i="103"/>
  <c r="BB46" i="103"/>
  <c r="BA47" i="103"/>
  <c r="CF38" i="103"/>
  <c r="CE24" i="103"/>
  <c r="AY27" i="103"/>
  <c r="AY28" i="103" s="1"/>
  <c r="AY29" i="103" s="1"/>
  <c r="AY30" i="103" s="1"/>
  <c r="AZ26" i="103"/>
  <c r="BA25" i="103"/>
  <c r="AT91" i="103"/>
  <c r="AT93" i="103"/>
  <c r="AT94" i="103" s="1"/>
  <c r="AS96" i="103" s="1"/>
  <c r="AV57" i="103"/>
  <c r="AV62" i="103"/>
  <c r="AV63" i="103" s="1"/>
  <c r="AV69" i="103" s="1"/>
  <c r="AV92" i="103"/>
  <c r="AV80" i="103"/>
  <c r="AV84" i="103"/>
  <c r="AV81" i="103"/>
  <c r="AV82" i="103" s="1"/>
  <c r="AZ75" i="103"/>
  <c r="BA74" i="103"/>
  <c r="AX31" i="103"/>
  <c r="AT89" i="103"/>
  <c r="AT86" i="103"/>
  <c r="AY76" i="103"/>
  <c r="AW39" i="103"/>
  <c r="AW40" i="103" s="1"/>
  <c r="AW32" i="103"/>
  <c r="AW33" i="103" s="1"/>
  <c r="AX77" i="103"/>
  <c r="CF73" i="103"/>
  <c r="AW79" i="103"/>
  <c r="AW78" i="103"/>
  <c r="AS95" i="103"/>
  <c r="AZ45" i="103"/>
  <c r="AZ48" i="103" s="1"/>
  <c r="AU58" i="103"/>
  <c r="AZ76" i="103" l="1"/>
  <c r="AY34" i="103"/>
  <c r="AY35" i="103" s="1"/>
  <c r="AY36" i="103" s="1"/>
  <c r="AV58" i="103"/>
  <c r="AW92" i="103"/>
  <c r="AW80" i="103"/>
  <c r="AW84" i="103"/>
  <c r="AW81" i="103"/>
  <c r="AW82" i="103" s="1"/>
  <c r="AX39" i="103"/>
  <c r="AX40" i="103" s="1"/>
  <c r="AX32" i="103"/>
  <c r="AX33" i="103" s="1"/>
  <c r="AV85" i="103"/>
  <c r="AV90" i="103"/>
  <c r="AT95" i="103"/>
  <c r="CG38" i="103"/>
  <c r="CF24" i="103"/>
  <c r="AW57" i="103"/>
  <c r="AW62" i="103"/>
  <c r="AW63" i="103" s="1"/>
  <c r="AW69" i="103" s="1"/>
  <c r="BA75" i="103"/>
  <c r="BB74" i="103"/>
  <c r="BA45" i="103"/>
  <c r="BA48" i="103" s="1"/>
  <c r="CG73" i="103"/>
  <c r="AY77" i="103"/>
  <c r="BA26" i="103"/>
  <c r="BB25" i="103"/>
  <c r="BC46" i="103"/>
  <c r="BB47" i="103"/>
  <c r="AZ27" i="103"/>
  <c r="AZ28" i="103" s="1"/>
  <c r="AZ29" i="103" s="1"/>
  <c r="AZ30" i="103" s="1"/>
  <c r="AU91" i="103"/>
  <c r="AU93" i="103"/>
  <c r="AU94" i="103" s="1"/>
  <c r="AX52" i="103"/>
  <c r="AX56" i="103"/>
  <c r="AX53" i="103"/>
  <c r="AX54" i="103" s="1"/>
  <c r="AY51" i="103"/>
  <c r="AY50" i="103"/>
  <c r="AX78" i="103"/>
  <c r="AX79" i="103"/>
  <c r="AZ49" i="103"/>
  <c r="AY31" i="103"/>
  <c r="AU89" i="103"/>
  <c r="AU86" i="103"/>
  <c r="BB6" i="103"/>
  <c r="BC5" i="103"/>
  <c r="AY52" i="103" l="1"/>
  <c r="AY56" i="103"/>
  <c r="AY53" i="103"/>
  <c r="AY54" i="103" s="1"/>
  <c r="AZ31" i="103"/>
  <c r="BB26" i="103"/>
  <c r="BC25" i="103"/>
  <c r="BA49" i="103"/>
  <c r="BA76" i="103"/>
  <c r="AZ34" i="103"/>
  <c r="AZ35" i="103" s="1"/>
  <c r="AZ36" i="103" s="1"/>
  <c r="BA27" i="103"/>
  <c r="BA28" i="103" s="1"/>
  <c r="BA29" i="103" s="1"/>
  <c r="BA30" i="103" s="1"/>
  <c r="AW58" i="103"/>
  <c r="BC6" i="103"/>
  <c r="BD5" i="103"/>
  <c r="AY78" i="103"/>
  <c r="AY79" i="103"/>
  <c r="AZ50" i="103"/>
  <c r="AZ51" i="103"/>
  <c r="CH38" i="103"/>
  <c r="CG24" i="103"/>
  <c r="AW85" i="103"/>
  <c r="AW90" i="103"/>
  <c r="BD46" i="103"/>
  <c r="BC47" i="103"/>
  <c r="BB45" i="103"/>
  <c r="BB48" i="103" s="1"/>
  <c r="AX57" i="103"/>
  <c r="AX62" i="103"/>
  <c r="AX63" i="103" s="1"/>
  <c r="AX69" i="103" s="1"/>
  <c r="AX92" i="103"/>
  <c r="AX80" i="103"/>
  <c r="AX84" i="103"/>
  <c r="AX81" i="103"/>
  <c r="AX82" i="103" s="1"/>
  <c r="AU95" i="103"/>
  <c r="CH73" i="103"/>
  <c r="AT96" i="103"/>
  <c r="AZ77" i="103"/>
  <c r="AV89" i="103"/>
  <c r="AV86" i="103"/>
  <c r="AY39" i="103"/>
  <c r="AY40" i="103" s="1"/>
  <c r="AY32" i="103"/>
  <c r="AY33" i="103" s="1"/>
  <c r="BC74" i="103"/>
  <c r="BB75" i="103"/>
  <c r="AV91" i="103"/>
  <c r="AV93" i="103"/>
  <c r="AV94" i="103" s="1"/>
  <c r="BA34" i="103" l="1"/>
  <c r="BA35" i="103" s="1"/>
  <c r="BA36" i="103" s="1"/>
  <c r="CI73" i="103"/>
  <c r="BC26" i="103"/>
  <c r="BD25" i="103"/>
  <c r="AX85" i="103"/>
  <c r="AX90" i="103"/>
  <c r="AW91" i="103"/>
  <c r="AW93" i="103"/>
  <c r="AW94" i="103" s="1"/>
  <c r="AY92" i="103"/>
  <c r="AY80" i="103"/>
  <c r="AY84" i="103"/>
  <c r="AY81" i="103"/>
  <c r="AY82" i="103" s="1"/>
  <c r="BA31" i="103"/>
  <c r="BB27" i="103"/>
  <c r="BB28" i="103" s="1"/>
  <c r="BB29" i="103" s="1"/>
  <c r="BB30" i="103" s="1"/>
  <c r="AV95" i="103"/>
  <c r="BB49" i="103"/>
  <c r="BD47" i="103"/>
  <c r="BE46" i="103"/>
  <c r="AW89" i="103"/>
  <c r="AW86" i="103"/>
  <c r="AZ79" i="103"/>
  <c r="AZ78" i="103"/>
  <c r="BC45" i="103"/>
  <c r="BC48" i="103" s="1"/>
  <c r="CI38" i="103"/>
  <c r="CH24" i="103"/>
  <c r="BE5" i="103"/>
  <c r="BD6" i="103"/>
  <c r="BA77" i="103"/>
  <c r="AY57" i="103"/>
  <c r="AY62" i="103"/>
  <c r="AY63" i="103" s="1"/>
  <c r="AY69" i="103" s="1"/>
  <c r="AZ39" i="103"/>
  <c r="AZ40" i="103" s="1"/>
  <c r="AZ32" i="103"/>
  <c r="AZ33" i="103" s="1"/>
  <c r="BB76" i="103"/>
  <c r="AX58" i="103"/>
  <c r="BD74" i="103"/>
  <c r="BC75" i="103"/>
  <c r="AU96" i="103"/>
  <c r="AZ52" i="103"/>
  <c r="AZ56" i="103"/>
  <c r="AZ53" i="103"/>
  <c r="AZ54" i="103" s="1"/>
  <c r="BA50" i="103"/>
  <c r="BA51" i="103"/>
  <c r="BB31" i="103" l="1"/>
  <c r="BB32" i="103" s="1"/>
  <c r="BB33" i="103" s="1"/>
  <c r="BB77" i="103"/>
  <c r="BA79" i="103"/>
  <c r="BA78" i="103"/>
  <c r="AY85" i="103"/>
  <c r="AY90" i="103"/>
  <c r="AX89" i="103"/>
  <c r="AX86" i="103"/>
  <c r="BA52" i="103"/>
  <c r="BA56" i="103"/>
  <c r="BA53" i="103"/>
  <c r="BA54" i="103" s="1"/>
  <c r="BC76" i="103"/>
  <c r="BF5" i="103"/>
  <c r="BE6" i="103"/>
  <c r="BE25" i="103"/>
  <c r="BD26" i="103"/>
  <c r="BD75" i="103"/>
  <c r="BE74" i="103"/>
  <c r="AZ92" i="103"/>
  <c r="AZ80" i="103"/>
  <c r="AZ84" i="103"/>
  <c r="AZ81" i="103"/>
  <c r="AZ82" i="103" s="1"/>
  <c r="AW95" i="103"/>
  <c r="BC27" i="103"/>
  <c r="BC28" i="103" s="1"/>
  <c r="BC29" i="103" s="1"/>
  <c r="BC30" i="103" s="1"/>
  <c r="CI24" i="103"/>
  <c r="CJ38" i="103"/>
  <c r="BB50" i="103"/>
  <c r="BB51" i="103"/>
  <c r="BB34" i="103"/>
  <c r="BB35" i="103" s="1"/>
  <c r="BB36" i="103" s="1"/>
  <c r="CJ73" i="103"/>
  <c r="AZ57" i="103"/>
  <c r="AZ62" i="103"/>
  <c r="AZ63" i="103" s="1"/>
  <c r="AZ69" i="103" s="1"/>
  <c r="BC49" i="103"/>
  <c r="BA39" i="103"/>
  <c r="BA40" i="103" s="1"/>
  <c r="BA32" i="103"/>
  <c r="BA33" i="103" s="1"/>
  <c r="AY58" i="103"/>
  <c r="BD45" i="103"/>
  <c r="BD48" i="103" s="1"/>
  <c r="BE47" i="103"/>
  <c r="BF46" i="103"/>
  <c r="AV96" i="103"/>
  <c r="AX91" i="103"/>
  <c r="AX93" i="103"/>
  <c r="AX94" i="103" s="1"/>
  <c r="AW96" i="103" s="1"/>
  <c r="BB39" i="103" l="1"/>
  <c r="BB40" i="103" s="1"/>
  <c r="BA57" i="103"/>
  <c r="BA62" i="103"/>
  <c r="BA63" i="103" s="1"/>
  <c r="BA69" i="103" s="1"/>
  <c r="BF47" i="103"/>
  <c r="BG46" i="103"/>
  <c r="BC34" i="103"/>
  <c r="BC35" i="103" s="1"/>
  <c r="BC36" i="103" s="1"/>
  <c r="AY91" i="103"/>
  <c r="AY93" i="103"/>
  <c r="AY94" i="103" s="1"/>
  <c r="BG5" i="103"/>
  <c r="BF6" i="103"/>
  <c r="AY86" i="103"/>
  <c r="AY89" i="103"/>
  <c r="BD49" i="103"/>
  <c r="BC50" i="103"/>
  <c r="BC51" i="103"/>
  <c r="BB52" i="103"/>
  <c r="BB56" i="103"/>
  <c r="BB53" i="103"/>
  <c r="BB54" i="103" s="1"/>
  <c r="BE75" i="103"/>
  <c r="BF74" i="103"/>
  <c r="BD76" i="103"/>
  <c r="CK38" i="103"/>
  <c r="CJ24" i="103"/>
  <c r="AZ85" i="103"/>
  <c r="AZ90" i="103"/>
  <c r="BD27" i="103"/>
  <c r="BD28" i="103" s="1"/>
  <c r="BD29" i="103" s="1"/>
  <c r="BD30" i="103" s="1"/>
  <c r="BC77" i="103"/>
  <c r="BA92" i="103"/>
  <c r="BA80" i="103"/>
  <c r="BA84" i="103"/>
  <c r="BA81" i="103"/>
  <c r="BA82" i="103" s="1"/>
  <c r="BE45" i="103"/>
  <c r="BE48" i="103" s="1"/>
  <c r="AX95" i="103"/>
  <c r="AZ58" i="103"/>
  <c r="BF25" i="103"/>
  <c r="BE26" i="103"/>
  <c r="BB79" i="103"/>
  <c r="BB78" i="103"/>
  <c r="CK73" i="103"/>
  <c r="BC31" i="103"/>
  <c r="BD31" i="103" l="1"/>
  <c r="BD32" i="103" s="1"/>
  <c r="BD33" i="103" s="1"/>
  <c r="BC39" i="103"/>
  <c r="BC40" i="103" s="1"/>
  <c r="BC32" i="103"/>
  <c r="BC33" i="103" s="1"/>
  <c r="BE27" i="103"/>
  <c r="BE28" i="103" s="1"/>
  <c r="BE29" i="103" s="1"/>
  <c r="BE30" i="103" s="1"/>
  <c r="BE49" i="103"/>
  <c r="AZ86" i="103"/>
  <c r="AZ89" i="103"/>
  <c r="BG74" i="103"/>
  <c r="BF75" i="103"/>
  <c r="BD50" i="103"/>
  <c r="BD51" i="103"/>
  <c r="AY95" i="103"/>
  <c r="CL73" i="103"/>
  <c r="BG25" i="103"/>
  <c r="BF26" i="103"/>
  <c r="BF45" i="103"/>
  <c r="BF48" i="103" s="1"/>
  <c r="BE76" i="103"/>
  <c r="BC78" i="103"/>
  <c r="BC79" i="103"/>
  <c r="CK24" i="103"/>
  <c r="CL38" i="103"/>
  <c r="BD77" i="103"/>
  <c r="BB57" i="103"/>
  <c r="BB62" i="103"/>
  <c r="BB63" i="103" s="1"/>
  <c r="BB69" i="103" s="1"/>
  <c r="BA85" i="103"/>
  <c r="BA90" i="103"/>
  <c r="BH46" i="103"/>
  <c r="BG47" i="103"/>
  <c r="BB92" i="103"/>
  <c r="BB80" i="103"/>
  <c r="BB84" i="103"/>
  <c r="BB81" i="103"/>
  <c r="BB82" i="103" s="1"/>
  <c r="AX96" i="103"/>
  <c r="BD34" i="103"/>
  <c r="BD35" i="103" s="1"/>
  <c r="BD36" i="103" s="1"/>
  <c r="BC52" i="103"/>
  <c r="BC56" i="103"/>
  <c r="BC53" i="103"/>
  <c r="BC54" i="103" s="1"/>
  <c r="AZ91" i="103"/>
  <c r="AZ93" i="103"/>
  <c r="AZ94" i="103" s="1"/>
  <c r="AY96" i="103" s="1"/>
  <c r="BH5" i="103"/>
  <c r="BG6" i="103"/>
  <c r="BA58" i="103"/>
  <c r="BE31" i="103" l="1"/>
  <c r="BE32" i="103" s="1"/>
  <c r="BE33" i="103" s="1"/>
  <c r="BG45" i="103"/>
  <c r="BG48" i="103" s="1"/>
  <c r="BB58" i="103"/>
  <c r="BE77" i="103"/>
  <c r="BD52" i="103"/>
  <c r="BD56" i="103"/>
  <c r="BD53" i="103"/>
  <c r="BD54" i="103" s="1"/>
  <c r="BE50" i="103"/>
  <c r="BE51" i="103"/>
  <c r="AZ95" i="103"/>
  <c r="BD78" i="103"/>
  <c r="BD79" i="103"/>
  <c r="BF27" i="103"/>
  <c r="BF28" i="103" s="1"/>
  <c r="BF29" i="103" s="1"/>
  <c r="BF30" i="103" s="1"/>
  <c r="BH25" i="103"/>
  <c r="BG26" i="103"/>
  <c r="BF76" i="103"/>
  <c r="BB85" i="103"/>
  <c r="BB90" i="103"/>
  <c r="CM38" i="103"/>
  <c r="CL24" i="103"/>
  <c r="BH74" i="103"/>
  <c r="BG75" i="103"/>
  <c r="BI46" i="103"/>
  <c r="BH47" i="103"/>
  <c r="CM73" i="103"/>
  <c r="BE34" i="103"/>
  <c r="BE35" i="103" s="1"/>
  <c r="BE36" i="103" s="1"/>
  <c r="BD39" i="103"/>
  <c r="BD40" i="103" s="1"/>
  <c r="BA91" i="103"/>
  <c r="BA93" i="103"/>
  <c r="BA94" i="103" s="1"/>
  <c r="AZ96" i="103" s="1"/>
  <c r="BC92" i="103"/>
  <c r="BC80" i="103"/>
  <c r="BC84" i="103"/>
  <c r="BC81" i="103"/>
  <c r="BC82" i="103" s="1"/>
  <c r="BI5" i="103"/>
  <c r="BH6" i="103"/>
  <c r="BC57" i="103"/>
  <c r="BC62" i="103"/>
  <c r="BC63" i="103" s="1"/>
  <c r="BC69" i="103" s="1"/>
  <c r="BA89" i="103"/>
  <c r="BA86" i="103"/>
  <c r="BF49" i="103"/>
  <c r="BC85" i="103" l="1"/>
  <c r="BC90" i="103"/>
  <c r="BE79" i="103"/>
  <c r="BE78" i="103"/>
  <c r="BC58" i="103"/>
  <c r="BG27" i="103"/>
  <c r="BG28" i="103" s="1"/>
  <c r="BG29" i="103" s="1"/>
  <c r="BG30" i="103" s="1"/>
  <c r="CN73" i="103"/>
  <c r="BJ46" i="103"/>
  <c r="BI47" i="103"/>
  <c r="BH26" i="103"/>
  <c r="BI25" i="103"/>
  <c r="BE52" i="103"/>
  <c r="BE56" i="103"/>
  <c r="BE53" i="103"/>
  <c r="BE54" i="103" s="1"/>
  <c r="CN38" i="103"/>
  <c r="CM24" i="103"/>
  <c r="BI6" i="103"/>
  <c r="BJ5" i="103"/>
  <c r="BA95" i="103"/>
  <c r="BG76" i="103"/>
  <c r="BB91" i="103"/>
  <c r="BB93" i="103"/>
  <c r="BB94" i="103" s="1"/>
  <c r="BA96" i="103" s="1"/>
  <c r="BF51" i="103"/>
  <c r="BF50" i="103"/>
  <c r="BH75" i="103"/>
  <c r="BI74" i="103"/>
  <c r="BB89" i="103"/>
  <c r="BB86" i="103"/>
  <c r="BF31" i="103"/>
  <c r="BH45" i="103"/>
  <c r="BH48" i="103" s="1"/>
  <c r="BE39" i="103"/>
  <c r="BE40" i="103" s="1"/>
  <c r="BF34" i="103"/>
  <c r="BF35" i="103" s="1"/>
  <c r="BF36" i="103" s="1"/>
  <c r="BD57" i="103"/>
  <c r="BD62" i="103"/>
  <c r="BD63" i="103" s="1"/>
  <c r="BD69" i="103" s="1"/>
  <c r="BG49" i="103"/>
  <c r="BF77" i="103"/>
  <c r="BD92" i="103"/>
  <c r="BD80" i="103"/>
  <c r="BD84" i="103"/>
  <c r="BD81" i="103"/>
  <c r="BD82" i="103" s="1"/>
  <c r="BG34" i="103" l="1"/>
  <c r="BG35" i="103" s="1"/>
  <c r="BG36" i="103" s="1"/>
  <c r="BI45" i="103"/>
  <c r="BI48" i="103" s="1"/>
  <c r="CO38" i="103"/>
  <c r="CN24" i="103"/>
  <c r="BK46" i="103"/>
  <c r="BJ47" i="103"/>
  <c r="BH49" i="103"/>
  <c r="CO73" i="103"/>
  <c r="BD58" i="103"/>
  <c r="BE57" i="103"/>
  <c r="BE62" i="103"/>
  <c r="BE63" i="103" s="1"/>
  <c r="BE69" i="103" s="1"/>
  <c r="BF32" i="103"/>
  <c r="BF33" i="103" s="1"/>
  <c r="BF39" i="103"/>
  <c r="BF40" i="103" s="1"/>
  <c r="BF52" i="103"/>
  <c r="BF56" i="103"/>
  <c r="BF53" i="103"/>
  <c r="BF54" i="103" s="1"/>
  <c r="BJ6" i="103"/>
  <c r="BK5" i="103"/>
  <c r="BH76" i="103"/>
  <c r="BB95" i="103"/>
  <c r="BE92" i="103"/>
  <c r="BE80" i="103"/>
  <c r="BE84" i="103"/>
  <c r="BE81" i="103"/>
  <c r="BE82" i="103" s="1"/>
  <c r="BG51" i="103"/>
  <c r="BG50" i="103"/>
  <c r="BF78" i="103"/>
  <c r="BF79" i="103"/>
  <c r="BI26" i="103"/>
  <c r="BJ25" i="103"/>
  <c r="BC91" i="103"/>
  <c r="BC93" i="103"/>
  <c r="BC94" i="103" s="1"/>
  <c r="BB96" i="103" s="1"/>
  <c r="BD85" i="103"/>
  <c r="BD90" i="103"/>
  <c r="BI75" i="103"/>
  <c r="BJ74" i="103"/>
  <c r="BG77" i="103"/>
  <c r="BH27" i="103"/>
  <c r="BH28" i="103" s="1"/>
  <c r="BH29" i="103" s="1"/>
  <c r="BH30" i="103" s="1"/>
  <c r="BG31" i="103"/>
  <c r="BC89" i="103"/>
  <c r="BC86" i="103"/>
  <c r="BH34" i="103" l="1"/>
  <c r="BH35" i="103" s="1"/>
  <c r="BH36" i="103" s="1"/>
  <c r="BG78" i="103"/>
  <c r="BG79" i="103"/>
  <c r="BK6" i="103"/>
  <c r="BL5" i="103"/>
  <c r="CP73" i="103"/>
  <c r="BL46" i="103"/>
  <c r="BK47" i="103"/>
  <c r="BJ26" i="103"/>
  <c r="BK25" i="103"/>
  <c r="CP38" i="103"/>
  <c r="CO24" i="103"/>
  <c r="BH50" i="103"/>
  <c r="BH51" i="103"/>
  <c r="BF57" i="103"/>
  <c r="BF62" i="103"/>
  <c r="BF63" i="103" s="1"/>
  <c r="BF69" i="103" s="1"/>
  <c r="BI27" i="103"/>
  <c r="BI28" i="103" s="1"/>
  <c r="BI29" i="103" s="1"/>
  <c r="BI30" i="103" s="1"/>
  <c r="BI76" i="103"/>
  <c r="BG39" i="103"/>
  <c r="BG40" i="103" s="1"/>
  <c r="BG32" i="103"/>
  <c r="BG33" i="103" s="1"/>
  <c r="BD91" i="103"/>
  <c r="BD93" i="103"/>
  <c r="BD94" i="103" s="1"/>
  <c r="BC96" i="103" s="1"/>
  <c r="BG52" i="103"/>
  <c r="BG56" i="103"/>
  <c r="BG53" i="103"/>
  <c r="BG54" i="103" s="1"/>
  <c r="BE58" i="103"/>
  <c r="BJ45" i="103"/>
  <c r="BJ48" i="103" s="1"/>
  <c r="BF92" i="103"/>
  <c r="BF80" i="103"/>
  <c r="BF84" i="103"/>
  <c r="BF81" i="103"/>
  <c r="BF82" i="103" s="1"/>
  <c r="BI49" i="103"/>
  <c r="BC95" i="103"/>
  <c r="BK74" i="103"/>
  <c r="BJ75" i="103"/>
  <c r="BD89" i="103"/>
  <c r="BD86" i="103"/>
  <c r="BH31" i="103"/>
  <c r="BE85" i="103"/>
  <c r="BE90" i="103"/>
  <c r="BH77" i="103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9" i="20" s="1"/>
  <c r="B30" i="20" s="1"/>
  <c r="B31" i="20" s="1"/>
  <c r="B32" i="20" s="1"/>
  <c r="B33" i="20" s="1"/>
  <c r="B35" i="20" s="1"/>
  <c r="BI34" i="103" l="1"/>
  <c r="BI35" i="103" s="1"/>
  <c r="BI36" i="103" s="1"/>
  <c r="BH39" i="103"/>
  <c r="BH40" i="103" s="1"/>
  <c r="BH32" i="103"/>
  <c r="BH33" i="103" s="1"/>
  <c r="BG57" i="103"/>
  <c r="BG62" i="103"/>
  <c r="BG63" i="103" s="1"/>
  <c r="BG69" i="103" s="1"/>
  <c r="BH52" i="103"/>
  <c r="BH56" i="103"/>
  <c r="BH53" i="103"/>
  <c r="BH54" i="103" s="1"/>
  <c r="BE91" i="103"/>
  <c r="BE93" i="103"/>
  <c r="BE94" i="103" s="1"/>
  <c r="BD96" i="103" s="1"/>
  <c r="BL47" i="103"/>
  <c r="BM46" i="103"/>
  <c r="BM5" i="103"/>
  <c r="BL6" i="103"/>
  <c r="BE89" i="103"/>
  <c r="BE86" i="103"/>
  <c r="BI50" i="103"/>
  <c r="BI51" i="103"/>
  <c r="BJ49" i="103"/>
  <c r="BI31" i="103"/>
  <c r="BD95" i="103"/>
  <c r="BG92" i="103"/>
  <c r="BG80" i="103"/>
  <c r="BG84" i="103"/>
  <c r="BG81" i="103"/>
  <c r="BG82" i="103" s="1"/>
  <c r="CQ38" i="103"/>
  <c r="CP24" i="103"/>
  <c r="BJ76" i="103"/>
  <c r="BF85" i="103"/>
  <c r="BF90" i="103"/>
  <c r="BF58" i="103"/>
  <c r="BK26" i="103"/>
  <c r="BL25" i="103"/>
  <c r="CQ73" i="103"/>
  <c r="BK45" i="103"/>
  <c r="BK48" i="103" s="1"/>
  <c r="BH79" i="103"/>
  <c r="BH78" i="103"/>
  <c r="BL74" i="103"/>
  <c r="BK75" i="103"/>
  <c r="BI77" i="103"/>
  <c r="BJ27" i="103"/>
  <c r="BJ28" i="103" s="1"/>
  <c r="BJ29" i="103" s="1"/>
  <c r="BJ30" i="103" s="1"/>
  <c r="BJ31" i="103" l="1"/>
  <c r="BJ34" i="103"/>
  <c r="BJ35" i="103" s="1"/>
  <c r="BJ36" i="103" s="1"/>
  <c r="BI79" i="103"/>
  <c r="BI78" i="103"/>
  <c r="BH57" i="103"/>
  <c r="BH62" i="103"/>
  <c r="BH63" i="103" s="1"/>
  <c r="BH69" i="103" s="1"/>
  <c r="BK49" i="103"/>
  <c r="BL45" i="103"/>
  <c r="BL48" i="103" s="1"/>
  <c r="CR38" i="103"/>
  <c r="CQ24" i="103"/>
  <c r="BI39" i="103"/>
  <c r="BI40" i="103" s="1"/>
  <c r="BI32" i="103"/>
  <c r="BI33" i="103" s="1"/>
  <c r="BL75" i="103"/>
  <c r="BM74" i="103"/>
  <c r="CR73" i="103"/>
  <c r="BF89" i="103"/>
  <c r="BF86" i="103"/>
  <c r="BG85" i="103"/>
  <c r="BG90" i="103"/>
  <c r="BM47" i="103"/>
  <c r="BN46" i="103"/>
  <c r="BK76" i="103"/>
  <c r="BF91" i="103"/>
  <c r="BF93" i="103"/>
  <c r="BF94" i="103" s="1"/>
  <c r="BE96" i="103" s="1"/>
  <c r="BJ50" i="103"/>
  <c r="BJ51" i="103"/>
  <c r="BJ77" i="103"/>
  <c r="BI52" i="103"/>
  <c r="BI56" i="103"/>
  <c r="BI53" i="103"/>
  <c r="BI54" i="103" s="1"/>
  <c r="BG58" i="103"/>
  <c r="BK27" i="103"/>
  <c r="BK28" i="103" s="1"/>
  <c r="BK29" i="103" s="1"/>
  <c r="BK30" i="103" s="1"/>
  <c r="BN5" i="103"/>
  <c r="BM6" i="103"/>
  <c r="BH92" i="103"/>
  <c r="BH80" i="103"/>
  <c r="BH84" i="103"/>
  <c r="BH81" i="103"/>
  <c r="BH82" i="103" s="1"/>
  <c r="BE95" i="103"/>
  <c r="BM25" i="103"/>
  <c r="BL26" i="103"/>
  <c r="B37" i="20"/>
  <c r="B38" i="20" s="1"/>
  <c r="B39" i="20" s="1"/>
  <c r="B40" i="20" s="1"/>
  <c r="B41" i="20" s="1"/>
  <c r="B42" i="20" s="1"/>
  <c r="B43" i="20" s="1"/>
  <c r="B44" i="20" s="1"/>
  <c r="BJ39" i="103" l="1"/>
  <c r="BJ40" i="103" s="1"/>
  <c r="BJ32" i="103"/>
  <c r="BJ33" i="103" s="1"/>
  <c r="BK34" i="103"/>
  <c r="BK35" i="103" s="1"/>
  <c r="BK36" i="103" s="1"/>
  <c r="BH58" i="103"/>
  <c r="CS73" i="103"/>
  <c r="BN47" i="103"/>
  <c r="BO46" i="103"/>
  <c r="BN25" i="103"/>
  <c r="BM26" i="103"/>
  <c r="CS38" i="103"/>
  <c r="CR24" i="103"/>
  <c r="BH85" i="103"/>
  <c r="BH90" i="103"/>
  <c r="BJ52" i="103"/>
  <c r="BJ56" i="103"/>
  <c r="BJ53" i="103"/>
  <c r="BJ54" i="103" s="1"/>
  <c r="BM75" i="103"/>
  <c r="BN74" i="103"/>
  <c r="BL49" i="103"/>
  <c r="BJ79" i="103"/>
  <c r="BJ78" i="103"/>
  <c r="BG91" i="103"/>
  <c r="BG93" i="103"/>
  <c r="BG94" i="103" s="1"/>
  <c r="BL76" i="103"/>
  <c r="BM45" i="103"/>
  <c r="BM48" i="103" s="1"/>
  <c r="BI57" i="103"/>
  <c r="BI62" i="103"/>
  <c r="BI63" i="103" s="1"/>
  <c r="BI69" i="103" s="1"/>
  <c r="BF95" i="103"/>
  <c r="BG89" i="103"/>
  <c r="BG86" i="103"/>
  <c r="BI92" i="103"/>
  <c r="BI80" i="103"/>
  <c r="BI84" i="103"/>
  <c r="BI81" i="103"/>
  <c r="BI82" i="103" s="1"/>
  <c r="BK50" i="103"/>
  <c r="BK51" i="103"/>
  <c r="BL27" i="103"/>
  <c r="BL28" i="103" s="1"/>
  <c r="BL29" i="103" s="1"/>
  <c r="BL30" i="103" s="1"/>
  <c r="BN6" i="103"/>
  <c r="BO5" i="103"/>
  <c r="BK31" i="103"/>
  <c r="BK77" i="103"/>
  <c r="B46" i="20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7" i="20" s="1"/>
  <c r="B68" i="20" s="1"/>
  <c r="B71" i="20" s="1"/>
  <c r="B72" i="20" s="1"/>
  <c r="BI85" i="103" l="1"/>
  <c r="BI90" i="103"/>
  <c r="BH91" i="103"/>
  <c r="BH93" i="103"/>
  <c r="BH94" i="103" s="1"/>
  <c r="BG96" i="103" s="1"/>
  <c r="BL34" i="103"/>
  <c r="BL35" i="103" s="1"/>
  <c r="BL36" i="103" s="1"/>
  <c r="BI58" i="103"/>
  <c r="BJ57" i="103"/>
  <c r="BJ62" i="103"/>
  <c r="BJ63" i="103" s="1"/>
  <c r="BJ69" i="103" s="1"/>
  <c r="BH89" i="103"/>
  <c r="BH86" i="103"/>
  <c r="CT73" i="103"/>
  <c r="BM49" i="103"/>
  <c r="BP46" i="103"/>
  <c r="BO47" i="103"/>
  <c r="BK39" i="103"/>
  <c r="BK40" i="103" s="1"/>
  <c r="BK32" i="103"/>
  <c r="BK33" i="103" s="1"/>
  <c r="BN45" i="103"/>
  <c r="BN48" i="103" s="1"/>
  <c r="BJ92" i="103"/>
  <c r="BJ80" i="103"/>
  <c r="BJ84" i="103"/>
  <c r="BJ81" i="103"/>
  <c r="BJ82" i="103" s="1"/>
  <c r="CS24" i="103"/>
  <c r="CT38" i="103"/>
  <c r="BM76" i="103"/>
  <c r="BL31" i="103"/>
  <c r="BL50" i="103"/>
  <c r="BL51" i="103"/>
  <c r="BG95" i="103"/>
  <c r="BK78" i="103"/>
  <c r="BK79" i="103"/>
  <c r="BP5" i="103"/>
  <c r="BO6" i="103"/>
  <c r="BK52" i="103"/>
  <c r="BK56" i="103"/>
  <c r="BK53" i="103"/>
  <c r="BK54" i="103" s="1"/>
  <c r="BL77" i="103"/>
  <c r="BM27" i="103"/>
  <c r="BM28" i="103" s="1"/>
  <c r="BM29" i="103" s="1"/>
  <c r="BM30" i="103" s="1"/>
  <c r="BF96" i="103"/>
  <c r="BO74" i="103"/>
  <c r="BN75" i="103"/>
  <c r="BO25" i="103"/>
  <c r="BN26" i="103"/>
  <c r="B73" i="20"/>
  <c r="B74" i="20" s="1"/>
  <c r="B75" i="20" s="1"/>
  <c r="B76" i="20" s="1"/>
  <c r="BK57" i="103" l="1"/>
  <c r="BK62" i="103"/>
  <c r="BK63" i="103" s="1"/>
  <c r="BK69" i="103" s="1"/>
  <c r="BN49" i="103"/>
  <c r="CU73" i="103"/>
  <c r="BM31" i="103"/>
  <c r="CU38" i="103"/>
  <c r="CT24" i="103"/>
  <c r="BO45" i="103"/>
  <c r="BO48" i="103" s="1"/>
  <c r="BQ46" i="103"/>
  <c r="BP47" i="103"/>
  <c r="BM34" i="103"/>
  <c r="BM35" i="103" s="1"/>
  <c r="BM36" i="103" s="1"/>
  <c r="BQ5" i="103"/>
  <c r="BP6" i="103"/>
  <c r="BH95" i="103"/>
  <c r="BP25" i="103"/>
  <c r="BO26" i="103"/>
  <c r="BL78" i="103"/>
  <c r="BL79" i="103"/>
  <c r="BL39" i="103"/>
  <c r="BL40" i="103" s="1"/>
  <c r="BL32" i="103"/>
  <c r="BL33" i="103" s="1"/>
  <c r="BJ85" i="103"/>
  <c r="BJ90" i="103"/>
  <c r="BL52" i="103"/>
  <c r="BL56" i="103"/>
  <c r="BL53" i="103"/>
  <c r="BL54" i="103" s="1"/>
  <c r="BN27" i="103"/>
  <c r="BN28" i="103" s="1"/>
  <c r="BN29" i="103" s="1"/>
  <c r="BN30" i="103" s="1"/>
  <c r="BN76" i="103"/>
  <c r="BM77" i="103"/>
  <c r="BM50" i="103"/>
  <c r="BM51" i="103"/>
  <c r="BJ58" i="103"/>
  <c r="BI91" i="103"/>
  <c r="BI93" i="103"/>
  <c r="BI94" i="103" s="1"/>
  <c r="BH96" i="103" s="1"/>
  <c r="BO75" i="103"/>
  <c r="BP74" i="103"/>
  <c r="BK92" i="103"/>
  <c r="BK80" i="103"/>
  <c r="BK84" i="103"/>
  <c r="BK81" i="103"/>
  <c r="BK82" i="103" s="1"/>
  <c r="BI89" i="103"/>
  <c r="BI86" i="103"/>
  <c r="B78" i="20"/>
  <c r="BL57" i="103" l="1"/>
  <c r="BL62" i="103"/>
  <c r="BL63" i="103" s="1"/>
  <c r="BL69" i="103" s="1"/>
  <c r="BK85" i="103"/>
  <c r="BK90" i="103"/>
  <c r="CV73" i="103"/>
  <c r="BN77" i="103"/>
  <c r="BR46" i="103"/>
  <c r="BQ47" i="103"/>
  <c r="CV38" i="103"/>
  <c r="CU24" i="103"/>
  <c r="BM32" i="103"/>
  <c r="BM33" i="103" s="1"/>
  <c r="BM39" i="103"/>
  <c r="BM40" i="103" s="1"/>
  <c r="BM52" i="103"/>
  <c r="BM56" i="103"/>
  <c r="BM53" i="103"/>
  <c r="BM54" i="103" s="1"/>
  <c r="BL92" i="103"/>
  <c r="BL80" i="103"/>
  <c r="BL84" i="103"/>
  <c r="BL81" i="103"/>
  <c r="BL82" i="103" s="1"/>
  <c r="BP45" i="103"/>
  <c r="BP48" i="103" s="1"/>
  <c r="BI95" i="103"/>
  <c r="BM79" i="103"/>
  <c r="BM78" i="103"/>
  <c r="BO49" i="103"/>
  <c r="BP75" i="103"/>
  <c r="BQ74" i="103"/>
  <c r="BN31" i="103"/>
  <c r="BJ91" i="103"/>
  <c r="BJ93" i="103"/>
  <c r="BJ94" i="103" s="1"/>
  <c r="BI96" i="103" s="1"/>
  <c r="BO27" i="103"/>
  <c r="BO28" i="103" s="1"/>
  <c r="BO29" i="103" s="1"/>
  <c r="BO30" i="103" s="1"/>
  <c r="BR5" i="103"/>
  <c r="BQ6" i="103"/>
  <c r="BN51" i="103"/>
  <c r="BN50" i="103"/>
  <c r="BK58" i="103"/>
  <c r="BO76" i="103"/>
  <c r="BN34" i="103"/>
  <c r="BN35" i="103" s="1"/>
  <c r="BN36" i="103" s="1"/>
  <c r="BJ89" i="103"/>
  <c r="BJ86" i="103"/>
  <c r="BP26" i="103"/>
  <c r="BQ25" i="103"/>
  <c r="B79" i="20"/>
  <c r="B80" i="20" s="1"/>
  <c r="B81" i="20" s="1"/>
  <c r="B82" i="20" s="1"/>
  <c r="BQ26" i="103" l="1"/>
  <c r="BR25" i="103"/>
  <c r="BR6" i="103"/>
  <c r="BS5" i="103"/>
  <c r="BQ75" i="103"/>
  <c r="BR74" i="103"/>
  <c r="CW73" i="103"/>
  <c r="BP76" i="103"/>
  <c r="BQ45" i="103"/>
  <c r="BQ48" i="103" s="1"/>
  <c r="CW38" i="103"/>
  <c r="CV24" i="103"/>
  <c r="BP27" i="103"/>
  <c r="BP28" i="103" s="1"/>
  <c r="BP29" i="103" s="1"/>
  <c r="BP30" i="103" s="1"/>
  <c r="BO31" i="103"/>
  <c r="BO51" i="103"/>
  <c r="BO50" i="103"/>
  <c r="BP49" i="103"/>
  <c r="BM57" i="103"/>
  <c r="BM62" i="103"/>
  <c r="BM63" i="103" s="1"/>
  <c r="BM69" i="103" s="1"/>
  <c r="BO34" i="103"/>
  <c r="BO35" i="103" s="1"/>
  <c r="BO36" i="103" s="1"/>
  <c r="BK91" i="103"/>
  <c r="BK93" i="103"/>
  <c r="BK94" i="103" s="1"/>
  <c r="BJ96" i="103" s="1"/>
  <c r="BS46" i="103"/>
  <c r="BR47" i="103"/>
  <c r="BK89" i="103"/>
  <c r="BK86" i="103"/>
  <c r="BJ95" i="103"/>
  <c r="BO77" i="103"/>
  <c r="BL85" i="103"/>
  <c r="BL90" i="103"/>
  <c r="BN52" i="103"/>
  <c r="BN56" i="103"/>
  <c r="BN53" i="103"/>
  <c r="BN54" i="103" s="1"/>
  <c r="BN32" i="103"/>
  <c r="BN33" i="103" s="1"/>
  <c r="BN39" i="103"/>
  <c r="BN40" i="103" s="1"/>
  <c r="BM92" i="103"/>
  <c r="BM80" i="103"/>
  <c r="BM84" i="103"/>
  <c r="BM81" i="103"/>
  <c r="BM82" i="103" s="1"/>
  <c r="BN78" i="103"/>
  <c r="BN79" i="103"/>
  <c r="BL58" i="103"/>
  <c r="B83" i="20"/>
  <c r="B84" i="20" s="1"/>
  <c r="B85" i="20" s="1"/>
  <c r="B86" i="20" s="1"/>
  <c r="B87" i="20" s="1"/>
  <c r="B91" i="20" s="1"/>
  <c r="B92" i="20" s="1"/>
  <c r="B93" i="20" s="1"/>
  <c r="B94" i="20" s="1"/>
  <c r="B95" i="20" s="1"/>
  <c r="B96" i="20" s="1"/>
  <c r="B97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208" i="20" s="1"/>
  <c r="B209" i="20" s="1"/>
  <c r="B210" i="20" s="1"/>
  <c r="B211" i="20" s="1"/>
  <c r="B212" i="20" s="1"/>
  <c r="B213" i="20" s="1"/>
  <c r="B214" i="20" s="1"/>
  <c r="B215" i="20" s="1"/>
  <c r="B216" i="20" s="1"/>
  <c r="B217" i="20" s="1"/>
  <c r="B218" i="20" s="1"/>
  <c r="B219" i="20" s="1"/>
  <c r="B220" i="20" s="1"/>
  <c r="B221" i="20" s="1"/>
  <c r="B222" i="20" s="1"/>
  <c r="B223" i="20" s="1"/>
  <c r="B224" i="20" s="1"/>
  <c r="B225" i="20" s="1"/>
  <c r="B226" i="20" s="1"/>
  <c r="B227" i="20" s="1"/>
  <c r="B230" i="20" s="1"/>
  <c r="B231" i="20" s="1"/>
  <c r="B232" i="20" s="1"/>
  <c r="B233" i="20" s="1"/>
  <c r="B234" i="20" s="1"/>
  <c r="BM85" i="103" l="1"/>
  <c r="BM90" i="103"/>
  <c r="BR45" i="103"/>
  <c r="BR48" i="103" s="1"/>
  <c r="BO39" i="103"/>
  <c r="BO40" i="103" s="1"/>
  <c r="BO32" i="103"/>
  <c r="BO33" i="103" s="1"/>
  <c r="BQ49" i="103"/>
  <c r="BQ27" i="103"/>
  <c r="BQ28" i="103" s="1"/>
  <c r="BQ29" i="103" s="1"/>
  <c r="BQ30" i="103" s="1"/>
  <c r="BP31" i="103"/>
  <c r="BS74" i="103"/>
  <c r="BR75" i="103"/>
  <c r="CX38" i="103"/>
  <c r="CW24" i="103"/>
  <c r="BR26" i="103"/>
  <c r="BS25" i="103"/>
  <c r="BP77" i="103"/>
  <c r="BQ76" i="103"/>
  <c r="BL91" i="103"/>
  <c r="BL93" i="103"/>
  <c r="BL94" i="103" s="1"/>
  <c r="BK96" i="103" s="1"/>
  <c r="BM58" i="103"/>
  <c r="BP34" i="103"/>
  <c r="BP35" i="103" s="1"/>
  <c r="BP36" i="103" s="1"/>
  <c r="BS6" i="103"/>
  <c r="BT5" i="103"/>
  <c r="BN57" i="103"/>
  <c r="BN62" i="103"/>
  <c r="BN63" i="103" s="1"/>
  <c r="BN69" i="103" s="1"/>
  <c r="BN92" i="103"/>
  <c r="BN80" i="103"/>
  <c r="BN84" i="103"/>
  <c r="BN81" i="103"/>
  <c r="BN82" i="103" s="1"/>
  <c r="BL89" i="103"/>
  <c r="BL86" i="103"/>
  <c r="BT46" i="103"/>
  <c r="BS47" i="103"/>
  <c r="BP50" i="103"/>
  <c r="BP51" i="103"/>
  <c r="BO52" i="103"/>
  <c r="BO56" i="103"/>
  <c r="BO53" i="103"/>
  <c r="BO54" i="103" s="1"/>
  <c r="BO78" i="103"/>
  <c r="BO79" i="103"/>
  <c r="BK95" i="103"/>
  <c r="CX73" i="103"/>
  <c r="B237" i="20"/>
  <c r="B238" i="20" s="1"/>
  <c r="B239" i="20" s="1"/>
  <c r="CY73" i="103" l="1"/>
  <c r="BT74" i="103"/>
  <c r="BS75" i="103"/>
  <c r="BO57" i="103"/>
  <c r="BO62" i="103"/>
  <c r="BO63" i="103" s="1"/>
  <c r="BO69" i="103" s="1"/>
  <c r="BP79" i="103"/>
  <c r="BP78" i="103"/>
  <c r="BP39" i="103"/>
  <c r="BP40" i="103" s="1"/>
  <c r="BP32" i="103"/>
  <c r="BP33" i="103" s="1"/>
  <c r="BT47" i="103"/>
  <c r="BU46" i="103"/>
  <c r="BS26" i="103"/>
  <c r="BT25" i="103"/>
  <c r="BR49" i="103"/>
  <c r="BR27" i="103"/>
  <c r="BR28" i="103" s="1"/>
  <c r="BR29" i="103" s="1"/>
  <c r="BR30" i="103" s="1"/>
  <c r="BS45" i="103"/>
  <c r="BS48" i="103" s="1"/>
  <c r="BN58" i="103"/>
  <c r="BL95" i="103"/>
  <c r="BQ31" i="103"/>
  <c r="BO92" i="103"/>
  <c r="BO80" i="103"/>
  <c r="BO84" i="103"/>
  <c r="BO81" i="103"/>
  <c r="BO82" i="103" s="1"/>
  <c r="BN85" i="103"/>
  <c r="BN90" i="103"/>
  <c r="CY38" i="103"/>
  <c r="CX24" i="103"/>
  <c r="BQ34" i="103"/>
  <c r="BQ35" i="103" s="1"/>
  <c r="BQ36" i="103" s="1"/>
  <c r="BM91" i="103"/>
  <c r="BM93" i="103"/>
  <c r="BM94" i="103" s="1"/>
  <c r="BL96" i="103" s="1"/>
  <c r="BP52" i="103"/>
  <c r="BP56" i="103"/>
  <c r="BP53" i="103"/>
  <c r="BP54" i="103" s="1"/>
  <c r="BU5" i="103"/>
  <c r="BT6" i="103"/>
  <c r="BQ77" i="103"/>
  <c r="BR76" i="103"/>
  <c r="BQ50" i="103"/>
  <c r="BQ51" i="103"/>
  <c r="BM89" i="103"/>
  <c r="BM86" i="103"/>
  <c r="BR34" i="103" l="1"/>
  <c r="BR35" i="103" s="1"/>
  <c r="BR36" i="103" s="1"/>
  <c r="BR31" i="103"/>
  <c r="BV5" i="103"/>
  <c r="BU6" i="103"/>
  <c r="BN89" i="103"/>
  <c r="BN86" i="103"/>
  <c r="BQ79" i="103"/>
  <c r="BQ78" i="103"/>
  <c r="BU25" i="103"/>
  <c r="BT26" i="103"/>
  <c r="BU47" i="103"/>
  <c r="BV46" i="103"/>
  <c r="BO58" i="103"/>
  <c r="BT75" i="103"/>
  <c r="BU74" i="103"/>
  <c r="BT45" i="103"/>
  <c r="BT48" i="103" s="1"/>
  <c r="BM95" i="103"/>
  <c r="BO85" i="103"/>
  <c r="BO90" i="103"/>
  <c r="BS27" i="103"/>
  <c r="BS28" i="103" s="1"/>
  <c r="BS29" i="103" s="1"/>
  <c r="BS30" i="103" s="1"/>
  <c r="BS76" i="103"/>
  <c r="BQ52" i="103"/>
  <c r="BQ56" i="103"/>
  <c r="BQ53" i="103"/>
  <c r="BQ54" i="103" s="1"/>
  <c r="BP57" i="103"/>
  <c r="BP62" i="103"/>
  <c r="BP63" i="103" s="1"/>
  <c r="BP69" i="103" s="1"/>
  <c r="CZ38" i="103"/>
  <c r="CY24" i="103"/>
  <c r="BP92" i="103"/>
  <c r="BP80" i="103"/>
  <c r="BP84" i="103"/>
  <c r="BP81" i="103"/>
  <c r="BP82" i="103" s="1"/>
  <c r="CZ73" i="103"/>
  <c r="BR32" i="103"/>
  <c r="BR33" i="103" s="1"/>
  <c r="BR77" i="103"/>
  <c r="BN91" i="103"/>
  <c r="BN93" i="103"/>
  <c r="BN94" i="103" s="1"/>
  <c r="BM96" i="103" s="1"/>
  <c r="BQ39" i="103"/>
  <c r="BQ40" i="103" s="1"/>
  <c r="BQ32" i="103"/>
  <c r="BQ33" i="103" s="1"/>
  <c r="BS49" i="103"/>
  <c r="BR50" i="103"/>
  <c r="BR51" i="103"/>
  <c r="BR39" i="103" l="1"/>
  <c r="BR40" i="103" s="1"/>
  <c r="BS34" i="103"/>
  <c r="BS35" i="103" s="1"/>
  <c r="BS36" i="103" s="1"/>
  <c r="BS31" i="103"/>
  <c r="BS32" i="103" s="1"/>
  <c r="BS33" i="103" s="1"/>
  <c r="DA38" i="103"/>
  <c r="CZ24" i="103"/>
  <c r="BT27" i="103"/>
  <c r="BT28" i="103" s="1"/>
  <c r="BT29" i="103" s="1"/>
  <c r="BT30" i="103" s="1"/>
  <c r="BS50" i="103"/>
  <c r="BS51" i="103"/>
  <c r="BP85" i="103"/>
  <c r="BP90" i="103"/>
  <c r="BO91" i="103"/>
  <c r="BO93" i="103"/>
  <c r="BO94" i="103" s="1"/>
  <c r="BN96" i="103" s="1"/>
  <c r="BV25" i="103"/>
  <c r="BU26" i="103"/>
  <c r="BU45" i="103"/>
  <c r="BU48" i="103" s="1"/>
  <c r="BP58" i="103"/>
  <c r="BO86" i="103"/>
  <c r="BO89" i="103"/>
  <c r="BU75" i="103"/>
  <c r="BV74" i="103"/>
  <c r="BS77" i="103"/>
  <c r="BT76" i="103"/>
  <c r="BQ92" i="103"/>
  <c r="BQ80" i="103"/>
  <c r="BQ84" i="103"/>
  <c r="BQ81" i="103"/>
  <c r="BQ82" i="103" s="1"/>
  <c r="BQ57" i="103"/>
  <c r="BQ62" i="103"/>
  <c r="BQ63" i="103" s="1"/>
  <c r="BQ69" i="103" s="1"/>
  <c r="BN95" i="103"/>
  <c r="DA73" i="103"/>
  <c r="BV47" i="103"/>
  <c r="BW46" i="103"/>
  <c r="BR52" i="103"/>
  <c r="BR56" i="103"/>
  <c r="BR53" i="103"/>
  <c r="BR54" i="103" s="1"/>
  <c r="BR79" i="103"/>
  <c r="BR78" i="103"/>
  <c r="BT49" i="103"/>
  <c r="BW5" i="103"/>
  <c r="BV6" i="103"/>
  <c r="BS39" i="103" l="1"/>
  <c r="BS40" i="103" s="1"/>
  <c r="BX46" i="103"/>
  <c r="BW47" i="103"/>
  <c r="BQ85" i="103"/>
  <c r="BQ90" i="103"/>
  <c r="BW74" i="103"/>
  <c r="BV75" i="103"/>
  <c r="BP86" i="103"/>
  <c r="BP89" i="103"/>
  <c r="BX5" i="103"/>
  <c r="BW6" i="103"/>
  <c r="BU76" i="103"/>
  <c r="BU27" i="103"/>
  <c r="BU28" i="103" s="1"/>
  <c r="BU29" i="103" s="1"/>
  <c r="BU30" i="103" s="1"/>
  <c r="BS52" i="103"/>
  <c r="BS56" i="103"/>
  <c r="BS53" i="103"/>
  <c r="BS54" i="103" s="1"/>
  <c r="BR92" i="103"/>
  <c r="BR80" i="103"/>
  <c r="BR84" i="103"/>
  <c r="BR81" i="103"/>
  <c r="BR82" i="103" s="1"/>
  <c r="BW25" i="103"/>
  <c r="BV26" i="103"/>
  <c r="BT50" i="103"/>
  <c r="BT51" i="103"/>
  <c r="BO95" i="103"/>
  <c r="BT31" i="103"/>
  <c r="BR57" i="103"/>
  <c r="BR62" i="103"/>
  <c r="BR63" i="103" s="1"/>
  <c r="BR69" i="103" s="1"/>
  <c r="DB73" i="103"/>
  <c r="BQ58" i="103"/>
  <c r="BT77" i="103"/>
  <c r="BT34" i="103"/>
  <c r="BT35" i="103" s="1"/>
  <c r="BT36" i="103" s="1"/>
  <c r="BS78" i="103"/>
  <c r="BS79" i="103"/>
  <c r="BU49" i="103"/>
  <c r="BV45" i="103"/>
  <c r="BV48" i="103" s="1"/>
  <c r="BP91" i="103"/>
  <c r="BP93" i="103"/>
  <c r="BP94" i="103" s="1"/>
  <c r="BO96" i="103" s="1"/>
  <c r="DA24" i="103"/>
  <c r="DB38" i="103"/>
  <c r="BT39" i="103" l="1"/>
  <c r="BT40" i="103" s="1"/>
  <c r="BT32" i="103"/>
  <c r="BT33" i="103" s="1"/>
  <c r="BW75" i="103"/>
  <c r="BX74" i="103"/>
  <c r="BP95" i="103"/>
  <c r="BU50" i="103"/>
  <c r="BU51" i="103"/>
  <c r="BQ91" i="103"/>
  <c r="BQ93" i="103"/>
  <c r="BQ94" i="103" s="1"/>
  <c r="BP96" i="103" s="1"/>
  <c r="BQ89" i="103"/>
  <c r="BQ86" i="103"/>
  <c r="BR85" i="103"/>
  <c r="BR90" i="103"/>
  <c r="BS57" i="103"/>
  <c r="BS62" i="103"/>
  <c r="BS63" i="103" s="1"/>
  <c r="BS69" i="103" s="1"/>
  <c r="BV49" i="103"/>
  <c r="BW45" i="103"/>
  <c r="BW48" i="103" s="1"/>
  <c r="DC73" i="103"/>
  <c r="BT52" i="103"/>
  <c r="BT56" i="103"/>
  <c r="BT53" i="103"/>
  <c r="BT54" i="103" s="1"/>
  <c r="BU31" i="103"/>
  <c r="BY5" i="103"/>
  <c r="BX6" i="103"/>
  <c r="BU34" i="103"/>
  <c r="BU35" i="103" s="1"/>
  <c r="BU36" i="103" s="1"/>
  <c r="BV27" i="103"/>
  <c r="BV28" i="103" s="1"/>
  <c r="BV29" i="103" s="1"/>
  <c r="BV30" i="103" s="1"/>
  <c r="BU77" i="103"/>
  <c r="BY46" i="103"/>
  <c r="BX47" i="103"/>
  <c r="BS92" i="103"/>
  <c r="BS80" i="103"/>
  <c r="BS84" i="103"/>
  <c r="BS81" i="103"/>
  <c r="BS82" i="103" s="1"/>
  <c r="DC38" i="103"/>
  <c r="DB24" i="103"/>
  <c r="BT78" i="103"/>
  <c r="BT79" i="103"/>
  <c r="BR58" i="103"/>
  <c r="BX25" i="103"/>
  <c r="BW26" i="103"/>
  <c r="BV76" i="103"/>
  <c r="BW27" i="103" l="1"/>
  <c r="BW28" i="103" s="1"/>
  <c r="BW29" i="103" s="1"/>
  <c r="BW30" i="103" s="1"/>
  <c r="BR91" i="103"/>
  <c r="BR93" i="103"/>
  <c r="BR94" i="103" s="1"/>
  <c r="BQ96" i="103" s="1"/>
  <c r="BU52" i="103"/>
  <c r="BU56" i="103"/>
  <c r="BU53" i="103"/>
  <c r="BU54" i="103" s="1"/>
  <c r="BX26" i="103"/>
  <c r="BY25" i="103"/>
  <c r="BS85" i="103"/>
  <c r="BS90" i="103"/>
  <c r="BR89" i="103"/>
  <c r="BR86" i="103"/>
  <c r="BV31" i="103"/>
  <c r="DD73" i="103"/>
  <c r="BV51" i="103"/>
  <c r="BV50" i="103"/>
  <c r="BV34" i="103"/>
  <c r="BV35" i="103" s="1"/>
  <c r="BV36" i="103" s="1"/>
  <c r="BT92" i="103"/>
  <c r="BT80" i="103"/>
  <c r="BT84" i="103"/>
  <c r="BT81" i="103"/>
  <c r="BT82" i="103" s="1"/>
  <c r="BY6" i="103"/>
  <c r="BZ5" i="103"/>
  <c r="BQ95" i="103"/>
  <c r="BX75" i="103"/>
  <c r="BY74" i="103"/>
  <c r="BU39" i="103"/>
  <c r="BU40" i="103" s="1"/>
  <c r="BU32" i="103"/>
  <c r="BU33" i="103" s="1"/>
  <c r="BS58" i="103"/>
  <c r="BW76" i="103"/>
  <c r="BV77" i="103"/>
  <c r="BZ46" i="103"/>
  <c r="BY47" i="103"/>
  <c r="BX45" i="103"/>
  <c r="BX48" i="103" s="1"/>
  <c r="DD38" i="103"/>
  <c r="DC24" i="103"/>
  <c r="BU79" i="103"/>
  <c r="BU78" i="103"/>
  <c r="BT57" i="103"/>
  <c r="BT62" i="103"/>
  <c r="BT63" i="103" s="1"/>
  <c r="BT69" i="103" s="1"/>
  <c r="BW49" i="103"/>
  <c r="BV32" i="103" l="1"/>
  <c r="BV33" i="103" s="1"/>
  <c r="BV39" i="103"/>
  <c r="BV40" i="103" s="1"/>
  <c r="BU57" i="103"/>
  <c r="BU62" i="103"/>
  <c r="BU63" i="103" s="1"/>
  <c r="BU69" i="103" s="1"/>
  <c r="BT58" i="103"/>
  <c r="BU92" i="103"/>
  <c r="BU80" i="103"/>
  <c r="BU84" i="103"/>
  <c r="BU81" i="103"/>
  <c r="BU82" i="103" s="1"/>
  <c r="BY75" i="103"/>
  <c r="BZ74" i="103"/>
  <c r="BT85" i="103"/>
  <c r="BT90" i="103"/>
  <c r="BV52" i="103"/>
  <c r="BV56" i="103"/>
  <c r="BV53" i="103"/>
  <c r="BV54" i="103" s="1"/>
  <c r="BW77" i="103"/>
  <c r="BX76" i="103"/>
  <c r="BS91" i="103"/>
  <c r="BS93" i="103"/>
  <c r="BS94" i="103" s="1"/>
  <c r="BR96" i="103" s="1"/>
  <c r="BR95" i="103"/>
  <c r="DE38" i="103"/>
  <c r="DD24" i="103"/>
  <c r="BS89" i="103"/>
  <c r="BS86" i="103"/>
  <c r="CA46" i="103"/>
  <c r="BZ47" i="103"/>
  <c r="DE73" i="103"/>
  <c r="BW51" i="103"/>
  <c r="BW50" i="103"/>
  <c r="BY26" i="103"/>
  <c r="BZ25" i="103"/>
  <c r="BX49" i="103"/>
  <c r="BV78" i="103"/>
  <c r="BV79" i="103"/>
  <c r="BZ6" i="103"/>
  <c r="CA5" i="103"/>
  <c r="BX27" i="103"/>
  <c r="BX28" i="103" s="1"/>
  <c r="BX29" i="103" s="1"/>
  <c r="BX30" i="103" s="1"/>
  <c r="BW31" i="103"/>
  <c r="BY45" i="103"/>
  <c r="BY48" i="103" s="1"/>
  <c r="BW34" i="103"/>
  <c r="BW35" i="103" s="1"/>
  <c r="BW36" i="103" s="1"/>
  <c r="BX34" i="103" l="1"/>
  <c r="BX35" i="103" s="1"/>
  <c r="BX36" i="103" s="1"/>
  <c r="CA6" i="103"/>
  <c r="CB5" i="103"/>
  <c r="BY49" i="103"/>
  <c r="BX50" i="103"/>
  <c r="BX51" i="103"/>
  <c r="DF38" i="103"/>
  <c r="DE24" i="103"/>
  <c r="BT89" i="103"/>
  <c r="BT86" i="103"/>
  <c r="BW78" i="103"/>
  <c r="BW79" i="103"/>
  <c r="CA74" i="103"/>
  <c r="BZ75" i="103"/>
  <c r="BV92" i="103"/>
  <c r="BV80" i="103"/>
  <c r="BV84" i="103"/>
  <c r="BV81" i="103"/>
  <c r="BV82" i="103" s="1"/>
  <c r="BZ26" i="103"/>
  <c r="CA25" i="103"/>
  <c r="CB46" i="103"/>
  <c r="CA47" i="103"/>
  <c r="BY76" i="103"/>
  <c r="BW32" i="103"/>
  <c r="BW33" i="103" s="1"/>
  <c r="BW39" i="103"/>
  <c r="BW40" i="103" s="1"/>
  <c r="BY27" i="103"/>
  <c r="BY28" i="103" s="1"/>
  <c r="BY29" i="103" s="1"/>
  <c r="BY30" i="103" s="1"/>
  <c r="BS95" i="103"/>
  <c r="BU58" i="103"/>
  <c r="BT91" i="103"/>
  <c r="BT93" i="103"/>
  <c r="BT94" i="103" s="1"/>
  <c r="BS96" i="103" s="1"/>
  <c r="BV57" i="103"/>
  <c r="BV62" i="103"/>
  <c r="BV63" i="103" s="1"/>
  <c r="BV69" i="103" s="1"/>
  <c r="BU85" i="103"/>
  <c r="BU90" i="103"/>
  <c r="BZ45" i="103"/>
  <c r="BZ48" i="103" s="1"/>
  <c r="DF73" i="103"/>
  <c r="BX31" i="103"/>
  <c r="BW52" i="103"/>
  <c r="BW56" i="103"/>
  <c r="BW53" i="103"/>
  <c r="BW54" i="103" s="1"/>
  <c r="BX77" i="103"/>
  <c r="BY31" i="103" l="1"/>
  <c r="BY32" i="103" s="1"/>
  <c r="BY33" i="103" s="1"/>
  <c r="BU91" i="103"/>
  <c r="BU93" i="103"/>
  <c r="BU94" i="103" s="1"/>
  <c r="BT96" i="103" s="1"/>
  <c r="BZ27" i="103"/>
  <c r="BZ28" i="103" s="1"/>
  <c r="BZ29" i="103" s="1"/>
  <c r="BZ30" i="103" s="1"/>
  <c r="BY50" i="103"/>
  <c r="BY51" i="103"/>
  <c r="BX39" i="103"/>
  <c r="BX40" i="103" s="1"/>
  <c r="BX32" i="103"/>
  <c r="BX33" i="103" s="1"/>
  <c r="BU89" i="103"/>
  <c r="BU86" i="103"/>
  <c r="BZ76" i="103"/>
  <c r="CC5" i="103"/>
  <c r="CB6" i="103"/>
  <c r="BX79" i="103"/>
  <c r="BX78" i="103"/>
  <c r="BY77" i="103"/>
  <c r="CB74" i="103"/>
  <c r="CA75" i="103"/>
  <c r="BV58" i="103"/>
  <c r="BT95" i="103"/>
  <c r="BY34" i="103"/>
  <c r="BY35" i="103" s="1"/>
  <c r="BY36" i="103" s="1"/>
  <c r="BV85" i="103"/>
  <c r="BV90" i="103"/>
  <c r="BW92" i="103"/>
  <c r="BW80" i="103"/>
  <c r="BW84" i="103"/>
  <c r="BW81" i="103"/>
  <c r="BW82" i="103" s="1"/>
  <c r="DG38" i="103"/>
  <c r="DF24" i="103"/>
  <c r="DG73" i="103"/>
  <c r="BZ49" i="103"/>
  <c r="BX52" i="103"/>
  <c r="BX56" i="103"/>
  <c r="BX53" i="103"/>
  <c r="BX54" i="103" s="1"/>
  <c r="BW57" i="103"/>
  <c r="BW62" i="103"/>
  <c r="BW63" i="103" s="1"/>
  <c r="BW69" i="103" s="1"/>
  <c r="CA45" i="103"/>
  <c r="CA48" i="103" s="1"/>
  <c r="CB47" i="103"/>
  <c r="CC46" i="103"/>
  <c r="CA26" i="103"/>
  <c r="CB25" i="103"/>
  <c r="BY39" i="103" l="1"/>
  <c r="BY40" i="103" s="1"/>
  <c r="DH73" i="103"/>
  <c r="CC47" i="103"/>
  <c r="CD46" i="103"/>
  <c r="BV89" i="103"/>
  <c r="BV86" i="103"/>
  <c r="BX92" i="103"/>
  <c r="BX80" i="103"/>
  <c r="BX84" i="103"/>
  <c r="BX81" i="103"/>
  <c r="BX82" i="103" s="1"/>
  <c r="BV91" i="103"/>
  <c r="BV93" i="103"/>
  <c r="BV94" i="103" s="1"/>
  <c r="DH38" i="103"/>
  <c r="DG24" i="103"/>
  <c r="CA76" i="103"/>
  <c r="BX57" i="103"/>
  <c r="BX62" i="103"/>
  <c r="BX63" i="103" s="1"/>
  <c r="BX69" i="103" s="1"/>
  <c r="CB45" i="103"/>
  <c r="CB48" i="103" s="1"/>
  <c r="CB75" i="103"/>
  <c r="CC74" i="103"/>
  <c r="CD5" i="103"/>
  <c r="CC6" i="103"/>
  <c r="BZ31" i="103"/>
  <c r="CA49" i="103"/>
  <c r="CC25" i="103"/>
  <c r="CB26" i="103"/>
  <c r="BZ50" i="103"/>
  <c r="BZ51" i="103"/>
  <c r="BW85" i="103"/>
  <c r="BW90" i="103"/>
  <c r="BY79" i="103"/>
  <c r="BY78" i="103"/>
  <c r="BZ34" i="103"/>
  <c r="BZ35" i="103" s="1"/>
  <c r="BZ36" i="103" s="1"/>
  <c r="BW58" i="103"/>
  <c r="BZ77" i="103"/>
  <c r="BY52" i="103"/>
  <c r="BY56" i="103"/>
  <c r="BY53" i="103"/>
  <c r="BY54" i="103" s="1"/>
  <c r="CA27" i="103"/>
  <c r="CA28" i="103" s="1"/>
  <c r="CA29" i="103" s="1"/>
  <c r="CA30" i="103" s="1"/>
  <c r="BU95" i="103"/>
  <c r="CA34" i="103" l="1"/>
  <c r="CA35" i="103" s="1"/>
  <c r="CA36" i="103" s="1"/>
  <c r="CA31" i="103"/>
  <c r="CA32" i="103" s="1"/>
  <c r="CA33" i="103" s="1"/>
  <c r="BZ52" i="103"/>
  <c r="BZ56" i="103"/>
  <c r="BZ53" i="103"/>
  <c r="BZ54" i="103" s="1"/>
  <c r="BV95" i="103"/>
  <c r="BU96" i="103"/>
  <c r="BY57" i="103"/>
  <c r="BY62" i="103"/>
  <c r="BY63" i="103" s="1"/>
  <c r="BY69" i="103" s="1"/>
  <c r="CB27" i="103"/>
  <c r="CB28" i="103" s="1"/>
  <c r="CB29" i="103" s="1"/>
  <c r="CB30" i="103" s="1"/>
  <c r="BX58" i="103"/>
  <c r="BZ39" i="103"/>
  <c r="BZ40" i="103" s="1"/>
  <c r="BZ32" i="103"/>
  <c r="BZ33" i="103" s="1"/>
  <c r="CD25" i="103"/>
  <c r="CC26" i="103"/>
  <c r="CD6" i="103"/>
  <c r="CE5" i="103"/>
  <c r="CA50" i="103"/>
  <c r="CA51" i="103"/>
  <c r="CC75" i="103"/>
  <c r="CD74" i="103"/>
  <c r="BX85" i="103"/>
  <c r="BX90" i="103"/>
  <c r="BZ79" i="103"/>
  <c r="BZ78" i="103"/>
  <c r="BY92" i="103"/>
  <c r="BY80" i="103"/>
  <c r="BY84" i="103"/>
  <c r="BY81" i="103"/>
  <c r="BY82" i="103" s="1"/>
  <c r="CB76" i="103"/>
  <c r="CA77" i="103"/>
  <c r="CD47" i="103"/>
  <c r="CE46" i="103"/>
  <c r="DH24" i="103"/>
  <c r="DI38" i="103"/>
  <c r="BW91" i="103"/>
  <c r="BW93" i="103"/>
  <c r="BW94" i="103" s="1"/>
  <c r="BV96" i="103" s="1"/>
  <c r="CB49" i="103"/>
  <c r="BW86" i="103"/>
  <c r="BW89" i="103"/>
  <c r="CC45" i="103"/>
  <c r="CC48" i="103" s="1"/>
  <c r="DI73" i="103"/>
  <c r="CA39" i="103" l="1"/>
  <c r="CA40" i="103" s="1"/>
  <c r="BY58" i="103"/>
  <c r="BX86" i="103"/>
  <c r="BX89" i="103"/>
  <c r="CC76" i="103"/>
  <c r="CE25" i="103"/>
  <c r="CD26" i="103"/>
  <c r="CF46" i="103"/>
  <c r="CE47" i="103"/>
  <c r="CE74" i="103"/>
  <c r="CD75" i="103"/>
  <c r="CA78" i="103"/>
  <c r="CA79" i="103"/>
  <c r="CD45" i="103"/>
  <c r="CD48" i="103" s="1"/>
  <c r="CA52" i="103"/>
  <c r="CA56" i="103"/>
  <c r="CA53" i="103"/>
  <c r="CA54" i="103" s="1"/>
  <c r="CB31" i="103"/>
  <c r="CC49" i="103"/>
  <c r="BW95" i="103"/>
  <c r="CB77" i="103"/>
  <c r="BZ92" i="103"/>
  <c r="BZ80" i="103"/>
  <c r="BZ84" i="103"/>
  <c r="BZ81" i="103"/>
  <c r="BZ82" i="103" s="1"/>
  <c r="CB34" i="103"/>
  <c r="CB35" i="103" s="1"/>
  <c r="CB36" i="103" s="1"/>
  <c r="CC27" i="103"/>
  <c r="CC28" i="103" s="1"/>
  <c r="CC29" i="103" s="1"/>
  <c r="CC30" i="103" s="1"/>
  <c r="CB50" i="103"/>
  <c r="CB51" i="103"/>
  <c r="DJ73" i="103"/>
  <c r="BZ57" i="103"/>
  <c r="BZ62" i="103"/>
  <c r="BZ63" i="103" s="1"/>
  <c r="BZ69" i="103" s="1"/>
  <c r="DI24" i="103"/>
  <c r="DJ38" i="103"/>
  <c r="BY85" i="103"/>
  <c r="BY90" i="103"/>
  <c r="BX91" i="103"/>
  <c r="BX93" i="103"/>
  <c r="BX94" i="103" s="1"/>
  <c r="CF5" i="103"/>
  <c r="CE6" i="103"/>
  <c r="CD27" i="103" l="1"/>
  <c r="CD28" i="103" s="1"/>
  <c r="CD29" i="103" s="1"/>
  <c r="CD30" i="103" s="1"/>
  <c r="CG5" i="103"/>
  <c r="CF6" i="103"/>
  <c r="CC31" i="103"/>
  <c r="CB39" i="103"/>
  <c r="CB40" i="103" s="1"/>
  <c r="CB32" i="103"/>
  <c r="CB33" i="103" s="1"/>
  <c r="CA92" i="103"/>
  <c r="CA80" i="103"/>
  <c r="CA84" i="103"/>
  <c r="CA81" i="103"/>
  <c r="CA82" i="103" s="1"/>
  <c r="CF25" i="103"/>
  <c r="CE26" i="103"/>
  <c r="BX95" i="103"/>
  <c r="CC34" i="103"/>
  <c r="CC35" i="103" s="1"/>
  <c r="CC36" i="103" s="1"/>
  <c r="CB78" i="103"/>
  <c r="CB79" i="103"/>
  <c r="CC77" i="103"/>
  <c r="DK38" i="103"/>
  <c r="DJ24" i="103"/>
  <c r="CA57" i="103"/>
  <c r="CA62" i="103"/>
  <c r="CA63" i="103" s="1"/>
  <c r="CA69" i="103" s="1"/>
  <c r="CD76" i="103"/>
  <c r="CE75" i="103"/>
  <c r="CF74" i="103"/>
  <c r="BY91" i="103"/>
  <c r="BY93" i="103"/>
  <c r="BY94" i="103" s="1"/>
  <c r="BX96" i="103" s="1"/>
  <c r="BW96" i="103"/>
  <c r="DK73" i="103"/>
  <c r="BZ58" i="103"/>
  <c r="CB52" i="103"/>
  <c r="CB56" i="103"/>
  <c r="CB53" i="103"/>
  <c r="CB54" i="103" s="1"/>
  <c r="BZ85" i="103"/>
  <c r="BZ90" i="103"/>
  <c r="CD49" i="103"/>
  <c r="BY89" i="103"/>
  <c r="BY86" i="103"/>
  <c r="CC50" i="103"/>
  <c r="CC51" i="103"/>
  <c r="CE45" i="103"/>
  <c r="CE48" i="103" s="1"/>
  <c r="CG46" i="103"/>
  <c r="CF47" i="103"/>
  <c r="CC52" i="103" l="1"/>
  <c r="CC56" i="103"/>
  <c r="CC53" i="103"/>
  <c r="CC54" i="103" s="1"/>
  <c r="CD51" i="103"/>
  <c r="CD50" i="103"/>
  <c r="CF75" i="103"/>
  <c r="CG74" i="103"/>
  <c r="CA85" i="103"/>
  <c r="CA90" i="103"/>
  <c r="BZ91" i="103"/>
  <c r="BZ93" i="103"/>
  <c r="BZ94" i="103" s="1"/>
  <c r="BY96" i="103" s="1"/>
  <c r="DL73" i="103"/>
  <c r="CD77" i="103"/>
  <c r="BZ89" i="103"/>
  <c r="BZ86" i="103"/>
  <c r="DL38" i="103"/>
  <c r="DK24" i="103"/>
  <c r="CG6" i="103"/>
  <c r="CH5" i="103"/>
  <c r="CF26" i="103"/>
  <c r="CG25" i="103"/>
  <c r="CH46" i="103"/>
  <c r="CG47" i="103"/>
  <c r="CC32" i="103"/>
  <c r="CC33" i="103" s="1"/>
  <c r="CC39" i="103"/>
  <c r="CC40" i="103" s="1"/>
  <c r="CF45" i="103"/>
  <c r="CF48" i="103" s="1"/>
  <c r="CB57" i="103"/>
  <c r="CB62" i="103"/>
  <c r="CB63" i="103" s="1"/>
  <c r="CB69" i="103" s="1"/>
  <c r="CA58" i="103"/>
  <c r="CD31" i="103"/>
  <c r="CB92" i="103"/>
  <c r="CB80" i="103"/>
  <c r="CB84" i="103"/>
  <c r="CB81" i="103"/>
  <c r="CB82" i="103" s="1"/>
  <c r="CE76" i="103"/>
  <c r="CE49" i="103"/>
  <c r="BY95" i="103"/>
  <c r="CC79" i="103"/>
  <c r="CC78" i="103"/>
  <c r="CE27" i="103"/>
  <c r="CE28" i="103" s="1"/>
  <c r="CE29" i="103" s="1"/>
  <c r="CE30" i="103" s="1"/>
  <c r="CD34" i="103"/>
  <c r="CD35" i="103" s="1"/>
  <c r="CD36" i="103" s="1"/>
  <c r="CE34" i="103" l="1"/>
  <c r="CE35" i="103" s="1"/>
  <c r="CE36" i="103" s="1"/>
  <c r="CG75" i="103"/>
  <c r="CH74" i="103"/>
  <c r="CF76" i="103"/>
  <c r="BZ95" i="103"/>
  <c r="CB58" i="103"/>
  <c r="CG45" i="103"/>
  <c r="CG48" i="103" s="1"/>
  <c r="DM38" i="103"/>
  <c r="DL24" i="103"/>
  <c r="CD52" i="103"/>
  <c r="CD56" i="103"/>
  <c r="CD53" i="103"/>
  <c r="CD54" i="103" s="1"/>
  <c r="CF49" i="103"/>
  <c r="CI46" i="103"/>
  <c r="CH47" i="103"/>
  <c r="CA91" i="103"/>
  <c r="CA93" i="103"/>
  <c r="CA94" i="103" s="1"/>
  <c r="CB85" i="103"/>
  <c r="CB90" i="103"/>
  <c r="CD78" i="103"/>
  <c r="CD79" i="103"/>
  <c r="CA89" i="103"/>
  <c r="CA86" i="103"/>
  <c r="CC57" i="103"/>
  <c r="CC62" i="103"/>
  <c r="CC63" i="103" s="1"/>
  <c r="CC69" i="103" s="1"/>
  <c r="CC92" i="103"/>
  <c r="CC80" i="103"/>
  <c r="CC84" i="103"/>
  <c r="CC81" i="103"/>
  <c r="CC82" i="103" s="1"/>
  <c r="CE51" i="103"/>
  <c r="CE50" i="103"/>
  <c r="CG26" i="103"/>
  <c r="CH25" i="103"/>
  <c r="CE31" i="103"/>
  <c r="CD32" i="103"/>
  <c r="CD33" i="103" s="1"/>
  <c r="CD39" i="103"/>
  <c r="CD40" i="103" s="1"/>
  <c r="CF27" i="103"/>
  <c r="CF28" i="103" s="1"/>
  <c r="CF29" i="103" s="1"/>
  <c r="CF30" i="103" s="1"/>
  <c r="CE77" i="103"/>
  <c r="CH6" i="103"/>
  <c r="CI5" i="103"/>
  <c r="DM73" i="103"/>
  <c r="CF31" i="103" l="1"/>
  <c r="CF32" i="103" s="1"/>
  <c r="CF33" i="103" s="1"/>
  <c r="DN73" i="103"/>
  <c r="CC58" i="103"/>
  <c r="CA95" i="103"/>
  <c r="BZ96" i="103"/>
  <c r="CE52" i="103"/>
  <c r="CE56" i="103"/>
  <c r="CE53" i="103"/>
  <c r="CE54" i="103" s="1"/>
  <c r="CF34" i="103"/>
  <c r="CF35" i="103" s="1"/>
  <c r="CF36" i="103" s="1"/>
  <c r="CC85" i="103"/>
  <c r="CC90" i="103"/>
  <c r="CD92" i="103"/>
  <c r="CD80" i="103"/>
  <c r="CD84" i="103"/>
  <c r="CD81" i="103"/>
  <c r="CD82" i="103" s="1"/>
  <c r="CJ46" i="103"/>
  <c r="CI47" i="103"/>
  <c r="DN38" i="103"/>
  <c r="DM24" i="103"/>
  <c r="CI74" i="103"/>
  <c r="CH75" i="103"/>
  <c r="CF50" i="103"/>
  <c r="CF51" i="103"/>
  <c r="CH45" i="103"/>
  <c r="CH48" i="103" s="1"/>
  <c r="CG76" i="103"/>
  <c r="CE78" i="103"/>
  <c r="CE79" i="103"/>
  <c r="CE39" i="103"/>
  <c r="CE40" i="103" s="1"/>
  <c r="CE32" i="103"/>
  <c r="CE33" i="103" s="1"/>
  <c r="CG49" i="103"/>
  <c r="CF77" i="103"/>
  <c r="CI6" i="103"/>
  <c r="CJ5" i="103"/>
  <c r="CH26" i="103"/>
  <c r="CI25" i="103"/>
  <c r="CB91" i="103"/>
  <c r="CB93" i="103"/>
  <c r="CB94" i="103" s="1"/>
  <c r="CA96" i="103" s="1"/>
  <c r="CG27" i="103"/>
  <c r="CG28" i="103" s="1"/>
  <c r="CG29" i="103" s="1"/>
  <c r="CG30" i="103" s="1"/>
  <c r="CB89" i="103"/>
  <c r="CB86" i="103"/>
  <c r="CD57" i="103"/>
  <c r="CD62" i="103"/>
  <c r="CD63" i="103" s="1"/>
  <c r="CD69" i="103" s="1"/>
  <c r="CF39" i="103" l="1"/>
  <c r="CF40" i="103" s="1"/>
  <c r="CI26" i="103"/>
  <c r="CJ25" i="103"/>
  <c r="CG50" i="103"/>
  <c r="CG51" i="103"/>
  <c r="CG77" i="103"/>
  <c r="CJ74" i="103"/>
  <c r="CI75" i="103"/>
  <c r="CH27" i="103"/>
  <c r="CH28" i="103" s="1"/>
  <c r="CH29" i="103" s="1"/>
  <c r="CH30" i="103" s="1"/>
  <c r="CH49" i="103"/>
  <c r="CC91" i="103"/>
  <c r="CC93" i="103"/>
  <c r="CC94" i="103" s="1"/>
  <c r="CB96" i="103" s="1"/>
  <c r="CI45" i="103"/>
  <c r="CI48" i="103" s="1"/>
  <c r="CC89" i="103"/>
  <c r="CC86" i="103"/>
  <c r="DO38" i="103"/>
  <c r="DN24" i="103"/>
  <c r="CG34" i="103"/>
  <c r="CG35" i="103" s="1"/>
  <c r="CG36" i="103" s="1"/>
  <c r="CK5" i="103"/>
  <c r="CJ6" i="103"/>
  <c r="CE92" i="103"/>
  <c r="CE80" i="103"/>
  <c r="CE84" i="103"/>
  <c r="CE81" i="103"/>
  <c r="CE82" i="103" s="1"/>
  <c r="CJ47" i="103"/>
  <c r="CK46" i="103"/>
  <c r="CH76" i="103"/>
  <c r="CG31" i="103"/>
  <c r="CF52" i="103"/>
  <c r="CF56" i="103"/>
  <c r="CF53" i="103"/>
  <c r="CF54" i="103" s="1"/>
  <c r="DO73" i="103"/>
  <c r="CE57" i="103"/>
  <c r="CE62" i="103"/>
  <c r="CE63" i="103" s="1"/>
  <c r="CE69" i="103" s="1"/>
  <c r="CD58" i="103"/>
  <c r="CB95" i="103"/>
  <c r="CF79" i="103"/>
  <c r="CF78" i="103"/>
  <c r="CD85" i="103"/>
  <c r="CD90" i="103"/>
  <c r="CD91" i="103" l="1"/>
  <c r="CD93" i="103"/>
  <c r="CD94" i="103" s="1"/>
  <c r="CC96" i="103" s="1"/>
  <c r="CJ45" i="103"/>
  <c r="CJ48" i="103" s="1"/>
  <c r="CG52" i="103"/>
  <c r="CG56" i="103"/>
  <c r="CG53" i="103"/>
  <c r="CG54" i="103" s="1"/>
  <c r="CD89" i="103"/>
  <c r="CD86" i="103"/>
  <c r="CE58" i="103"/>
  <c r="CG39" i="103"/>
  <c r="CG40" i="103" s="1"/>
  <c r="CG32" i="103"/>
  <c r="CG33" i="103" s="1"/>
  <c r="CE85" i="103"/>
  <c r="CE90" i="103"/>
  <c r="DP38" i="103"/>
  <c r="DO24" i="103"/>
  <c r="CH31" i="103"/>
  <c r="CK25" i="103"/>
  <c r="CJ26" i="103"/>
  <c r="CF92" i="103"/>
  <c r="CF80" i="103"/>
  <c r="CF84" i="103"/>
  <c r="CF81" i="103"/>
  <c r="CF82" i="103" s="1"/>
  <c r="DP73" i="103"/>
  <c r="CH77" i="103"/>
  <c r="CC95" i="103"/>
  <c r="CH34" i="103"/>
  <c r="CH35" i="103" s="1"/>
  <c r="CH36" i="103" s="1"/>
  <c r="CI27" i="103"/>
  <c r="CI28" i="103" s="1"/>
  <c r="CI29" i="103" s="1"/>
  <c r="CI30" i="103" s="1"/>
  <c r="CI76" i="103"/>
  <c r="CH50" i="103"/>
  <c r="CH51" i="103"/>
  <c r="CJ75" i="103"/>
  <c r="CK74" i="103"/>
  <c r="CF57" i="103"/>
  <c r="CF62" i="103"/>
  <c r="CF63" i="103" s="1"/>
  <c r="CF69" i="103" s="1"/>
  <c r="CI49" i="103"/>
  <c r="CG79" i="103"/>
  <c r="CG78" i="103"/>
  <c r="CK47" i="103"/>
  <c r="CL46" i="103"/>
  <c r="CL5" i="103"/>
  <c r="CK6" i="103"/>
  <c r="CE91" i="103" l="1"/>
  <c r="CE93" i="103"/>
  <c r="CE94" i="103" s="1"/>
  <c r="CD96" i="103" s="1"/>
  <c r="CK45" i="103"/>
  <c r="CK48" i="103" s="1"/>
  <c r="CF85" i="103"/>
  <c r="CF90" i="103"/>
  <c r="CL47" i="103"/>
  <c r="CM46" i="103"/>
  <c r="CF58" i="103"/>
  <c r="DQ73" i="103"/>
  <c r="CJ27" i="103"/>
  <c r="CJ28" i="103" s="1"/>
  <c r="CJ29" i="103" s="1"/>
  <c r="CJ30" i="103" s="1"/>
  <c r="CD95" i="103"/>
  <c r="CJ49" i="103"/>
  <c r="CI31" i="103"/>
  <c r="CL25" i="103"/>
  <c r="CK26" i="103"/>
  <c r="CG57" i="103"/>
  <c r="CG62" i="103"/>
  <c r="CG63" i="103" s="1"/>
  <c r="CG69" i="103" s="1"/>
  <c r="CH52" i="103"/>
  <c r="CH56" i="103"/>
  <c r="CH53" i="103"/>
  <c r="CH54" i="103" s="1"/>
  <c r="DQ38" i="103"/>
  <c r="DP24" i="103"/>
  <c r="CE89" i="103"/>
  <c r="CE86" i="103"/>
  <c r="CG92" i="103"/>
  <c r="CG80" i="103"/>
  <c r="CG84" i="103"/>
  <c r="CG81" i="103"/>
  <c r="CG82" i="103" s="1"/>
  <c r="CK75" i="103"/>
  <c r="CL74" i="103"/>
  <c r="CI34" i="103"/>
  <c r="CI35" i="103" s="1"/>
  <c r="CI36" i="103" s="1"/>
  <c r="CH39" i="103"/>
  <c r="CH40" i="103" s="1"/>
  <c r="CH32" i="103"/>
  <c r="CH33" i="103" s="1"/>
  <c r="CM5" i="103"/>
  <c r="CL6" i="103"/>
  <c r="CI77" i="103"/>
  <c r="CH79" i="103"/>
  <c r="CH78" i="103"/>
  <c r="CI50" i="103"/>
  <c r="CI51" i="103"/>
  <c r="CJ76" i="103"/>
  <c r="CJ31" i="103" l="1"/>
  <c r="CJ32" i="103" s="1"/>
  <c r="CJ33" i="103" s="1"/>
  <c r="CJ34" i="103"/>
  <c r="CJ35" i="103" s="1"/>
  <c r="CJ36" i="103" s="1"/>
  <c r="CK76" i="103"/>
  <c r="CF91" i="103"/>
  <c r="CF93" i="103"/>
  <c r="CF94" i="103" s="1"/>
  <c r="CE96" i="103" s="1"/>
  <c r="CF86" i="103"/>
  <c r="CF89" i="103"/>
  <c r="CG85" i="103"/>
  <c r="CG90" i="103"/>
  <c r="CK27" i="103"/>
  <c r="CK28" i="103" s="1"/>
  <c r="CK29" i="103" s="1"/>
  <c r="CK30" i="103" s="1"/>
  <c r="CJ50" i="103"/>
  <c r="CJ51" i="103"/>
  <c r="DR73" i="103"/>
  <c r="CK49" i="103"/>
  <c r="CG58" i="103"/>
  <c r="CI52" i="103"/>
  <c r="CI56" i="103"/>
  <c r="CI53" i="103"/>
  <c r="CI54" i="103" s="1"/>
  <c r="CN5" i="103"/>
  <c r="CM6" i="103"/>
  <c r="DR38" i="103"/>
  <c r="DQ24" i="103"/>
  <c r="CM25" i="103"/>
  <c r="CL26" i="103"/>
  <c r="CL45" i="103"/>
  <c r="CL48" i="103" s="1"/>
  <c r="CJ39" i="103"/>
  <c r="CJ40" i="103" s="1"/>
  <c r="CI78" i="103"/>
  <c r="CI79" i="103"/>
  <c r="CJ77" i="103"/>
  <c r="CH92" i="103"/>
  <c r="CH80" i="103"/>
  <c r="CH84" i="103"/>
  <c r="CH81" i="103"/>
  <c r="CH82" i="103" s="1"/>
  <c r="CH57" i="103"/>
  <c r="CH62" i="103"/>
  <c r="CH63" i="103" s="1"/>
  <c r="CH69" i="103" s="1"/>
  <c r="CI39" i="103"/>
  <c r="CI40" i="103" s="1"/>
  <c r="CI32" i="103"/>
  <c r="CI33" i="103" s="1"/>
  <c r="CE95" i="103"/>
  <c r="CM74" i="103"/>
  <c r="CL75" i="103"/>
  <c r="CN46" i="103"/>
  <c r="CM47" i="103"/>
  <c r="CK31" i="103" l="1"/>
  <c r="CK32" i="103" s="1"/>
  <c r="CK33" i="103" s="1"/>
  <c r="CK34" i="103"/>
  <c r="CK35" i="103" s="1"/>
  <c r="CK36" i="103" s="1"/>
  <c r="CO5" i="103"/>
  <c r="CN6" i="103"/>
  <c r="CI57" i="103"/>
  <c r="CI62" i="103"/>
  <c r="CI63" i="103" s="1"/>
  <c r="CI69" i="103" s="1"/>
  <c r="CH58" i="103"/>
  <c r="CJ78" i="103"/>
  <c r="CJ79" i="103"/>
  <c r="CL76" i="103"/>
  <c r="CL27" i="103"/>
  <c r="CL28" i="103" s="1"/>
  <c r="CL29" i="103" s="1"/>
  <c r="CL30" i="103" s="1"/>
  <c r="CG91" i="103"/>
  <c r="CG93" i="103"/>
  <c r="CG94" i="103" s="1"/>
  <c r="CF96" i="103" s="1"/>
  <c r="CM45" i="103"/>
  <c r="CM48" i="103" s="1"/>
  <c r="DS73" i="103"/>
  <c r="CM75" i="103"/>
  <c r="CN74" i="103"/>
  <c r="CI92" i="103"/>
  <c r="CI80" i="103"/>
  <c r="CI84" i="103"/>
  <c r="CI81" i="103"/>
  <c r="CI82" i="103" s="1"/>
  <c r="CN25" i="103"/>
  <c r="CM26" i="103"/>
  <c r="CJ52" i="103"/>
  <c r="CJ56" i="103"/>
  <c r="CJ53" i="103"/>
  <c r="CJ54" i="103" s="1"/>
  <c r="CG89" i="103"/>
  <c r="CG86" i="103"/>
  <c r="CF95" i="103"/>
  <c r="CL49" i="103"/>
  <c r="CK77" i="103"/>
  <c r="CH85" i="103"/>
  <c r="CH90" i="103"/>
  <c r="DS38" i="103"/>
  <c r="DR24" i="103"/>
  <c r="CO46" i="103"/>
  <c r="CN47" i="103"/>
  <c r="CK50" i="103"/>
  <c r="CK51" i="103"/>
  <c r="CK39" i="103" l="1"/>
  <c r="CK40" i="103" s="1"/>
  <c r="CK52" i="103"/>
  <c r="CK56" i="103"/>
  <c r="CK53" i="103"/>
  <c r="CK54" i="103" s="1"/>
  <c r="CH89" i="103"/>
  <c r="CH86" i="103"/>
  <c r="CJ57" i="103"/>
  <c r="CJ62" i="103"/>
  <c r="CJ63" i="103" s="1"/>
  <c r="CJ69" i="103" s="1"/>
  <c r="CL31" i="103"/>
  <c r="CL51" i="103"/>
  <c r="CL50" i="103"/>
  <c r="CL34" i="103"/>
  <c r="CL35" i="103" s="1"/>
  <c r="CL36" i="103" s="1"/>
  <c r="CN45" i="103"/>
  <c r="CN48" i="103" s="1"/>
  <c r="CP46" i="103"/>
  <c r="CO47" i="103"/>
  <c r="CM27" i="103"/>
  <c r="CM28" i="103" s="1"/>
  <c r="CM29" i="103" s="1"/>
  <c r="CM30" i="103" s="1"/>
  <c r="CM49" i="103"/>
  <c r="CI58" i="103"/>
  <c r="CK79" i="103"/>
  <c r="CK78" i="103"/>
  <c r="CN26" i="103"/>
  <c r="CO25" i="103"/>
  <c r="CN75" i="103"/>
  <c r="CO74" i="103"/>
  <c r="CL77" i="103"/>
  <c r="DT38" i="103"/>
  <c r="DS24" i="103"/>
  <c r="CM76" i="103"/>
  <c r="CG95" i="103"/>
  <c r="CH91" i="103"/>
  <c r="CH93" i="103"/>
  <c r="CH94" i="103" s="1"/>
  <c r="CI85" i="103"/>
  <c r="CI90" i="103"/>
  <c r="DT73" i="103"/>
  <c r="CJ92" i="103"/>
  <c r="CJ80" i="103"/>
  <c r="CJ84" i="103"/>
  <c r="CJ81" i="103"/>
  <c r="CJ82" i="103" s="1"/>
  <c r="CP5" i="103"/>
  <c r="CO6" i="103"/>
  <c r="CJ85" i="103" l="1"/>
  <c r="CJ90" i="103"/>
  <c r="CO45" i="103"/>
  <c r="CO48" i="103" s="1"/>
  <c r="CI91" i="103"/>
  <c r="CI93" i="103"/>
  <c r="CI94" i="103" s="1"/>
  <c r="CH96" i="103" s="1"/>
  <c r="CM51" i="103"/>
  <c r="CM50" i="103"/>
  <c r="CN27" i="103"/>
  <c r="CN28" i="103" s="1"/>
  <c r="CN29" i="103" s="1"/>
  <c r="CN30" i="103" s="1"/>
  <c r="CQ46" i="103"/>
  <c r="CP47" i="103"/>
  <c r="CN49" i="103"/>
  <c r="CL78" i="103"/>
  <c r="CL79" i="103"/>
  <c r="CL52" i="103"/>
  <c r="CL56" i="103"/>
  <c r="CL53" i="103"/>
  <c r="CL54" i="103" s="1"/>
  <c r="CI89" i="103"/>
  <c r="CI86" i="103"/>
  <c r="DU38" i="103"/>
  <c r="DT24" i="103"/>
  <c r="CM31" i="103"/>
  <c r="CK57" i="103"/>
  <c r="CK62" i="103"/>
  <c r="CK63" i="103" s="1"/>
  <c r="CK69" i="103" s="1"/>
  <c r="CJ58" i="103"/>
  <c r="CH95" i="103"/>
  <c r="DU73" i="103"/>
  <c r="CO75" i="103"/>
  <c r="CP74" i="103"/>
  <c r="CN76" i="103"/>
  <c r="CM34" i="103"/>
  <c r="CM35" i="103" s="1"/>
  <c r="CM36" i="103" s="1"/>
  <c r="CL32" i="103"/>
  <c r="CL33" i="103" s="1"/>
  <c r="CL39" i="103"/>
  <c r="CL40" i="103" s="1"/>
  <c r="CK92" i="103"/>
  <c r="CK80" i="103"/>
  <c r="CK84" i="103"/>
  <c r="CK81" i="103"/>
  <c r="CK82" i="103" s="1"/>
  <c r="CG96" i="103"/>
  <c r="CP6" i="103"/>
  <c r="CQ5" i="103"/>
  <c r="CM77" i="103"/>
  <c r="CO26" i="103"/>
  <c r="CP25" i="103"/>
  <c r="CN31" i="103" l="1"/>
  <c r="CN34" i="103"/>
  <c r="CN35" i="103" s="1"/>
  <c r="CN36" i="103" s="1"/>
  <c r="CO49" i="103"/>
  <c r="CQ74" i="103"/>
  <c r="CP75" i="103"/>
  <c r="CO27" i="103"/>
  <c r="CO28" i="103" s="1"/>
  <c r="CO29" i="103" s="1"/>
  <c r="CO30" i="103" s="1"/>
  <c r="CP45" i="103"/>
  <c r="CP48" i="103" s="1"/>
  <c r="CM78" i="103"/>
  <c r="CM79" i="103"/>
  <c r="CQ6" i="103"/>
  <c r="CR5" i="103"/>
  <c r="CO76" i="103"/>
  <c r="CN50" i="103"/>
  <c r="CN51" i="103"/>
  <c r="CL92" i="103"/>
  <c r="CL80" i="103"/>
  <c r="CL84" i="103"/>
  <c r="CL81" i="103"/>
  <c r="CL82" i="103" s="1"/>
  <c r="CK58" i="103"/>
  <c r="CL57" i="103"/>
  <c r="CL62" i="103"/>
  <c r="CL63" i="103" s="1"/>
  <c r="CL69" i="103" s="1"/>
  <c r="DV73" i="103"/>
  <c r="CM39" i="103"/>
  <c r="CM40" i="103" s="1"/>
  <c r="CM32" i="103"/>
  <c r="CM33" i="103" s="1"/>
  <c r="CM52" i="103"/>
  <c r="CM56" i="103"/>
  <c r="CM53" i="103"/>
  <c r="CM54" i="103" s="1"/>
  <c r="CJ91" i="103"/>
  <c r="CJ93" i="103"/>
  <c r="CJ94" i="103" s="1"/>
  <c r="CN77" i="103"/>
  <c r="CR46" i="103"/>
  <c r="CQ47" i="103"/>
  <c r="CI95" i="103"/>
  <c r="CJ89" i="103"/>
  <c r="CJ86" i="103"/>
  <c r="CP26" i="103"/>
  <c r="CQ25" i="103"/>
  <c r="CK85" i="103"/>
  <c r="CK90" i="103"/>
  <c r="DV38" i="103"/>
  <c r="DU24" i="103"/>
  <c r="CN39" i="103" l="1"/>
  <c r="CN40" i="103" s="1"/>
  <c r="CN32" i="103"/>
  <c r="CN33" i="103" s="1"/>
  <c r="CP76" i="103"/>
  <c r="CN52" i="103"/>
  <c r="CN56" i="103"/>
  <c r="CN53" i="103"/>
  <c r="CN54" i="103" s="1"/>
  <c r="CP49" i="103"/>
  <c r="CR74" i="103"/>
  <c r="CQ75" i="103"/>
  <c r="CM92" i="103"/>
  <c r="CM80" i="103"/>
  <c r="CM84" i="103"/>
  <c r="CM81" i="103"/>
  <c r="CM82" i="103" s="1"/>
  <c r="CN79" i="103"/>
  <c r="CN78" i="103"/>
  <c r="CK91" i="103"/>
  <c r="CK93" i="103"/>
  <c r="CK94" i="103" s="1"/>
  <c r="CJ95" i="103"/>
  <c r="CQ45" i="103"/>
  <c r="CQ48" i="103" s="1"/>
  <c r="CL58" i="103"/>
  <c r="CK89" i="103"/>
  <c r="CK86" i="103"/>
  <c r="CI96" i="103"/>
  <c r="DW73" i="103"/>
  <c r="CO77" i="103"/>
  <c r="CQ26" i="103"/>
  <c r="CR25" i="103"/>
  <c r="CO31" i="103"/>
  <c r="CO50" i="103"/>
  <c r="CO51" i="103"/>
  <c r="DW38" i="103"/>
  <c r="DV24" i="103"/>
  <c r="CP27" i="103"/>
  <c r="CP28" i="103" s="1"/>
  <c r="CP29" i="103" s="1"/>
  <c r="CP30" i="103" s="1"/>
  <c r="CR47" i="103"/>
  <c r="CS46" i="103"/>
  <c r="CM57" i="103"/>
  <c r="CM62" i="103"/>
  <c r="CM63" i="103" s="1"/>
  <c r="CM69" i="103" s="1"/>
  <c r="CL85" i="103"/>
  <c r="CL90" i="103"/>
  <c r="CS5" i="103"/>
  <c r="CR6" i="103"/>
  <c r="CO34" i="103"/>
  <c r="CO35" i="103" s="1"/>
  <c r="CO36" i="103" s="1"/>
  <c r="CK95" i="103" l="1"/>
  <c r="CM58" i="103"/>
  <c r="CT5" i="103"/>
  <c r="CS6" i="103"/>
  <c r="CP31" i="103"/>
  <c r="CO39" i="103"/>
  <c r="CO40" i="103" s="1"/>
  <c r="CO32" i="103"/>
  <c r="CO33" i="103" s="1"/>
  <c r="DX73" i="103"/>
  <c r="CQ76" i="103"/>
  <c r="CP77" i="103"/>
  <c r="CL91" i="103"/>
  <c r="CL93" i="103"/>
  <c r="CL94" i="103" s="1"/>
  <c r="CP34" i="103"/>
  <c r="CP35" i="103" s="1"/>
  <c r="CP36" i="103" s="1"/>
  <c r="CR75" i="103"/>
  <c r="CS74" i="103"/>
  <c r="CL89" i="103"/>
  <c r="CL86" i="103"/>
  <c r="CQ49" i="103"/>
  <c r="CN92" i="103"/>
  <c r="CN80" i="103"/>
  <c r="CN84" i="103"/>
  <c r="CN81" i="103"/>
  <c r="CN82" i="103" s="1"/>
  <c r="CP50" i="103"/>
  <c r="CP51" i="103"/>
  <c r="CO52" i="103"/>
  <c r="CO56" i="103"/>
  <c r="CO53" i="103"/>
  <c r="CO54" i="103" s="1"/>
  <c r="CS25" i="103"/>
  <c r="CR26" i="103"/>
  <c r="CR45" i="103"/>
  <c r="CR48" i="103" s="1"/>
  <c r="CQ27" i="103"/>
  <c r="CQ28" i="103" s="1"/>
  <c r="CQ29" i="103" s="1"/>
  <c r="CQ30" i="103" s="1"/>
  <c r="CM85" i="103"/>
  <c r="CM90" i="103"/>
  <c r="CS47" i="103"/>
  <c r="CT46" i="103"/>
  <c r="DX38" i="103"/>
  <c r="DW24" i="103"/>
  <c r="CO79" i="103"/>
  <c r="CO78" i="103"/>
  <c r="CJ96" i="103"/>
  <c r="CN57" i="103"/>
  <c r="CN62" i="103"/>
  <c r="CN63" i="103" s="1"/>
  <c r="CN69" i="103" s="1"/>
  <c r="CO92" i="103" l="1"/>
  <c r="CO80" i="103"/>
  <c r="CO84" i="103"/>
  <c r="CO81" i="103"/>
  <c r="CO82" i="103" s="1"/>
  <c r="CM91" i="103"/>
  <c r="CM93" i="103"/>
  <c r="CM94" i="103" s="1"/>
  <c r="CL96" i="103" s="1"/>
  <c r="CS45" i="103"/>
  <c r="CS48" i="103" s="1"/>
  <c r="CQ50" i="103"/>
  <c r="CQ51" i="103"/>
  <c r="CQ77" i="103"/>
  <c r="CM86" i="103"/>
  <c r="CM89" i="103"/>
  <c r="CP52" i="103"/>
  <c r="CP56" i="103"/>
  <c r="CP53" i="103"/>
  <c r="CP54" i="103" s="1"/>
  <c r="CU5" i="103"/>
  <c r="CT6" i="103"/>
  <c r="DY38" i="103"/>
  <c r="DX24" i="103"/>
  <c r="CR27" i="103"/>
  <c r="CR28" i="103" s="1"/>
  <c r="CR29" i="103" s="1"/>
  <c r="CR30" i="103" s="1"/>
  <c r="DY73" i="103"/>
  <c r="CT47" i="103"/>
  <c r="CU46" i="103"/>
  <c r="CQ31" i="103"/>
  <c r="CT25" i="103"/>
  <c r="CS26" i="103"/>
  <c r="CL95" i="103"/>
  <c r="CQ34" i="103"/>
  <c r="CQ35" i="103" s="1"/>
  <c r="CQ36" i="103" s="1"/>
  <c r="CN85" i="103"/>
  <c r="CN90" i="103"/>
  <c r="CN58" i="103"/>
  <c r="CO57" i="103"/>
  <c r="CO62" i="103"/>
  <c r="CO63" i="103" s="1"/>
  <c r="CO69" i="103" s="1"/>
  <c r="CS75" i="103"/>
  <c r="CT74" i="103"/>
  <c r="CP79" i="103"/>
  <c r="CP78" i="103"/>
  <c r="CK96" i="103"/>
  <c r="CR49" i="103"/>
  <c r="CR76" i="103"/>
  <c r="CP39" i="103"/>
  <c r="CP40" i="103" s="1"/>
  <c r="CP32" i="103"/>
  <c r="CP33" i="103" s="1"/>
  <c r="CQ39" i="103" l="1"/>
  <c r="CQ40" i="103" s="1"/>
  <c r="CQ32" i="103"/>
  <c r="CQ33" i="103" s="1"/>
  <c r="CM95" i="103"/>
  <c r="CV46" i="103"/>
  <c r="CU47" i="103"/>
  <c r="CP57" i="103"/>
  <c r="CP62" i="103"/>
  <c r="CP63" i="103" s="1"/>
  <c r="CP69" i="103" s="1"/>
  <c r="CQ78" i="103"/>
  <c r="CQ79" i="103"/>
  <c r="CP92" i="103"/>
  <c r="CP80" i="103"/>
  <c r="CP84" i="103"/>
  <c r="CP81" i="103"/>
  <c r="CP82" i="103" s="1"/>
  <c r="CR31" i="103"/>
  <c r="CU74" i="103"/>
  <c r="CT75" i="103"/>
  <c r="CR34" i="103"/>
  <c r="CR35" i="103" s="1"/>
  <c r="CR36" i="103" s="1"/>
  <c r="CQ52" i="103"/>
  <c r="CQ56" i="103"/>
  <c r="CQ53" i="103"/>
  <c r="CQ54" i="103" s="1"/>
  <c r="CO85" i="103"/>
  <c r="CO90" i="103"/>
  <c r="CV5" i="103"/>
  <c r="CU6" i="103"/>
  <c r="CR77" i="103"/>
  <c r="CS76" i="103"/>
  <c r="CN91" i="103"/>
  <c r="CN93" i="103"/>
  <c r="CN94" i="103" s="1"/>
  <c r="DY24" i="103"/>
  <c r="DZ38" i="103"/>
  <c r="CS49" i="103"/>
  <c r="CU25" i="103"/>
  <c r="CT26" i="103"/>
  <c r="CR50" i="103"/>
  <c r="CR51" i="103"/>
  <c r="CO58" i="103"/>
  <c r="CN86" i="103"/>
  <c r="CN89" i="103"/>
  <c r="CS27" i="103"/>
  <c r="CS28" i="103" s="1"/>
  <c r="CS29" i="103" s="1"/>
  <c r="CS30" i="103" s="1"/>
  <c r="DZ73" i="103"/>
  <c r="CT45" i="103"/>
  <c r="CT48" i="103" s="1"/>
  <c r="CS31" i="103" l="1"/>
  <c r="CS32" i="103" s="1"/>
  <c r="CS33" i="103" s="1"/>
  <c r="CS77" i="103"/>
  <c r="EA38" i="103"/>
  <c r="DZ24" i="103"/>
  <c r="CQ57" i="103"/>
  <c r="CQ62" i="103"/>
  <c r="CQ63" i="103" s="1"/>
  <c r="CQ69" i="103" s="1"/>
  <c r="CR78" i="103"/>
  <c r="CR79" i="103"/>
  <c r="CQ92" i="103"/>
  <c r="CQ80" i="103"/>
  <c r="CQ84" i="103"/>
  <c r="CQ81" i="103"/>
  <c r="CQ82" i="103" s="1"/>
  <c r="EA73" i="103"/>
  <c r="CR52" i="103"/>
  <c r="CR56" i="103"/>
  <c r="CR53" i="103"/>
  <c r="CR54" i="103" s="1"/>
  <c r="CN95" i="103"/>
  <c r="CM96" i="103"/>
  <c r="CT49" i="103"/>
  <c r="CW5" i="103"/>
  <c r="CV6" i="103"/>
  <c r="CP58" i="103"/>
  <c r="CT27" i="103"/>
  <c r="CT28" i="103" s="1"/>
  <c r="CT29" i="103" s="1"/>
  <c r="CT30" i="103" s="1"/>
  <c r="CT76" i="103"/>
  <c r="CU45" i="103"/>
  <c r="CU48" i="103" s="1"/>
  <c r="CS34" i="103"/>
  <c r="CS35" i="103" s="1"/>
  <c r="CS36" i="103" s="1"/>
  <c r="CV25" i="103"/>
  <c r="CU26" i="103"/>
  <c r="CO91" i="103"/>
  <c r="CO93" i="103"/>
  <c r="CO94" i="103" s="1"/>
  <c r="CN96" i="103" s="1"/>
  <c r="CV74" i="103"/>
  <c r="CU75" i="103"/>
  <c r="CP85" i="103"/>
  <c r="CP90" i="103"/>
  <c r="CR39" i="103"/>
  <c r="CR40" i="103" s="1"/>
  <c r="CR32" i="103"/>
  <c r="CR33" i="103" s="1"/>
  <c r="CS50" i="103"/>
  <c r="CS51" i="103"/>
  <c r="CO89" i="103"/>
  <c r="CO86" i="103"/>
  <c r="CW46" i="103"/>
  <c r="CV47" i="103"/>
  <c r="CS39" i="103" l="1"/>
  <c r="CS40" i="103" s="1"/>
  <c r="EB73" i="103"/>
  <c r="CW6" i="103"/>
  <c r="CX5" i="103"/>
  <c r="EB38" i="103"/>
  <c r="EA24" i="103"/>
  <c r="CX46" i="103"/>
  <c r="CW47" i="103"/>
  <c r="CU27" i="103"/>
  <c r="CU28" i="103" s="1"/>
  <c r="CU29" i="103" s="1"/>
  <c r="CU30" i="103" s="1"/>
  <c r="CV26" i="103"/>
  <c r="CW25" i="103"/>
  <c r="CT31" i="103"/>
  <c r="CT51" i="103"/>
  <c r="CT50" i="103"/>
  <c r="CR92" i="103"/>
  <c r="CR80" i="103"/>
  <c r="CR84" i="103"/>
  <c r="CR81" i="103"/>
  <c r="CR82" i="103" s="1"/>
  <c r="CP91" i="103"/>
  <c r="CP93" i="103"/>
  <c r="CP94" i="103" s="1"/>
  <c r="CT34" i="103"/>
  <c r="CT35" i="103" s="1"/>
  <c r="CT36" i="103" s="1"/>
  <c r="CO95" i="103"/>
  <c r="CQ85" i="103"/>
  <c r="CQ90" i="103"/>
  <c r="CS79" i="103"/>
  <c r="CS78" i="103"/>
  <c r="CQ58" i="103"/>
  <c r="CP89" i="103"/>
  <c r="CP86" i="103"/>
  <c r="CU76" i="103"/>
  <c r="CU49" i="103"/>
  <c r="CR57" i="103"/>
  <c r="CR62" i="103"/>
  <c r="CR63" i="103" s="1"/>
  <c r="CR69" i="103" s="1"/>
  <c r="CT77" i="103"/>
  <c r="CV45" i="103"/>
  <c r="CV48" i="103" s="1"/>
  <c r="CS52" i="103"/>
  <c r="CS56" i="103"/>
  <c r="CS53" i="103"/>
  <c r="CS54" i="103" s="1"/>
  <c r="CV75" i="103"/>
  <c r="CW74" i="103"/>
  <c r="CU31" i="103" l="1"/>
  <c r="CU32" i="103" s="1"/>
  <c r="CU33" i="103" s="1"/>
  <c r="CU34" i="103"/>
  <c r="CU35" i="103" s="1"/>
  <c r="CU36" i="103" s="1"/>
  <c r="CP95" i="103"/>
  <c r="CU51" i="103"/>
  <c r="CU50" i="103"/>
  <c r="CT52" i="103"/>
  <c r="CT56" i="103"/>
  <c r="CT53" i="103"/>
  <c r="CT54" i="103" s="1"/>
  <c r="CY46" i="103"/>
  <c r="CX47" i="103"/>
  <c r="CV49" i="103"/>
  <c r="CW75" i="103"/>
  <c r="CX74" i="103"/>
  <c r="CS92" i="103"/>
  <c r="CS80" i="103"/>
  <c r="CS84" i="103"/>
  <c r="CS81" i="103"/>
  <c r="CS82" i="103" s="1"/>
  <c r="CT32" i="103"/>
  <c r="CT33" i="103" s="1"/>
  <c r="CT39" i="103"/>
  <c r="CT40" i="103" s="1"/>
  <c r="EC73" i="103"/>
  <c r="CV76" i="103"/>
  <c r="CT78" i="103"/>
  <c r="CT79" i="103"/>
  <c r="CU77" i="103"/>
  <c r="CQ91" i="103"/>
  <c r="CQ93" i="103"/>
  <c r="CQ94" i="103" s="1"/>
  <c r="CW26" i="103"/>
  <c r="CX25" i="103"/>
  <c r="EC38" i="103"/>
  <c r="EB24" i="103"/>
  <c r="CQ89" i="103"/>
  <c r="CQ86" i="103"/>
  <c r="CR85" i="103"/>
  <c r="CR90" i="103"/>
  <c r="CV27" i="103"/>
  <c r="CV28" i="103" s="1"/>
  <c r="CV29" i="103" s="1"/>
  <c r="CV30" i="103" s="1"/>
  <c r="CO96" i="103"/>
  <c r="CW45" i="103"/>
  <c r="CW48" i="103" s="1"/>
  <c r="CS57" i="103"/>
  <c r="CS62" i="103"/>
  <c r="CS63" i="103" s="1"/>
  <c r="CS69" i="103" s="1"/>
  <c r="CR58" i="103"/>
  <c r="CX6" i="103"/>
  <c r="CY5" i="103"/>
  <c r="CU39" i="103" l="1"/>
  <c r="CU40" i="103" s="1"/>
  <c r="CV31" i="103"/>
  <c r="CV32" i="103" s="1"/>
  <c r="CV33" i="103" s="1"/>
  <c r="CS58" i="103"/>
  <c r="CW27" i="103"/>
  <c r="CW28" i="103" s="1"/>
  <c r="CW29" i="103" s="1"/>
  <c r="CW30" i="103" s="1"/>
  <c r="CU52" i="103"/>
  <c r="CU56" i="103"/>
  <c r="CU53" i="103"/>
  <c r="CU54" i="103" s="1"/>
  <c r="CS85" i="103"/>
  <c r="CS90" i="103"/>
  <c r="CV50" i="103"/>
  <c r="CV51" i="103"/>
  <c r="CW49" i="103"/>
  <c r="ED73" i="103"/>
  <c r="CZ46" i="103"/>
  <c r="CY47" i="103"/>
  <c r="CY6" i="103"/>
  <c r="CZ5" i="103"/>
  <c r="CU78" i="103"/>
  <c r="CU79" i="103"/>
  <c r="CX26" i="103"/>
  <c r="CY25" i="103"/>
  <c r="CQ95" i="103"/>
  <c r="CV34" i="103"/>
  <c r="CV35" i="103" s="1"/>
  <c r="CV36" i="103" s="1"/>
  <c r="CT57" i="103"/>
  <c r="CT62" i="103"/>
  <c r="CT63" i="103" s="1"/>
  <c r="CT69" i="103" s="1"/>
  <c r="CV77" i="103"/>
  <c r="CR91" i="103"/>
  <c r="CR93" i="103"/>
  <c r="CR94" i="103" s="1"/>
  <c r="CT92" i="103"/>
  <c r="CT80" i="103"/>
  <c r="CT84" i="103"/>
  <c r="CT81" i="103"/>
  <c r="CT82" i="103" s="1"/>
  <c r="CY74" i="103"/>
  <c r="CX75" i="103"/>
  <c r="CP96" i="103"/>
  <c r="CX45" i="103"/>
  <c r="CX48" i="103" s="1"/>
  <c r="CR89" i="103"/>
  <c r="CR86" i="103"/>
  <c r="ED38" i="103"/>
  <c r="EC24" i="103"/>
  <c r="CW76" i="103"/>
  <c r="CV39" i="103" l="1"/>
  <c r="CV40" i="103" s="1"/>
  <c r="CU92" i="103"/>
  <c r="CU80" i="103"/>
  <c r="CU84" i="103"/>
  <c r="CU81" i="103"/>
  <c r="CU82" i="103" s="1"/>
  <c r="EE73" i="103"/>
  <c r="CW31" i="103"/>
  <c r="CR95" i="103"/>
  <c r="CW77" i="103"/>
  <c r="CX49" i="103"/>
  <c r="CV79" i="103"/>
  <c r="CV78" i="103"/>
  <c r="CW50" i="103"/>
  <c r="CW51" i="103"/>
  <c r="CS89" i="103"/>
  <c r="CS86" i="103"/>
  <c r="CW34" i="103"/>
  <c r="CW35" i="103" s="1"/>
  <c r="CW36" i="103" s="1"/>
  <c r="CS91" i="103"/>
  <c r="CS93" i="103"/>
  <c r="CS94" i="103" s="1"/>
  <c r="CY45" i="103"/>
  <c r="CY48" i="103" s="1"/>
  <c r="CQ96" i="103"/>
  <c r="CT85" i="103"/>
  <c r="CT90" i="103"/>
  <c r="CY26" i="103"/>
  <c r="CZ25" i="103"/>
  <c r="CV52" i="103"/>
  <c r="CV56" i="103"/>
  <c r="CV53" i="103"/>
  <c r="CV54" i="103" s="1"/>
  <c r="EE38" i="103"/>
  <c r="ED24" i="103"/>
  <c r="CT58" i="103"/>
  <c r="CX27" i="103"/>
  <c r="CX28" i="103" s="1"/>
  <c r="CX29" i="103" s="1"/>
  <c r="CX30" i="103" s="1"/>
  <c r="CU57" i="103"/>
  <c r="CU62" i="103"/>
  <c r="CU63" i="103" s="1"/>
  <c r="CU69" i="103" s="1"/>
  <c r="CZ74" i="103"/>
  <c r="CY75" i="103"/>
  <c r="DA5" i="103"/>
  <c r="CZ6" i="103"/>
  <c r="CX76" i="103"/>
  <c r="CZ47" i="103"/>
  <c r="DA46" i="103"/>
  <c r="CX34" i="103" l="1"/>
  <c r="CX35" i="103" s="1"/>
  <c r="CX36" i="103" s="1"/>
  <c r="CS95" i="103"/>
  <c r="CY76" i="103"/>
  <c r="CZ75" i="103"/>
  <c r="DA74" i="103"/>
  <c r="CX50" i="103"/>
  <c r="CX51" i="103"/>
  <c r="EF73" i="103"/>
  <c r="DB5" i="103"/>
  <c r="DA6" i="103"/>
  <c r="CU58" i="103"/>
  <c r="EF38" i="103"/>
  <c r="EE24" i="103"/>
  <c r="CY27" i="103"/>
  <c r="CY28" i="103" s="1"/>
  <c r="CY29" i="103" s="1"/>
  <c r="CY30" i="103" s="1"/>
  <c r="CW79" i="103"/>
  <c r="CW78" i="103"/>
  <c r="DA47" i="103"/>
  <c r="DB46" i="103"/>
  <c r="CY49" i="103"/>
  <c r="CW52" i="103"/>
  <c r="CW56" i="103"/>
  <c r="CW53" i="103"/>
  <c r="CW54" i="103" s="1"/>
  <c r="CU85" i="103"/>
  <c r="CU90" i="103"/>
  <c r="CX77" i="103"/>
  <c r="CV57" i="103"/>
  <c r="CV62" i="103"/>
  <c r="CV63" i="103" s="1"/>
  <c r="CV69" i="103" s="1"/>
  <c r="CZ45" i="103"/>
  <c r="CZ48" i="103" s="1"/>
  <c r="CT89" i="103"/>
  <c r="CT86" i="103"/>
  <c r="CV92" i="103"/>
  <c r="CV80" i="103"/>
  <c r="CV84" i="103"/>
  <c r="CV81" i="103"/>
  <c r="CV82" i="103" s="1"/>
  <c r="DA25" i="103"/>
  <c r="CZ26" i="103"/>
  <c r="CX31" i="103"/>
  <c r="CT91" i="103"/>
  <c r="CT93" i="103"/>
  <c r="CT94" i="103" s="1"/>
  <c r="CR96" i="103"/>
  <c r="CW39" i="103"/>
  <c r="CW40" i="103" s="1"/>
  <c r="CW32" i="103"/>
  <c r="CW33" i="103" s="1"/>
  <c r="CY31" i="103" l="1"/>
  <c r="CY32" i="103" s="1"/>
  <c r="CY33" i="103" s="1"/>
  <c r="CZ76" i="103"/>
  <c r="CV58" i="103"/>
  <c r="CW57" i="103"/>
  <c r="CW62" i="103"/>
  <c r="CW63" i="103" s="1"/>
  <c r="CW69" i="103" s="1"/>
  <c r="CV85" i="103"/>
  <c r="CV90" i="103"/>
  <c r="EG38" i="103"/>
  <c r="EF24" i="103"/>
  <c r="CT95" i="103"/>
  <c r="CX39" i="103"/>
  <c r="CX40" i="103" s="1"/>
  <c r="CX32" i="103"/>
  <c r="CX33" i="103" s="1"/>
  <c r="CX79" i="103"/>
  <c r="CX78" i="103"/>
  <c r="CW92" i="103"/>
  <c r="CW80" i="103"/>
  <c r="CW84" i="103"/>
  <c r="CW81" i="103"/>
  <c r="CW82" i="103" s="1"/>
  <c r="CX52" i="103"/>
  <c r="CX56" i="103"/>
  <c r="CX53" i="103"/>
  <c r="CX54" i="103" s="1"/>
  <c r="CU86" i="103"/>
  <c r="CU89" i="103"/>
  <c r="EG73" i="103"/>
  <c r="CY77" i="103"/>
  <c r="CZ27" i="103"/>
  <c r="CZ28" i="103" s="1"/>
  <c r="CZ29" i="103" s="1"/>
  <c r="CZ30" i="103" s="1"/>
  <c r="CY50" i="103"/>
  <c r="CY51" i="103"/>
  <c r="DA75" i="103"/>
  <c r="DB74" i="103"/>
  <c r="DB25" i="103"/>
  <c r="DA26" i="103"/>
  <c r="CZ49" i="103"/>
  <c r="CY34" i="103"/>
  <c r="CY35" i="103" s="1"/>
  <c r="CY36" i="103" s="1"/>
  <c r="CS96" i="103"/>
  <c r="DA45" i="103"/>
  <c r="DA48" i="103" s="1"/>
  <c r="CU91" i="103"/>
  <c r="CU93" i="103"/>
  <c r="CU94" i="103" s="1"/>
  <c r="CT96" i="103" s="1"/>
  <c r="DB47" i="103"/>
  <c r="DC46" i="103"/>
  <c r="DC5" i="103"/>
  <c r="DB6" i="103"/>
  <c r="CY39" i="103" l="1"/>
  <c r="CY40" i="103" s="1"/>
  <c r="CW58" i="103"/>
  <c r="DC74" i="103"/>
  <c r="DB75" i="103"/>
  <c r="CZ31" i="103"/>
  <c r="DD46" i="103"/>
  <c r="DC47" i="103"/>
  <c r="EG24" i="103"/>
  <c r="EH38" i="103"/>
  <c r="DA49" i="103"/>
  <c r="CZ50" i="103"/>
  <c r="CZ51" i="103"/>
  <c r="CY78" i="103"/>
  <c r="CY79" i="103"/>
  <c r="CX57" i="103"/>
  <c r="CX62" i="103"/>
  <c r="CX63" i="103" s="1"/>
  <c r="CX69" i="103" s="1"/>
  <c r="CV91" i="103"/>
  <c r="CV93" i="103"/>
  <c r="CV94" i="103" s="1"/>
  <c r="DD5" i="103"/>
  <c r="DC6" i="103"/>
  <c r="DB45" i="103"/>
  <c r="DB48" i="103" s="1"/>
  <c r="CX92" i="103"/>
  <c r="CX80" i="103"/>
  <c r="CX84" i="103"/>
  <c r="CX81" i="103"/>
  <c r="CX82" i="103" s="1"/>
  <c r="CV86" i="103"/>
  <c r="CV89" i="103"/>
  <c r="CZ77" i="103"/>
  <c r="CW85" i="103"/>
  <c r="CW90" i="103"/>
  <c r="CU95" i="103"/>
  <c r="DA76" i="103"/>
  <c r="DA27" i="103"/>
  <c r="DA28" i="103" s="1"/>
  <c r="DA29" i="103" s="1"/>
  <c r="DA30" i="103" s="1"/>
  <c r="EH73" i="103"/>
  <c r="CZ34" i="103"/>
  <c r="CZ35" i="103" s="1"/>
  <c r="CZ36" i="103" s="1"/>
  <c r="DC25" i="103"/>
  <c r="DB26" i="103"/>
  <c r="CY52" i="103"/>
  <c r="CY56" i="103"/>
  <c r="CY53" i="103"/>
  <c r="CY54" i="103" s="1"/>
  <c r="DA34" i="103" l="1"/>
  <c r="DA35" i="103" s="1"/>
  <c r="DA36" i="103" s="1"/>
  <c r="CY57" i="103"/>
  <c r="CY62" i="103"/>
  <c r="CY63" i="103" s="1"/>
  <c r="CY69" i="103" s="1"/>
  <c r="EI73" i="103"/>
  <c r="DA77" i="103"/>
  <c r="DA50" i="103"/>
  <c r="DA51" i="103"/>
  <c r="CZ39" i="103"/>
  <c r="CZ40" i="103" s="1"/>
  <c r="CZ32" i="103"/>
  <c r="CZ33" i="103" s="1"/>
  <c r="CV95" i="103"/>
  <c r="DB49" i="103"/>
  <c r="CX58" i="103"/>
  <c r="DB76" i="103"/>
  <c r="CZ78" i="103"/>
  <c r="CZ79" i="103"/>
  <c r="CZ52" i="103"/>
  <c r="CZ56" i="103"/>
  <c r="CZ53" i="103"/>
  <c r="CZ54" i="103" s="1"/>
  <c r="DC45" i="103"/>
  <c r="DC48" i="103" s="1"/>
  <c r="CY92" i="103"/>
  <c r="CY80" i="103"/>
  <c r="CY84" i="103"/>
  <c r="CY81" i="103"/>
  <c r="CY82" i="103" s="1"/>
  <c r="EI38" i="103"/>
  <c r="EH24" i="103"/>
  <c r="DD74" i="103"/>
  <c r="DC75" i="103"/>
  <c r="DB27" i="103"/>
  <c r="DB28" i="103" s="1"/>
  <c r="DB29" i="103" s="1"/>
  <c r="DB30" i="103" s="1"/>
  <c r="CU96" i="103"/>
  <c r="CX85" i="103"/>
  <c r="CX90" i="103"/>
  <c r="CW91" i="103"/>
  <c r="CW93" i="103"/>
  <c r="CW94" i="103" s="1"/>
  <c r="DD25" i="103"/>
  <c r="DC26" i="103"/>
  <c r="DA31" i="103"/>
  <c r="CW89" i="103"/>
  <c r="CW86" i="103"/>
  <c r="DE5" i="103"/>
  <c r="DD6" i="103"/>
  <c r="DE46" i="103"/>
  <c r="DD47" i="103"/>
  <c r="DD26" i="103" l="1"/>
  <c r="DE25" i="103"/>
  <c r="EJ38" i="103"/>
  <c r="EI24" i="103"/>
  <c r="DC49" i="103"/>
  <c r="DA52" i="103"/>
  <c r="DA56" i="103"/>
  <c r="DA53" i="103"/>
  <c r="DA54" i="103" s="1"/>
  <c r="DF46" i="103"/>
  <c r="DE47" i="103"/>
  <c r="CY85" i="103"/>
  <c r="CY90" i="103"/>
  <c r="CZ57" i="103"/>
  <c r="CZ62" i="103"/>
  <c r="CZ63" i="103" s="1"/>
  <c r="CZ69" i="103" s="1"/>
  <c r="CX91" i="103"/>
  <c r="CX93" i="103"/>
  <c r="CX94" i="103" s="1"/>
  <c r="CX89" i="103"/>
  <c r="CX86" i="103"/>
  <c r="CW95" i="103"/>
  <c r="DB31" i="103"/>
  <c r="DB51" i="103"/>
  <c r="DB50" i="103"/>
  <c r="CY58" i="103"/>
  <c r="DE6" i="103"/>
  <c r="DF5" i="103"/>
  <c r="DB34" i="103"/>
  <c r="DB35" i="103" s="1"/>
  <c r="DB36" i="103" s="1"/>
  <c r="DB77" i="103"/>
  <c r="DA32" i="103"/>
  <c r="DA33" i="103" s="1"/>
  <c r="DA39" i="103"/>
  <c r="DA40" i="103" s="1"/>
  <c r="DC76" i="103"/>
  <c r="CZ92" i="103"/>
  <c r="CZ80" i="103"/>
  <c r="CZ84" i="103"/>
  <c r="CZ81" i="103"/>
  <c r="CZ82" i="103" s="1"/>
  <c r="DA79" i="103"/>
  <c r="DA78" i="103"/>
  <c r="EJ73" i="103"/>
  <c r="DC27" i="103"/>
  <c r="DC28" i="103" s="1"/>
  <c r="DC29" i="103" s="1"/>
  <c r="DC30" i="103" s="1"/>
  <c r="DD75" i="103"/>
  <c r="DE74" i="103"/>
  <c r="DD45" i="103"/>
  <c r="DD48" i="103" s="1"/>
  <c r="CV96" i="103"/>
  <c r="DE75" i="103" l="1"/>
  <c r="DF74" i="103"/>
  <c r="CX95" i="103"/>
  <c r="DC77" i="103"/>
  <c r="DB52" i="103"/>
  <c r="DB56" i="103"/>
  <c r="DB53" i="103"/>
  <c r="DB54" i="103" s="1"/>
  <c r="DC31" i="103"/>
  <c r="DA92" i="103"/>
  <c r="DA80" i="103"/>
  <c r="DA84" i="103"/>
  <c r="DA81" i="103"/>
  <c r="DA82" i="103" s="1"/>
  <c r="DF6" i="103"/>
  <c r="DG5" i="103"/>
  <c r="DB32" i="103"/>
  <c r="DB33" i="103" s="1"/>
  <c r="DB39" i="103"/>
  <c r="DB40" i="103" s="1"/>
  <c r="CZ58" i="103"/>
  <c r="DA57" i="103"/>
  <c r="DA62" i="103"/>
  <c r="DA63" i="103" s="1"/>
  <c r="DA69" i="103" s="1"/>
  <c r="EK38" i="103"/>
  <c r="EJ24" i="103"/>
  <c r="DC34" i="103"/>
  <c r="DC35" i="103" s="1"/>
  <c r="DC36" i="103" s="1"/>
  <c r="CW96" i="103"/>
  <c r="CY91" i="103"/>
  <c r="CY93" i="103"/>
  <c r="CY94" i="103" s="1"/>
  <c r="CX96" i="103" s="1"/>
  <c r="DD76" i="103"/>
  <c r="CY89" i="103"/>
  <c r="CY86" i="103"/>
  <c r="DG46" i="103"/>
  <c r="DF47" i="103"/>
  <c r="DE45" i="103"/>
  <c r="DE48" i="103" s="1"/>
  <c r="DD49" i="103"/>
  <c r="EK73" i="103"/>
  <c r="DB78" i="103"/>
  <c r="DB79" i="103"/>
  <c r="DE26" i="103"/>
  <c r="DF25" i="103"/>
  <c r="CZ85" i="103"/>
  <c r="CZ90" i="103"/>
  <c r="DC51" i="103"/>
  <c r="DC50" i="103"/>
  <c r="DD27" i="103"/>
  <c r="DD28" i="103" s="1"/>
  <c r="DD29" i="103" s="1"/>
  <c r="DD30" i="103" s="1"/>
  <c r="DB92" i="103" l="1"/>
  <c r="DB80" i="103"/>
  <c r="DB84" i="103"/>
  <c r="DB81" i="103"/>
  <c r="DB82" i="103" s="1"/>
  <c r="DE49" i="103"/>
  <c r="DC39" i="103"/>
  <c r="DC40" i="103" s="1"/>
  <c r="DC32" i="103"/>
  <c r="DC33" i="103" s="1"/>
  <c r="EL38" i="103"/>
  <c r="EK24" i="103"/>
  <c r="CZ91" i="103"/>
  <c r="CZ93" i="103"/>
  <c r="CZ94" i="103" s="1"/>
  <c r="CY96" i="103" s="1"/>
  <c r="EL73" i="103"/>
  <c r="DH46" i="103"/>
  <c r="DG47" i="103"/>
  <c r="CY95" i="103"/>
  <c r="DG6" i="103"/>
  <c r="DH5" i="103"/>
  <c r="DD31" i="103"/>
  <c r="CZ89" i="103"/>
  <c r="CZ86" i="103"/>
  <c r="DA58" i="103"/>
  <c r="DA85" i="103"/>
  <c r="DA90" i="103"/>
  <c r="DB57" i="103"/>
  <c r="DB62" i="103"/>
  <c r="DB63" i="103" s="1"/>
  <c r="DB69" i="103" s="1"/>
  <c r="DD77" i="103"/>
  <c r="DD34" i="103"/>
  <c r="DD35" i="103" s="1"/>
  <c r="DD36" i="103" s="1"/>
  <c r="DF26" i="103"/>
  <c r="DG25" i="103"/>
  <c r="DD50" i="103"/>
  <c r="DD51" i="103"/>
  <c r="DE27" i="103"/>
  <c r="DE28" i="103" s="1"/>
  <c r="DE29" i="103" s="1"/>
  <c r="DE30" i="103" s="1"/>
  <c r="DG74" i="103"/>
  <c r="DF75" i="103"/>
  <c r="DC52" i="103"/>
  <c r="DC56" i="103"/>
  <c r="DC53" i="103"/>
  <c r="DC54" i="103" s="1"/>
  <c r="DF45" i="103"/>
  <c r="DF48" i="103" s="1"/>
  <c r="DC78" i="103"/>
  <c r="DC79" i="103"/>
  <c r="DE76" i="103"/>
  <c r="DE34" i="103" l="1"/>
  <c r="DE35" i="103" s="1"/>
  <c r="DE36" i="103" s="1"/>
  <c r="DC92" i="103"/>
  <c r="DC80" i="103"/>
  <c r="DC84" i="103"/>
  <c r="DC81" i="103"/>
  <c r="DC82" i="103" s="1"/>
  <c r="DH47" i="103"/>
  <c r="DI46" i="103"/>
  <c r="EM38" i="103"/>
  <c r="EL24" i="103"/>
  <c r="DD39" i="103"/>
  <c r="DD40" i="103" s="1"/>
  <c r="DD32" i="103"/>
  <c r="DD33" i="103" s="1"/>
  <c r="DD52" i="103"/>
  <c r="DD56" i="103"/>
  <c r="DD53" i="103"/>
  <c r="DD54" i="103" s="1"/>
  <c r="EM73" i="103"/>
  <c r="DF49" i="103"/>
  <c r="DH74" i="103"/>
  <c r="DG75" i="103"/>
  <c r="DG45" i="103"/>
  <c r="DG48" i="103" s="1"/>
  <c r="DE31" i="103"/>
  <c r="DG26" i="103"/>
  <c r="DH25" i="103"/>
  <c r="DB58" i="103"/>
  <c r="DI5" i="103"/>
  <c r="DH6" i="103"/>
  <c r="DF76" i="103"/>
  <c r="DE50" i="103"/>
  <c r="DE51" i="103"/>
  <c r="DF27" i="103"/>
  <c r="DF28" i="103" s="1"/>
  <c r="DF29" i="103" s="1"/>
  <c r="DF30" i="103" s="1"/>
  <c r="DA91" i="103"/>
  <c r="DA93" i="103"/>
  <c r="DA94" i="103" s="1"/>
  <c r="CZ96" i="103" s="1"/>
  <c r="CZ95" i="103"/>
  <c r="DB85" i="103"/>
  <c r="DB90" i="103"/>
  <c r="DA89" i="103"/>
  <c r="DA86" i="103"/>
  <c r="DE77" i="103"/>
  <c r="DC57" i="103"/>
  <c r="DC62" i="103"/>
  <c r="DC63" i="103" s="1"/>
  <c r="DC69" i="103" s="1"/>
  <c r="DD79" i="103"/>
  <c r="DD78" i="103"/>
  <c r="DF31" i="103" l="1"/>
  <c r="DF32" i="103" s="1"/>
  <c r="DF33" i="103" s="1"/>
  <c r="DF77" i="103"/>
  <c r="DE39" i="103"/>
  <c r="DE40" i="103" s="1"/>
  <c r="DE32" i="103"/>
  <c r="DE33" i="103" s="1"/>
  <c r="EN73" i="103"/>
  <c r="DG27" i="103"/>
  <c r="DG28" i="103" s="1"/>
  <c r="DG29" i="103" s="1"/>
  <c r="DG30" i="103" s="1"/>
  <c r="DA95" i="103"/>
  <c r="DG49" i="103"/>
  <c r="DH45" i="103"/>
  <c r="DH48" i="103" s="1"/>
  <c r="DD92" i="103"/>
  <c r="DD80" i="103"/>
  <c r="DD84" i="103"/>
  <c r="DD81" i="103"/>
  <c r="DD82" i="103" s="1"/>
  <c r="DJ5" i="103"/>
  <c r="DI6" i="103"/>
  <c r="DC85" i="103"/>
  <c r="DC90" i="103"/>
  <c r="DC58" i="103"/>
  <c r="DG76" i="103"/>
  <c r="DD57" i="103"/>
  <c r="DD62" i="103"/>
  <c r="DD63" i="103" s="1"/>
  <c r="DD69" i="103" s="1"/>
  <c r="DF34" i="103"/>
  <c r="DF35" i="103" s="1"/>
  <c r="DF36" i="103" s="1"/>
  <c r="DH75" i="103"/>
  <c r="DI74" i="103"/>
  <c r="EN38" i="103"/>
  <c r="EM24" i="103"/>
  <c r="DE79" i="103"/>
  <c r="DE78" i="103"/>
  <c r="DB91" i="103"/>
  <c r="DB93" i="103"/>
  <c r="DB94" i="103" s="1"/>
  <c r="DA96" i="103" s="1"/>
  <c r="DB89" i="103"/>
  <c r="DB86" i="103"/>
  <c r="DE52" i="103"/>
  <c r="DE56" i="103"/>
  <c r="DE53" i="103"/>
  <c r="DE54" i="103" s="1"/>
  <c r="DI25" i="103"/>
  <c r="DH26" i="103"/>
  <c r="DF50" i="103"/>
  <c r="DF51" i="103"/>
  <c r="DI47" i="103"/>
  <c r="DJ46" i="103"/>
  <c r="DD58" i="103" l="1"/>
  <c r="EO73" i="103"/>
  <c r="DF52" i="103"/>
  <c r="DF56" i="103"/>
  <c r="DF53" i="103"/>
  <c r="DF54" i="103" s="1"/>
  <c r="DI75" i="103"/>
  <c r="DJ74" i="103"/>
  <c r="DG77" i="103"/>
  <c r="DK5" i="103"/>
  <c r="DJ6" i="103"/>
  <c r="DH49" i="103"/>
  <c r="EO38" i="103"/>
  <c r="EN24" i="103"/>
  <c r="DH27" i="103"/>
  <c r="DH28" i="103" s="1"/>
  <c r="DH29" i="103" s="1"/>
  <c r="DH30" i="103" s="1"/>
  <c r="DJ25" i="103"/>
  <c r="DI26" i="103"/>
  <c r="DF39" i="103"/>
  <c r="DF40" i="103" s="1"/>
  <c r="DH76" i="103"/>
  <c r="DI45" i="103"/>
  <c r="DI48" i="103" s="1"/>
  <c r="DD85" i="103"/>
  <c r="DD90" i="103"/>
  <c r="DJ47" i="103"/>
  <c r="DK46" i="103"/>
  <c r="DC91" i="103"/>
  <c r="DC93" i="103"/>
  <c r="DC94" i="103" s="1"/>
  <c r="DB96" i="103" s="1"/>
  <c r="DG31" i="103"/>
  <c r="DF79" i="103"/>
  <c r="DF78" i="103"/>
  <c r="DB95" i="103"/>
  <c r="DE57" i="103"/>
  <c r="DE62" i="103"/>
  <c r="DE63" i="103" s="1"/>
  <c r="DE69" i="103" s="1"/>
  <c r="DE92" i="103"/>
  <c r="DE80" i="103"/>
  <c r="DE84" i="103"/>
  <c r="DE81" i="103"/>
  <c r="DE82" i="103" s="1"/>
  <c r="DC86" i="103"/>
  <c r="DC89" i="103"/>
  <c r="DG50" i="103"/>
  <c r="DG51" i="103"/>
  <c r="DG34" i="103"/>
  <c r="DG35" i="103" s="1"/>
  <c r="DG36" i="103" s="1"/>
  <c r="DH31" i="103" l="1"/>
  <c r="DH32" i="103" s="1"/>
  <c r="DH33" i="103" s="1"/>
  <c r="DH34" i="103"/>
  <c r="DH35" i="103" s="1"/>
  <c r="DH36" i="103" s="1"/>
  <c r="DE58" i="103"/>
  <c r="DL46" i="103"/>
  <c r="DK47" i="103"/>
  <c r="DG78" i="103"/>
  <c r="DG79" i="103"/>
  <c r="EP73" i="103"/>
  <c r="DG52" i="103"/>
  <c r="DG56" i="103"/>
  <c r="DG53" i="103"/>
  <c r="DG54" i="103" s="1"/>
  <c r="DH77" i="103"/>
  <c r="DE85" i="103"/>
  <c r="DE90" i="103"/>
  <c r="EP38" i="103"/>
  <c r="EO24" i="103"/>
  <c r="DK74" i="103"/>
  <c r="DJ75" i="103"/>
  <c r="DG39" i="103"/>
  <c r="DG40" i="103" s="1"/>
  <c r="DG32" i="103"/>
  <c r="DG33" i="103" s="1"/>
  <c r="DD91" i="103"/>
  <c r="DD93" i="103"/>
  <c r="DD94" i="103" s="1"/>
  <c r="DC96" i="103" s="1"/>
  <c r="DI76" i="103"/>
  <c r="DF92" i="103"/>
  <c r="DF80" i="103"/>
  <c r="DF84" i="103"/>
  <c r="DF81" i="103"/>
  <c r="DF82" i="103" s="1"/>
  <c r="DD86" i="103"/>
  <c r="DD89" i="103"/>
  <c r="DI27" i="103"/>
  <c r="DI28" i="103" s="1"/>
  <c r="DI29" i="103" s="1"/>
  <c r="DI30" i="103" s="1"/>
  <c r="DH50" i="103"/>
  <c r="DH51" i="103"/>
  <c r="DK25" i="103"/>
  <c r="DJ26" i="103"/>
  <c r="DC95" i="103"/>
  <c r="DI49" i="103"/>
  <c r="DF57" i="103"/>
  <c r="DF62" i="103"/>
  <c r="DF63" i="103" s="1"/>
  <c r="DF69" i="103" s="1"/>
  <c r="DJ45" i="103"/>
  <c r="DJ48" i="103" s="1"/>
  <c r="DL5" i="103"/>
  <c r="DK6" i="103"/>
  <c r="DH39" i="103" l="1"/>
  <c r="DH40" i="103" s="1"/>
  <c r="DI34" i="103"/>
  <c r="DI35" i="103" s="1"/>
  <c r="DI36" i="103" s="1"/>
  <c r="DJ76" i="103"/>
  <c r="DG92" i="103"/>
  <c r="DG80" i="103"/>
  <c r="DG84" i="103"/>
  <c r="DG81" i="103"/>
  <c r="DG82" i="103" s="1"/>
  <c r="DH52" i="103"/>
  <c r="DH56" i="103"/>
  <c r="DH53" i="103"/>
  <c r="DH54" i="103" s="1"/>
  <c r="DH78" i="103"/>
  <c r="DH79" i="103"/>
  <c r="DI31" i="103"/>
  <c r="DK75" i="103"/>
  <c r="DL74" i="103"/>
  <c r="DJ49" i="103"/>
  <c r="DE89" i="103"/>
  <c r="DE86" i="103"/>
  <c r="DK45" i="103"/>
  <c r="DK48" i="103" s="1"/>
  <c r="DI77" i="103"/>
  <c r="DG57" i="103"/>
  <c r="DG62" i="103"/>
  <c r="DG63" i="103" s="1"/>
  <c r="DG69" i="103" s="1"/>
  <c r="DM5" i="103"/>
  <c r="DL6" i="103"/>
  <c r="DJ27" i="103"/>
  <c r="DJ28" i="103" s="1"/>
  <c r="DJ29" i="103" s="1"/>
  <c r="DJ30" i="103" s="1"/>
  <c r="EQ38" i="103"/>
  <c r="EP24" i="103"/>
  <c r="DM46" i="103"/>
  <c r="DL47" i="103"/>
  <c r="DF85" i="103"/>
  <c r="DF90" i="103"/>
  <c r="DF58" i="103"/>
  <c r="DL25" i="103"/>
  <c r="DK26" i="103"/>
  <c r="DD95" i="103"/>
  <c r="DI50" i="103"/>
  <c r="DI51" i="103"/>
  <c r="EQ73" i="103"/>
  <c r="DE91" i="103"/>
  <c r="DE93" i="103"/>
  <c r="DE94" i="103" s="1"/>
  <c r="DD96" i="103" s="1"/>
  <c r="DJ31" i="103" l="1"/>
  <c r="DJ32" i="103" s="1"/>
  <c r="DJ33" i="103" s="1"/>
  <c r="DJ34" i="103"/>
  <c r="DJ35" i="103" s="1"/>
  <c r="DJ36" i="103" s="1"/>
  <c r="DJ51" i="103"/>
  <c r="DJ50" i="103"/>
  <c r="DF91" i="103"/>
  <c r="DF93" i="103"/>
  <c r="DF94" i="103" s="1"/>
  <c r="DE96" i="103" s="1"/>
  <c r="DF89" i="103"/>
  <c r="DF86" i="103"/>
  <c r="DI79" i="103"/>
  <c r="DI78" i="103"/>
  <c r="DM6" i="103"/>
  <c r="DN5" i="103"/>
  <c r="DL45" i="103"/>
  <c r="DL48" i="103" s="1"/>
  <c r="DL75" i="103"/>
  <c r="DM74" i="103"/>
  <c r="DJ77" i="103"/>
  <c r="DH57" i="103"/>
  <c r="DH62" i="103"/>
  <c r="DH63" i="103" s="1"/>
  <c r="DH69" i="103" s="1"/>
  <c r="ER73" i="103"/>
  <c r="DN46" i="103"/>
  <c r="DM47" i="103"/>
  <c r="DK49" i="103"/>
  <c r="DK76" i="103"/>
  <c r="DK27" i="103"/>
  <c r="DK28" i="103" s="1"/>
  <c r="DK29" i="103" s="1"/>
  <c r="DK30" i="103" s="1"/>
  <c r="DI39" i="103"/>
  <c r="DI40" i="103" s="1"/>
  <c r="DI32" i="103"/>
  <c r="DI33" i="103" s="1"/>
  <c r="DG85" i="103"/>
  <c r="DG90" i="103"/>
  <c r="DL26" i="103"/>
  <c r="DM25" i="103"/>
  <c r="ER38" i="103"/>
  <c r="EQ24" i="103"/>
  <c r="DG58" i="103"/>
  <c r="DH92" i="103"/>
  <c r="DH80" i="103"/>
  <c r="DH84" i="103"/>
  <c r="DH81" i="103"/>
  <c r="DH82" i="103" s="1"/>
  <c r="DE95" i="103"/>
  <c r="DI52" i="103"/>
  <c r="DI56" i="103"/>
  <c r="DI53" i="103"/>
  <c r="DI54" i="103" s="1"/>
  <c r="DJ39" i="103" l="1"/>
  <c r="DJ40" i="103" s="1"/>
  <c r="DK31" i="103"/>
  <c r="DK32" i="103" s="1"/>
  <c r="DK33" i="103" s="1"/>
  <c r="DJ78" i="103"/>
  <c r="DJ79" i="103"/>
  <c r="DH85" i="103"/>
  <c r="DH90" i="103"/>
  <c r="DM26" i="103"/>
  <c r="DN25" i="103"/>
  <c r="DF95" i="103"/>
  <c r="DO46" i="103"/>
  <c r="DN47" i="103"/>
  <c r="DM75" i="103"/>
  <c r="DN74" i="103"/>
  <c r="DG91" i="103"/>
  <c r="DG93" i="103"/>
  <c r="DG94" i="103" s="1"/>
  <c r="DK34" i="103"/>
  <c r="DK35" i="103" s="1"/>
  <c r="DK36" i="103" s="1"/>
  <c r="ES73" i="103"/>
  <c r="DL76" i="103"/>
  <c r="DL27" i="103"/>
  <c r="DL28" i="103" s="1"/>
  <c r="DL29" i="103" s="1"/>
  <c r="DL30" i="103" s="1"/>
  <c r="DG89" i="103"/>
  <c r="DG86" i="103"/>
  <c r="DM45" i="103"/>
  <c r="DM48" i="103" s="1"/>
  <c r="DK77" i="103"/>
  <c r="DL49" i="103"/>
  <c r="DJ52" i="103"/>
  <c r="DJ56" i="103"/>
  <c r="DJ53" i="103"/>
  <c r="DJ54" i="103" s="1"/>
  <c r="DI92" i="103"/>
  <c r="DI80" i="103"/>
  <c r="DI84" i="103"/>
  <c r="DI81" i="103"/>
  <c r="DI82" i="103" s="1"/>
  <c r="DI57" i="103"/>
  <c r="DI62" i="103"/>
  <c r="DI63" i="103" s="1"/>
  <c r="DI69" i="103" s="1"/>
  <c r="ES38" i="103"/>
  <c r="ER24" i="103"/>
  <c r="DK51" i="103"/>
  <c r="DK50" i="103"/>
  <c r="DH58" i="103"/>
  <c r="DN6" i="103"/>
  <c r="DO5" i="103"/>
  <c r="DK39" i="103" l="1"/>
  <c r="DK40" i="103" s="1"/>
  <c r="DL34" i="103"/>
  <c r="DL35" i="103" s="1"/>
  <c r="DL36" i="103" s="1"/>
  <c r="DG95" i="103"/>
  <c r="DF96" i="103"/>
  <c r="DN26" i="103"/>
  <c r="DO25" i="103"/>
  <c r="DL77" i="103"/>
  <c r="DL79" i="103" s="1"/>
  <c r="DO74" i="103"/>
  <c r="DN75" i="103"/>
  <c r="DM27" i="103"/>
  <c r="DM28" i="103" s="1"/>
  <c r="DM29" i="103" s="1"/>
  <c r="DM30" i="103" s="1"/>
  <c r="DI85" i="103"/>
  <c r="DI90" i="103"/>
  <c r="DM76" i="103"/>
  <c r="ET38" i="103"/>
  <c r="ES24" i="103"/>
  <c r="DH91" i="103"/>
  <c r="DH93" i="103"/>
  <c r="DH94" i="103" s="1"/>
  <c r="DK52" i="103"/>
  <c r="DK56" i="103"/>
  <c r="DK53" i="103"/>
  <c r="DK54" i="103" s="1"/>
  <c r="DJ57" i="103"/>
  <c r="DJ62" i="103"/>
  <c r="DJ63" i="103" s="1"/>
  <c r="DJ69" i="103" s="1"/>
  <c r="DO6" i="103"/>
  <c r="DP5" i="103"/>
  <c r="DL50" i="103"/>
  <c r="DL51" i="103"/>
  <c r="ET73" i="103"/>
  <c r="DP46" i="103"/>
  <c r="DO47" i="103"/>
  <c r="DH89" i="103"/>
  <c r="DH86" i="103"/>
  <c r="DI58" i="103"/>
  <c r="DN45" i="103"/>
  <c r="DN48" i="103" s="1"/>
  <c r="DJ92" i="103"/>
  <c r="DJ80" i="103"/>
  <c r="DJ84" i="103"/>
  <c r="DJ81" i="103"/>
  <c r="DJ82" i="103" s="1"/>
  <c r="DK78" i="103"/>
  <c r="DK79" i="103"/>
  <c r="DM49" i="103"/>
  <c r="DL31" i="103"/>
  <c r="DN49" i="103" l="1"/>
  <c r="DQ5" i="103"/>
  <c r="DP6" i="103"/>
  <c r="DH95" i="103"/>
  <c r="DN76" i="103"/>
  <c r="DK92" i="103"/>
  <c r="DK80" i="103"/>
  <c r="DK84" i="103"/>
  <c r="DK81" i="103"/>
  <c r="DK82" i="103" s="1"/>
  <c r="DO45" i="103"/>
  <c r="DO48" i="103" s="1"/>
  <c r="DP47" i="103"/>
  <c r="DQ46" i="103"/>
  <c r="DP74" i="103"/>
  <c r="DO75" i="103"/>
  <c r="DL78" i="103"/>
  <c r="EU73" i="103"/>
  <c r="DJ58" i="103"/>
  <c r="DI91" i="103"/>
  <c r="DI93" i="103"/>
  <c r="DI94" i="103" s="1"/>
  <c r="DH96" i="103" s="1"/>
  <c r="DJ85" i="103"/>
  <c r="DJ90" i="103"/>
  <c r="DI89" i="103"/>
  <c r="DI86" i="103"/>
  <c r="DG96" i="103"/>
  <c r="DL39" i="103"/>
  <c r="DL40" i="103" s="1"/>
  <c r="DL32" i="103"/>
  <c r="DL33" i="103" s="1"/>
  <c r="DK57" i="103"/>
  <c r="DK62" i="103"/>
  <c r="DK63" i="103" s="1"/>
  <c r="DK69" i="103" s="1"/>
  <c r="DM31" i="103"/>
  <c r="DL52" i="103"/>
  <c r="DL56" i="103"/>
  <c r="DL53" i="103"/>
  <c r="DL54" i="103" s="1"/>
  <c r="EU38" i="103"/>
  <c r="ET24" i="103"/>
  <c r="DO26" i="103"/>
  <c r="DP25" i="103"/>
  <c r="DM50" i="103"/>
  <c r="DM51" i="103"/>
  <c r="DM77" i="103"/>
  <c r="DM79" i="103" s="1"/>
  <c r="DM34" i="103"/>
  <c r="DM35" i="103" s="1"/>
  <c r="DM36" i="103" s="1"/>
  <c r="DN27" i="103"/>
  <c r="DN28" i="103" s="1"/>
  <c r="DN29" i="103" s="1"/>
  <c r="DN30" i="103" s="1"/>
  <c r="DN34" i="103" l="1"/>
  <c r="DN35" i="103" s="1"/>
  <c r="DN36" i="103" s="1"/>
  <c r="EV38" i="103"/>
  <c r="EU24" i="103"/>
  <c r="DM78" i="103"/>
  <c r="DP45" i="103"/>
  <c r="DP48" i="103" s="1"/>
  <c r="DL57" i="103"/>
  <c r="DL62" i="103"/>
  <c r="DL63" i="103" s="1"/>
  <c r="DL69" i="103" s="1"/>
  <c r="DO76" i="103"/>
  <c r="DK58" i="103"/>
  <c r="EV73" i="103"/>
  <c r="DP75" i="103"/>
  <c r="DQ74" i="103"/>
  <c r="DK85" i="103"/>
  <c r="DK90" i="103"/>
  <c r="DR5" i="103"/>
  <c r="DQ6" i="103"/>
  <c r="DM39" i="103"/>
  <c r="DM40" i="103" s="1"/>
  <c r="DM32" i="103"/>
  <c r="DM33" i="103" s="1"/>
  <c r="DM52" i="103"/>
  <c r="DM56" i="103"/>
  <c r="DM53" i="103"/>
  <c r="DM54" i="103" s="1"/>
  <c r="DQ25" i="103"/>
  <c r="DP26" i="103"/>
  <c r="DJ91" i="103"/>
  <c r="DJ93" i="103"/>
  <c r="DJ94" i="103" s="1"/>
  <c r="DI96" i="103" s="1"/>
  <c r="DQ47" i="103"/>
  <c r="DR46" i="103"/>
  <c r="DN31" i="103"/>
  <c r="DO27" i="103"/>
  <c r="DO28" i="103" s="1"/>
  <c r="DO29" i="103" s="1"/>
  <c r="DO30" i="103" s="1"/>
  <c r="DJ89" i="103"/>
  <c r="DJ86" i="103"/>
  <c r="DN50" i="103"/>
  <c r="DN51" i="103"/>
  <c r="DI95" i="103"/>
  <c r="DL92" i="103"/>
  <c r="DL80" i="103"/>
  <c r="DL84" i="103"/>
  <c r="DL81" i="103"/>
  <c r="DL82" i="103" s="1"/>
  <c r="DO49" i="103"/>
  <c r="DN77" i="103"/>
  <c r="DO34" i="103" l="1"/>
  <c r="DO35" i="103" s="1"/>
  <c r="DO36" i="103" s="1"/>
  <c r="DQ75" i="103"/>
  <c r="DR74" i="103"/>
  <c r="DL85" i="103"/>
  <c r="DL90" i="103"/>
  <c r="DN39" i="103"/>
  <c r="DN40" i="103" s="1"/>
  <c r="DN32" i="103"/>
  <c r="DN33" i="103" s="1"/>
  <c r="DS5" i="103"/>
  <c r="DR6" i="103"/>
  <c r="DP76" i="103"/>
  <c r="DR47" i="103"/>
  <c r="DS46" i="103"/>
  <c r="EW73" i="103"/>
  <c r="DM57" i="103"/>
  <c r="DM62" i="103"/>
  <c r="DM63" i="103" s="1"/>
  <c r="DM69" i="103" s="1"/>
  <c r="DN79" i="103"/>
  <c r="DN78" i="103"/>
  <c r="DJ95" i="103"/>
  <c r="DL58" i="103"/>
  <c r="DP49" i="103"/>
  <c r="DM92" i="103"/>
  <c r="DM80" i="103"/>
  <c r="DM84" i="103"/>
  <c r="DM81" i="103"/>
  <c r="DM82" i="103" s="1"/>
  <c r="DO50" i="103"/>
  <c r="DO51" i="103"/>
  <c r="DO31" i="103"/>
  <c r="DP27" i="103"/>
  <c r="DP28" i="103" s="1"/>
  <c r="DP29" i="103" s="1"/>
  <c r="DP30" i="103" s="1"/>
  <c r="DK91" i="103"/>
  <c r="DK93" i="103"/>
  <c r="DK94" i="103" s="1"/>
  <c r="DJ96" i="103" s="1"/>
  <c r="DQ45" i="103"/>
  <c r="DQ48" i="103" s="1"/>
  <c r="DN52" i="103"/>
  <c r="DN56" i="103"/>
  <c r="DN53" i="103"/>
  <c r="DN54" i="103" s="1"/>
  <c r="DR25" i="103"/>
  <c r="DQ26" i="103"/>
  <c r="DK86" i="103"/>
  <c r="DK89" i="103"/>
  <c r="DO77" i="103"/>
  <c r="EW38" i="103"/>
  <c r="EV24" i="103"/>
  <c r="DT5" i="103" l="1"/>
  <c r="DS6" i="103"/>
  <c r="DM85" i="103"/>
  <c r="DM90" i="103"/>
  <c r="DM58" i="103"/>
  <c r="DT46" i="103"/>
  <c r="DS47" i="103"/>
  <c r="DL91" i="103"/>
  <c r="DL93" i="103"/>
  <c r="DL94" i="103" s="1"/>
  <c r="DK96" i="103" s="1"/>
  <c r="EX38" i="103"/>
  <c r="EW24" i="103"/>
  <c r="DP31" i="103"/>
  <c r="DL86" i="103"/>
  <c r="DL89" i="103"/>
  <c r="DN57" i="103"/>
  <c r="DN62" i="103"/>
  <c r="DN63" i="103" s="1"/>
  <c r="DN69" i="103" s="1"/>
  <c r="DO78" i="103"/>
  <c r="DO79" i="103"/>
  <c r="DP34" i="103"/>
  <c r="DP35" i="103" s="1"/>
  <c r="DP36" i="103" s="1"/>
  <c r="DN92" i="103"/>
  <c r="DN80" i="103"/>
  <c r="DN84" i="103"/>
  <c r="DN81" i="103"/>
  <c r="DN82" i="103" s="1"/>
  <c r="DP77" i="103"/>
  <c r="DS74" i="103"/>
  <c r="DR75" i="103"/>
  <c r="DQ49" i="103"/>
  <c r="DO39" i="103"/>
  <c r="DO40" i="103" s="1"/>
  <c r="DO32" i="103"/>
  <c r="DO33" i="103" s="1"/>
  <c r="DP50" i="103"/>
  <c r="DP51" i="103"/>
  <c r="DQ76" i="103"/>
  <c r="DK95" i="103"/>
  <c r="DQ27" i="103"/>
  <c r="DQ28" i="103" s="1"/>
  <c r="DQ29" i="103" s="1"/>
  <c r="DQ30" i="103" s="1"/>
  <c r="DS25" i="103"/>
  <c r="DR26" i="103"/>
  <c r="DR45" i="103"/>
  <c r="DR48" i="103" s="1"/>
  <c r="DO52" i="103"/>
  <c r="DO56" i="103"/>
  <c r="DO53" i="103"/>
  <c r="DO54" i="103" s="1"/>
  <c r="EX73" i="103"/>
  <c r="DQ34" i="103" l="1"/>
  <c r="DQ35" i="103" s="1"/>
  <c r="DQ36" i="103" s="1"/>
  <c r="EX24" i="103"/>
  <c r="DM91" i="103"/>
  <c r="DM93" i="103"/>
  <c r="DM94" i="103" s="1"/>
  <c r="DL96" i="103" s="1"/>
  <c r="DQ77" i="103"/>
  <c r="DN85" i="103"/>
  <c r="DN90" i="103"/>
  <c r="DN58" i="103"/>
  <c r="DL95" i="103"/>
  <c r="DM89" i="103"/>
  <c r="DM86" i="103"/>
  <c r="DR27" i="103"/>
  <c r="DR28" i="103" s="1"/>
  <c r="DR29" i="103" s="1"/>
  <c r="DR30" i="103" s="1"/>
  <c r="DR76" i="103"/>
  <c r="DR49" i="103"/>
  <c r="DQ50" i="103"/>
  <c r="DQ51" i="103"/>
  <c r="DT25" i="103"/>
  <c r="DS26" i="103"/>
  <c r="DT74" i="103"/>
  <c r="DS75" i="103"/>
  <c r="DU5" i="103"/>
  <c r="DT6" i="103"/>
  <c r="DS45" i="103"/>
  <c r="DS48" i="103" s="1"/>
  <c r="DO57" i="103"/>
  <c r="DO62" i="103"/>
  <c r="DO63" i="103" s="1"/>
  <c r="DO69" i="103" s="1"/>
  <c r="DP52" i="103"/>
  <c r="DP56" i="103"/>
  <c r="DP53" i="103"/>
  <c r="DP54" i="103" s="1"/>
  <c r="DP78" i="103"/>
  <c r="DP79" i="103"/>
  <c r="DQ31" i="103"/>
  <c r="DU46" i="103"/>
  <c r="DT47" i="103"/>
  <c r="DO92" i="103"/>
  <c r="DO80" i="103"/>
  <c r="DO84" i="103"/>
  <c r="DO81" i="103"/>
  <c r="DO82" i="103" s="1"/>
  <c r="DP39" i="103"/>
  <c r="DP40" i="103" s="1"/>
  <c r="DP32" i="103"/>
  <c r="DP33" i="103" s="1"/>
  <c r="DR34" i="103" l="1"/>
  <c r="DR35" i="103" s="1"/>
  <c r="DR36" i="103" s="1"/>
  <c r="DQ52" i="103"/>
  <c r="DQ56" i="103"/>
  <c r="DQ53" i="103"/>
  <c r="DQ54" i="103" s="1"/>
  <c r="DQ32" i="103"/>
  <c r="DQ33" i="103" s="1"/>
  <c r="DQ39" i="103"/>
  <c r="DQ40" i="103" s="1"/>
  <c r="DU6" i="103"/>
  <c r="DV5" i="103"/>
  <c r="DO58" i="103"/>
  <c r="DS76" i="103"/>
  <c r="DR51" i="103"/>
  <c r="DR50" i="103"/>
  <c r="DN91" i="103"/>
  <c r="DN93" i="103"/>
  <c r="DN94" i="103" s="1"/>
  <c r="DM96" i="103" s="1"/>
  <c r="DP92" i="103"/>
  <c r="DP80" i="103"/>
  <c r="DP84" i="103"/>
  <c r="DP81" i="103"/>
  <c r="DP82" i="103" s="1"/>
  <c r="DT45" i="103"/>
  <c r="DT48" i="103" s="1"/>
  <c r="DT75" i="103"/>
  <c r="DU74" i="103"/>
  <c r="DN89" i="103"/>
  <c r="DN86" i="103"/>
  <c r="DS49" i="103"/>
  <c r="DR77" i="103"/>
  <c r="DQ79" i="103"/>
  <c r="DQ78" i="103"/>
  <c r="DV46" i="103"/>
  <c r="DU47" i="103"/>
  <c r="DP57" i="103"/>
  <c r="DP62" i="103"/>
  <c r="DP63" i="103" s="1"/>
  <c r="DP69" i="103" s="1"/>
  <c r="DS27" i="103"/>
  <c r="DS28" i="103" s="1"/>
  <c r="DS29" i="103" s="1"/>
  <c r="DS30" i="103" s="1"/>
  <c r="DM95" i="103"/>
  <c r="DO85" i="103"/>
  <c r="DO90" i="103"/>
  <c r="DT26" i="103"/>
  <c r="DU25" i="103"/>
  <c r="DR31" i="103"/>
  <c r="DT49" i="103" l="1"/>
  <c r="DR52" i="103"/>
  <c r="DR56" i="103"/>
  <c r="DR53" i="103"/>
  <c r="DR54" i="103" s="1"/>
  <c r="DS31" i="103"/>
  <c r="DS77" i="103"/>
  <c r="DW46" i="103"/>
  <c r="DV47" i="103"/>
  <c r="DS51" i="103"/>
  <c r="DS50" i="103"/>
  <c r="DS34" i="103"/>
  <c r="DS35" i="103" s="1"/>
  <c r="DS36" i="103" s="1"/>
  <c r="DQ92" i="103"/>
  <c r="DQ80" i="103"/>
  <c r="DQ84" i="103"/>
  <c r="DQ81" i="103"/>
  <c r="DQ82" i="103" s="1"/>
  <c r="DP85" i="103"/>
  <c r="DP90" i="103"/>
  <c r="DR78" i="103"/>
  <c r="DR79" i="103"/>
  <c r="DQ57" i="103"/>
  <c r="DQ62" i="103"/>
  <c r="DQ63" i="103" s="1"/>
  <c r="DQ69" i="103" s="1"/>
  <c r="DO91" i="103"/>
  <c r="DO93" i="103"/>
  <c r="DO94" i="103" s="1"/>
  <c r="DN96" i="103" s="1"/>
  <c r="DO89" i="103"/>
  <c r="DO86" i="103"/>
  <c r="DU75" i="103"/>
  <c r="DV74" i="103"/>
  <c r="DN95" i="103"/>
  <c r="DV6" i="103"/>
  <c r="DW5" i="103"/>
  <c r="DR32" i="103"/>
  <c r="DR33" i="103" s="1"/>
  <c r="DR39" i="103"/>
  <c r="DR40" i="103" s="1"/>
  <c r="DP58" i="103"/>
  <c r="DT76" i="103"/>
  <c r="DT27" i="103"/>
  <c r="DT28" i="103" s="1"/>
  <c r="DT29" i="103" s="1"/>
  <c r="DT30" i="103" s="1"/>
  <c r="DU26" i="103"/>
  <c r="DV25" i="103"/>
  <c r="DU45" i="103"/>
  <c r="DU48" i="103" s="1"/>
  <c r="DU27" i="103" l="1"/>
  <c r="DU28" i="103" s="1"/>
  <c r="DU29" i="103" s="1"/>
  <c r="DU30" i="103" s="1"/>
  <c r="DQ58" i="103"/>
  <c r="DQ85" i="103"/>
  <c r="DQ90" i="103"/>
  <c r="DS39" i="103"/>
  <c r="DS40" i="103" s="1"/>
  <c r="DS32" i="103"/>
  <c r="DS33" i="103" s="1"/>
  <c r="DT31" i="103"/>
  <c r="DW74" i="103"/>
  <c r="DV75" i="103"/>
  <c r="DR92" i="103"/>
  <c r="DR80" i="103"/>
  <c r="DR84" i="103"/>
  <c r="DR81" i="103"/>
  <c r="DR82" i="103" s="1"/>
  <c r="DS52" i="103"/>
  <c r="DS56" i="103"/>
  <c r="DS53" i="103"/>
  <c r="DS54" i="103" s="1"/>
  <c r="DU76" i="103"/>
  <c r="DR57" i="103"/>
  <c r="DR62" i="103"/>
  <c r="DR63" i="103" s="1"/>
  <c r="DR69" i="103" s="1"/>
  <c r="DX46" i="103"/>
  <c r="DW47" i="103"/>
  <c r="DS78" i="103"/>
  <c r="DS79" i="103"/>
  <c r="DV45" i="103"/>
  <c r="DV48" i="103" s="1"/>
  <c r="DT34" i="103"/>
  <c r="DT35" i="103" s="1"/>
  <c r="DT36" i="103" s="1"/>
  <c r="DT77" i="103"/>
  <c r="DW6" i="103"/>
  <c r="DX5" i="103"/>
  <c r="DO95" i="103"/>
  <c r="DP91" i="103"/>
  <c r="DP93" i="103"/>
  <c r="DP94" i="103" s="1"/>
  <c r="DT50" i="103"/>
  <c r="DT51" i="103"/>
  <c r="DV26" i="103"/>
  <c r="DW25" i="103"/>
  <c r="DU49" i="103"/>
  <c r="DP89" i="103"/>
  <c r="DP86" i="103"/>
  <c r="DR58" i="103" l="1"/>
  <c r="DQ91" i="103"/>
  <c r="DQ93" i="103"/>
  <c r="DQ94" i="103" s="1"/>
  <c r="DP96" i="103" s="1"/>
  <c r="DU50" i="103"/>
  <c r="DU51" i="103"/>
  <c r="DT39" i="103"/>
  <c r="DT40" i="103" s="1"/>
  <c r="DT32" i="103"/>
  <c r="DT33" i="103" s="1"/>
  <c r="DQ89" i="103"/>
  <c r="DQ86" i="103"/>
  <c r="DU77" i="103"/>
  <c r="DT79" i="103"/>
  <c r="DT78" i="103"/>
  <c r="DP95" i="103"/>
  <c r="DW26" i="103"/>
  <c r="DX25" i="103"/>
  <c r="DV49" i="103"/>
  <c r="DX47" i="103"/>
  <c r="DY46" i="103"/>
  <c r="DR85" i="103"/>
  <c r="DR90" i="103"/>
  <c r="DW45" i="103"/>
  <c r="DW48" i="103" s="1"/>
  <c r="DT52" i="103"/>
  <c r="DT56" i="103"/>
  <c r="DT53" i="103"/>
  <c r="DT54" i="103" s="1"/>
  <c r="DO96" i="103"/>
  <c r="DS57" i="103"/>
  <c r="DS62" i="103"/>
  <c r="DS63" i="103" s="1"/>
  <c r="DS69" i="103" s="1"/>
  <c r="DU31" i="103"/>
  <c r="DX74" i="103"/>
  <c r="DW75" i="103"/>
  <c r="DV27" i="103"/>
  <c r="DV28" i="103" s="1"/>
  <c r="DV29" i="103" s="1"/>
  <c r="DV30" i="103" s="1"/>
  <c r="DY5" i="103"/>
  <c r="DX6" i="103"/>
  <c r="DS92" i="103"/>
  <c r="DS80" i="103"/>
  <c r="DS84" i="103"/>
  <c r="DS81" i="103"/>
  <c r="DS82" i="103" s="1"/>
  <c r="DU34" i="103"/>
  <c r="DU35" i="103" s="1"/>
  <c r="DU36" i="103" s="1"/>
  <c r="DV76" i="103"/>
  <c r="DW76" i="103" l="1"/>
  <c r="DT57" i="103"/>
  <c r="DT62" i="103"/>
  <c r="DT63" i="103" s="1"/>
  <c r="DT69" i="103" s="1"/>
  <c r="DX75" i="103"/>
  <c r="DY74" i="103"/>
  <c r="DY25" i="103"/>
  <c r="DX26" i="103"/>
  <c r="DU79" i="103"/>
  <c r="DU78" i="103"/>
  <c r="DZ5" i="103"/>
  <c r="DY6" i="103"/>
  <c r="DW27" i="103"/>
  <c r="DW28" i="103" s="1"/>
  <c r="DW29" i="103" s="1"/>
  <c r="DW30" i="103" s="1"/>
  <c r="DU52" i="103"/>
  <c r="DU56" i="103"/>
  <c r="DU53" i="103"/>
  <c r="DU54" i="103" s="1"/>
  <c r="DU39" i="103"/>
  <c r="DU40" i="103" s="1"/>
  <c r="DU32" i="103"/>
  <c r="DU33" i="103" s="1"/>
  <c r="DR91" i="103"/>
  <c r="DR93" i="103"/>
  <c r="DR94" i="103" s="1"/>
  <c r="DR89" i="103"/>
  <c r="DR86" i="103"/>
  <c r="DQ95" i="103"/>
  <c r="DS58" i="103"/>
  <c r="DY47" i="103"/>
  <c r="DZ46" i="103"/>
  <c r="DV31" i="103"/>
  <c r="DW49" i="103"/>
  <c r="DT92" i="103"/>
  <c r="DT80" i="103"/>
  <c r="DT84" i="103"/>
  <c r="DT81" i="103"/>
  <c r="DT82" i="103" s="1"/>
  <c r="DV77" i="103"/>
  <c r="DS85" i="103"/>
  <c r="DS90" i="103"/>
  <c r="DV34" i="103"/>
  <c r="DV35" i="103" s="1"/>
  <c r="DV36" i="103" s="1"/>
  <c r="DX45" i="103"/>
  <c r="DX48" i="103" s="1"/>
  <c r="DV50" i="103"/>
  <c r="DV51" i="103"/>
  <c r="DW31" i="103" l="1"/>
  <c r="DY75" i="103"/>
  <c r="DZ74" i="103"/>
  <c r="DW34" i="103"/>
  <c r="DW35" i="103" s="1"/>
  <c r="DW36" i="103" s="1"/>
  <c r="DS89" i="103"/>
  <c r="DS86" i="103"/>
  <c r="DV52" i="103"/>
  <c r="DV56" i="103"/>
  <c r="DV53" i="103"/>
  <c r="DV54" i="103" s="1"/>
  <c r="DV79" i="103"/>
  <c r="DV78" i="103"/>
  <c r="DW50" i="103"/>
  <c r="DW51" i="103"/>
  <c r="DU92" i="103"/>
  <c r="DU80" i="103"/>
  <c r="DU84" i="103"/>
  <c r="DU81" i="103"/>
  <c r="DU82" i="103" s="1"/>
  <c r="DX76" i="103"/>
  <c r="DR95" i="103"/>
  <c r="DX27" i="103"/>
  <c r="DX28" i="103" s="1"/>
  <c r="DX29" i="103" s="1"/>
  <c r="DX30" i="103" s="1"/>
  <c r="DT58" i="103"/>
  <c r="DS91" i="103"/>
  <c r="DS93" i="103"/>
  <c r="DS94" i="103" s="1"/>
  <c r="DR96" i="103" s="1"/>
  <c r="DZ6" i="103"/>
  <c r="EA5" i="103"/>
  <c r="DZ47" i="103"/>
  <c r="EA46" i="103"/>
  <c r="DX49" i="103"/>
  <c r="DV39" i="103"/>
  <c r="DV40" i="103" s="1"/>
  <c r="DV32" i="103"/>
  <c r="DV33" i="103" s="1"/>
  <c r="DU57" i="103"/>
  <c r="DU62" i="103"/>
  <c r="DU63" i="103" s="1"/>
  <c r="DU69" i="103" s="1"/>
  <c r="DZ25" i="103"/>
  <c r="DY26" i="103"/>
  <c r="DW77" i="103"/>
  <c r="DY45" i="103"/>
  <c r="DY48" i="103" s="1"/>
  <c r="DT85" i="103"/>
  <c r="DT90" i="103"/>
  <c r="DQ96" i="103"/>
  <c r="DW52" i="103" l="1"/>
  <c r="DW56" i="103"/>
  <c r="DW53" i="103"/>
  <c r="DW54" i="103" s="1"/>
  <c r="DY27" i="103"/>
  <c r="DY28" i="103" s="1"/>
  <c r="DY29" i="103" s="1"/>
  <c r="DY30" i="103" s="1"/>
  <c r="DT89" i="103"/>
  <c r="DT86" i="103"/>
  <c r="DU85" i="103"/>
  <c r="DU90" i="103"/>
  <c r="DX77" i="103"/>
  <c r="EA25" i="103"/>
  <c r="DZ26" i="103"/>
  <c r="DY49" i="103"/>
  <c r="EB46" i="103"/>
  <c r="EA47" i="103"/>
  <c r="DZ45" i="103"/>
  <c r="DZ48" i="103" s="1"/>
  <c r="DX31" i="103"/>
  <c r="DV92" i="103"/>
  <c r="DV80" i="103"/>
  <c r="DV84" i="103"/>
  <c r="DV81" i="103"/>
  <c r="DV82" i="103" s="1"/>
  <c r="EA74" i="103"/>
  <c r="DZ75" i="103"/>
  <c r="EB5" i="103"/>
  <c r="EA6" i="103"/>
  <c r="DX34" i="103"/>
  <c r="DX35" i="103" s="1"/>
  <c r="DX36" i="103" s="1"/>
  <c r="DY76" i="103"/>
  <c r="DT91" i="103"/>
  <c r="DT93" i="103"/>
  <c r="DT94" i="103" s="1"/>
  <c r="DS96" i="103" s="1"/>
  <c r="DW78" i="103"/>
  <c r="DW79" i="103"/>
  <c r="DU58" i="103"/>
  <c r="DV57" i="103"/>
  <c r="DV62" i="103"/>
  <c r="DV63" i="103" s="1"/>
  <c r="DV69" i="103" s="1"/>
  <c r="DX50" i="103"/>
  <c r="DX51" i="103"/>
  <c r="DS95" i="103"/>
  <c r="DW39" i="103"/>
  <c r="DW40" i="103" s="1"/>
  <c r="DW32" i="103"/>
  <c r="DW33" i="103" s="1"/>
  <c r="DY50" i="103" l="1"/>
  <c r="DY51" i="103"/>
  <c r="DZ76" i="103"/>
  <c r="DZ27" i="103"/>
  <c r="DZ28" i="103" s="1"/>
  <c r="DZ29" i="103" s="1"/>
  <c r="DZ30" i="103" s="1"/>
  <c r="DY31" i="103"/>
  <c r="DX52" i="103"/>
  <c r="DX56" i="103"/>
  <c r="DX53" i="103"/>
  <c r="DX54" i="103" s="1"/>
  <c r="DT95" i="103"/>
  <c r="EA75" i="103"/>
  <c r="EB74" i="103"/>
  <c r="DZ49" i="103"/>
  <c r="EB25" i="103"/>
  <c r="EA26" i="103"/>
  <c r="DY34" i="103"/>
  <c r="DY35" i="103" s="1"/>
  <c r="DY36" i="103" s="1"/>
  <c r="DV58" i="103"/>
  <c r="EA45" i="103"/>
  <c r="EA48" i="103" s="1"/>
  <c r="DX78" i="103"/>
  <c r="DX79" i="103"/>
  <c r="EC5" i="103"/>
  <c r="EB6" i="103"/>
  <c r="DY77" i="103"/>
  <c r="DV85" i="103"/>
  <c r="DV90" i="103"/>
  <c r="DW57" i="103"/>
  <c r="DW62" i="103"/>
  <c r="DW63" i="103" s="1"/>
  <c r="DW69" i="103" s="1"/>
  <c r="DX39" i="103"/>
  <c r="DX40" i="103" s="1"/>
  <c r="DX32" i="103"/>
  <c r="DX33" i="103" s="1"/>
  <c r="DU91" i="103"/>
  <c r="DU93" i="103"/>
  <c r="DU94" i="103" s="1"/>
  <c r="DW92" i="103"/>
  <c r="DW80" i="103"/>
  <c r="DW84" i="103"/>
  <c r="DW81" i="103"/>
  <c r="DW82" i="103" s="1"/>
  <c r="EC46" i="103"/>
  <c r="EB47" i="103"/>
  <c r="DU89" i="103"/>
  <c r="DU86" i="103"/>
  <c r="DZ34" i="103" l="1"/>
  <c r="DZ35" i="103" s="1"/>
  <c r="DZ36" i="103" s="1"/>
  <c r="ED46" i="103"/>
  <c r="EC47" i="103"/>
  <c r="EB75" i="103"/>
  <c r="EC74" i="103"/>
  <c r="DU95" i="103"/>
  <c r="DX57" i="103"/>
  <c r="DX62" i="103"/>
  <c r="DX63" i="103" s="1"/>
  <c r="DX69" i="103" s="1"/>
  <c r="DY79" i="103"/>
  <c r="DY78" i="103"/>
  <c r="DX92" i="103"/>
  <c r="DX80" i="103"/>
  <c r="DX84" i="103"/>
  <c r="DX81" i="103"/>
  <c r="DX82" i="103" s="1"/>
  <c r="EA76" i="103"/>
  <c r="DW85" i="103"/>
  <c r="DW90" i="103"/>
  <c r="DT96" i="103"/>
  <c r="DY32" i="103"/>
  <c r="DY33" i="103" s="1"/>
  <c r="DY39" i="103"/>
  <c r="DY40" i="103" s="1"/>
  <c r="DV89" i="103"/>
  <c r="DV86" i="103"/>
  <c r="EB45" i="103"/>
  <c r="EB48" i="103" s="1"/>
  <c r="EA49" i="103"/>
  <c r="EA27" i="103"/>
  <c r="EA28" i="103" s="1"/>
  <c r="EA29" i="103" s="1"/>
  <c r="EA30" i="103" s="1"/>
  <c r="DZ31" i="103"/>
  <c r="DY52" i="103"/>
  <c r="DY56" i="103"/>
  <c r="DY53" i="103"/>
  <c r="DY54" i="103" s="1"/>
  <c r="DW58" i="103"/>
  <c r="ED5" i="103"/>
  <c r="EC6" i="103"/>
  <c r="EB26" i="103"/>
  <c r="EC25" i="103"/>
  <c r="DV91" i="103"/>
  <c r="DV93" i="103"/>
  <c r="DV94" i="103" s="1"/>
  <c r="DZ51" i="103"/>
  <c r="DZ50" i="103"/>
  <c r="DZ77" i="103"/>
  <c r="EA31" i="103" l="1"/>
  <c r="EA34" i="103"/>
  <c r="EA35" i="103" s="1"/>
  <c r="EA36" i="103" s="1"/>
  <c r="DY57" i="103"/>
  <c r="DY62" i="103"/>
  <c r="DY63" i="103" s="1"/>
  <c r="DY69" i="103" s="1"/>
  <c r="DW91" i="103"/>
  <c r="DW93" i="103"/>
  <c r="DW94" i="103" s="1"/>
  <c r="DW89" i="103"/>
  <c r="DW86" i="103"/>
  <c r="EC75" i="103"/>
  <c r="ED74" i="103"/>
  <c r="DZ52" i="103"/>
  <c r="DZ56" i="103"/>
  <c r="DZ53" i="103"/>
  <c r="DZ54" i="103" s="1"/>
  <c r="EC26" i="103"/>
  <c r="ED25" i="103"/>
  <c r="EA51" i="103"/>
  <c r="EA50" i="103"/>
  <c r="EB27" i="103"/>
  <c r="EB28" i="103" s="1"/>
  <c r="EB29" i="103" s="1"/>
  <c r="EB30" i="103" s="1"/>
  <c r="EB76" i="103"/>
  <c r="EA77" i="103"/>
  <c r="DY92" i="103"/>
  <c r="DY80" i="103"/>
  <c r="DY84" i="103"/>
  <c r="DY81" i="103"/>
  <c r="DY82" i="103" s="1"/>
  <c r="DV95" i="103"/>
  <c r="DZ32" i="103"/>
  <c r="DZ33" i="103" s="1"/>
  <c r="DZ39" i="103"/>
  <c r="DZ40" i="103" s="1"/>
  <c r="DZ78" i="103"/>
  <c r="DZ79" i="103"/>
  <c r="ED6" i="103"/>
  <c r="EE5" i="103"/>
  <c r="EC45" i="103"/>
  <c r="EC48" i="103" s="1"/>
  <c r="EE46" i="103"/>
  <c r="ED47" i="103"/>
  <c r="EB49" i="103"/>
  <c r="DX58" i="103"/>
  <c r="DX85" i="103"/>
  <c r="DX90" i="103"/>
  <c r="DU96" i="103"/>
  <c r="EA39" i="103" l="1"/>
  <c r="EA40" i="103" s="1"/>
  <c r="EA32" i="103"/>
  <c r="EA33" i="103" s="1"/>
  <c r="EE6" i="103"/>
  <c r="EF5" i="103"/>
  <c r="EB77" i="103"/>
  <c r="EC27" i="103"/>
  <c r="EC28" i="103" s="1"/>
  <c r="EC29" i="103" s="1"/>
  <c r="EC30" i="103" s="1"/>
  <c r="DY58" i="103"/>
  <c r="EF46" i="103"/>
  <c r="EE47" i="103"/>
  <c r="DZ92" i="103"/>
  <c r="DZ80" i="103"/>
  <c r="DZ84" i="103"/>
  <c r="DZ81" i="103"/>
  <c r="DZ82" i="103" s="1"/>
  <c r="DY85" i="103"/>
  <c r="DY90" i="103"/>
  <c r="ED45" i="103"/>
  <c r="ED48" i="103" s="1"/>
  <c r="EB31" i="103"/>
  <c r="DZ57" i="103"/>
  <c r="DZ62" i="103"/>
  <c r="DZ63" i="103" s="1"/>
  <c r="DZ69" i="103" s="1"/>
  <c r="EC49" i="103"/>
  <c r="EB34" i="103"/>
  <c r="EB35" i="103" s="1"/>
  <c r="EB36" i="103" s="1"/>
  <c r="DW95" i="103"/>
  <c r="EB50" i="103"/>
  <c r="EB51" i="103"/>
  <c r="DX91" i="103"/>
  <c r="DX93" i="103"/>
  <c r="DX94" i="103" s="1"/>
  <c r="EA78" i="103"/>
  <c r="EA79" i="103"/>
  <c r="EA52" i="103"/>
  <c r="EA56" i="103"/>
  <c r="EA53" i="103"/>
  <c r="EA54" i="103" s="1"/>
  <c r="EE74" i="103"/>
  <c r="ED75" i="103"/>
  <c r="DX89" i="103"/>
  <c r="DX86" i="103"/>
  <c r="DV96" i="103"/>
  <c r="ED26" i="103"/>
  <c r="EE25" i="103"/>
  <c r="EC76" i="103"/>
  <c r="EC31" i="103" l="1"/>
  <c r="EC34" i="103"/>
  <c r="EC35" i="103" s="1"/>
  <c r="EC36" i="103" s="1"/>
  <c r="EA92" i="103"/>
  <c r="EA80" i="103"/>
  <c r="EA84" i="103"/>
  <c r="EA81" i="103"/>
  <c r="EA82" i="103" s="1"/>
  <c r="FB73" i="103"/>
  <c r="ED76" i="103"/>
  <c r="DY91" i="103"/>
  <c r="DY93" i="103"/>
  <c r="DY94" i="103" s="1"/>
  <c r="DX96" i="103" s="1"/>
  <c r="EF47" i="103"/>
  <c r="EG46" i="103"/>
  <c r="EB79" i="103"/>
  <c r="EB78" i="103"/>
  <c r="EF74" i="103"/>
  <c r="EE75" i="103"/>
  <c r="DX95" i="103"/>
  <c r="DW96" i="103"/>
  <c r="DZ58" i="103"/>
  <c r="DY89" i="103"/>
  <c r="DY86" i="103"/>
  <c r="EB39" i="103"/>
  <c r="EB40" i="103" s="1"/>
  <c r="EB32" i="103"/>
  <c r="EB33" i="103" s="1"/>
  <c r="EG5" i="103"/>
  <c r="EF6" i="103"/>
  <c r="EA57" i="103"/>
  <c r="EA62" i="103"/>
  <c r="EA63" i="103" s="1"/>
  <c r="EA69" i="103" s="1"/>
  <c r="EB52" i="103"/>
  <c r="EB56" i="103"/>
  <c r="EB53" i="103"/>
  <c r="EB54" i="103" s="1"/>
  <c r="EC50" i="103"/>
  <c r="EC51" i="103"/>
  <c r="ED49" i="103"/>
  <c r="DZ85" i="103"/>
  <c r="DZ90" i="103"/>
  <c r="ED27" i="103"/>
  <c r="ED28" i="103" s="1"/>
  <c r="ED29" i="103" s="1"/>
  <c r="ED30" i="103" s="1"/>
  <c r="EC77" i="103"/>
  <c r="EE45" i="103"/>
  <c r="EE48" i="103" s="1"/>
  <c r="EE26" i="103"/>
  <c r="EF25" i="103"/>
  <c r="EC39" i="103" l="1"/>
  <c r="EC40" i="103" s="1"/>
  <c r="EC32" i="103"/>
  <c r="EC33" i="103" s="1"/>
  <c r="DY95" i="103"/>
  <c r="FC73" i="103"/>
  <c r="DZ86" i="103"/>
  <c r="DZ89" i="103"/>
  <c r="EA58" i="103"/>
  <c r="EF75" i="103"/>
  <c r="EG74" i="103"/>
  <c r="EC79" i="103"/>
  <c r="EC78" i="103"/>
  <c r="ED31" i="103"/>
  <c r="ED77" i="103"/>
  <c r="ED50" i="103"/>
  <c r="ED51" i="103"/>
  <c r="EE27" i="103"/>
  <c r="EE28" i="103" s="1"/>
  <c r="EE29" i="103" s="1"/>
  <c r="EE30" i="103" s="1"/>
  <c r="EC52" i="103"/>
  <c r="EC56" i="103"/>
  <c r="EC53" i="103"/>
  <c r="EC54" i="103" s="1"/>
  <c r="ED34" i="103"/>
  <c r="ED35" i="103" s="1"/>
  <c r="ED36" i="103" s="1"/>
  <c r="EA85" i="103"/>
  <c r="EA90" i="103"/>
  <c r="FB24" i="103"/>
  <c r="EB57" i="103"/>
  <c r="EB62" i="103"/>
  <c r="EB63" i="103" s="1"/>
  <c r="EB69" i="103" s="1"/>
  <c r="EB92" i="103"/>
  <c r="EB80" i="103"/>
  <c r="EB84" i="103"/>
  <c r="EB81" i="103"/>
  <c r="EB82" i="103" s="1"/>
  <c r="EG25" i="103"/>
  <c r="EF26" i="103"/>
  <c r="EE76" i="103"/>
  <c r="EE49" i="103"/>
  <c r="EF45" i="103"/>
  <c r="EF48" i="103" s="1"/>
  <c r="DZ91" i="103"/>
  <c r="DZ93" i="103"/>
  <c r="DZ94" i="103" s="1"/>
  <c r="EH5" i="103"/>
  <c r="EG6" i="103"/>
  <c r="EG47" i="103"/>
  <c r="EH46" i="103"/>
  <c r="EE31" i="103" l="1"/>
  <c r="EE32" i="103" s="1"/>
  <c r="EE33" i="103" s="1"/>
  <c r="EE34" i="103"/>
  <c r="EE35" i="103" s="1"/>
  <c r="EE36" i="103" s="1"/>
  <c r="EE50" i="103"/>
  <c r="EE51" i="103"/>
  <c r="EB58" i="103"/>
  <c r="ED39" i="103"/>
  <c r="ED40" i="103" s="1"/>
  <c r="ED32" i="103"/>
  <c r="ED33" i="103" s="1"/>
  <c r="EI5" i="103"/>
  <c r="EH6" i="103"/>
  <c r="DZ95" i="103"/>
  <c r="EA91" i="103"/>
  <c r="EA93" i="103"/>
  <c r="EA94" i="103" s="1"/>
  <c r="ED52" i="103"/>
  <c r="ED56" i="103"/>
  <c r="ED53" i="103"/>
  <c r="ED54" i="103" s="1"/>
  <c r="EE77" i="103"/>
  <c r="EA89" i="103"/>
  <c r="EA86" i="103"/>
  <c r="EC92" i="103"/>
  <c r="EC80" i="103"/>
  <c r="EC84" i="103"/>
  <c r="EC81" i="103"/>
  <c r="EC82" i="103" s="1"/>
  <c r="EB85" i="103"/>
  <c r="EB90" i="103"/>
  <c r="EF49" i="103"/>
  <c r="EC57" i="103"/>
  <c r="EC62" i="103"/>
  <c r="EC63" i="103" s="1"/>
  <c r="EC69" i="103" s="1"/>
  <c r="EG75" i="103"/>
  <c r="EH74" i="103"/>
  <c r="EG45" i="103"/>
  <c r="EG48" i="103" s="1"/>
  <c r="EF27" i="103"/>
  <c r="EF28" i="103" s="1"/>
  <c r="EF29" i="103" s="1"/>
  <c r="EF30" i="103" s="1"/>
  <c r="ED79" i="103"/>
  <c r="ED78" i="103"/>
  <c r="EF76" i="103"/>
  <c r="DY96" i="103"/>
  <c r="FC24" i="103"/>
  <c r="EH47" i="103"/>
  <c r="EI46" i="103"/>
  <c r="EH25" i="103"/>
  <c r="EG26" i="103"/>
  <c r="EF31" i="103" l="1"/>
  <c r="EF32" i="103" s="1"/>
  <c r="EF33" i="103" s="1"/>
  <c r="EE39" i="103"/>
  <c r="EE40" i="103" s="1"/>
  <c r="EI74" i="103"/>
  <c r="EH75" i="103"/>
  <c r="EE78" i="103"/>
  <c r="EE79" i="103"/>
  <c r="EF34" i="103"/>
  <c r="EF35" i="103" s="1"/>
  <c r="EF36" i="103" s="1"/>
  <c r="EG76" i="103"/>
  <c r="EG49" i="103"/>
  <c r="EC85" i="103"/>
  <c r="EC90" i="103"/>
  <c r="EA95" i="103"/>
  <c r="EJ5" i="103"/>
  <c r="EI6" i="103"/>
  <c r="EF77" i="103"/>
  <c r="EH45" i="103"/>
  <c r="EH48" i="103" s="1"/>
  <c r="EC58" i="103"/>
  <c r="EG27" i="103"/>
  <c r="EG28" i="103" s="1"/>
  <c r="EG29" i="103" s="1"/>
  <c r="EG30" i="103" s="1"/>
  <c r="EF50" i="103"/>
  <c r="EF51" i="103"/>
  <c r="EE52" i="103"/>
  <c r="EE56" i="103"/>
  <c r="EE53" i="103"/>
  <c r="EE54" i="103" s="1"/>
  <c r="EI25" i="103"/>
  <c r="EH26" i="103"/>
  <c r="ED57" i="103"/>
  <c r="ED62" i="103"/>
  <c r="ED63" i="103" s="1"/>
  <c r="ED69" i="103" s="1"/>
  <c r="EB86" i="103"/>
  <c r="EB89" i="103"/>
  <c r="EJ46" i="103"/>
  <c r="EI47" i="103"/>
  <c r="ED92" i="103"/>
  <c r="ED80" i="103"/>
  <c r="ED84" i="103"/>
  <c r="ED81" i="103"/>
  <c r="ED82" i="103" s="1"/>
  <c r="EB91" i="103"/>
  <c r="EB93" i="103"/>
  <c r="EB94" i="103" s="1"/>
  <c r="EA96" i="103" s="1"/>
  <c r="DZ96" i="103"/>
  <c r="EG31" i="103" l="1"/>
  <c r="EI45" i="103"/>
  <c r="EI48" i="103" s="1"/>
  <c r="EH49" i="103"/>
  <c r="EE57" i="103"/>
  <c r="EE62" i="103"/>
  <c r="EE63" i="103" s="1"/>
  <c r="EE69" i="103" s="1"/>
  <c r="EG77" i="103"/>
  <c r="EJ25" i="103"/>
  <c r="EI26" i="103"/>
  <c r="EK5" i="103"/>
  <c r="EJ6" i="103"/>
  <c r="EB95" i="103"/>
  <c r="EK46" i="103"/>
  <c r="EJ47" i="103"/>
  <c r="EG34" i="103"/>
  <c r="EG35" i="103" s="1"/>
  <c r="EG36" i="103" s="1"/>
  <c r="EF78" i="103"/>
  <c r="EF79" i="103"/>
  <c r="EE92" i="103"/>
  <c r="EE80" i="103"/>
  <c r="EE84" i="103"/>
  <c r="EE81" i="103"/>
  <c r="EE82" i="103" s="1"/>
  <c r="EC91" i="103"/>
  <c r="EC93" i="103"/>
  <c r="EC94" i="103" s="1"/>
  <c r="EB96" i="103" s="1"/>
  <c r="EC89" i="103"/>
  <c r="EC86" i="103"/>
  <c r="EH76" i="103"/>
  <c r="EH27" i="103"/>
  <c r="EH28" i="103" s="1"/>
  <c r="EH29" i="103" s="1"/>
  <c r="EH30" i="103" s="1"/>
  <c r="EG50" i="103"/>
  <c r="EG51" i="103"/>
  <c r="ED85" i="103"/>
  <c r="ED90" i="103"/>
  <c r="ED58" i="103"/>
  <c r="EF52" i="103"/>
  <c r="EF56" i="103"/>
  <c r="EF53" i="103"/>
  <c r="EF54" i="103" s="1"/>
  <c r="EF39" i="103"/>
  <c r="EF40" i="103" s="1"/>
  <c r="EI75" i="103"/>
  <c r="EJ74" i="103"/>
  <c r="EH34" i="103" l="1"/>
  <c r="EH35" i="103" s="1"/>
  <c r="EH36" i="103" s="1"/>
  <c r="ED91" i="103"/>
  <c r="ED93" i="103"/>
  <c r="ED94" i="103" s="1"/>
  <c r="EC96" i="103" s="1"/>
  <c r="EE85" i="103"/>
  <c r="EE90" i="103"/>
  <c r="EL46" i="103"/>
  <c r="EK47" i="103"/>
  <c r="ED89" i="103"/>
  <c r="ED86" i="103"/>
  <c r="EG52" i="103"/>
  <c r="EG56" i="103"/>
  <c r="EG53" i="103"/>
  <c r="EG54" i="103" s="1"/>
  <c r="EG79" i="103"/>
  <c r="EG78" i="103"/>
  <c r="EF57" i="103"/>
  <c r="EF62" i="103"/>
  <c r="EF63" i="103" s="1"/>
  <c r="EF69" i="103" s="1"/>
  <c r="EC95" i="103"/>
  <c r="EJ45" i="103"/>
  <c r="EJ48" i="103" s="1"/>
  <c r="EF92" i="103"/>
  <c r="EF80" i="103"/>
  <c r="EF84" i="103"/>
  <c r="EF81" i="103"/>
  <c r="EF82" i="103" s="1"/>
  <c r="EK6" i="103"/>
  <c r="EL5" i="103"/>
  <c r="EE58" i="103"/>
  <c r="EI49" i="103"/>
  <c r="EJ75" i="103"/>
  <c r="EK74" i="103"/>
  <c r="EH31" i="103"/>
  <c r="EI27" i="103"/>
  <c r="EI28" i="103" s="1"/>
  <c r="EI29" i="103" s="1"/>
  <c r="EI30" i="103" s="1"/>
  <c r="EH51" i="103"/>
  <c r="EH50" i="103"/>
  <c r="EJ26" i="103"/>
  <c r="EK25" i="103"/>
  <c r="EG39" i="103"/>
  <c r="EG40" i="103" s="1"/>
  <c r="EG32" i="103"/>
  <c r="EG33" i="103" s="1"/>
  <c r="EI76" i="103"/>
  <c r="EH77" i="103"/>
  <c r="EI31" i="103" l="1"/>
  <c r="EI32" i="103" s="1"/>
  <c r="EI33" i="103" s="1"/>
  <c r="EI34" i="103"/>
  <c r="EI35" i="103" s="1"/>
  <c r="EI36" i="103" s="1"/>
  <c r="EL6" i="103"/>
  <c r="EM5" i="103"/>
  <c r="EJ27" i="103"/>
  <c r="EJ28" i="103" s="1"/>
  <c r="EJ29" i="103" s="1"/>
  <c r="EJ30" i="103" s="1"/>
  <c r="EK26" i="103"/>
  <c r="EL25" i="103"/>
  <c r="EK75" i="103"/>
  <c r="EL74" i="103"/>
  <c r="EG57" i="103"/>
  <c r="EG62" i="103"/>
  <c r="EG63" i="103" s="1"/>
  <c r="EG69" i="103" s="1"/>
  <c r="EM46" i="103"/>
  <c r="EL47" i="103"/>
  <c r="EJ49" i="103"/>
  <c r="EH32" i="103"/>
  <c r="EH33" i="103" s="1"/>
  <c r="EH39" i="103"/>
  <c r="EH40" i="103" s="1"/>
  <c r="EH78" i="103"/>
  <c r="EH79" i="103"/>
  <c r="EH52" i="103"/>
  <c r="EH56" i="103"/>
  <c r="EH53" i="103"/>
  <c r="EH54" i="103" s="1"/>
  <c r="EJ76" i="103"/>
  <c r="EF85" i="103"/>
  <c r="EF90" i="103"/>
  <c r="EE91" i="103"/>
  <c r="EE93" i="103"/>
  <c r="EE94" i="103" s="1"/>
  <c r="ED96" i="103" s="1"/>
  <c r="EI51" i="103"/>
  <c r="EI50" i="103"/>
  <c r="EE89" i="103"/>
  <c r="EE86" i="103"/>
  <c r="EK45" i="103"/>
  <c r="EK48" i="103" s="1"/>
  <c r="EG92" i="103"/>
  <c r="EG80" i="103"/>
  <c r="EG84" i="103"/>
  <c r="EG81" i="103"/>
  <c r="EG82" i="103" s="1"/>
  <c r="EI77" i="103"/>
  <c r="ED95" i="103"/>
  <c r="EF58" i="103"/>
  <c r="EI39" i="103" l="1"/>
  <c r="EI40" i="103" s="1"/>
  <c r="EI52" i="103"/>
  <c r="EI56" i="103"/>
  <c r="EI53" i="103"/>
  <c r="EI54" i="103" s="1"/>
  <c r="EJ50" i="103"/>
  <c r="EJ51" i="103"/>
  <c r="EK76" i="103"/>
  <c r="EI78" i="103"/>
  <c r="EI79" i="103"/>
  <c r="EL45" i="103"/>
  <c r="EL48" i="103" s="1"/>
  <c r="EH57" i="103"/>
  <c r="EH62" i="103"/>
  <c r="EH63" i="103" s="1"/>
  <c r="EH69" i="103" s="1"/>
  <c r="EK49" i="103"/>
  <c r="EE95" i="103"/>
  <c r="EJ31" i="103"/>
  <c r="EJ77" i="103"/>
  <c r="EN46" i="103"/>
  <c r="EM47" i="103"/>
  <c r="EL26" i="103"/>
  <c r="EM25" i="103"/>
  <c r="EJ34" i="103"/>
  <c r="EJ35" i="103" s="1"/>
  <c r="EJ36" i="103" s="1"/>
  <c r="EM74" i="103"/>
  <c r="EL75" i="103"/>
  <c r="EG85" i="103"/>
  <c r="EG90" i="103"/>
  <c r="EF91" i="103"/>
  <c r="EF93" i="103"/>
  <c r="EF94" i="103" s="1"/>
  <c r="EE96" i="103" s="1"/>
  <c r="EH92" i="103"/>
  <c r="EH80" i="103"/>
  <c r="EH84" i="103"/>
  <c r="EH81" i="103"/>
  <c r="EH82" i="103" s="1"/>
  <c r="EK27" i="103"/>
  <c r="EK28" i="103" s="1"/>
  <c r="EK29" i="103" s="1"/>
  <c r="EK30" i="103" s="1"/>
  <c r="EM6" i="103"/>
  <c r="EN5" i="103"/>
  <c r="EF89" i="103"/>
  <c r="EF86" i="103"/>
  <c r="EG58" i="103"/>
  <c r="EH85" i="103" l="1"/>
  <c r="EH90" i="103"/>
  <c r="EL76" i="103"/>
  <c r="EN47" i="103"/>
  <c r="EO46" i="103"/>
  <c r="EH58" i="103"/>
  <c r="EJ52" i="103"/>
  <c r="EJ56" i="103"/>
  <c r="EJ53" i="103"/>
  <c r="EJ54" i="103" s="1"/>
  <c r="EL49" i="103"/>
  <c r="EN74" i="103"/>
  <c r="EM75" i="103"/>
  <c r="EO5" i="103"/>
  <c r="EN6" i="103"/>
  <c r="EM45" i="103"/>
  <c r="EM48" i="103" s="1"/>
  <c r="EJ79" i="103"/>
  <c r="EJ78" i="103"/>
  <c r="EK50" i="103"/>
  <c r="EK51" i="103"/>
  <c r="EF95" i="103"/>
  <c r="EI92" i="103"/>
  <c r="EI80" i="103"/>
  <c r="EI84" i="103"/>
  <c r="EI81" i="103"/>
  <c r="EI82" i="103" s="1"/>
  <c r="EK31" i="103"/>
  <c r="EM26" i="103"/>
  <c r="EN25" i="103"/>
  <c r="EJ39" i="103"/>
  <c r="EJ40" i="103" s="1"/>
  <c r="EJ32" i="103"/>
  <c r="EJ33" i="103" s="1"/>
  <c r="EI57" i="103"/>
  <c r="EI62" i="103"/>
  <c r="EI63" i="103" s="1"/>
  <c r="EI69" i="103" s="1"/>
  <c r="EK34" i="103"/>
  <c r="EK35" i="103" s="1"/>
  <c r="EK36" i="103" s="1"/>
  <c r="EG91" i="103"/>
  <c r="EG93" i="103"/>
  <c r="EG94" i="103" s="1"/>
  <c r="EL27" i="103"/>
  <c r="EL28" i="103" s="1"/>
  <c r="EL29" i="103" s="1"/>
  <c r="EL30" i="103" s="1"/>
  <c r="EK77" i="103"/>
  <c r="EG89" i="103"/>
  <c r="EG86" i="103"/>
  <c r="EI85" i="103" l="1"/>
  <c r="EI90" i="103"/>
  <c r="EP5" i="103"/>
  <c r="EO6" i="103"/>
  <c r="EJ92" i="103"/>
  <c r="EJ80" i="103"/>
  <c r="EJ84" i="103"/>
  <c r="EJ81" i="103"/>
  <c r="EJ82" i="103" s="1"/>
  <c r="EM76" i="103"/>
  <c r="EL31" i="103"/>
  <c r="EN75" i="103"/>
  <c r="EO74" i="103"/>
  <c r="EH89" i="103"/>
  <c r="EH86" i="103"/>
  <c r="EM49" i="103"/>
  <c r="EL50" i="103"/>
  <c r="EL51" i="103"/>
  <c r="EO47" i="103"/>
  <c r="EP46" i="103"/>
  <c r="EK79" i="103"/>
  <c r="EK78" i="103"/>
  <c r="EG95" i="103"/>
  <c r="EO25" i="103"/>
  <c r="EN26" i="103"/>
  <c r="EF96" i="103"/>
  <c r="EN45" i="103"/>
  <c r="EN48" i="103" s="1"/>
  <c r="EI58" i="103"/>
  <c r="EL34" i="103"/>
  <c r="EL35" i="103" s="1"/>
  <c r="EL36" i="103" s="1"/>
  <c r="EM27" i="103"/>
  <c r="EM28" i="103" s="1"/>
  <c r="EM29" i="103" s="1"/>
  <c r="EM30" i="103" s="1"/>
  <c r="EL77" i="103"/>
  <c r="EH91" i="103"/>
  <c r="EH93" i="103"/>
  <c r="EH94" i="103" s="1"/>
  <c r="EK39" i="103"/>
  <c r="EK40" i="103" s="1"/>
  <c r="EK32" i="103"/>
  <c r="EK33" i="103" s="1"/>
  <c r="EK52" i="103"/>
  <c r="EK56" i="103"/>
  <c r="EK53" i="103"/>
  <c r="EK54" i="103" s="1"/>
  <c r="EJ57" i="103"/>
  <c r="EJ62" i="103"/>
  <c r="EJ63" i="103" s="1"/>
  <c r="EJ69" i="103" s="1"/>
  <c r="EL79" i="103" l="1"/>
  <c r="EL78" i="103"/>
  <c r="EO45" i="103"/>
  <c r="EO48" i="103" s="1"/>
  <c r="EK92" i="103"/>
  <c r="EK80" i="103"/>
  <c r="EK84" i="103"/>
  <c r="EK81" i="103"/>
  <c r="EK82" i="103" s="1"/>
  <c r="EN49" i="103"/>
  <c r="EM31" i="103"/>
  <c r="EM34" i="103"/>
  <c r="EM35" i="103" s="1"/>
  <c r="EM36" i="103" s="1"/>
  <c r="EP47" i="103"/>
  <c r="EQ46" i="103"/>
  <c r="EM77" i="103"/>
  <c r="EP6" i="103"/>
  <c r="EQ5" i="103"/>
  <c r="EK57" i="103"/>
  <c r="EK62" i="103"/>
  <c r="EK63" i="103" s="1"/>
  <c r="EK69" i="103" s="1"/>
  <c r="EL39" i="103"/>
  <c r="EL40" i="103" s="1"/>
  <c r="EL32" i="103"/>
  <c r="EL33" i="103" s="1"/>
  <c r="EN27" i="103"/>
  <c r="EN28" i="103" s="1"/>
  <c r="EN29" i="103" s="1"/>
  <c r="EN30" i="103" s="1"/>
  <c r="EI91" i="103"/>
  <c r="EI93" i="103"/>
  <c r="EI94" i="103" s="1"/>
  <c r="EP25" i="103"/>
  <c r="EO26" i="103"/>
  <c r="EL52" i="103"/>
  <c r="EL56" i="103"/>
  <c r="EL53" i="103"/>
  <c r="EL54" i="103" s="1"/>
  <c r="EO75" i="103"/>
  <c r="EP74" i="103"/>
  <c r="EI86" i="103"/>
  <c r="EI89" i="103"/>
  <c r="EM50" i="103"/>
  <c r="EM51" i="103"/>
  <c r="EJ58" i="103"/>
  <c r="EH95" i="103"/>
  <c r="EG96" i="103"/>
  <c r="EN76" i="103"/>
  <c r="EJ85" i="103"/>
  <c r="EJ90" i="103"/>
  <c r="EN34" i="103" l="1"/>
  <c r="EN35" i="103" s="1"/>
  <c r="EN36" i="103" s="1"/>
  <c r="EQ74" i="103"/>
  <c r="EP75" i="103"/>
  <c r="EL92" i="103"/>
  <c r="EL80" i="103"/>
  <c r="EL84" i="103"/>
  <c r="EL81" i="103"/>
  <c r="EL82" i="103" s="1"/>
  <c r="EO76" i="103"/>
  <c r="EK85" i="103"/>
  <c r="EK90" i="103"/>
  <c r="ER46" i="103"/>
  <c r="EQ47" i="103"/>
  <c r="EM39" i="103"/>
  <c r="EM40" i="103" s="1"/>
  <c r="EM32" i="103"/>
  <c r="EM33" i="103" s="1"/>
  <c r="EQ25" i="103"/>
  <c r="EP26" i="103"/>
  <c r="EI95" i="103"/>
  <c r="EJ91" i="103"/>
  <c r="EJ93" i="103"/>
  <c r="EJ94" i="103" s="1"/>
  <c r="EL57" i="103"/>
  <c r="EL62" i="103"/>
  <c r="EL63" i="103" s="1"/>
  <c r="EL69" i="103" s="1"/>
  <c r="EN50" i="103"/>
  <c r="EN51" i="103"/>
  <c r="EH96" i="103"/>
  <c r="EM78" i="103"/>
  <c r="EM79" i="103"/>
  <c r="EM52" i="103"/>
  <c r="EM56" i="103"/>
  <c r="EM53" i="103"/>
  <c r="EM54" i="103" s="1"/>
  <c r="EO49" i="103"/>
  <c r="EN77" i="103"/>
  <c r="EK58" i="103"/>
  <c r="EP45" i="103"/>
  <c r="EP48" i="103" s="1"/>
  <c r="EJ89" i="103"/>
  <c r="EJ86" i="103"/>
  <c r="EO27" i="103"/>
  <c r="EO28" i="103" s="1"/>
  <c r="EO29" i="103" s="1"/>
  <c r="EO30" i="103" s="1"/>
  <c r="EN31" i="103"/>
  <c r="ER5" i="103"/>
  <c r="EQ6" i="103"/>
  <c r="EL58" i="103" l="1"/>
  <c r="EN78" i="103"/>
  <c r="EN79" i="103"/>
  <c r="EM92" i="103"/>
  <c r="EM80" i="103"/>
  <c r="EM84" i="103"/>
  <c r="EM81" i="103"/>
  <c r="EM82" i="103" s="1"/>
  <c r="EJ95" i="103"/>
  <c r="EL85" i="103"/>
  <c r="EL90" i="103"/>
  <c r="ES5" i="103"/>
  <c r="ER6" i="103"/>
  <c r="EP49" i="103"/>
  <c r="ES46" i="103"/>
  <c r="ER47" i="103"/>
  <c r="EN39" i="103"/>
  <c r="EN40" i="103" s="1"/>
  <c r="EN32" i="103"/>
  <c r="EN33" i="103" s="1"/>
  <c r="EQ45" i="103"/>
  <c r="EQ48" i="103" s="1"/>
  <c r="EK91" i="103"/>
  <c r="EK93" i="103"/>
  <c r="EK94" i="103" s="1"/>
  <c r="EN52" i="103"/>
  <c r="EN56" i="103"/>
  <c r="EN53" i="103"/>
  <c r="EN54" i="103" s="1"/>
  <c r="EI96" i="103"/>
  <c r="EK89" i="103"/>
  <c r="EK86" i="103"/>
  <c r="EP76" i="103"/>
  <c r="EP27" i="103"/>
  <c r="EP28" i="103" s="1"/>
  <c r="EP29" i="103" s="1"/>
  <c r="EP30" i="103" s="1"/>
  <c r="EO77" i="103"/>
  <c r="EQ75" i="103"/>
  <c r="ER74" i="103"/>
  <c r="EO31" i="103"/>
  <c r="EO50" i="103"/>
  <c r="EO51" i="103"/>
  <c r="EO34" i="103"/>
  <c r="EO35" i="103" s="1"/>
  <c r="EO36" i="103" s="1"/>
  <c r="EM57" i="103"/>
  <c r="EM62" i="103"/>
  <c r="EM63" i="103" s="1"/>
  <c r="EM69" i="103" s="1"/>
  <c r="ER25" i="103"/>
  <c r="EQ26" i="103"/>
  <c r="EM58" i="103" l="1"/>
  <c r="ER75" i="103"/>
  <c r="ES74" i="103"/>
  <c r="EN57" i="103"/>
  <c r="EN62" i="103"/>
  <c r="EN63" i="103" s="1"/>
  <c r="EN69" i="103" s="1"/>
  <c r="ES6" i="103"/>
  <c r="ET5" i="103"/>
  <c r="EQ76" i="103"/>
  <c r="EL91" i="103"/>
  <c r="EL93" i="103"/>
  <c r="EL94" i="103" s="1"/>
  <c r="EK96" i="103" s="1"/>
  <c r="EL89" i="103"/>
  <c r="EL86" i="103"/>
  <c r="EP77" i="103"/>
  <c r="EO79" i="103"/>
  <c r="EO78" i="103"/>
  <c r="EK95" i="103"/>
  <c r="EN92" i="103"/>
  <c r="EN80" i="103"/>
  <c r="EN84" i="103"/>
  <c r="EN81" i="103"/>
  <c r="EN82" i="103" s="1"/>
  <c r="ET46" i="103"/>
  <c r="ES47" i="103"/>
  <c r="EJ96" i="103"/>
  <c r="EQ27" i="103"/>
  <c r="EQ28" i="103" s="1"/>
  <c r="EQ29" i="103" s="1"/>
  <c r="EQ30" i="103" s="1"/>
  <c r="EO52" i="103"/>
  <c r="EO56" i="103"/>
  <c r="EO53" i="103"/>
  <c r="EO54" i="103" s="1"/>
  <c r="EP31" i="103"/>
  <c r="ER45" i="103"/>
  <c r="ER48" i="103" s="1"/>
  <c r="EP51" i="103"/>
  <c r="EP50" i="103"/>
  <c r="ER26" i="103"/>
  <c r="ES25" i="103"/>
  <c r="EQ49" i="103"/>
  <c r="EP34" i="103"/>
  <c r="EP35" i="103" s="1"/>
  <c r="EP36" i="103" s="1"/>
  <c r="EO32" i="103"/>
  <c r="EO33" i="103" s="1"/>
  <c r="EO39" i="103"/>
  <c r="EO40" i="103" s="1"/>
  <c r="EM85" i="103"/>
  <c r="EM90" i="103"/>
  <c r="EQ34" i="103" l="1"/>
  <c r="EQ35" i="103" s="1"/>
  <c r="EQ36" i="103" s="1"/>
  <c r="EM91" i="103"/>
  <c r="EM93" i="103"/>
  <c r="EM94" i="103" s="1"/>
  <c r="EL96" i="103" s="1"/>
  <c r="ES26" i="103"/>
  <c r="ET25" i="103"/>
  <c r="EP32" i="103"/>
  <c r="EP33" i="103" s="1"/>
  <c r="EP39" i="103"/>
  <c r="EP40" i="103" s="1"/>
  <c r="EN85" i="103"/>
  <c r="EN90" i="103"/>
  <c r="EO92" i="103"/>
  <c r="EO80" i="103"/>
  <c r="EO84" i="103"/>
  <c r="EO81" i="103"/>
  <c r="EO82" i="103" s="1"/>
  <c r="EN58" i="103"/>
  <c r="EP78" i="103"/>
  <c r="EP79" i="103"/>
  <c r="EQ77" i="103"/>
  <c r="EO57" i="103"/>
  <c r="EO62" i="103"/>
  <c r="EO63" i="103" s="1"/>
  <c r="EO69" i="103" s="1"/>
  <c r="EU46" i="103"/>
  <c r="ET47" i="103"/>
  <c r="EM89" i="103"/>
  <c r="EM86" i="103"/>
  <c r="ES75" i="103"/>
  <c r="ET74" i="103"/>
  <c r="EP52" i="103"/>
  <c r="EP56" i="103"/>
  <c r="EP53" i="103"/>
  <c r="EP54" i="103" s="1"/>
  <c r="ER76" i="103"/>
  <c r="ER27" i="103"/>
  <c r="ER28" i="103" s="1"/>
  <c r="ER29" i="103" s="1"/>
  <c r="ER30" i="103" s="1"/>
  <c r="EL95" i="103"/>
  <c r="ET6" i="103"/>
  <c r="EU5" i="103"/>
  <c r="ES45" i="103"/>
  <c r="ES48" i="103" s="1"/>
  <c r="EQ51" i="103"/>
  <c r="EQ50" i="103"/>
  <c r="ER49" i="103"/>
  <c r="EQ31" i="103"/>
  <c r="ER31" i="103" l="1"/>
  <c r="ER32" i="103" s="1"/>
  <c r="ER33" i="103" s="1"/>
  <c r="EO58" i="103"/>
  <c r="EQ39" i="103"/>
  <c r="EQ40" i="103" s="1"/>
  <c r="EQ32" i="103"/>
  <c r="EQ33" i="103" s="1"/>
  <c r="EU6" i="103"/>
  <c r="EV5" i="103"/>
  <c r="ES76" i="103"/>
  <c r="EQ78" i="103"/>
  <c r="EQ79" i="103"/>
  <c r="ER77" i="103"/>
  <c r="ER50" i="103"/>
  <c r="ER51" i="103"/>
  <c r="EP92" i="103"/>
  <c r="EP80" i="103"/>
  <c r="EP84" i="103"/>
  <c r="EP81" i="103"/>
  <c r="EP82" i="103" s="1"/>
  <c r="EO85" i="103"/>
  <c r="EO90" i="103"/>
  <c r="ET26" i="103"/>
  <c r="EU25" i="103"/>
  <c r="EU74" i="103"/>
  <c r="ET75" i="103"/>
  <c r="EN89" i="103"/>
  <c r="EN86" i="103"/>
  <c r="ES27" i="103"/>
  <c r="ES28" i="103" s="1"/>
  <c r="ES29" i="103" s="1"/>
  <c r="ES30" i="103" s="1"/>
  <c r="EQ52" i="103"/>
  <c r="EQ56" i="103"/>
  <c r="EQ53" i="103"/>
  <c r="EQ54" i="103" s="1"/>
  <c r="EP57" i="103"/>
  <c r="EP62" i="103"/>
  <c r="EP63" i="103" s="1"/>
  <c r="EP69" i="103" s="1"/>
  <c r="EM95" i="103"/>
  <c r="ET45" i="103"/>
  <c r="ET48" i="103" s="1"/>
  <c r="EV46" i="103"/>
  <c r="EU47" i="103"/>
  <c r="ES49" i="103"/>
  <c r="ER34" i="103"/>
  <c r="ER35" i="103" s="1"/>
  <c r="ER36" i="103" s="1"/>
  <c r="EN91" i="103"/>
  <c r="EN93" i="103"/>
  <c r="EN94" i="103" s="1"/>
  <c r="EM96" i="103" s="1"/>
  <c r="EY54" i="103" l="1"/>
  <c r="EY55" i="103" s="1"/>
  <c r="EZ54" i="103"/>
  <c r="EZ55" i="103" s="1"/>
  <c r="ET27" i="103"/>
  <c r="ET28" i="103" s="1"/>
  <c r="ET29" i="103" s="1"/>
  <c r="ET30" i="103" s="1"/>
  <c r="ER39" i="103"/>
  <c r="ER40" i="103" s="1"/>
  <c r="EO91" i="103"/>
  <c r="EO93" i="103"/>
  <c r="EO94" i="103" s="1"/>
  <c r="EN96" i="103" s="1"/>
  <c r="ES77" i="103"/>
  <c r="ES50" i="103"/>
  <c r="ES51" i="103"/>
  <c r="ET49" i="103"/>
  <c r="EO89" i="103"/>
  <c r="EO86" i="103"/>
  <c r="ES34" i="103"/>
  <c r="ES35" i="103" s="1"/>
  <c r="ES36" i="103" s="1"/>
  <c r="EP58" i="103"/>
  <c r="ER52" i="103"/>
  <c r="ER56" i="103"/>
  <c r="ER53" i="103"/>
  <c r="ER54" i="103" s="1"/>
  <c r="EU45" i="103"/>
  <c r="EU48" i="103" s="1"/>
  <c r="EQ57" i="103"/>
  <c r="EQ62" i="103"/>
  <c r="EQ63" i="103" s="1"/>
  <c r="EQ69" i="103" s="1"/>
  <c r="ER79" i="103"/>
  <c r="ER78" i="103"/>
  <c r="EW5" i="103"/>
  <c r="EV6" i="103"/>
  <c r="EP85" i="103"/>
  <c r="EP90" i="103"/>
  <c r="ET76" i="103"/>
  <c r="EV74" i="103"/>
  <c r="EU75" i="103"/>
  <c r="EN95" i="103"/>
  <c r="EV47" i="103"/>
  <c r="EW46" i="103"/>
  <c r="ES31" i="103"/>
  <c r="EU26" i="103"/>
  <c r="EV25" i="103"/>
  <c r="EQ92" i="103"/>
  <c r="EQ80" i="103"/>
  <c r="EQ84" i="103"/>
  <c r="EQ81" i="103"/>
  <c r="EQ82" i="103" s="1"/>
  <c r="ES79" i="103" l="1"/>
  <c r="ES78" i="103"/>
  <c r="EV45" i="103"/>
  <c r="EV48" i="103" s="1"/>
  <c r="EX5" i="103"/>
  <c r="EW6" i="103"/>
  <c r="EO95" i="103"/>
  <c r="ET77" i="103"/>
  <c r="ER57" i="103"/>
  <c r="ER62" i="103"/>
  <c r="ER63" i="103" s="1"/>
  <c r="ER69" i="103" s="1"/>
  <c r="EP89" i="103"/>
  <c r="EP86" i="103"/>
  <c r="EW25" i="103"/>
  <c r="EV26" i="103"/>
  <c r="ER92" i="103"/>
  <c r="ER80" i="103"/>
  <c r="ER84" i="103"/>
  <c r="ER81" i="103"/>
  <c r="ER82" i="103" s="1"/>
  <c r="ET50" i="103"/>
  <c r="ET51" i="103"/>
  <c r="EQ85" i="103"/>
  <c r="EQ90" i="103"/>
  <c r="EU27" i="103"/>
  <c r="EU28" i="103" s="1"/>
  <c r="EU29" i="103" s="1"/>
  <c r="EU30" i="103" s="1"/>
  <c r="EU76" i="103"/>
  <c r="ES39" i="103"/>
  <c r="ES40" i="103" s="1"/>
  <c r="ES32" i="103"/>
  <c r="ES33" i="103" s="1"/>
  <c r="EV75" i="103"/>
  <c r="EW74" i="103"/>
  <c r="EQ58" i="103"/>
  <c r="ES52" i="103"/>
  <c r="ES56" i="103"/>
  <c r="ES53" i="103"/>
  <c r="ES54" i="103" s="1"/>
  <c r="ET31" i="103"/>
  <c r="EW47" i="103"/>
  <c r="EX46" i="103"/>
  <c r="EP91" i="103"/>
  <c r="EP93" i="103"/>
  <c r="EP94" i="103" s="1"/>
  <c r="EU49" i="103"/>
  <c r="ET34" i="103"/>
  <c r="ET35" i="103" s="1"/>
  <c r="ET36" i="103" s="1"/>
  <c r="EP95" i="103" l="1"/>
  <c r="EQ89" i="103"/>
  <c r="EQ86" i="103"/>
  <c r="ET52" i="103"/>
  <c r="ET56" i="103"/>
  <c r="ET53" i="103"/>
  <c r="ET54" i="103" s="1"/>
  <c r="EV27" i="103"/>
  <c r="EV28" i="103" s="1"/>
  <c r="EV29" i="103" s="1"/>
  <c r="EV30" i="103" s="1"/>
  <c r="EO96" i="103"/>
  <c r="EW45" i="103"/>
  <c r="EW48" i="103" s="1"/>
  <c r="EV49" i="103"/>
  <c r="EU77" i="103"/>
  <c r="EX25" i="103"/>
  <c r="EW26" i="103"/>
  <c r="EQ91" i="103"/>
  <c r="EQ93" i="103"/>
  <c r="EQ94" i="103" s="1"/>
  <c r="ES57" i="103"/>
  <c r="ES62" i="103"/>
  <c r="ES63" i="103" s="1"/>
  <c r="ES69" i="103" s="1"/>
  <c r="ET79" i="103"/>
  <c r="ET78" i="103"/>
  <c r="EW75" i="103"/>
  <c r="EX74" i="103"/>
  <c r="ER85" i="103"/>
  <c r="ER90" i="103"/>
  <c r="EU50" i="103"/>
  <c r="EU51" i="103"/>
  <c r="ET39" i="103"/>
  <c r="ET40" i="103" s="1"/>
  <c r="ET32" i="103"/>
  <c r="ET33" i="103" s="1"/>
  <c r="EV76" i="103"/>
  <c r="EU31" i="103"/>
  <c r="ES92" i="103"/>
  <c r="ES80" i="103"/>
  <c r="ES84" i="103"/>
  <c r="ES81" i="103"/>
  <c r="ES82" i="103" s="1"/>
  <c r="EX47" i="103"/>
  <c r="EX6" i="103"/>
  <c r="EU34" i="103"/>
  <c r="EU35" i="103" s="1"/>
  <c r="EU36" i="103" s="1"/>
  <c r="ER58" i="103"/>
  <c r="EW76" i="103" l="1"/>
  <c r="EX45" i="103"/>
  <c r="EX48" i="103" s="1"/>
  <c r="EU52" i="103"/>
  <c r="EU56" i="103"/>
  <c r="EU53" i="103"/>
  <c r="EU54" i="103" s="1"/>
  <c r="EW27" i="103"/>
  <c r="EW28" i="103" s="1"/>
  <c r="EW29" i="103" s="1"/>
  <c r="EW30" i="103" s="1"/>
  <c r="EX26" i="103"/>
  <c r="ET92" i="103"/>
  <c r="ET80" i="103"/>
  <c r="ET84" i="103"/>
  <c r="ET81" i="103"/>
  <c r="ET82" i="103" s="1"/>
  <c r="EU78" i="103"/>
  <c r="EU79" i="103"/>
  <c r="EU39" i="103"/>
  <c r="EU40" i="103" s="1"/>
  <c r="EU32" i="103"/>
  <c r="EU33" i="103" s="1"/>
  <c r="EV31" i="103"/>
  <c r="ES85" i="103"/>
  <c r="ES90" i="103"/>
  <c r="EV77" i="103"/>
  <c r="ER91" i="103"/>
  <c r="ER93" i="103"/>
  <c r="ER94" i="103" s="1"/>
  <c r="EQ96" i="103" s="1"/>
  <c r="ES58" i="103"/>
  <c r="EV50" i="103"/>
  <c r="EV51" i="103"/>
  <c r="EV34" i="103"/>
  <c r="EV35" i="103" s="1"/>
  <c r="EV36" i="103" s="1"/>
  <c r="ER86" i="103"/>
  <c r="ER89" i="103"/>
  <c r="EX75" i="103"/>
  <c r="EQ95" i="103"/>
  <c r="EW49" i="103"/>
  <c r="ET57" i="103"/>
  <c r="ET62" i="103"/>
  <c r="ET63" i="103" s="1"/>
  <c r="ET69" i="103" s="1"/>
  <c r="EP96" i="103"/>
  <c r="EW31" i="103" l="1"/>
  <c r="EW32" i="103" s="1"/>
  <c r="EW33" i="103" s="1"/>
  <c r="EU92" i="103"/>
  <c r="EU80" i="103"/>
  <c r="EU84" i="103"/>
  <c r="EU81" i="103"/>
  <c r="EU82" i="103" s="1"/>
  <c r="ES89" i="103"/>
  <c r="ES86" i="103"/>
  <c r="EW34" i="103"/>
  <c r="EW35" i="103" s="1"/>
  <c r="EW36" i="103" s="1"/>
  <c r="EX49" i="103"/>
  <c r="EX27" i="103"/>
  <c r="EX28" i="103" s="1"/>
  <c r="EX29" i="103" s="1"/>
  <c r="EX30" i="103" s="1"/>
  <c r="EX76" i="103"/>
  <c r="ET85" i="103"/>
  <c r="ET90" i="103"/>
  <c r="EU57" i="103"/>
  <c r="EU62" i="103"/>
  <c r="EU63" i="103" s="1"/>
  <c r="EU69" i="103" s="1"/>
  <c r="ER95" i="103"/>
  <c r="EW77" i="103"/>
  <c r="ES91" i="103"/>
  <c r="ES93" i="103"/>
  <c r="ES94" i="103" s="1"/>
  <c r="EV39" i="103"/>
  <c r="EV40" i="103" s="1"/>
  <c r="EV32" i="103"/>
  <c r="EV33" i="103" s="1"/>
  <c r="ET58" i="103"/>
  <c r="EV52" i="103"/>
  <c r="EV56" i="103"/>
  <c r="EV53" i="103"/>
  <c r="EV54" i="103" s="1"/>
  <c r="EW50" i="103"/>
  <c r="EW51" i="103"/>
  <c r="EV78" i="103"/>
  <c r="EV79" i="103"/>
  <c r="EX34" i="103" l="1"/>
  <c r="EX35" i="103" s="1"/>
  <c r="EX36" i="103" s="1"/>
  <c r="ET91" i="103"/>
  <c r="ET93" i="103"/>
  <c r="ET94" i="103" s="1"/>
  <c r="ES96" i="103" s="1"/>
  <c r="ET89" i="103"/>
  <c r="ET86" i="103"/>
  <c r="EU85" i="103"/>
  <c r="EU90" i="103"/>
  <c r="EV57" i="103"/>
  <c r="EV62" i="103"/>
  <c r="EV63" i="103" s="1"/>
  <c r="EV69" i="103" s="1"/>
  <c r="ES95" i="103"/>
  <c r="ER96" i="103"/>
  <c r="EX31" i="103"/>
  <c r="EW79" i="103"/>
  <c r="EW78" i="103"/>
  <c r="EV92" i="103"/>
  <c r="EV80" i="103"/>
  <c r="EV84" i="103"/>
  <c r="EV81" i="103"/>
  <c r="EV82" i="103" s="1"/>
  <c r="EU58" i="103"/>
  <c r="EW39" i="103"/>
  <c r="EW40" i="103" s="1"/>
  <c r="EX77" i="103"/>
  <c r="EX51" i="103"/>
  <c r="EX50" i="103"/>
  <c r="EW52" i="103"/>
  <c r="EW56" i="103"/>
  <c r="EW53" i="103"/>
  <c r="EW54" i="103" s="1"/>
  <c r="EV58" i="103" l="1"/>
  <c r="EX78" i="103"/>
  <c r="EX79" i="103"/>
  <c r="EU86" i="103"/>
  <c r="EU89" i="103"/>
  <c r="EU91" i="103"/>
  <c r="EU93" i="103"/>
  <c r="EU94" i="103" s="1"/>
  <c r="EV85" i="103"/>
  <c r="EV90" i="103"/>
  <c r="ET95" i="103"/>
  <c r="EX32" i="103"/>
  <c r="EX39" i="103"/>
  <c r="EX40" i="103" s="1"/>
  <c r="EW92" i="103"/>
  <c r="EW80" i="103"/>
  <c r="EW84" i="103"/>
  <c r="EW81" i="103"/>
  <c r="EW82" i="103" s="1"/>
  <c r="EX52" i="103"/>
  <c r="EX56" i="103"/>
  <c r="EX53" i="103"/>
  <c r="EX54" i="103" s="1"/>
  <c r="EW57" i="103"/>
  <c r="EW62" i="103"/>
  <c r="EW63" i="103" s="1"/>
  <c r="EW69" i="103" s="1"/>
  <c r="EX33" i="103" l="1"/>
  <c r="EU95" i="103"/>
  <c r="EX92" i="103"/>
  <c r="EX80" i="103"/>
  <c r="EX84" i="103"/>
  <c r="EX81" i="103"/>
  <c r="EX82" i="103" s="1"/>
  <c r="EX57" i="103"/>
  <c r="EX62" i="103"/>
  <c r="EX63" i="103" s="1"/>
  <c r="EX69" i="103" s="1"/>
  <c r="ET96" i="103"/>
  <c r="EW58" i="103"/>
  <c r="EW85" i="103"/>
  <c r="EW90" i="103"/>
  <c r="EV91" i="103"/>
  <c r="EV93" i="103"/>
  <c r="EV94" i="103" s="1"/>
  <c r="EV89" i="103"/>
  <c r="EV86" i="103"/>
  <c r="EV95" i="103" l="1"/>
  <c r="EU96" i="103"/>
  <c r="EW91" i="103"/>
  <c r="EW93" i="103"/>
  <c r="EW94" i="103" s="1"/>
  <c r="EW89" i="103"/>
  <c r="EW86" i="103"/>
  <c r="EX58" i="103"/>
  <c r="EX85" i="103"/>
  <c r="EX90" i="103"/>
  <c r="EW95" i="103" l="1"/>
  <c r="EX91" i="103"/>
  <c r="EX93" i="103"/>
  <c r="EX94" i="103" s="1"/>
  <c r="EX89" i="103"/>
  <c r="EX86" i="103"/>
  <c r="EV96" i="103"/>
  <c r="EX95" i="103" l="1"/>
  <c r="EW96" i="103"/>
  <c r="EX96" i="103"/>
  <c r="FB6" i="103" l="1"/>
  <c r="FC5" i="103"/>
  <c r="FC46" i="103"/>
  <c r="FB47" i="103"/>
  <c r="FC74" i="103" l="1"/>
  <c r="FB75" i="103"/>
  <c r="FC47" i="103"/>
  <c r="FB26" i="103"/>
  <c r="FC25" i="103"/>
  <c r="FC6" i="103"/>
  <c r="FB45" i="103"/>
  <c r="FB48" i="103" s="1"/>
  <c r="FB27" i="103" l="1"/>
  <c r="FB28" i="103" s="1"/>
  <c r="FB29" i="103" s="1"/>
  <c r="FB30" i="103" s="1"/>
  <c r="FB76" i="103"/>
  <c r="FB49" i="103"/>
  <c r="FC75" i="103"/>
  <c r="FC26" i="103"/>
  <c r="FC45" i="103"/>
  <c r="FC48" i="103" s="1"/>
  <c r="FB31" i="103" l="1"/>
  <c r="FB32" i="103" s="1"/>
  <c r="FB33" i="103" s="1"/>
  <c r="FB77" i="103"/>
  <c r="FC27" i="103"/>
  <c r="FC28" i="103" s="1"/>
  <c r="FC29" i="103" s="1"/>
  <c r="FC30" i="103" s="1"/>
  <c r="FB50" i="103"/>
  <c r="FB51" i="103"/>
  <c r="FC76" i="103"/>
  <c r="FC49" i="103"/>
  <c r="FB34" i="103"/>
  <c r="FB35" i="103" s="1"/>
  <c r="FB36" i="103" s="1"/>
  <c r="FC31" i="103" l="1"/>
  <c r="FC32" i="103" s="1"/>
  <c r="FC33" i="103" s="1"/>
  <c r="FB52" i="103"/>
  <c r="FB56" i="103"/>
  <c r="FB53" i="103"/>
  <c r="FB54" i="103" s="1"/>
  <c r="FC50" i="103"/>
  <c r="FC51" i="103"/>
  <c r="FC77" i="103"/>
  <c r="FC34" i="103"/>
  <c r="FC35" i="103" s="1"/>
  <c r="FC36" i="103" s="1"/>
  <c r="FB78" i="103"/>
  <c r="FB79" i="103"/>
  <c r="FB39" i="103"/>
  <c r="FB40" i="103" s="1"/>
  <c r="FB57" i="103" l="1"/>
  <c r="FB62" i="103"/>
  <c r="F65" i="103" s="1"/>
  <c r="F66" i="103" s="1"/>
  <c r="FB92" i="103"/>
  <c r="FB80" i="103"/>
  <c r="FB84" i="103"/>
  <c r="FB81" i="103"/>
  <c r="FB82" i="103" s="1"/>
  <c r="FC78" i="103"/>
  <c r="FC79" i="103"/>
  <c r="FC52" i="103"/>
  <c r="FC56" i="103"/>
  <c r="FC53" i="103"/>
  <c r="FC54" i="103" s="1"/>
  <c r="FC39" i="103"/>
  <c r="FC40" i="103" s="1"/>
  <c r="EW65" i="103" l="1"/>
  <c r="EW66" i="103" s="1"/>
  <c r="EO65" i="103"/>
  <c r="EO66" i="103" s="1"/>
  <c r="EG65" i="103"/>
  <c r="EG66" i="103" s="1"/>
  <c r="DY65" i="103"/>
  <c r="DY66" i="103" s="1"/>
  <c r="DQ65" i="103"/>
  <c r="DQ66" i="103" s="1"/>
  <c r="DI65" i="103"/>
  <c r="DI66" i="103" s="1"/>
  <c r="DA65" i="103"/>
  <c r="DA66" i="103" s="1"/>
  <c r="CS65" i="103"/>
  <c r="CS66" i="103" s="1"/>
  <c r="CK65" i="103"/>
  <c r="CK66" i="103" s="1"/>
  <c r="CC65" i="103"/>
  <c r="CC66" i="103" s="1"/>
  <c r="BU65" i="103"/>
  <c r="BU66" i="103" s="1"/>
  <c r="BM65" i="103"/>
  <c r="BM66" i="103" s="1"/>
  <c r="BE65" i="103"/>
  <c r="BE66" i="103" s="1"/>
  <c r="AW65" i="103"/>
  <c r="AW66" i="103" s="1"/>
  <c r="AO65" i="103"/>
  <c r="AO66" i="103" s="1"/>
  <c r="AG65" i="103"/>
  <c r="AG66" i="103" s="1"/>
  <c r="Y65" i="103"/>
  <c r="Y66" i="103" s="1"/>
  <c r="Q65" i="103"/>
  <c r="Q66" i="103" s="1"/>
  <c r="I65" i="103"/>
  <c r="I66" i="103" s="1"/>
  <c r="EV65" i="103"/>
  <c r="EV66" i="103" s="1"/>
  <c r="EN65" i="103"/>
  <c r="EN66" i="103" s="1"/>
  <c r="EF65" i="103"/>
  <c r="EF66" i="103" s="1"/>
  <c r="DX65" i="103"/>
  <c r="DX66" i="103" s="1"/>
  <c r="DP65" i="103"/>
  <c r="DP66" i="103" s="1"/>
  <c r="DH65" i="103"/>
  <c r="DH66" i="103" s="1"/>
  <c r="CZ65" i="103"/>
  <c r="CZ66" i="103" s="1"/>
  <c r="CR65" i="103"/>
  <c r="CR66" i="103" s="1"/>
  <c r="CJ65" i="103"/>
  <c r="CJ66" i="103" s="1"/>
  <c r="CB65" i="103"/>
  <c r="CB66" i="103" s="1"/>
  <c r="BT65" i="103"/>
  <c r="BT66" i="103" s="1"/>
  <c r="BL65" i="103"/>
  <c r="BL66" i="103" s="1"/>
  <c r="BD65" i="103"/>
  <c r="BD66" i="103" s="1"/>
  <c r="AV65" i="103"/>
  <c r="AV66" i="103" s="1"/>
  <c r="AN65" i="103"/>
  <c r="AN66" i="103" s="1"/>
  <c r="AF65" i="103"/>
  <c r="AF66" i="103" s="1"/>
  <c r="X65" i="103"/>
  <c r="X66" i="103" s="1"/>
  <c r="P65" i="103"/>
  <c r="P66" i="103" s="1"/>
  <c r="H65" i="103"/>
  <c r="H66" i="103" s="1"/>
  <c r="FB65" i="103"/>
  <c r="FB66" i="103" s="1"/>
  <c r="EU65" i="103"/>
  <c r="EU66" i="103" s="1"/>
  <c r="EM65" i="103"/>
  <c r="EM66" i="103" s="1"/>
  <c r="EE65" i="103"/>
  <c r="EE66" i="103" s="1"/>
  <c r="DW65" i="103"/>
  <c r="DW66" i="103" s="1"/>
  <c r="DO65" i="103"/>
  <c r="DO66" i="103" s="1"/>
  <c r="DG65" i="103"/>
  <c r="DG66" i="103" s="1"/>
  <c r="CY65" i="103"/>
  <c r="CY66" i="103" s="1"/>
  <c r="CQ65" i="103"/>
  <c r="CQ66" i="103" s="1"/>
  <c r="CI65" i="103"/>
  <c r="CI66" i="103" s="1"/>
  <c r="CA65" i="103"/>
  <c r="CA66" i="103" s="1"/>
  <c r="BS65" i="103"/>
  <c r="BS66" i="103" s="1"/>
  <c r="BK65" i="103"/>
  <c r="BK66" i="103" s="1"/>
  <c r="BC65" i="103"/>
  <c r="BC66" i="103" s="1"/>
  <c r="AU65" i="103"/>
  <c r="AU66" i="103" s="1"/>
  <c r="AM65" i="103"/>
  <c r="AM66" i="103" s="1"/>
  <c r="AE65" i="103"/>
  <c r="AE66" i="103" s="1"/>
  <c r="W65" i="103"/>
  <c r="W66" i="103" s="1"/>
  <c r="O65" i="103"/>
  <c r="O66" i="103" s="1"/>
  <c r="G65" i="103"/>
  <c r="G66" i="103" s="1"/>
  <c r="F68" i="103" s="1"/>
  <c r="ET65" i="103"/>
  <c r="ET66" i="103" s="1"/>
  <c r="EL65" i="103"/>
  <c r="EL66" i="103" s="1"/>
  <c r="ED65" i="103"/>
  <c r="ED66" i="103" s="1"/>
  <c r="DV65" i="103"/>
  <c r="DV66" i="103" s="1"/>
  <c r="DN65" i="103"/>
  <c r="DN66" i="103" s="1"/>
  <c r="DF65" i="103"/>
  <c r="DF66" i="103" s="1"/>
  <c r="CX65" i="103"/>
  <c r="CX66" i="103" s="1"/>
  <c r="CP65" i="103"/>
  <c r="CP66" i="103" s="1"/>
  <c r="CH65" i="103"/>
  <c r="CH66" i="103" s="1"/>
  <c r="BZ65" i="103"/>
  <c r="BZ66" i="103" s="1"/>
  <c r="BR65" i="103"/>
  <c r="BR66" i="103" s="1"/>
  <c r="BJ65" i="103"/>
  <c r="BJ66" i="103" s="1"/>
  <c r="BB65" i="103"/>
  <c r="BB66" i="103" s="1"/>
  <c r="AT65" i="103"/>
  <c r="AT66" i="103" s="1"/>
  <c r="AL65" i="103"/>
  <c r="AL66" i="103" s="1"/>
  <c r="AD65" i="103"/>
  <c r="AD66" i="103" s="1"/>
  <c r="V65" i="103"/>
  <c r="V66" i="103" s="1"/>
  <c r="N65" i="103"/>
  <c r="N66" i="103" s="1"/>
  <c r="ES65" i="103"/>
  <c r="ES66" i="103" s="1"/>
  <c r="EK65" i="103"/>
  <c r="EK66" i="103" s="1"/>
  <c r="EC65" i="103"/>
  <c r="EC66" i="103" s="1"/>
  <c r="DU65" i="103"/>
  <c r="DU66" i="103" s="1"/>
  <c r="DM65" i="103"/>
  <c r="DM66" i="103" s="1"/>
  <c r="DE65" i="103"/>
  <c r="DE66" i="103" s="1"/>
  <c r="CW65" i="103"/>
  <c r="CW66" i="103" s="1"/>
  <c r="CO65" i="103"/>
  <c r="CO66" i="103" s="1"/>
  <c r="CG65" i="103"/>
  <c r="CG66" i="103" s="1"/>
  <c r="BY65" i="103"/>
  <c r="BY66" i="103" s="1"/>
  <c r="BQ65" i="103"/>
  <c r="BQ66" i="103" s="1"/>
  <c r="BI65" i="103"/>
  <c r="BI66" i="103" s="1"/>
  <c r="BA65" i="103"/>
  <c r="BA66" i="103" s="1"/>
  <c r="AS65" i="103"/>
  <c r="AS66" i="103" s="1"/>
  <c r="AK65" i="103"/>
  <c r="AK66" i="103" s="1"/>
  <c r="AC65" i="103"/>
  <c r="AC66" i="103" s="1"/>
  <c r="U65" i="103"/>
  <c r="U66" i="103" s="1"/>
  <c r="M65" i="103"/>
  <c r="M66" i="103" s="1"/>
  <c r="E65" i="103"/>
  <c r="E66" i="103" s="1"/>
  <c r="F67" i="103" s="1"/>
  <c r="ER65" i="103"/>
  <c r="ER66" i="103" s="1"/>
  <c r="EJ65" i="103"/>
  <c r="EJ66" i="103" s="1"/>
  <c r="EB65" i="103"/>
  <c r="EB66" i="103" s="1"/>
  <c r="DT65" i="103"/>
  <c r="DT66" i="103" s="1"/>
  <c r="DL65" i="103"/>
  <c r="DL66" i="103" s="1"/>
  <c r="DD65" i="103"/>
  <c r="DD66" i="103" s="1"/>
  <c r="CV65" i="103"/>
  <c r="CV66" i="103" s="1"/>
  <c r="CN65" i="103"/>
  <c r="CN66" i="103" s="1"/>
  <c r="CF65" i="103"/>
  <c r="CF66" i="103" s="1"/>
  <c r="BX65" i="103"/>
  <c r="BX66" i="103" s="1"/>
  <c r="BP65" i="103"/>
  <c r="BP66" i="103" s="1"/>
  <c r="BH65" i="103"/>
  <c r="BH66" i="103" s="1"/>
  <c r="AZ65" i="103"/>
  <c r="AZ66" i="103" s="1"/>
  <c r="AR65" i="103"/>
  <c r="AR66" i="103" s="1"/>
  <c r="AJ65" i="103"/>
  <c r="AJ66" i="103" s="1"/>
  <c r="AB65" i="103"/>
  <c r="AB66" i="103" s="1"/>
  <c r="T65" i="103"/>
  <c r="T66" i="103" s="1"/>
  <c r="L65" i="103"/>
  <c r="L66" i="103" s="1"/>
  <c r="D65" i="103"/>
  <c r="D66" i="103" s="1"/>
  <c r="EP65" i="103"/>
  <c r="EP66" i="103" s="1"/>
  <c r="DJ65" i="103"/>
  <c r="DJ66" i="103" s="1"/>
  <c r="CD65" i="103"/>
  <c r="CD66" i="103" s="1"/>
  <c r="AX65" i="103"/>
  <c r="AX66" i="103" s="1"/>
  <c r="R65" i="103"/>
  <c r="R66" i="103" s="1"/>
  <c r="EI65" i="103"/>
  <c r="EI66" i="103" s="1"/>
  <c r="DC65" i="103"/>
  <c r="DC66" i="103" s="1"/>
  <c r="BW65" i="103"/>
  <c r="BW66" i="103" s="1"/>
  <c r="AQ65" i="103"/>
  <c r="AQ66" i="103" s="1"/>
  <c r="K65" i="103"/>
  <c r="K66" i="103" s="1"/>
  <c r="EH65" i="103"/>
  <c r="EH66" i="103" s="1"/>
  <c r="DB65" i="103"/>
  <c r="DB66" i="103" s="1"/>
  <c r="BV65" i="103"/>
  <c r="BV66" i="103" s="1"/>
  <c r="AP65" i="103"/>
  <c r="AP66" i="103" s="1"/>
  <c r="J65" i="103"/>
  <c r="J66" i="103" s="1"/>
  <c r="EA65" i="103"/>
  <c r="EA66" i="103" s="1"/>
  <c r="CU65" i="103"/>
  <c r="CU66" i="103" s="1"/>
  <c r="BO65" i="103"/>
  <c r="BO66" i="103" s="1"/>
  <c r="AI65" i="103"/>
  <c r="AI66" i="103" s="1"/>
  <c r="DZ65" i="103"/>
  <c r="DZ66" i="103" s="1"/>
  <c r="CT65" i="103"/>
  <c r="CT66" i="103" s="1"/>
  <c r="BN65" i="103"/>
  <c r="BN66" i="103" s="1"/>
  <c r="AH65" i="103"/>
  <c r="AH66" i="103" s="1"/>
  <c r="EQ65" i="103"/>
  <c r="EQ66" i="103" s="1"/>
  <c r="DK65" i="103"/>
  <c r="DK66" i="103" s="1"/>
  <c r="CE65" i="103"/>
  <c r="CE66" i="103" s="1"/>
  <c r="AY65" i="103"/>
  <c r="AY66" i="103" s="1"/>
  <c r="S65" i="103"/>
  <c r="S66" i="103" s="1"/>
  <c r="BG65" i="103"/>
  <c r="BG66" i="103" s="1"/>
  <c r="BF65" i="103"/>
  <c r="BF66" i="103" s="1"/>
  <c r="AA65" i="103"/>
  <c r="AA66" i="103" s="1"/>
  <c r="EX65" i="103"/>
  <c r="EX66" i="103" s="1"/>
  <c r="Z65" i="103"/>
  <c r="Z66" i="103" s="1"/>
  <c r="DS65" i="103"/>
  <c r="DS66" i="103" s="1"/>
  <c r="DR65" i="103"/>
  <c r="DR66" i="103" s="1"/>
  <c r="CL65" i="103"/>
  <c r="CL66" i="103" s="1"/>
  <c r="FB63" i="103"/>
  <c r="CM65" i="103"/>
  <c r="CM66" i="103" s="1"/>
  <c r="FB58" i="103"/>
  <c r="FB85" i="103"/>
  <c r="FB90" i="103"/>
  <c r="FC57" i="103"/>
  <c r="FC62" i="103"/>
  <c r="FC63" i="103" s="1"/>
  <c r="FC69" i="103" s="1"/>
  <c r="FC92" i="103"/>
  <c r="FC80" i="103"/>
  <c r="FC84" i="103"/>
  <c r="FC81" i="103"/>
  <c r="FC82" i="103" s="1"/>
  <c r="FB70" i="103" l="1"/>
  <c r="FB69" i="103"/>
  <c r="D68" i="103"/>
  <c r="AA67" i="103"/>
  <c r="AA68" i="103"/>
  <c r="EQ68" i="103"/>
  <c r="EQ67" i="103"/>
  <c r="CU68" i="103"/>
  <c r="CU67" i="103"/>
  <c r="K67" i="103"/>
  <c r="K68" i="103"/>
  <c r="DJ68" i="103"/>
  <c r="DJ67" i="103"/>
  <c r="AZ67" i="103"/>
  <c r="AZ68" i="103"/>
  <c r="DL67" i="103"/>
  <c r="DL68" i="103"/>
  <c r="M67" i="103"/>
  <c r="M68" i="103"/>
  <c r="BY68" i="103"/>
  <c r="BY67" i="103"/>
  <c r="EK68" i="103"/>
  <c r="EK67" i="103"/>
  <c r="AL67" i="103"/>
  <c r="AL68" i="103"/>
  <c r="CX67" i="103"/>
  <c r="CX68" i="103"/>
  <c r="BK68" i="103"/>
  <c r="BK67" i="103"/>
  <c r="DW67" i="103"/>
  <c r="DW68" i="103"/>
  <c r="X68" i="103"/>
  <c r="X67" i="103"/>
  <c r="CJ68" i="103"/>
  <c r="CJ67" i="103"/>
  <c r="EV68" i="103"/>
  <c r="EV67" i="103"/>
  <c r="AW68" i="103"/>
  <c r="AW67" i="103"/>
  <c r="DI67" i="103"/>
  <c r="DI68" i="103"/>
  <c r="FC85" i="103"/>
  <c r="FC90" i="103"/>
  <c r="CM67" i="103"/>
  <c r="CM68" i="103"/>
  <c r="AH67" i="103"/>
  <c r="AH68" i="103"/>
  <c r="EA67" i="103"/>
  <c r="EA68" i="103"/>
  <c r="AQ67" i="103"/>
  <c r="AQ68" i="103"/>
  <c r="EP68" i="103"/>
  <c r="EP67" i="103"/>
  <c r="BH68" i="103"/>
  <c r="BH67" i="103"/>
  <c r="DT68" i="103"/>
  <c r="DT67" i="103"/>
  <c r="U67" i="103"/>
  <c r="U68" i="103"/>
  <c r="CG68" i="103"/>
  <c r="CG67" i="103"/>
  <c r="ES68" i="103"/>
  <c r="ES67" i="103"/>
  <c r="AT67" i="103"/>
  <c r="AT68" i="103"/>
  <c r="DF67" i="103"/>
  <c r="DF68" i="103"/>
  <c r="G68" i="103"/>
  <c r="G67" i="103"/>
  <c r="BS68" i="103"/>
  <c r="BS67" i="103"/>
  <c r="EE68" i="103"/>
  <c r="EE67" i="103"/>
  <c r="AF68" i="103"/>
  <c r="AF67" i="103"/>
  <c r="CR68" i="103"/>
  <c r="CR67" i="103"/>
  <c r="BE68" i="103"/>
  <c r="BE67" i="103"/>
  <c r="DQ68" i="103"/>
  <c r="DQ67" i="103"/>
  <c r="BF68" i="103"/>
  <c r="BF67" i="103"/>
  <c r="BN68" i="103"/>
  <c r="BN67" i="103"/>
  <c r="BW67" i="103"/>
  <c r="BW68" i="103"/>
  <c r="BP67" i="103"/>
  <c r="BP68" i="103"/>
  <c r="EB67" i="103"/>
  <c r="EB68" i="103"/>
  <c r="AC67" i="103"/>
  <c r="AC68" i="103"/>
  <c r="CO68" i="103"/>
  <c r="CO67" i="103"/>
  <c r="BB67" i="103"/>
  <c r="BB68" i="103"/>
  <c r="DN67" i="103"/>
  <c r="DN68" i="103"/>
  <c r="O68" i="103"/>
  <c r="O67" i="103"/>
  <c r="CA68" i="103"/>
  <c r="CA67" i="103"/>
  <c r="EM68" i="103"/>
  <c r="EM67" i="103"/>
  <c r="AN68" i="103"/>
  <c r="AN67" i="103"/>
  <c r="CZ68" i="103"/>
  <c r="CZ67" i="103"/>
  <c r="FC65" i="103"/>
  <c r="FC66" i="103" s="1"/>
  <c r="FB68" i="103" s="1"/>
  <c r="BM68" i="103"/>
  <c r="BM67" i="103"/>
  <c r="DY68" i="103"/>
  <c r="DY67" i="103"/>
  <c r="FB91" i="103"/>
  <c r="FB93" i="103"/>
  <c r="FB94" i="103" s="1"/>
  <c r="CL68" i="103"/>
  <c r="CL67" i="103"/>
  <c r="BG68" i="103"/>
  <c r="BG67" i="103"/>
  <c r="CT68" i="103"/>
  <c r="CT67" i="103"/>
  <c r="J67" i="103"/>
  <c r="J68" i="103"/>
  <c r="DC68" i="103"/>
  <c r="DC67" i="103"/>
  <c r="L67" i="103"/>
  <c r="L68" i="103"/>
  <c r="BX67" i="103"/>
  <c r="BX68" i="103"/>
  <c r="EJ67" i="103"/>
  <c r="EJ68" i="103"/>
  <c r="AK67" i="103"/>
  <c r="AK68" i="103"/>
  <c r="CW68" i="103"/>
  <c r="CW67" i="103"/>
  <c r="BJ68" i="103"/>
  <c r="BJ67" i="103"/>
  <c r="DV67" i="103"/>
  <c r="DV68" i="103"/>
  <c r="W68" i="103"/>
  <c r="W67" i="103"/>
  <c r="CI67" i="103"/>
  <c r="CI68" i="103"/>
  <c r="EU68" i="103"/>
  <c r="EU67" i="103"/>
  <c r="AV68" i="103"/>
  <c r="AV67" i="103"/>
  <c r="DH68" i="103"/>
  <c r="DH67" i="103"/>
  <c r="I67" i="103"/>
  <c r="I68" i="103"/>
  <c r="BU68" i="103"/>
  <c r="BU67" i="103"/>
  <c r="EG68" i="103"/>
  <c r="EG67" i="103"/>
  <c r="FC58" i="103"/>
  <c r="FB89" i="103"/>
  <c r="FB86" i="103"/>
  <c r="DR68" i="103"/>
  <c r="DR67" i="103"/>
  <c r="S67" i="103"/>
  <c r="S68" i="103"/>
  <c r="DZ68" i="103"/>
  <c r="DZ67" i="103"/>
  <c r="AP68" i="103"/>
  <c r="AP67" i="103"/>
  <c r="EI67" i="103"/>
  <c r="EI68" i="103"/>
  <c r="T67" i="103"/>
  <c r="T68" i="103"/>
  <c r="CF68" i="103"/>
  <c r="CF67" i="103"/>
  <c r="ER68" i="103"/>
  <c r="ER67" i="103"/>
  <c r="AS68" i="103"/>
  <c r="AS67" i="103"/>
  <c r="DE68" i="103"/>
  <c r="DE67" i="103"/>
  <c r="BR67" i="103"/>
  <c r="BR68" i="103"/>
  <c r="ED67" i="103"/>
  <c r="ED68" i="103"/>
  <c r="AE68" i="103"/>
  <c r="AE67" i="103"/>
  <c r="CQ68" i="103"/>
  <c r="CQ67" i="103"/>
  <c r="BD68" i="103"/>
  <c r="BD67" i="103"/>
  <c r="DP68" i="103"/>
  <c r="DP67" i="103"/>
  <c r="Q67" i="103"/>
  <c r="Q68" i="103"/>
  <c r="CC68" i="103"/>
  <c r="CC67" i="103"/>
  <c r="EO68" i="103"/>
  <c r="EO67" i="103"/>
  <c r="DS68" i="103"/>
  <c r="DS67" i="103"/>
  <c r="AY68" i="103"/>
  <c r="AY67" i="103"/>
  <c r="BV68" i="103"/>
  <c r="BV67" i="103"/>
  <c r="R67" i="103"/>
  <c r="R68" i="103"/>
  <c r="AB67" i="103"/>
  <c r="AB68" i="103"/>
  <c r="CN67" i="103"/>
  <c r="CN68" i="103"/>
  <c r="BA68" i="103"/>
  <c r="BA67" i="103"/>
  <c r="DM68" i="103"/>
  <c r="DM67" i="103"/>
  <c r="N67" i="103"/>
  <c r="N68" i="103"/>
  <c r="BZ67" i="103"/>
  <c r="BZ68" i="103"/>
  <c r="EL67" i="103"/>
  <c r="EL68" i="103"/>
  <c r="AM68" i="103"/>
  <c r="AM67" i="103"/>
  <c r="CY68" i="103"/>
  <c r="CY67" i="103"/>
  <c r="FB67" i="103"/>
  <c r="BL68" i="103"/>
  <c r="BL67" i="103"/>
  <c r="DX68" i="103"/>
  <c r="DX67" i="103"/>
  <c r="Y67" i="103"/>
  <c r="Y68" i="103"/>
  <c r="CK67" i="103"/>
  <c r="CK68" i="103"/>
  <c r="EW67" i="103"/>
  <c r="EW68" i="103"/>
  <c r="Z67" i="103"/>
  <c r="Z68" i="103"/>
  <c r="CE68" i="103"/>
  <c r="CE67" i="103"/>
  <c r="AI67" i="103"/>
  <c r="AI68" i="103"/>
  <c r="DB68" i="103"/>
  <c r="DB67" i="103"/>
  <c r="AX68" i="103"/>
  <c r="AX67" i="103"/>
  <c r="AJ67" i="103"/>
  <c r="AJ68" i="103"/>
  <c r="CV67" i="103"/>
  <c r="CV68" i="103"/>
  <c r="BI68" i="103"/>
  <c r="BI67" i="103"/>
  <c r="DU68" i="103"/>
  <c r="DU67" i="103"/>
  <c r="V67" i="103"/>
  <c r="V68" i="103"/>
  <c r="CH68" i="103"/>
  <c r="CH67" i="103"/>
  <c r="ET68" i="103"/>
  <c r="ET67" i="103"/>
  <c r="AU68" i="103"/>
  <c r="AU67" i="103"/>
  <c r="DG68" i="103"/>
  <c r="DG67" i="103"/>
  <c r="H68" i="103"/>
  <c r="H67" i="103"/>
  <c r="BT68" i="103"/>
  <c r="BT67" i="103"/>
  <c r="EF68" i="103"/>
  <c r="EF67" i="103"/>
  <c r="AG67" i="103"/>
  <c r="AG68" i="103"/>
  <c r="CS68" i="103"/>
  <c r="CS67" i="103"/>
  <c r="EX68" i="103"/>
  <c r="EX67" i="103"/>
  <c r="DK67" i="103"/>
  <c r="DK68" i="103"/>
  <c r="BO67" i="103"/>
  <c r="BO68" i="103"/>
  <c r="EH68" i="103"/>
  <c r="EH67" i="103"/>
  <c r="CD68" i="103"/>
  <c r="CD67" i="103"/>
  <c r="AR67" i="103"/>
  <c r="AR68" i="103"/>
  <c r="DD68" i="103"/>
  <c r="DD67" i="103"/>
  <c r="E67" i="103"/>
  <c r="E68" i="103"/>
  <c r="BQ68" i="103"/>
  <c r="BQ67" i="103"/>
  <c r="EC68" i="103"/>
  <c r="EC67" i="103"/>
  <c r="AD67" i="103"/>
  <c r="AD68" i="103"/>
  <c r="CP67" i="103"/>
  <c r="CP68" i="103"/>
  <c r="BC68" i="103"/>
  <c r="BC67" i="103"/>
  <c r="DO68" i="103"/>
  <c r="DO67" i="103"/>
  <c r="P68" i="103"/>
  <c r="P67" i="103"/>
  <c r="CB68" i="103"/>
  <c r="CB67" i="103"/>
  <c r="EN68" i="103"/>
  <c r="EN67" i="103"/>
  <c r="AO67" i="103"/>
  <c r="AO68" i="103"/>
  <c r="DA68" i="103"/>
  <c r="DA67" i="103"/>
  <c r="FB95" i="103" l="1"/>
  <c r="FC67" i="103"/>
  <c r="FC91" i="103"/>
  <c r="FC93" i="103"/>
  <c r="FC94" i="103" s="1"/>
  <c r="FC89" i="103"/>
  <c r="FC86" i="103"/>
  <c r="FC68" i="103" l="1"/>
  <c r="FC96" i="103"/>
  <c r="FC95" i="103"/>
  <c r="FB96" i="103"/>
  <c r="AE69" i="113" l="1"/>
  <c r="AE70" i="113" s="1"/>
  <c r="AE73" i="113" s="1"/>
  <c r="AF69" i="113"/>
  <c r="AF70" i="113" s="1"/>
  <c r="AF73" i="113" s="1"/>
  <c r="AF78" i="113" l="1"/>
  <c r="AF79" i="113" s="1"/>
  <c r="AE78" i="113"/>
  <c r="AE79" i="113" s="1"/>
  <c r="AE87" i="113" l="1"/>
  <c r="AE91" i="113"/>
  <c r="AE104" i="113" s="1"/>
  <c r="AE89" i="113"/>
  <c r="AE103" i="113" s="1"/>
  <c r="AE80" i="113"/>
  <c r="AE82" i="113"/>
  <c r="AF80" i="113"/>
  <c r="AG80" i="113" s="1"/>
  <c r="AF87" i="113"/>
  <c r="AF102" i="113" s="1"/>
  <c r="AF91" i="113"/>
  <c r="AF104" i="113" s="1"/>
  <c r="AF89" i="113"/>
  <c r="AF103" i="113" s="1"/>
  <c r="AF82" i="113"/>
  <c r="AH103" i="113" l="1"/>
  <c r="AG103" i="113"/>
  <c r="AF107" i="113"/>
  <c r="AF108" i="113"/>
  <c r="AH104" i="113"/>
  <c r="AG104" i="113"/>
  <c r="AF105" i="113"/>
  <c r="AG82" i="113"/>
  <c r="B82" i="113"/>
  <c r="AH82" i="113"/>
  <c r="AE107" i="113"/>
  <c r="AE108" i="113"/>
  <c r="AE94" i="113"/>
  <c r="AE102" i="113"/>
  <c r="AG102" i="113" s="1"/>
  <c r="AF93" i="113"/>
  <c r="AE93" i="113"/>
  <c r="AF94" i="113"/>
  <c r="AF88" i="113"/>
  <c r="AE88" i="113"/>
  <c r="AH80" i="113"/>
  <c r="AE95" i="113"/>
  <c r="AE90" i="113"/>
  <c r="AE96" i="113"/>
  <c r="AE92" i="113"/>
  <c r="AF96" i="113"/>
  <c r="AF92" i="113"/>
  <c r="AF95" i="113"/>
  <c r="AF90" i="113"/>
  <c r="AH102" i="113" l="1"/>
  <c r="AE109" i="113"/>
  <c r="AF109" i="113"/>
  <c r="AH108" i="113"/>
  <c r="AG108" i="113"/>
  <c r="AH107" i="113"/>
  <c r="AG107" i="113"/>
  <c r="AE105" i="113"/>
  <c r="AG105" i="113" s="1"/>
  <c r="AE83" i="113"/>
  <c r="R83" i="113"/>
  <c r="AA83" i="113"/>
  <c r="X83" i="113"/>
  <c r="Y83" i="113"/>
  <c r="Q83" i="113"/>
  <c r="Z83" i="113"/>
  <c r="S83" i="113"/>
  <c r="S84" i="113" s="1"/>
  <c r="T83" i="113"/>
  <c r="V83" i="113"/>
  <c r="U83" i="113"/>
  <c r="W83" i="113"/>
  <c r="H83" i="113"/>
  <c r="L83" i="113"/>
  <c r="G83" i="113"/>
  <c r="O83" i="113"/>
  <c r="N83" i="113"/>
  <c r="AC83" i="113"/>
  <c r="P83" i="113"/>
  <c r="F83" i="113"/>
  <c r="J83" i="113"/>
  <c r="AF83" i="113"/>
  <c r="E83" i="113"/>
  <c r="M83" i="113"/>
  <c r="K83" i="113"/>
  <c r="AD83" i="113"/>
  <c r="I83" i="113"/>
  <c r="C35" i="113"/>
  <c r="Y84" i="113" l="1"/>
  <c r="AG109" i="113"/>
  <c r="AH109" i="113"/>
  <c r="AH105" i="113"/>
  <c r="W84" i="113"/>
  <c r="AF84" i="113"/>
  <c r="U84" i="113"/>
  <c r="AC84" i="113"/>
  <c r="Z84" i="113"/>
  <c r="Q84" i="113"/>
  <c r="I84" i="113"/>
  <c r="F84" i="113"/>
  <c r="X84" i="113"/>
  <c r="AA84" i="113"/>
  <c r="P84" i="113"/>
  <c r="V84" i="113"/>
  <c r="R84" i="113"/>
  <c r="K84" i="113"/>
  <c r="T84" i="113"/>
  <c r="N84" i="113"/>
  <c r="M84" i="113"/>
  <c r="O84" i="113"/>
  <c r="H84" i="113"/>
  <c r="G84" i="113"/>
  <c r="L84" i="113"/>
  <c r="J84" i="113"/>
  <c r="AD84" i="113"/>
  <c r="AE84" i="113"/>
  <c r="AG83" i="113"/>
  <c r="AH83" i="113"/>
  <c r="X37" i="113"/>
  <c r="X38" i="113" s="1"/>
  <c r="E37" i="113"/>
  <c r="E38" i="113" s="1"/>
  <c r="Y37" i="113"/>
  <c r="M37" i="113"/>
  <c r="M38" i="113" s="1"/>
  <c r="AC37" i="113"/>
  <c r="AC38" i="113" s="1"/>
  <c r="AC46" i="113" s="1"/>
  <c r="T37" i="113"/>
  <c r="T38" i="113" s="1"/>
  <c r="T46" i="113" s="1"/>
  <c r="AE37" i="113"/>
  <c r="AE38" i="113" s="1"/>
  <c r="AD37" i="113"/>
  <c r="AD38" i="113" s="1"/>
  <c r="Z37" i="113"/>
  <c r="Z38" i="113" s="1"/>
  <c r="V37" i="113"/>
  <c r="V38" i="113" s="1"/>
  <c r="G37" i="113"/>
  <c r="G38" i="113" s="1"/>
  <c r="N37" i="113"/>
  <c r="N38" i="113" s="1"/>
  <c r="O37" i="113"/>
  <c r="O38" i="113" s="1"/>
  <c r="AA37" i="113"/>
  <c r="AA38" i="113" s="1"/>
  <c r="L37" i="113"/>
  <c r="L38" i="113" s="1"/>
  <c r="L46" i="113" s="1"/>
  <c r="F37" i="113"/>
  <c r="F38" i="113" s="1"/>
  <c r="I37" i="113"/>
  <c r="I38" i="113" s="1"/>
  <c r="H37" i="113"/>
  <c r="H38" i="113" s="1"/>
  <c r="W37" i="113"/>
  <c r="W38" i="113" s="1"/>
  <c r="AF37" i="113"/>
  <c r="AF38" i="113" s="1"/>
  <c r="AF46" i="113" s="1"/>
  <c r="S37" i="113"/>
  <c r="S38" i="113" s="1"/>
  <c r="R37" i="113"/>
  <c r="R38" i="113" s="1"/>
  <c r="J37" i="113"/>
  <c r="J38" i="113" s="1"/>
  <c r="U37" i="113"/>
  <c r="U38" i="113" s="1"/>
  <c r="U46" i="113" s="1"/>
  <c r="K37" i="113"/>
  <c r="K38" i="113" s="1"/>
  <c r="P37" i="113"/>
  <c r="P38" i="113" s="1"/>
  <c r="Q37" i="113"/>
  <c r="Q38" i="113" s="1"/>
  <c r="AG84" i="113" l="1"/>
  <c r="K46" i="113"/>
  <c r="X46" i="113"/>
  <c r="J46" i="113"/>
  <c r="AE46" i="113"/>
  <c r="F46" i="113"/>
  <c r="I46" i="113"/>
  <c r="AD46" i="113"/>
  <c r="AD52" i="113" s="1"/>
  <c r="N46" i="113"/>
  <c r="M46" i="113"/>
  <c r="Z46" i="113"/>
  <c r="S46" i="113"/>
  <c r="Q46" i="113"/>
  <c r="W46" i="113"/>
  <c r="G46" i="113"/>
  <c r="R46" i="113"/>
  <c r="AA46" i="113"/>
  <c r="O46" i="113"/>
  <c r="P46" i="113"/>
  <c r="H46" i="113"/>
  <c r="V46" i="113"/>
  <c r="E41" i="113"/>
  <c r="E46" i="113"/>
  <c r="E53" i="113" s="1"/>
  <c r="AH84" i="113"/>
  <c r="AD50" i="113"/>
  <c r="AD55" i="113" s="1"/>
  <c r="AD48" i="113"/>
  <c r="F50" i="113"/>
  <c r="F48" i="113"/>
  <c r="AE50" i="113"/>
  <c r="AE55" i="113" s="1"/>
  <c r="AE48" i="113"/>
  <c r="AE54" i="113" s="1"/>
  <c r="R50" i="113"/>
  <c r="R48" i="113"/>
  <c r="AA50" i="113"/>
  <c r="AA48" i="113"/>
  <c r="T48" i="113"/>
  <c r="T50" i="113"/>
  <c r="AC48" i="113"/>
  <c r="AC54" i="113" s="1"/>
  <c r="AC50" i="113"/>
  <c r="AC55" i="113" s="1"/>
  <c r="J50" i="113"/>
  <c r="J48" i="113"/>
  <c r="Q50" i="113"/>
  <c r="Q48" i="113"/>
  <c r="AF50" i="113"/>
  <c r="AF55" i="113" s="1"/>
  <c r="AF48" i="113"/>
  <c r="N50" i="113"/>
  <c r="N48" i="113"/>
  <c r="M48" i="113"/>
  <c r="M50" i="113"/>
  <c r="L48" i="113"/>
  <c r="L50" i="113"/>
  <c r="W50" i="113"/>
  <c r="W48" i="113"/>
  <c r="G50" i="113"/>
  <c r="G48" i="113"/>
  <c r="U48" i="113"/>
  <c r="U50" i="113"/>
  <c r="S48" i="113"/>
  <c r="S50" i="113"/>
  <c r="P48" i="113"/>
  <c r="P50" i="113"/>
  <c r="H48" i="113"/>
  <c r="H50" i="113"/>
  <c r="V50" i="113"/>
  <c r="V48" i="113"/>
  <c r="E50" i="113"/>
  <c r="E48" i="113"/>
  <c r="O50" i="113"/>
  <c r="O48" i="113"/>
  <c r="K50" i="113"/>
  <c r="K48" i="113"/>
  <c r="I50" i="113"/>
  <c r="I48" i="113"/>
  <c r="Z50" i="113"/>
  <c r="Z48" i="113"/>
  <c r="X50" i="113"/>
  <c r="X48" i="113"/>
  <c r="E39" i="113"/>
  <c r="X41" i="113"/>
  <c r="X39" i="113"/>
  <c r="Y38" i="113"/>
  <c r="P39" i="113"/>
  <c r="P41" i="113"/>
  <c r="G39" i="113"/>
  <c r="G41" i="113"/>
  <c r="W41" i="113"/>
  <c r="W39" i="113"/>
  <c r="H41" i="113"/>
  <c r="H39" i="113"/>
  <c r="V39" i="113"/>
  <c r="V41" i="113"/>
  <c r="M41" i="113"/>
  <c r="M39" i="113"/>
  <c r="F41" i="113"/>
  <c r="F39" i="113"/>
  <c r="AD41" i="113"/>
  <c r="AD39" i="113"/>
  <c r="T41" i="113"/>
  <c r="T39" i="113"/>
  <c r="AF41" i="113"/>
  <c r="AF39" i="113"/>
  <c r="Q41" i="113"/>
  <c r="Q39" i="113"/>
  <c r="K39" i="113"/>
  <c r="K41" i="113"/>
  <c r="J41" i="113"/>
  <c r="J39" i="113"/>
  <c r="L39" i="113"/>
  <c r="L41" i="113"/>
  <c r="AC41" i="113"/>
  <c r="AC39" i="113"/>
  <c r="Z41" i="113"/>
  <c r="Z39" i="113"/>
  <c r="U39" i="113"/>
  <c r="U41" i="113"/>
  <c r="R41" i="113"/>
  <c r="R39" i="113"/>
  <c r="AA39" i="113"/>
  <c r="AA41" i="113"/>
  <c r="AE39" i="113"/>
  <c r="AE41" i="113"/>
  <c r="N41" i="113"/>
  <c r="N39" i="113"/>
  <c r="I39" i="113"/>
  <c r="I41" i="113"/>
  <c r="S41" i="113"/>
  <c r="S39" i="113"/>
  <c r="O39" i="113"/>
  <c r="O41" i="113"/>
  <c r="L52" i="113" l="1"/>
  <c r="E51" i="113"/>
  <c r="Q52" i="113"/>
  <c r="P52" i="113"/>
  <c r="U52" i="113"/>
  <c r="M52" i="113"/>
  <c r="AE52" i="113"/>
  <c r="T52" i="113"/>
  <c r="H52" i="113"/>
  <c r="V52" i="113"/>
  <c r="S52" i="113"/>
  <c r="F52" i="113"/>
  <c r="O52" i="113"/>
  <c r="Z52" i="113"/>
  <c r="I52" i="113"/>
  <c r="J52" i="113"/>
  <c r="AA52" i="113"/>
  <c r="E52" i="113"/>
  <c r="R52" i="113"/>
  <c r="N52" i="113"/>
  <c r="G52" i="113"/>
  <c r="X52" i="113"/>
  <c r="W52" i="113"/>
  <c r="AF52" i="113"/>
  <c r="K52" i="113"/>
  <c r="AC52" i="113"/>
  <c r="Y46" i="113"/>
  <c r="AF53" i="113"/>
  <c r="AF54" i="113"/>
  <c r="AD53" i="113"/>
  <c r="AD54" i="113"/>
  <c r="E47" i="113"/>
  <c r="AE53" i="113"/>
  <c r="E54" i="113"/>
  <c r="E49" i="113"/>
  <c r="AC53" i="113"/>
  <c r="Y50" i="113"/>
  <c r="Y48" i="113"/>
  <c r="Y41" i="113"/>
  <c r="B41" i="113" s="1"/>
  <c r="X49" i="113"/>
  <c r="X54" i="113"/>
  <c r="Y39" i="113"/>
  <c r="AG39" i="113" s="1"/>
  <c r="E55" i="113"/>
  <c r="AF49" i="113"/>
  <c r="AA54" i="113"/>
  <c r="AA49" i="113"/>
  <c r="F49" i="113"/>
  <c r="F54" i="113"/>
  <c r="AE49" i="113"/>
  <c r="AD49" i="113"/>
  <c r="V49" i="113"/>
  <c r="V54" i="113"/>
  <c r="H54" i="113"/>
  <c r="H49" i="113"/>
  <c r="Z49" i="113"/>
  <c r="Z54" i="113"/>
  <c r="K54" i="113"/>
  <c r="K49" i="113"/>
  <c r="U49" i="113"/>
  <c r="U54" i="113"/>
  <c r="I49" i="113"/>
  <c r="I54" i="113"/>
  <c r="L49" i="113"/>
  <c r="L54" i="113"/>
  <c r="AC49" i="113"/>
  <c r="R49" i="113"/>
  <c r="R54" i="113"/>
  <c r="Q54" i="113"/>
  <c r="Q49" i="113"/>
  <c r="S54" i="113"/>
  <c r="S49" i="113"/>
  <c r="O49" i="113"/>
  <c r="O54" i="113"/>
  <c r="N54" i="113"/>
  <c r="N49" i="113"/>
  <c r="J49" i="113"/>
  <c r="J54" i="113"/>
  <c r="T49" i="113"/>
  <c r="T54" i="113"/>
  <c r="M49" i="113"/>
  <c r="M54" i="113"/>
  <c r="W49" i="113"/>
  <c r="W54" i="113"/>
  <c r="G54" i="113"/>
  <c r="G49" i="113"/>
  <c r="P54" i="113"/>
  <c r="P49" i="113"/>
  <c r="AG41" i="113" l="1"/>
  <c r="AH41" i="113"/>
  <c r="F57" i="113"/>
  <c r="Y52" i="113"/>
  <c r="Y54" i="113"/>
  <c r="Y57" i="113" s="1"/>
  <c r="AH39" i="113"/>
  <c r="P42" i="113"/>
  <c r="V42" i="113"/>
  <c r="J42" i="113"/>
  <c r="R42" i="113"/>
  <c r="I42" i="113"/>
  <c r="W42" i="113"/>
  <c r="G42" i="113"/>
  <c r="F42" i="113"/>
  <c r="Y49" i="113"/>
  <c r="L57" i="113"/>
  <c r="W57" i="113"/>
  <c r="AA42" i="113"/>
  <c r="R57" i="113"/>
  <c r="J57" i="113"/>
  <c r="V57" i="113"/>
  <c r="K57" i="113"/>
  <c r="AA57" i="113"/>
  <c r="G57" i="113"/>
  <c r="I57" i="113"/>
  <c r="O57" i="113"/>
  <c r="S57" i="113"/>
  <c r="AF42" i="113"/>
  <c r="S42" i="113"/>
  <c r="U57" i="113"/>
  <c r="AG54" i="113"/>
  <c r="L42" i="113"/>
  <c r="O42" i="113"/>
  <c r="T57" i="113"/>
  <c r="X57" i="113"/>
  <c r="M42" i="113"/>
  <c r="H57" i="113"/>
  <c r="Z42" i="113"/>
  <c r="Y42" i="113"/>
  <c r="X42" i="113"/>
  <c r="E42" i="113"/>
  <c r="U42" i="113"/>
  <c r="AE42" i="113"/>
  <c r="K42" i="113"/>
  <c r="H42" i="113"/>
  <c r="P57" i="113"/>
  <c r="AD42" i="113"/>
  <c r="Q57" i="113"/>
  <c r="T42" i="113"/>
  <c r="M57" i="113"/>
  <c r="N57" i="113"/>
  <c r="N42" i="113"/>
  <c r="AC42" i="113"/>
  <c r="Q42" i="113"/>
  <c r="AH54" i="113" l="1"/>
  <c r="Z57" i="113"/>
  <c r="AG57" i="113" s="1"/>
  <c r="AH42" i="113"/>
  <c r="AG42" i="113"/>
  <c r="V43" i="113"/>
  <c r="W43" i="113"/>
  <c r="Q43" i="113"/>
  <c r="K43" i="113"/>
  <c r="S43" i="113"/>
  <c r="G43" i="113"/>
  <c r="X43" i="113"/>
  <c r="H43" i="113"/>
  <c r="J43" i="113"/>
  <c r="F43" i="113"/>
  <c r="AC43" i="113"/>
  <c r="N43" i="113"/>
  <c r="O43" i="113"/>
  <c r="AD43" i="113"/>
  <c r="R43" i="113"/>
  <c r="M43" i="113"/>
  <c r="T43" i="113"/>
  <c r="L43" i="113"/>
  <c r="AF43" i="113"/>
  <c r="I43" i="113"/>
  <c r="Z43" i="113"/>
  <c r="AE43" i="113"/>
  <c r="AA43" i="113"/>
  <c r="Y43" i="113"/>
  <c r="P43" i="113"/>
  <c r="U43" i="113"/>
  <c r="AH57" i="113" l="1"/>
  <c r="AG43" i="113"/>
  <c r="AH43" i="113"/>
  <c r="Z55" i="113"/>
  <c r="H55" i="113"/>
  <c r="T55" i="113"/>
  <c r="U55" i="113"/>
  <c r="L55" i="113"/>
  <c r="P55" i="113"/>
  <c r="R55" i="113"/>
  <c r="W55" i="113"/>
  <c r="X55" i="113"/>
  <c r="AA55" i="113"/>
  <c r="J55" i="113"/>
  <c r="M55" i="113"/>
  <c r="I55" i="113"/>
  <c r="Q55" i="113"/>
  <c r="S55" i="113"/>
  <c r="S58" i="113" s="1"/>
  <c r="K53" i="113"/>
  <c r="G55" i="113"/>
  <c r="F55" i="113"/>
  <c r="N55" i="113"/>
  <c r="U53" i="113"/>
  <c r="M47" i="113"/>
  <c r="W47" i="113"/>
  <c r="W51" i="113"/>
  <c r="O51" i="113"/>
  <c r="O47" i="113"/>
  <c r="O55" i="113"/>
  <c r="AD47" i="113"/>
  <c r="AD51" i="113"/>
  <c r="T53" i="113"/>
  <c r="T51" i="113"/>
  <c r="L47" i="113"/>
  <c r="L51" i="113"/>
  <c r="AA53" i="113"/>
  <c r="AA51" i="113"/>
  <c r="S53" i="113"/>
  <c r="S51" i="113"/>
  <c r="K55" i="113"/>
  <c r="K47" i="113"/>
  <c r="K51" i="113"/>
  <c r="AE47" i="113"/>
  <c r="AE51" i="113"/>
  <c r="G53" i="113"/>
  <c r="G51" i="113"/>
  <c r="V55" i="113"/>
  <c r="V53" i="113"/>
  <c r="V51" i="113"/>
  <c r="N47" i="113"/>
  <c r="N51" i="113"/>
  <c r="AC47" i="113"/>
  <c r="AC51" i="113"/>
  <c r="U47" i="113"/>
  <c r="U51" i="113"/>
  <c r="M53" i="113"/>
  <c r="M51" i="113"/>
  <c r="Z53" i="113"/>
  <c r="Z51" i="113"/>
  <c r="R53" i="113"/>
  <c r="R51" i="113"/>
  <c r="J47" i="113"/>
  <c r="J51" i="113"/>
  <c r="F47" i="113"/>
  <c r="F51" i="113"/>
  <c r="Y51" i="113"/>
  <c r="Y47" i="113"/>
  <c r="Y55" i="113"/>
  <c r="Q47" i="113"/>
  <c r="Q51" i="113"/>
  <c r="I47" i="113"/>
  <c r="I51" i="113"/>
  <c r="AF47" i="113"/>
  <c r="AF51" i="113"/>
  <c r="X47" i="113"/>
  <c r="X51" i="113"/>
  <c r="P53" i="113"/>
  <c r="P51" i="113"/>
  <c r="H47" i="113"/>
  <c r="H51" i="113"/>
  <c r="V58" i="113" l="1"/>
  <c r="AG51" i="113"/>
  <c r="AH55" i="113"/>
  <c r="U58" i="113"/>
  <c r="X58" i="113"/>
  <c r="G58" i="113"/>
  <c r="Y58" i="113"/>
  <c r="L58" i="113"/>
  <c r="P58" i="113"/>
  <c r="J58" i="113"/>
  <c r="Q58" i="113"/>
  <c r="H58" i="113"/>
  <c r="O58" i="113"/>
  <c r="M58" i="113"/>
  <c r="T58" i="113"/>
  <c r="K58" i="113"/>
  <c r="W58" i="113"/>
  <c r="AA58" i="113"/>
  <c r="R58" i="113"/>
  <c r="I58" i="113"/>
  <c r="U56" i="113"/>
  <c r="R47" i="113"/>
  <c r="L53" i="113"/>
  <c r="L56" i="113" s="1"/>
  <c r="G47" i="113"/>
  <c r="X53" i="113"/>
  <c r="T47" i="113"/>
  <c r="Z47" i="113"/>
  <c r="S47" i="113"/>
  <c r="O53" i="113"/>
  <c r="P56" i="113" s="1"/>
  <c r="V56" i="113"/>
  <c r="AA47" i="113"/>
  <c r="Q53" i="113"/>
  <c r="R56" i="113" s="1"/>
  <c r="S56" i="113"/>
  <c r="AA56" i="113"/>
  <c r="T56" i="113"/>
  <c r="N58" i="113"/>
  <c r="V47" i="113"/>
  <c r="AG55" i="113"/>
  <c r="I53" i="113"/>
  <c r="P47" i="113"/>
  <c r="W53" i="113"/>
  <c r="W56" i="113" s="1"/>
  <c r="Z58" i="113"/>
  <c r="F53" i="113"/>
  <c r="Y53" i="113"/>
  <c r="Z56" i="113" s="1"/>
  <c r="J53" i="113"/>
  <c r="H53" i="113"/>
  <c r="H56" i="113" s="1"/>
  <c r="F58" i="113"/>
  <c r="N53" i="113"/>
  <c r="N56" i="113" s="1"/>
  <c r="AG53" i="113" l="1"/>
  <c r="AH58" i="113"/>
  <c r="AG58" i="113"/>
  <c r="M56" i="113"/>
  <c r="I56" i="113"/>
  <c r="Y56" i="113"/>
  <c r="Q56" i="113"/>
  <c r="AH53" i="113"/>
  <c r="F56" i="113"/>
  <c r="O56" i="113"/>
  <c r="J56" i="113"/>
  <c r="G56" i="113"/>
  <c r="K56" i="113"/>
  <c r="X56" i="113"/>
  <c r="AG56" i="113" l="1"/>
  <c r="AH56" i="113"/>
  <c r="H96" i="113"/>
  <c r="J96" i="113"/>
  <c r="K96" i="113"/>
  <c r="N96" i="113"/>
  <c r="G94" i="113"/>
  <c r="I96" i="113"/>
  <c r="O94" i="113"/>
  <c r="L96" i="113"/>
  <c r="U92" i="113"/>
  <c r="K94" i="113"/>
  <c r="P96" i="113"/>
  <c r="Q99" i="113" s="1"/>
  <c r="M92" i="113"/>
  <c r="L92" i="113"/>
  <c r="M96" i="113"/>
  <c r="G88" i="113"/>
  <c r="I92" i="113"/>
  <c r="O96" i="113"/>
  <c r="Q92" i="113"/>
  <c r="F88" i="113"/>
  <c r="P92" i="113"/>
  <c r="V92" i="113"/>
  <c r="O92" i="113"/>
  <c r="J88" i="113"/>
  <c r="Z92" i="113"/>
  <c r="Y92" i="113"/>
  <c r="I94" i="113"/>
  <c r="I88" i="113"/>
  <c r="N94" i="113"/>
  <c r="F96" i="113"/>
  <c r="F92" i="113"/>
  <c r="N92" i="113"/>
  <c r="G92" i="113"/>
  <c r="W92" i="113"/>
  <c r="H92" i="113"/>
  <c r="X92" i="113"/>
  <c r="R92" i="113"/>
  <c r="J94" i="113"/>
  <c r="J92" i="113"/>
  <c r="K88" i="113"/>
  <c r="K92" i="113"/>
  <c r="AA92" i="113"/>
  <c r="S92" i="113"/>
  <c r="H94" i="113"/>
  <c r="H88" i="113"/>
  <c r="G96" i="113"/>
  <c r="L94" i="113"/>
  <c r="P94" i="113"/>
  <c r="Q97" i="113" s="1"/>
  <c r="F94" i="113"/>
  <c r="M99" i="113" l="1"/>
  <c r="K99" i="113"/>
  <c r="P97" i="113"/>
  <c r="I97" i="113"/>
  <c r="G99" i="113"/>
  <c r="L99" i="113"/>
  <c r="O99" i="113"/>
  <c r="N99" i="113"/>
  <c r="J99" i="113"/>
  <c r="I99" i="113"/>
  <c r="H99" i="113"/>
  <c r="P99" i="113"/>
  <c r="H97" i="113"/>
  <c r="L97" i="113"/>
  <c r="O97" i="113"/>
  <c r="G97" i="113"/>
  <c r="K97" i="113"/>
  <c r="J97" i="113"/>
  <c r="L88" i="113"/>
  <c r="M94" i="113"/>
  <c r="M97" i="113" s="1"/>
  <c r="N97" i="113" l="1"/>
  <c r="E94" i="113"/>
  <c r="E88" i="113"/>
  <c r="E92" i="113"/>
  <c r="AG92" i="113" s="1"/>
  <c r="E93" i="113"/>
  <c r="AH94" i="113" l="1"/>
  <c r="AG94" i="113"/>
  <c r="E96" i="113"/>
  <c r="F97" i="113"/>
  <c r="AH96" i="113" l="1"/>
  <c r="AG96" i="113"/>
  <c r="AG97" i="113"/>
  <c r="AH97" i="113"/>
  <c r="F99" i="113"/>
  <c r="D4" i="103"/>
  <c r="AG99" i="113" l="1"/>
  <c r="AH99" i="113"/>
  <c r="E3" i="103"/>
  <c r="E4" i="103" s="1"/>
  <c r="E7" i="103" s="1"/>
  <c r="E8" i="103" s="1"/>
  <c r="D7" i="103"/>
  <c r="D8" i="103" s="1"/>
  <c r="D9" i="103" s="1"/>
  <c r="D11" i="103" s="1"/>
  <c r="E9" i="103" l="1"/>
  <c r="E10" i="103" s="1"/>
  <c r="F3" i="103"/>
  <c r="F4" i="103" s="1"/>
  <c r="D12" i="103"/>
  <c r="D64" i="103"/>
  <c r="D10" i="103"/>
  <c r="D14" i="103"/>
  <c r="D13" i="103" l="1"/>
  <c r="G3" i="103"/>
  <c r="H3" i="103" s="1"/>
  <c r="E14" i="103"/>
  <c r="E15" i="103" s="1"/>
  <c r="E64" i="103"/>
  <c r="E11" i="103"/>
  <c r="E12" i="103" s="1"/>
  <c r="E13" i="103" s="1"/>
  <c r="F7" i="103"/>
  <c r="F8" i="103" s="1"/>
  <c r="F9" i="103" s="1"/>
  <c r="F64" i="103" s="1"/>
  <c r="D15" i="103"/>
  <c r="D19" i="103"/>
  <c r="D20" i="103" s="1"/>
  <c r="G4" i="103" l="1"/>
  <c r="E19" i="103"/>
  <c r="E20" i="103" s="1"/>
  <c r="F10" i="103"/>
  <c r="F14" i="103"/>
  <c r="H4" i="103"/>
  <c r="I3" i="103"/>
  <c r="J3" i="103" s="1"/>
  <c r="K3" i="103" s="1"/>
  <c r="L3" i="103" s="1"/>
  <c r="M3" i="103" s="1"/>
  <c r="N3" i="103" s="1"/>
  <c r="O3" i="103" s="1"/>
  <c r="P3" i="103" s="1"/>
  <c r="Q3" i="103" s="1"/>
  <c r="R3" i="103" s="1"/>
  <c r="S3" i="103" s="1"/>
  <c r="T3" i="103" s="1"/>
  <c r="U3" i="103" s="1"/>
  <c r="V3" i="103" s="1"/>
  <c r="W3" i="103" s="1"/>
  <c r="X3" i="103" s="1"/>
  <c r="Y3" i="103" s="1"/>
  <c r="Z3" i="103" s="1"/>
  <c r="AA3" i="103" s="1"/>
  <c r="AB3" i="103" s="1"/>
  <c r="AC3" i="103" s="1"/>
  <c r="AD3" i="103" s="1"/>
  <c r="AE3" i="103" s="1"/>
  <c r="AF3" i="103" s="1"/>
  <c r="AG3" i="103" s="1"/>
  <c r="AH3" i="103" s="1"/>
  <c r="AI3" i="103" s="1"/>
  <c r="AJ3" i="103" s="1"/>
  <c r="AK3" i="103" s="1"/>
  <c r="AL3" i="103" s="1"/>
  <c r="AM3" i="103" s="1"/>
  <c r="AN3" i="103" s="1"/>
  <c r="AO3" i="103" s="1"/>
  <c r="AP3" i="103" s="1"/>
  <c r="AQ3" i="103" s="1"/>
  <c r="AR3" i="103" s="1"/>
  <c r="AS3" i="103" s="1"/>
  <c r="AT3" i="103" s="1"/>
  <c r="AU3" i="103" s="1"/>
  <c r="AV3" i="103" s="1"/>
  <c r="AW3" i="103" s="1"/>
  <c r="AX3" i="103" s="1"/>
  <c r="AY3" i="103" s="1"/>
  <c r="AZ3" i="103" s="1"/>
  <c r="BA3" i="103" s="1"/>
  <c r="BB3" i="103" s="1"/>
  <c r="BC3" i="103" s="1"/>
  <c r="BD3" i="103" s="1"/>
  <c r="BE3" i="103" s="1"/>
  <c r="BF3" i="103" s="1"/>
  <c r="BG3" i="103" s="1"/>
  <c r="BH3" i="103" s="1"/>
  <c r="BI3" i="103" s="1"/>
  <c r="BJ3" i="103" s="1"/>
  <c r="BK3" i="103" s="1"/>
  <c r="BL3" i="103" s="1"/>
  <c r="BM3" i="103" s="1"/>
  <c r="BN3" i="103" s="1"/>
  <c r="BO3" i="103" s="1"/>
  <c r="BP3" i="103" s="1"/>
  <c r="BQ3" i="103" s="1"/>
  <c r="BR3" i="103" s="1"/>
  <c r="BS3" i="103" s="1"/>
  <c r="BT3" i="103" s="1"/>
  <c r="BU3" i="103" s="1"/>
  <c r="BV3" i="103" s="1"/>
  <c r="BW3" i="103" s="1"/>
  <c r="BX3" i="103" s="1"/>
  <c r="BY3" i="103" s="1"/>
  <c r="BZ3" i="103" s="1"/>
  <c r="CA3" i="103" s="1"/>
  <c r="CB3" i="103" s="1"/>
  <c r="CC3" i="103" s="1"/>
  <c r="CD3" i="103" s="1"/>
  <c r="CE3" i="103" s="1"/>
  <c r="CF3" i="103" s="1"/>
  <c r="CG3" i="103" s="1"/>
  <c r="CH3" i="103" s="1"/>
  <c r="CI3" i="103" s="1"/>
  <c r="CJ3" i="103" s="1"/>
  <c r="CK3" i="103" s="1"/>
  <c r="CL3" i="103" s="1"/>
  <c r="CM3" i="103" s="1"/>
  <c r="CN3" i="103" s="1"/>
  <c r="CO3" i="103" s="1"/>
  <c r="CP3" i="103" s="1"/>
  <c r="CQ3" i="103" s="1"/>
  <c r="CR3" i="103" s="1"/>
  <c r="CS3" i="103" s="1"/>
  <c r="CT3" i="103" s="1"/>
  <c r="CU3" i="103" s="1"/>
  <c r="CV3" i="103" s="1"/>
  <c r="CW3" i="103" s="1"/>
  <c r="CX3" i="103" s="1"/>
  <c r="CY3" i="103" s="1"/>
  <c r="CZ3" i="103" s="1"/>
  <c r="DA3" i="103" s="1"/>
  <c r="DB3" i="103" s="1"/>
  <c r="DC3" i="103" s="1"/>
  <c r="DD3" i="103" s="1"/>
  <c r="DE3" i="103" s="1"/>
  <c r="DF3" i="103" s="1"/>
  <c r="DG3" i="103" s="1"/>
  <c r="DH3" i="103" s="1"/>
  <c r="DI3" i="103" s="1"/>
  <c r="DJ3" i="103" s="1"/>
  <c r="DK3" i="103" s="1"/>
  <c r="DL3" i="103" s="1"/>
  <c r="DM3" i="103" s="1"/>
  <c r="DN3" i="103" s="1"/>
  <c r="DO3" i="103" s="1"/>
  <c r="DP3" i="103" s="1"/>
  <c r="DQ3" i="103" s="1"/>
  <c r="DR3" i="103" s="1"/>
  <c r="DS3" i="103" s="1"/>
  <c r="DT3" i="103" s="1"/>
  <c r="DU3" i="103" s="1"/>
  <c r="DV3" i="103" s="1"/>
  <c r="DW3" i="103" s="1"/>
  <c r="DX3" i="103" s="1"/>
  <c r="DY3" i="103" s="1"/>
  <c r="DZ3" i="103" s="1"/>
  <c r="EA3" i="103" s="1"/>
  <c r="EB3" i="103" s="1"/>
  <c r="EC3" i="103" s="1"/>
  <c r="ED3" i="103" s="1"/>
  <c r="EE3" i="103" s="1"/>
  <c r="EF3" i="103" s="1"/>
  <c r="EG3" i="103" s="1"/>
  <c r="EH3" i="103" s="1"/>
  <c r="EI3" i="103" s="1"/>
  <c r="EJ3" i="103" s="1"/>
  <c r="EK3" i="103" s="1"/>
  <c r="EL3" i="103" s="1"/>
  <c r="EM3" i="103" s="1"/>
  <c r="EN3" i="103" s="1"/>
  <c r="EO3" i="103" s="1"/>
  <c r="EP3" i="103" s="1"/>
  <c r="EQ3" i="103" s="1"/>
  <c r="ER3" i="103" s="1"/>
  <c r="ES3" i="103" s="1"/>
  <c r="ET3" i="103" s="1"/>
  <c r="EU3" i="103" s="1"/>
  <c r="EV3" i="103" s="1"/>
  <c r="EW3" i="103" s="1"/>
  <c r="EX3" i="103" s="1"/>
  <c r="E16" i="103"/>
  <c r="E61" i="103"/>
  <c r="F11" i="103"/>
  <c r="D16" i="103"/>
  <c r="D61" i="103"/>
  <c r="G7" i="103"/>
  <c r="G8" i="103" s="1"/>
  <c r="G9" i="103" s="1"/>
  <c r="G11" i="103" s="1"/>
  <c r="G12" i="103" l="1"/>
  <c r="G13" i="103" s="1"/>
  <c r="I4" i="103"/>
  <c r="G64" i="103"/>
  <c r="G10" i="103"/>
  <c r="G14" i="103"/>
  <c r="H7" i="103"/>
  <c r="H8" i="103" s="1"/>
  <c r="H9" i="103" s="1"/>
  <c r="H11" i="103" s="1"/>
  <c r="F15" i="103"/>
  <c r="F12" i="103"/>
  <c r="F19" i="103"/>
  <c r="F20" i="103" s="1"/>
  <c r="F13" i="103" l="1"/>
  <c r="F61" i="103"/>
  <c r="G15" i="103"/>
  <c r="F16" i="103"/>
  <c r="I7" i="103"/>
  <c r="I8" i="103" s="1"/>
  <c r="I9" i="103" s="1"/>
  <c r="I11" i="103" s="1"/>
  <c r="H12" i="103"/>
  <c r="H13" i="103" s="1"/>
  <c r="G19" i="103"/>
  <c r="G20" i="103" s="1"/>
  <c r="J4" i="103"/>
  <c r="H14" i="103"/>
  <c r="H64" i="103"/>
  <c r="H10" i="103"/>
  <c r="I12" i="103" l="1"/>
  <c r="I13" i="103" s="1"/>
  <c r="H15" i="103"/>
  <c r="K4" i="103"/>
  <c r="G61" i="103"/>
  <c r="G16" i="103"/>
  <c r="I64" i="103"/>
  <c r="I10" i="103"/>
  <c r="I14" i="103"/>
  <c r="I19" i="103" s="1"/>
  <c r="I20" i="103" s="1"/>
  <c r="J7" i="103"/>
  <c r="J8" i="103" s="1"/>
  <c r="J9" i="103" s="1"/>
  <c r="H19" i="103"/>
  <c r="H20" i="103" s="1"/>
  <c r="L4" i="103" l="1"/>
  <c r="J10" i="103"/>
  <c r="J14" i="103"/>
  <c r="J64" i="103"/>
  <c r="K7" i="103"/>
  <c r="K8" i="103" s="1"/>
  <c r="K9" i="103" s="1"/>
  <c r="J11" i="103"/>
  <c r="I15" i="103"/>
  <c r="H16" i="103"/>
  <c r="H61" i="103"/>
  <c r="K14" i="103" l="1"/>
  <c r="K10" i="103"/>
  <c r="K64" i="103"/>
  <c r="K11" i="103"/>
  <c r="J15" i="103"/>
  <c r="I61" i="103"/>
  <c r="I16" i="103"/>
  <c r="M4" i="103"/>
  <c r="J19" i="103"/>
  <c r="J20" i="103" s="1"/>
  <c r="J12" i="103"/>
  <c r="L7" i="103"/>
  <c r="L8" i="103" s="1"/>
  <c r="L9" i="103" s="1"/>
  <c r="L11" i="103" s="1"/>
  <c r="J13" i="103" l="1"/>
  <c r="L12" i="103"/>
  <c r="L13" i="103" s="1"/>
  <c r="L14" i="103"/>
  <c r="L19" i="103" s="1"/>
  <c r="L20" i="103" s="1"/>
  <c r="L64" i="103"/>
  <c r="L10" i="103"/>
  <c r="K12" i="103"/>
  <c r="K13" i="103" s="1"/>
  <c r="K19" i="103"/>
  <c r="K20" i="103" s="1"/>
  <c r="N4" i="103"/>
  <c r="J61" i="103"/>
  <c r="J16" i="103"/>
  <c r="M7" i="103"/>
  <c r="M8" i="103" s="1"/>
  <c r="M9" i="103" s="1"/>
  <c r="M11" i="103" s="1"/>
  <c r="K15" i="103"/>
  <c r="M12" i="103" l="1"/>
  <c r="M13" i="103" s="1"/>
  <c r="M14" i="103"/>
  <c r="M19" i="103" s="1"/>
  <c r="M20" i="103" s="1"/>
  <c r="M64" i="103"/>
  <c r="M10" i="103"/>
  <c r="L15" i="103"/>
  <c r="O4" i="103"/>
  <c r="N7" i="103"/>
  <c r="N8" i="103" s="1"/>
  <c r="N9" i="103" s="1"/>
  <c r="K16" i="103"/>
  <c r="K61" i="103"/>
  <c r="L16" i="103" l="1"/>
  <c r="L61" i="103"/>
  <c r="N14" i="103"/>
  <c r="N10" i="103"/>
  <c r="N64" i="103"/>
  <c r="N11" i="103"/>
  <c r="M15" i="103"/>
  <c r="P4" i="103"/>
  <c r="O7" i="103"/>
  <c r="O8" i="103" s="1"/>
  <c r="O9" i="103" s="1"/>
  <c r="O11" i="103" s="1"/>
  <c r="O12" i="103" l="1"/>
  <c r="O13" i="103" s="1"/>
  <c r="M61" i="103"/>
  <c r="M16" i="103"/>
  <c r="N12" i="103"/>
  <c r="N13" i="103" s="1"/>
  <c r="N19" i="103"/>
  <c r="N20" i="103" s="1"/>
  <c r="Q4" i="103"/>
  <c r="O14" i="103"/>
  <c r="O19" i="103" s="1"/>
  <c r="O20" i="103" s="1"/>
  <c r="O64" i="103"/>
  <c r="O10" i="103"/>
  <c r="N15" i="103"/>
  <c r="P7" i="103"/>
  <c r="P8" i="103" s="1"/>
  <c r="P9" i="103" s="1"/>
  <c r="P14" i="103" l="1"/>
  <c r="P64" i="103"/>
  <c r="P10" i="103"/>
  <c r="R4" i="103"/>
  <c r="Q7" i="103"/>
  <c r="Q8" i="103" s="1"/>
  <c r="Q9" i="103" s="1"/>
  <c r="P11" i="103"/>
  <c r="N16" i="103"/>
  <c r="N61" i="103"/>
  <c r="O15" i="103"/>
  <c r="Q14" i="103" l="1"/>
  <c r="Q10" i="103"/>
  <c r="Q64" i="103"/>
  <c r="O16" i="103"/>
  <c r="O61" i="103"/>
  <c r="Q11" i="103"/>
  <c r="S4" i="103"/>
  <c r="R7" i="103"/>
  <c r="R8" i="103" s="1"/>
  <c r="R9" i="103" s="1"/>
  <c r="P12" i="103"/>
  <c r="P13" i="103" s="1"/>
  <c r="P19" i="103"/>
  <c r="P20" i="103" s="1"/>
  <c r="P15" i="103"/>
  <c r="P16" i="103" l="1"/>
  <c r="P61" i="103"/>
  <c r="Q15" i="103"/>
  <c r="S7" i="103"/>
  <c r="S8" i="103" s="1"/>
  <c r="S9" i="103" s="1"/>
  <c r="Q12" i="103"/>
  <c r="Q13" i="103" s="1"/>
  <c r="Q19" i="103"/>
  <c r="Q20" i="103" s="1"/>
  <c r="R14" i="103"/>
  <c r="R64" i="103"/>
  <c r="R10" i="103"/>
  <c r="R11" i="103"/>
  <c r="T4" i="103"/>
  <c r="T7" i="103" l="1"/>
  <c r="T8" i="103" s="1"/>
  <c r="T9" i="103" s="1"/>
  <c r="T11" i="103" s="1"/>
  <c r="S64" i="103"/>
  <c r="S10" i="103"/>
  <c r="S14" i="103"/>
  <c r="U4" i="103"/>
  <c r="S11" i="103"/>
  <c r="R19" i="103"/>
  <c r="R20" i="103" s="1"/>
  <c r="R12" i="103"/>
  <c r="R13" i="103" s="1"/>
  <c r="Q61" i="103"/>
  <c r="Q16" i="103"/>
  <c r="R15" i="103"/>
  <c r="T12" i="103" l="1"/>
  <c r="T13" i="103" s="1"/>
  <c r="V4" i="103"/>
  <c r="R16" i="103"/>
  <c r="R61" i="103"/>
  <c r="U7" i="103"/>
  <c r="U8" i="103" s="1"/>
  <c r="U9" i="103" s="1"/>
  <c r="U11" i="103" s="1"/>
  <c r="S15" i="103"/>
  <c r="S12" i="103"/>
  <c r="S13" i="103" s="1"/>
  <c r="S19" i="103"/>
  <c r="S20" i="103" s="1"/>
  <c r="T14" i="103"/>
  <c r="T64" i="103"/>
  <c r="T10" i="103"/>
  <c r="U12" i="103" l="1"/>
  <c r="U13" i="103" s="1"/>
  <c r="U64" i="103"/>
  <c r="U10" i="103"/>
  <c r="U14" i="103"/>
  <c r="U19" i="103" s="1"/>
  <c r="U20" i="103" s="1"/>
  <c r="T15" i="103"/>
  <c r="V7" i="103"/>
  <c r="V8" i="103" s="1"/>
  <c r="V9" i="103" s="1"/>
  <c r="V11" i="103" s="1"/>
  <c r="T19" i="103"/>
  <c r="T20" i="103" s="1"/>
  <c r="W4" i="103"/>
  <c r="S61" i="103"/>
  <c r="S16" i="103"/>
  <c r="W7" i="103" l="1"/>
  <c r="W8" i="103" s="1"/>
  <c r="W9" i="103" s="1"/>
  <c r="T16" i="103"/>
  <c r="T61" i="103"/>
  <c r="X4" i="103"/>
  <c r="U15" i="103"/>
  <c r="V12" i="103"/>
  <c r="V13" i="103" s="1"/>
  <c r="V14" i="103"/>
  <c r="V64" i="103"/>
  <c r="V10" i="103"/>
  <c r="U61" i="103" l="1"/>
  <c r="U16" i="103"/>
  <c r="Y4" i="103"/>
  <c r="X7" i="103"/>
  <c r="X8" i="103" s="1"/>
  <c r="X9" i="103" s="1"/>
  <c r="X11" i="103" s="1"/>
  <c r="V15" i="103"/>
  <c r="W10" i="103"/>
  <c r="W14" i="103"/>
  <c r="W64" i="103"/>
  <c r="V19" i="103"/>
  <c r="V20" i="103" s="1"/>
  <c r="W11" i="103"/>
  <c r="X12" i="103" l="1"/>
  <c r="X13" i="103" s="1"/>
  <c r="V61" i="103"/>
  <c r="V16" i="103"/>
  <c r="W12" i="103"/>
  <c r="W13" i="103" s="1"/>
  <c r="W19" i="103"/>
  <c r="W20" i="103" s="1"/>
  <c r="Y7" i="103"/>
  <c r="Y8" i="103" s="1"/>
  <c r="Y9" i="103" s="1"/>
  <c r="Y11" i="103" s="1"/>
  <c r="X14" i="103"/>
  <c r="X19" i="103" s="1"/>
  <c r="X20" i="103" s="1"/>
  <c r="X10" i="103"/>
  <c r="X64" i="103"/>
  <c r="Z4" i="103"/>
  <c r="W15" i="103"/>
  <c r="Y12" i="103" l="1"/>
  <c r="Y13" i="103" s="1"/>
  <c r="AA4" i="103"/>
  <c r="Y10" i="103"/>
  <c r="Y64" i="103"/>
  <c r="Y14" i="103"/>
  <c r="W61" i="103"/>
  <c r="W16" i="103"/>
  <c r="Z7" i="103"/>
  <c r="Z8" i="103" s="1"/>
  <c r="Z9" i="103" s="1"/>
  <c r="Z11" i="103" s="1"/>
  <c r="X15" i="103"/>
  <c r="Z12" i="103" l="1"/>
  <c r="Z13" i="103" s="1"/>
  <c r="Y15" i="103"/>
  <c r="AB4" i="103"/>
  <c r="AA7" i="103"/>
  <c r="AA8" i="103" s="1"/>
  <c r="AA9" i="103" s="1"/>
  <c r="AA11" i="103" s="1"/>
  <c r="X16" i="103"/>
  <c r="X61" i="103"/>
  <c r="Z64" i="103"/>
  <c r="Z10" i="103"/>
  <c r="Z14" i="103"/>
  <c r="Y19" i="103"/>
  <c r="Y20" i="103" s="1"/>
  <c r="AA12" i="103" l="1"/>
  <c r="AA13" i="103" s="1"/>
  <c r="Z15" i="103"/>
  <c r="AC4" i="103"/>
  <c r="Y61" i="103"/>
  <c r="Y16" i="103"/>
  <c r="AA64" i="103"/>
  <c r="AA14" i="103"/>
  <c r="AA19" i="103" s="1"/>
  <c r="AA20" i="103" s="1"/>
  <c r="AA10" i="103"/>
  <c r="AB7" i="103"/>
  <c r="AB8" i="103" s="1"/>
  <c r="AB9" i="103" s="1"/>
  <c r="Z19" i="103"/>
  <c r="Z20" i="103" s="1"/>
  <c r="AB14" i="103" l="1"/>
  <c r="AB64" i="103"/>
  <c r="AB10" i="103"/>
  <c r="Z61" i="103"/>
  <c r="Z16" i="103"/>
  <c r="AB11" i="103"/>
  <c r="AD4" i="103"/>
  <c r="AC7" i="103"/>
  <c r="AC8" i="103" s="1"/>
  <c r="AC9" i="103" s="1"/>
  <c r="AA15" i="103"/>
  <c r="AD7" i="103" l="1"/>
  <c r="AD8" i="103" s="1"/>
  <c r="AD9" i="103" s="1"/>
  <c r="AA61" i="103"/>
  <c r="AA16" i="103"/>
  <c r="AB19" i="103"/>
  <c r="AB20" i="103" s="1"/>
  <c r="AB12" i="103"/>
  <c r="AB13" i="103" s="1"/>
  <c r="AC64" i="103"/>
  <c r="AC10" i="103"/>
  <c r="AC14" i="103"/>
  <c r="AC11" i="103"/>
  <c r="AE4" i="103"/>
  <c r="AB15" i="103"/>
  <c r="AB16" i="103" l="1"/>
  <c r="AB61" i="103"/>
  <c r="AF4" i="103"/>
  <c r="AE7" i="103"/>
  <c r="AE8" i="103" s="1"/>
  <c r="AE9" i="103" s="1"/>
  <c r="AE11" i="103" s="1"/>
  <c r="AD14" i="103"/>
  <c r="AD64" i="103"/>
  <c r="AD10" i="103"/>
  <c r="AC19" i="103"/>
  <c r="AC20" i="103" s="1"/>
  <c r="AC12" i="103"/>
  <c r="AC13" i="103" s="1"/>
  <c r="AC15" i="103"/>
  <c r="AD11" i="103"/>
  <c r="AE12" i="103" l="1"/>
  <c r="AE13" i="103" s="1"/>
  <c r="AD19" i="103"/>
  <c r="AD20" i="103" s="1"/>
  <c r="AD12" i="103"/>
  <c r="AD13" i="103" s="1"/>
  <c r="AD15" i="103"/>
  <c r="AC16" i="103"/>
  <c r="AC61" i="103"/>
  <c r="AE14" i="103"/>
  <c r="AE64" i="103"/>
  <c r="AE10" i="103"/>
  <c r="AG4" i="103"/>
  <c r="AF7" i="103"/>
  <c r="AF8" i="103" s="1"/>
  <c r="AF9" i="103" s="1"/>
  <c r="AF14" i="103" l="1"/>
  <c r="AF64" i="103"/>
  <c r="AF10" i="103"/>
  <c r="AG7" i="103"/>
  <c r="AG8" i="103" s="1"/>
  <c r="AG9" i="103" s="1"/>
  <c r="AG11" i="103" s="1"/>
  <c r="AD16" i="103"/>
  <c r="AD61" i="103"/>
  <c r="AF11" i="103"/>
  <c r="AH4" i="103"/>
  <c r="AE15" i="103"/>
  <c r="AE19" i="103"/>
  <c r="AE20" i="103" s="1"/>
  <c r="AG12" i="103" l="1"/>
  <c r="AG13" i="103" s="1"/>
  <c r="AE16" i="103"/>
  <c r="AE61" i="103"/>
  <c r="AI4" i="103"/>
  <c r="AH7" i="103"/>
  <c r="AH8" i="103" s="1"/>
  <c r="AH9" i="103" s="1"/>
  <c r="AH11" i="103" s="1"/>
  <c r="AG14" i="103"/>
  <c r="AG64" i="103"/>
  <c r="AG10" i="103"/>
  <c r="AF19" i="103"/>
  <c r="AF20" i="103" s="1"/>
  <c r="AF12" i="103"/>
  <c r="AF13" i="103" s="1"/>
  <c r="AF15" i="103"/>
  <c r="AH12" i="103" l="1"/>
  <c r="AH13" i="103" s="1"/>
  <c r="AH10" i="103"/>
  <c r="AH14" i="103"/>
  <c r="AH64" i="103"/>
  <c r="AF16" i="103"/>
  <c r="AF61" i="103"/>
  <c r="AJ4" i="103"/>
  <c r="AI7" i="103"/>
  <c r="AI8" i="103" s="1"/>
  <c r="AI9" i="103" s="1"/>
  <c r="AI11" i="103" s="1"/>
  <c r="AG15" i="103"/>
  <c r="AG19" i="103"/>
  <c r="AG20" i="103" s="1"/>
  <c r="AI12" i="103" l="1"/>
  <c r="AI13" i="103" s="1"/>
  <c r="AG61" i="103"/>
  <c r="AG16" i="103"/>
  <c r="AH15" i="103"/>
  <c r="AH19" i="103"/>
  <c r="AH20" i="103" s="1"/>
  <c r="AI10" i="103"/>
  <c r="AI14" i="103"/>
  <c r="AI64" i="103"/>
  <c r="AK4" i="103"/>
  <c r="AJ7" i="103"/>
  <c r="AJ8" i="103" s="1"/>
  <c r="AJ9" i="103" s="1"/>
  <c r="AH16" i="103" l="1"/>
  <c r="AH61" i="103"/>
  <c r="AI15" i="103"/>
  <c r="AJ10" i="103"/>
  <c r="AJ14" i="103"/>
  <c r="AJ64" i="103"/>
  <c r="AJ11" i="103"/>
  <c r="AL4" i="103"/>
  <c r="AK7" i="103"/>
  <c r="AK8" i="103" s="1"/>
  <c r="AK9" i="103" s="1"/>
  <c r="AK11" i="103" s="1"/>
  <c r="AI19" i="103"/>
  <c r="AI20" i="103" s="1"/>
  <c r="AK12" i="103" l="1"/>
  <c r="AK13" i="103" s="1"/>
  <c r="AJ15" i="103"/>
  <c r="AM4" i="103"/>
  <c r="AK14" i="103"/>
  <c r="AK64" i="103"/>
  <c r="AK10" i="103"/>
  <c r="AI61" i="103"/>
  <c r="AI16" i="103"/>
  <c r="AL7" i="103"/>
  <c r="AL8" i="103" s="1"/>
  <c r="AL9" i="103" s="1"/>
  <c r="AL11" i="103" s="1"/>
  <c r="AJ12" i="103"/>
  <c r="AJ13" i="103" s="1"/>
  <c r="AJ19" i="103"/>
  <c r="AJ20" i="103" s="1"/>
  <c r="AL12" i="103" l="1"/>
  <c r="AL13" i="103" s="1"/>
  <c r="AK15" i="103"/>
  <c r="AM7" i="103"/>
  <c r="AM8" i="103" s="1"/>
  <c r="AM9" i="103" s="1"/>
  <c r="AL64" i="103"/>
  <c r="AL10" i="103"/>
  <c r="AL14" i="103"/>
  <c r="AL19" i="103" s="1"/>
  <c r="AL20" i="103" s="1"/>
  <c r="AN4" i="103"/>
  <c r="AJ16" i="103"/>
  <c r="AJ61" i="103"/>
  <c r="AK19" i="103"/>
  <c r="AK20" i="103" s="1"/>
  <c r="AM10" i="103" l="1"/>
  <c r="AM64" i="103"/>
  <c r="AM14" i="103"/>
  <c r="AN7" i="103"/>
  <c r="AN8" i="103" s="1"/>
  <c r="AN9" i="103" s="1"/>
  <c r="AN11" i="103" s="1"/>
  <c r="AO4" i="103"/>
  <c r="AM11" i="103"/>
  <c r="AK16" i="103"/>
  <c r="AK61" i="103"/>
  <c r="AL15" i="103"/>
  <c r="AN12" i="103" l="1"/>
  <c r="AN13" i="103" s="1"/>
  <c r="AO7" i="103"/>
  <c r="AO8" i="103" s="1"/>
  <c r="AO9" i="103" s="1"/>
  <c r="AO11" i="103" s="1"/>
  <c r="AL61" i="103"/>
  <c r="AL16" i="103"/>
  <c r="AP4" i="103"/>
  <c r="AN14" i="103"/>
  <c r="AN64" i="103"/>
  <c r="AN10" i="103"/>
  <c r="AM15" i="103"/>
  <c r="AM12" i="103"/>
  <c r="AM13" i="103" s="1"/>
  <c r="AM19" i="103"/>
  <c r="AM20" i="103" s="1"/>
  <c r="AO12" i="103" l="1"/>
  <c r="AO13" i="103" s="1"/>
  <c r="AQ4" i="103"/>
  <c r="AM61" i="103"/>
  <c r="AM16" i="103"/>
  <c r="AP7" i="103"/>
  <c r="AP8" i="103" s="1"/>
  <c r="AP9" i="103" s="1"/>
  <c r="AP11" i="103" s="1"/>
  <c r="AO64" i="103"/>
  <c r="AO10" i="103"/>
  <c r="AO14" i="103"/>
  <c r="AO19" i="103" s="1"/>
  <c r="AO20" i="103" s="1"/>
  <c r="AN15" i="103"/>
  <c r="AN19" i="103"/>
  <c r="AN20" i="103" s="1"/>
  <c r="AP12" i="103" l="1"/>
  <c r="AP13" i="103" s="1"/>
  <c r="AR4" i="103"/>
  <c r="AP10" i="103"/>
  <c r="AP14" i="103"/>
  <c r="AP64" i="103"/>
  <c r="AN61" i="103"/>
  <c r="AN16" i="103"/>
  <c r="AO15" i="103"/>
  <c r="AQ7" i="103"/>
  <c r="AQ8" i="103" s="1"/>
  <c r="AQ9" i="103" s="1"/>
  <c r="AP15" i="103" l="1"/>
  <c r="AQ14" i="103"/>
  <c r="AQ64" i="103"/>
  <c r="AQ10" i="103"/>
  <c r="AQ11" i="103"/>
  <c r="AO61" i="103"/>
  <c r="AO16" i="103"/>
  <c r="AS4" i="103"/>
  <c r="AR7" i="103"/>
  <c r="AR8" i="103" s="1"/>
  <c r="AR9" i="103" s="1"/>
  <c r="AR11" i="103" s="1"/>
  <c r="AP19" i="103"/>
  <c r="AP20" i="103" s="1"/>
  <c r="AR12" i="103" l="1"/>
  <c r="AR13" i="103" s="1"/>
  <c r="AQ19" i="103"/>
  <c r="AQ20" i="103" s="1"/>
  <c r="AQ12" i="103"/>
  <c r="AQ13" i="103" s="1"/>
  <c r="AQ15" i="103"/>
  <c r="AR10" i="103"/>
  <c r="AR64" i="103"/>
  <c r="AR14" i="103"/>
  <c r="AT4" i="103"/>
  <c r="AS7" i="103"/>
  <c r="AS8" i="103" s="1"/>
  <c r="AS9" i="103" s="1"/>
  <c r="AP61" i="103"/>
  <c r="AP16" i="103"/>
  <c r="AS10" i="103" l="1"/>
  <c r="AS64" i="103"/>
  <c r="AS14" i="103"/>
  <c r="AS11" i="103"/>
  <c r="AT7" i="103"/>
  <c r="AT8" i="103" s="1"/>
  <c r="AT9" i="103" s="1"/>
  <c r="AQ61" i="103"/>
  <c r="AQ16" i="103"/>
  <c r="AU4" i="103"/>
  <c r="AR15" i="103"/>
  <c r="AR19" i="103"/>
  <c r="AR20" i="103" s="1"/>
  <c r="AR16" i="103" l="1"/>
  <c r="AR61" i="103"/>
  <c r="AV4" i="103"/>
  <c r="AT14" i="103"/>
  <c r="AT15" i="103" s="1"/>
  <c r="AT64" i="103"/>
  <c r="AT10" i="103"/>
  <c r="AS15" i="103"/>
  <c r="AU7" i="103"/>
  <c r="AU8" i="103" s="1"/>
  <c r="AU9" i="103" s="1"/>
  <c r="AT11" i="103"/>
  <c r="AS12" i="103"/>
  <c r="AS13" i="103" s="1"/>
  <c r="AS19" i="103"/>
  <c r="AS20" i="103" s="1"/>
  <c r="AS61" i="103" l="1"/>
  <c r="AS16" i="103"/>
  <c r="AT19" i="103"/>
  <c r="AT20" i="103" s="1"/>
  <c r="AT12" i="103"/>
  <c r="AT13" i="103" s="1"/>
  <c r="AW4" i="103"/>
  <c r="AU14" i="103"/>
  <c r="AU15" i="103" s="1"/>
  <c r="AU64" i="103"/>
  <c r="AU10" i="103"/>
  <c r="AV7" i="103"/>
  <c r="AV8" i="103" s="1"/>
  <c r="AV9" i="103" s="1"/>
  <c r="AT61" i="103"/>
  <c r="AT16" i="103"/>
  <c r="AU11" i="103"/>
  <c r="AU12" i="103" l="1"/>
  <c r="AU13" i="103" s="1"/>
  <c r="AU19" i="103"/>
  <c r="AU20" i="103" s="1"/>
  <c r="AU61" i="103"/>
  <c r="AU16" i="103"/>
  <c r="AX4" i="103"/>
  <c r="AW7" i="103"/>
  <c r="AW8" i="103" s="1"/>
  <c r="AW9" i="103" s="1"/>
  <c r="AW11" i="103" s="1"/>
  <c r="AV10" i="103"/>
  <c r="AV64" i="103"/>
  <c r="AV14" i="103"/>
  <c r="AV15" i="103" s="1"/>
  <c r="AV11" i="103"/>
  <c r="AW12" i="103" l="1"/>
  <c r="AW13" i="103" s="1"/>
  <c r="AV16" i="103"/>
  <c r="AV61" i="103"/>
  <c r="AW64" i="103"/>
  <c r="AW10" i="103"/>
  <c r="AW14" i="103"/>
  <c r="AW15" i="103" s="1"/>
  <c r="AY4" i="103"/>
  <c r="AX7" i="103"/>
  <c r="AX8" i="103" s="1"/>
  <c r="AX9" i="103" s="1"/>
  <c r="AX11" i="103" s="1"/>
  <c r="AV12" i="103"/>
  <c r="AV13" i="103" s="1"/>
  <c r="AV19" i="103"/>
  <c r="AV20" i="103" s="1"/>
  <c r="AY7" i="103" l="1"/>
  <c r="AY8" i="103" s="1"/>
  <c r="AY9" i="103" s="1"/>
  <c r="AY11" i="103" s="1"/>
  <c r="AX12" i="103"/>
  <c r="AX13" i="103" s="1"/>
  <c r="AW61" i="103"/>
  <c r="AW16" i="103"/>
  <c r="AX64" i="103"/>
  <c r="AX14" i="103"/>
  <c r="AX15" i="103" s="1"/>
  <c r="AX10" i="103"/>
  <c r="AW19" i="103"/>
  <c r="AW20" i="103" s="1"/>
  <c r="AZ4" i="103"/>
  <c r="AX19" i="103" l="1"/>
  <c r="AX20" i="103" s="1"/>
  <c r="AZ7" i="103"/>
  <c r="AZ8" i="103" s="1"/>
  <c r="AZ9" i="103" s="1"/>
  <c r="AY12" i="103"/>
  <c r="AY13" i="103" s="1"/>
  <c r="BA4" i="103"/>
  <c r="AX16" i="103"/>
  <c r="AX61" i="103"/>
  <c r="AY64" i="103"/>
  <c r="AY10" i="103"/>
  <c r="AY14" i="103"/>
  <c r="AY15" i="103" s="1"/>
  <c r="AY16" i="103" l="1"/>
  <c r="AY61" i="103"/>
  <c r="BB4" i="103"/>
  <c r="AZ10" i="103"/>
  <c r="AZ64" i="103"/>
  <c r="AZ14" i="103"/>
  <c r="AZ15" i="103" s="1"/>
  <c r="BA7" i="103"/>
  <c r="BA8" i="103" s="1"/>
  <c r="BA9" i="103" s="1"/>
  <c r="AY19" i="103"/>
  <c r="AY20" i="103" s="1"/>
  <c r="AZ11" i="103"/>
  <c r="BA14" i="103" l="1"/>
  <c r="BA15" i="103" s="1"/>
  <c r="BA10" i="103"/>
  <c r="BA64" i="103"/>
  <c r="AZ16" i="103"/>
  <c r="AZ61" i="103"/>
  <c r="AZ12" i="103"/>
  <c r="AZ13" i="103" s="1"/>
  <c r="AZ19" i="103"/>
  <c r="AZ20" i="103" s="1"/>
  <c r="BC4" i="103"/>
  <c r="BB7" i="103"/>
  <c r="BB8" i="103" s="1"/>
  <c r="BB9" i="103" s="1"/>
  <c r="BB11" i="103" s="1"/>
  <c r="BA11" i="103"/>
  <c r="BB12" i="103" l="1"/>
  <c r="BB13" i="103" s="1"/>
  <c r="BC7" i="103"/>
  <c r="BC8" i="103" s="1"/>
  <c r="BC9" i="103" s="1"/>
  <c r="BA12" i="103"/>
  <c r="BA13" i="103" s="1"/>
  <c r="BA19" i="103"/>
  <c r="BA20" i="103" s="1"/>
  <c r="BB64" i="103"/>
  <c r="BB10" i="103"/>
  <c r="BB14" i="103"/>
  <c r="BB15" i="103" s="1"/>
  <c r="BD4" i="103"/>
  <c r="BA16" i="103"/>
  <c r="BA61" i="103"/>
  <c r="BC10" i="103" l="1"/>
  <c r="BC14" i="103"/>
  <c r="BC15" i="103" s="1"/>
  <c r="BC64" i="103"/>
  <c r="BC11" i="103"/>
  <c r="BE4" i="103"/>
  <c r="BD7" i="103"/>
  <c r="BD8" i="103" s="1"/>
  <c r="BD9" i="103" s="1"/>
  <c r="BB16" i="103"/>
  <c r="BB61" i="103"/>
  <c r="BB19" i="103"/>
  <c r="BB20" i="103" s="1"/>
  <c r="BD14" i="103" l="1"/>
  <c r="BD15" i="103" s="1"/>
  <c r="BD64" i="103"/>
  <c r="BD10" i="103"/>
  <c r="BF4" i="103"/>
  <c r="BD11" i="103"/>
  <c r="BE7" i="103"/>
  <c r="BE8" i="103" s="1"/>
  <c r="BE9" i="103" s="1"/>
  <c r="BE11" i="103" s="1"/>
  <c r="BC12" i="103"/>
  <c r="BC13" i="103" s="1"/>
  <c r="BC19" i="103"/>
  <c r="BC20" i="103" s="1"/>
  <c r="BC16" i="103"/>
  <c r="BC61" i="103"/>
  <c r="BE12" i="103" l="1"/>
  <c r="BE13" i="103" s="1"/>
  <c r="BG4" i="103"/>
  <c r="BF7" i="103"/>
  <c r="BF8" i="103" s="1"/>
  <c r="BF9" i="103" s="1"/>
  <c r="BF11" i="103" s="1"/>
  <c r="BE14" i="103"/>
  <c r="BE15" i="103" s="1"/>
  <c r="BE10" i="103"/>
  <c r="BE64" i="103"/>
  <c r="BD19" i="103"/>
  <c r="BD20" i="103" s="1"/>
  <c r="BD12" i="103"/>
  <c r="BD13" i="103" s="1"/>
  <c r="BD61" i="103"/>
  <c r="BD16" i="103"/>
  <c r="BF12" i="103" l="1"/>
  <c r="BF13" i="103" s="1"/>
  <c r="BE16" i="103"/>
  <c r="BE61" i="103"/>
  <c r="BF64" i="103"/>
  <c r="BF10" i="103"/>
  <c r="BF14" i="103"/>
  <c r="BF15" i="103" s="1"/>
  <c r="BH4" i="103"/>
  <c r="BG7" i="103"/>
  <c r="BG8" i="103" s="1"/>
  <c r="BG9" i="103" s="1"/>
  <c r="BG11" i="103" s="1"/>
  <c r="BE19" i="103"/>
  <c r="BE20" i="103" s="1"/>
  <c r="BF61" i="103" l="1"/>
  <c r="BF16" i="103"/>
  <c r="BG12" i="103"/>
  <c r="BG13" i="103" s="1"/>
  <c r="BH7" i="103"/>
  <c r="BH8" i="103" s="1"/>
  <c r="BH9" i="103" s="1"/>
  <c r="BG64" i="103"/>
  <c r="BG10" i="103"/>
  <c r="BG14" i="103"/>
  <c r="BG15" i="103" s="1"/>
  <c r="BI4" i="103"/>
  <c r="BF19" i="103"/>
  <c r="BF20" i="103" s="1"/>
  <c r="BG19" i="103" l="1"/>
  <c r="BG20" i="103" s="1"/>
  <c r="BH10" i="103"/>
  <c r="BH14" i="103"/>
  <c r="BH15" i="103" s="1"/>
  <c r="BH64" i="103"/>
  <c r="BH11" i="103"/>
  <c r="BI7" i="103"/>
  <c r="BI8" i="103" s="1"/>
  <c r="BI9" i="103" s="1"/>
  <c r="BI11" i="103" s="1"/>
  <c r="BJ4" i="103"/>
  <c r="BG61" i="103"/>
  <c r="BG16" i="103"/>
  <c r="BI12" i="103" l="1"/>
  <c r="BI13" i="103" s="1"/>
  <c r="BJ7" i="103"/>
  <c r="BJ8" i="103" s="1"/>
  <c r="BJ9" i="103" s="1"/>
  <c r="BK4" i="103"/>
  <c r="BI64" i="103"/>
  <c r="BI10" i="103"/>
  <c r="BI14" i="103"/>
  <c r="BI15" i="103" s="1"/>
  <c r="BH12" i="103"/>
  <c r="BH13" i="103" s="1"/>
  <c r="BH19" i="103"/>
  <c r="BH20" i="103" s="1"/>
  <c r="BH16" i="103"/>
  <c r="BH61" i="103"/>
  <c r="BK7" i="103" l="1"/>
  <c r="BK8" i="103" s="1"/>
  <c r="BK9" i="103" s="1"/>
  <c r="BK11" i="103" s="1"/>
  <c r="BL4" i="103"/>
  <c r="BJ14" i="103"/>
  <c r="BJ15" i="103" s="1"/>
  <c r="BJ64" i="103"/>
  <c r="BJ10" i="103"/>
  <c r="BJ11" i="103"/>
  <c r="BI61" i="103"/>
  <c r="BI16" i="103"/>
  <c r="BI19" i="103"/>
  <c r="BI20" i="103" s="1"/>
  <c r="BJ61" i="103" l="1"/>
  <c r="BJ16" i="103"/>
  <c r="BL7" i="103"/>
  <c r="BL8" i="103" s="1"/>
  <c r="BL9" i="103" s="1"/>
  <c r="BK12" i="103"/>
  <c r="BK13" i="103" s="1"/>
  <c r="BJ19" i="103"/>
  <c r="BJ20" i="103" s="1"/>
  <c r="BJ12" i="103"/>
  <c r="BJ13" i="103" s="1"/>
  <c r="BM4" i="103"/>
  <c r="BK14" i="103"/>
  <c r="BK15" i="103" s="1"/>
  <c r="BK10" i="103"/>
  <c r="BK64" i="103"/>
  <c r="BK19" i="103" l="1"/>
  <c r="BK20" i="103" s="1"/>
  <c r="BK16" i="103"/>
  <c r="BK61" i="103"/>
  <c r="BL64" i="103"/>
  <c r="BL10" i="103"/>
  <c r="BL14" i="103"/>
  <c r="BL15" i="103" s="1"/>
  <c r="BL11" i="103"/>
  <c r="BN4" i="103"/>
  <c r="BM7" i="103"/>
  <c r="BM8" i="103" s="1"/>
  <c r="BM9" i="103" s="1"/>
  <c r="BN7" i="103" l="1"/>
  <c r="BN8" i="103" s="1"/>
  <c r="BN9" i="103" s="1"/>
  <c r="BL16" i="103"/>
  <c r="BL61" i="103"/>
  <c r="BM14" i="103"/>
  <c r="BM15" i="103" s="1"/>
  <c r="BM64" i="103"/>
  <c r="BM10" i="103"/>
  <c r="BO4" i="103"/>
  <c r="BL19" i="103"/>
  <c r="BL20" i="103" s="1"/>
  <c r="BL12" i="103"/>
  <c r="BL13" i="103" s="1"/>
  <c r="BM11" i="103"/>
  <c r="BM61" i="103" l="1"/>
  <c r="BM16" i="103"/>
  <c r="BO7" i="103"/>
  <c r="BO8" i="103" s="1"/>
  <c r="BO9" i="103" s="1"/>
  <c r="BM19" i="103"/>
  <c r="BM20" i="103" s="1"/>
  <c r="BM12" i="103"/>
  <c r="BM13" i="103" s="1"/>
  <c r="BN64" i="103"/>
  <c r="BN10" i="103"/>
  <c r="BN14" i="103"/>
  <c r="BN15" i="103" s="1"/>
  <c r="BP4" i="103"/>
  <c r="BN11" i="103"/>
  <c r="BN19" i="103" l="1"/>
  <c r="BN20" i="103" s="1"/>
  <c r="BN12" i="103"/>
  <c r="BN13" i="103" s="1"/>
  <c r="BO14" i="103"/>
  <c r="BO15" i="103" s="1"/>
  <c r="BO10" i="103"/>
  <c r="BO64" i="103"/>
  <c r="BQ4" i="103"/>
  <c r="BO11" i="103"/>
  <c r="BP7" i="103"/>
  <c r="BP8" i="103" s="1"/>
  <c r="BP9" i="103" s="1"/>
  <c r="BP11" i="103" s="1"/>
  <c r="BN16" i="103"/>
  <c r="BN61" i="103"/>
  <c r="BO12" i="103" l="1"/>
  <c r="BO13" i="103" s="1"/>
  <c r="BO19" i="103"/>
  <c r="BO20" i="103" s="1"/>
  <c r="BQ7" i="103"/>
  <c r="BQ8" i="103" s="1"/>
  <c r="BQ9" i="103" s="1"/>
  <c r="BR4" i="103"/>
  <c r="BO61" i="103"/>
  <c r="BO16" i="103"/>
  <c r="BP12" i="103"/>
  <c r="BP13" i="103" s="1"/>
  <c r="BP64" i="103"/>
  <c r="BP10" i="103"/>
  <c r="BP14" i="103"/>
  <c r="BP15" i="103" s="1"/>
  <c r="BP61" i="103" l="1"/>
  <c r="BP16" i="103"/>
  <c r="BQ10" i="103"/>
  <c r="BQ14" i="103"/>
  <c r="BQ15" i="103" s="1"/>
  <c r="BQ64" i="103"/>
  <c r="BS4" i="103"/>
  <c r="BR7" i="103"/>
  <c r="BR8" i="103" s="1"/>
  <c r="BR9" i="103" s="1"/>
  <c r="BQ11" i="103"/>
  <c r="BP19" i="103"/>
  <c r="BP20" i="103" s="1"/>
  <c r="BQ16" i="103" l="1"/>
  <c r="BQ61" i="103"/>
  <c r="BR14" i="103"/>
  <c r="BR15" i="103" s="1"/>
  <c r="BR10" i="103"/>
  <c r="BR64" i="103"/>
  <c r="BS7" i="103"/>
  <c r="BS8" i="103" s="1"/>
  <c r="BS9" i="103" s="1"/>
  <c r="BS11" i="103" s="1"/>
  <c r="BQ12" i="103"/>
  <c r="BQ13" i="103" s="1"/>
  <c r="BQ19" i="103"/>
  <c r="BQ20" i="103" s="1"/>
  <c r="BT4" i="103"/>
  <c r="BR11" i="103"/>
  <c r="BS12" i="103" l="1"/>
  <c r="BS13" i="103" s="1"/>
  <c r="BU4" i="103"/>
  <c r="BR12" i="103"/>
  <c r="BR13" i="103" s="1"/>
  <c r="BR19" i="103"/>
  <c r="BR20" i="103" s="1"/>
  <c r="BR61" i="103"/>
  <c r="BR16" i="103"/>
  <c r="BT7" i="103"/>
  <c r="BT8" i="103" s="1"/>
  <c r="BT9" i="103" s="1"/>
  <c r="BT11" i="103" s="1"/>
  <c r="BS14" i="103"/>
  <c r="BS15" i="103" s="1"/>
  <c r="BS64" i="103"/>
  <c r="BS10" i="103"/>
  <c r="BT12" i="103" l="1"/>
  <c r="BT13" i="103" s="1"/>
  <c r="BS16" i="103"/>
  <c r="BS61" i="103"/>
  <c r="BU7" i="103"/>
  <c r="BU8" i="103" s="1"/>
  <c r="BU9" i="103" s="1"/>
  <c r="BV4" i="103"/>
  <c r="BS19" i="103"/>
  <c r="BS20" i="103" s="1"/>
  <c r="BT64" i="103"/>
  <c r="BT10" i="103"/>
  <c r="BT14" i="103"/>
  <c r="BT15" i="103" s="1"/>
  <c r="BU14" i="103" l="1"/>
  <c r="BU15" i="103" s="1"/>
  <c r="BU10" i="103"/>
  <c r="BU64" i="103"/>
  <c r="BU11" i="103"/>
  <c r="BW4" i="103"/>
  <c r="BV7" i="103"/>
  <c r="BV8" i="103" s="1"/>
  <c r="BV9" i="103" s="1"/>
  <c r="BT61" i="103"/>
  <c r="BT16" i="103"/>
  <c r="BT19" i="103"/>
  <c r="BT20" i="103" s="1"/>
  <c r="BV14" i="103" l="1"/>
  <c r="BV15" i="103" s="1"/>
  <c r="BV64" i="103"/>
  <c r="BV10" i="103"/>
  <c r="BU19" i="103"/>
  <c r="BU20" i="103" s="1"/>
  <c r="BU12" i="103"/>
  <c r="BU13" i="103" s="1"/>
  <c r="BV11" i="103"/>
  <c r="BX4" i="103"/>
  <c r="BW7" i="103"/>
  <c r="BW8" i="103" s="1"/>
  <c r="BW9" i="103" s="1"/>
  <c r="BU61" i="103"/>
  <c r="BU16" i="103"/>
  <c r="BX7" i="103" l="1"/>
  <c r="BX8" i="103" s="1"/>
  <c r="BX9" i="103" s="1"/>
  <c r="BX11" i="103" s="1"/>
  <c r="BV12" i="103"/>
  <c r="BV13" i="103" s="1"/>
  <c r="BV19" i="103"/>
  <c r="BV20" i="103" s="1"/>
  <c r="BY4" i="103"/>
  <c r="BW14" i="103"/>
  <c r="BW15" i="103" s="1"/>
  <c r="BW10" i="103"/>
  <c r="BW64" i="103"/>
  <c r="BW11" i="103"/>
  <c r="BV16" i="103"/>
  <c r="BV61" i="103"/>
  <c r="BX12" i="103" l="1"/>
  <c r="BX13" i="103" s="1"/>
  <c r="BZ4" i="103"/>
  <c r="BW19" i="103"/>
  <c r="BW20" i="103" s="1"/>
  <c r="BW12" i="103"/>
  <c r="BW13" i="103" s="1"/>
  <c r="BW16" i="103"/>
  <c r="BW61" i="103"/>
  <c r="BY7" i="103"/>
  <c r="BY8" i="103" s="1"/>
  <c r="BY9" i="103" s="1"/>
  <c r="BX10" i="103"/>
  <c r="BX14" i="103"/>
  <c r="BX15" i="103" s="1"/>
  <c r="BX64" i="103"/>
  <c r="BY10" i="103" l="1"/>
  <c r="BY14" i="103"/>
  <c r="BY15" i="103" s="1"/>
  <c r="BY64" i="103"/>
  <c r="BX16" i="103"/>
  <c r="BX61" i="103"/>
  <c r="CA4" i="103"/>
  <c r="BZ7" i="103"/>
  <c r="BZ8" i="103" s="1"/>
  <c r="BZ9" i="103" s="1"/>
  <c r="BZ11" i="103" s="1"/>
  <c r="BY11" i="103"/>
  <c r="BX19" i="103"/>
  <c r="BX20" i="103" s="1"/>
  <c r="CB4" i="103" l="1"/>
  <c r="BZ12" i="103"/>
  <c r="BZ13" i="103" s="1"/>
  <c r="CA7" i="103"/>
  <c r="CA8" i="103" s="1"/>
  <c r="CA9" i="103" s="1"/>
  <c r="BY16" i="103"/>
  <c r="BY61" i="103"/>
  <c r="BY12" i="103"/>
  <c r="BY13" i="103" s="1"/>
  <c r="BY19" i="103"/>
  <c r="BY20" i="103" s="1"/>
  <c r="BZ64" i="103"/>
  <c r="BZ10" i="103"/>
  <c r="BZ14" i="103"/>
  <c r="BZ15" i="103" s="1"/>
  <c r="BZ16" i="103" l="1"/>
  <c r="BZ61" i="103"/>
  <c r="CA64" i="103"/>
  <c r="CA10" i="103"/>
  <c r="CA14" i="103"/>
  <c r="CA15" i="103" s="1"/>
  <c r="CC4" i="103"/>
  <c r="CA11" i="103"/>
  <c r="BZ19" i="103"/>
  <c r="BZ20" i="103" s="1"/>
  <c r="CB7" i="103"/>
  <c r="CB8" i="103" s="1"/>
  <c r="CB9" i="103" s="1"/>
  <c r="CD4" i="103" l="1"/>
  <c r="CC7" i="103"/>
  <c r="CC8" i="103" s="1"/>
  <c r="CC9" i="103" s="1"/>
  <c r="CC11" i="103" s="1"/>
  <c r="CB14" i="103"/>
  <c r="CB15" i="103" s="1"/>
  <c r="CB10" i="103"/>
  <c r="CB64" i="103"/>
  <c r="CA61" i="103"/>
  <c r="CA16" i="103"/>
  <c r="CB11" i="103"/>
  <c r="CA12" i="103"/>
  <c r="CA13" i="103" s="1"/>
  <c r="CA19" i="103"/>
  <c r="CA20" i="103" s="1"/>
  <c r="CC12" i="103" l="1"/>
  <c r="CC13" i="103" s="1"/>
  <c r="CC64" i="103"/>
  <c r="CC10" i="103"/>
  <c r="CC14" i="103"/>
  <c r="CC15" i="103" s="1"/>
  <c r="CB19" i="103"/>
  <c r="CB20" i="103" s="1"/>
  <c r="CB12" i="103"/>
  <c r="CB13" i="103" s="1"/>
  <c r="CE4" i="103"/>
  <c r="CB61" i="103"/>
  <c r="CB16" i="103"/>
  <c r="CD7" i="103"/>
  <c r="CD8" i="103" s="1"/>
  <c r="CD9" i="103" s="1"/>
  <c r="CE7" i="103" l="1"/>
  <c r="CE8" i="103" s="1"/>
  <c r="CE9" i="103" s="1"/>
  <c r="CE11" i="103" s="1"/>
  <c r="CC61" i="103"/>
  <c r="CC16" i="103"/>
  <c r="CD14" i="103"/>
  <c r="CD15" i="103" s="1"/>
  <c r="CD64" i="103"/>
  <c r="CD10" i="103"/>
  <c r="CD11" i="103"/>
  <c r="CF4" i="103"/>
  <c r="CC19" i="103"/>
  <c r="CC20" i="103" s="1"/>
  <c r="CG4" i="103" l="1"/>
  <c r="CE12" i="103"/>
  <c r="CE13" i="103" s="1"/>
  <c r="CD19" i="103"/>
  <c r="CD20" i="103" s="1"/>
  <c r="CD12" i="103"/>
  <c r="CD13" i="103" s="1"/>
  <c r="CD16" i="103"/>
  <c r="CD61" i="103"/>
  <c r="CF7" i="103"/>
  <c r="CF8" i="103" s="1"/>
  <c r="CF9" i="103" s="1"/>
  <c r="CE10" i="103"/>
  <c r="CE14" i="103"/>
  <c r="CE15" i="103" s="1"/>
  <c r="CE64" i="103"/>
  <c r="CE19" i="103" l="1"/>
  <c r="CE20" i="103" s="1"/>
  <c r="CH4" i="103"/>
  <c r="CE16" i="103"/>
  <c r="CE61" i="103"/>
  <c r="CF14" i="103"/>
  <c r="CF15" i="103" s="1"/>
  <c r="CF10" i="103"/>
  <c r="CF64" i="103"/>
  <c r="CF11" i="103"/>
  <c r="CG7" i="103"/>
  <c r="CG8" i="103" s="1"/>
  <c r="CG9" i="103" s="1"/>
  <c r="CF61" i="103" l="1"/>
  <c r="CF16" i="103"/>
  <c r="CG64" i="103"/>
  <c r="CG10" i="103"/>
  <c r="CG14" i="103"/>
  <c r="CG15" i="103" s="1"/>
  <c r="CG11" i="103"/>
  <c r="CI4" i="103"/>
  <c r="CH7" i="103"/>
  <c r="CH8" i="103" s="1"/>
  <c r="CH9" i="103" s="1"/>
  <c r="CH11" i="103" s="1"/>
  <c r="CF12" i="103"/>
  <c r="CF13" i="103" s="1"/>
  <c r="CF19" i="103"/>
  <c r="CF20" i="103" s="1"/>
  <c r="CJ4" i="103" l="1"/>
  <c r="CG61" i="103"/>
  <c r="CG16" i="103"/>
  <c r="CI7" i="103"/>
  <c r="CI8" i="103" s="1"/>
  <c r="CI9" i="103" s="1"/>
  <c r="CI11" i="103" s="1"/>
  <c r="CG12" i="103"/>
  <c r="CG13" i="103" s="1"/>
  <c r="CG19" i="103"/>
  <c r="CG20" i="103" s="1"/>
  <c r="CH12" i="103"/>
  <c r="CH13" i="103" s="1"/>
  <c r="CH10" i="103"/>
  <c r="CH14" i="103"/>
  <c r="CH15" i="103" s="1"/>
  <c r="CH64" i="103"/>
  <c r="CI12" i="103" l="1"/>
  <c r="CI13" i="103" s="1"/>
  <c r="CK4" i="103"/>
  <c r="CI10" i="103"/>
  <c r="CI14" i="103"/>
  <c r="CI15" i="103" s="1"/>
  <c r="CI64" i="103"/>
  <c r="CH16" i="103"/>
  <c r="CH61" i="103"/>
  <c r="CH19" i="103"/>
  <c r="CH20" i="103" s="1"/>
  <c r="CJ7" i="103"/>
  <c r="CJ8" i="103" s="1"/>
  <c r="CJ9" i="103" s="1"/>
  <c r="CJ11" i="103" s="1"/>
  <c r="CJ12" i="103" l="1"/>
  <c r="CJ13" i="103" s="1"/>
  <c r="CI61" i="103"/>
  <c r="CI16" i="103"/>
  <c r="CJ10" i="103"/>
  <c r="CJ14" i="103"/>
  <c r="CJ15" i="103" s="1"/>
  <c r="CJ64" i="103"/>
  <c r="CL4" i="103"/>
  <c r="CK7" i="103"/>
  <c r="CK8" i="103" s="1"/>
  <c r="CK9" i="103" s="1"/>
  <c r="CK11" i="103" s="1"/>
  <c r="CI19" i="103"/>
  <c r="CI20" i="103" s="1"/>
  <c r="CK12" i="103" l="1"/>
  <c r="CK13" i="103" s="1"/>
  <c r="CL7" i="103"/>
  <c r="CL8" i="103" s="1"/>
  <c r="CL9" i="103" s="1"/>
  <c r="CJ61" i="103"/>
  <c r="CJ16" i="103"/>
  <c r="CK14" i="103"/>
  <c r="CK15" i="103" s="1"/>
  <c r="CK64" i="103"/>
  <c r="CK10" i="103"/>
  <c r="CJ19" i="103"/>
  <c r="CJ20" i="103" s="1"/>
  <c r="CM4" i="103"/>
  <c r="CK16" i="103" l="1"/>
  <c r="CK61" i="103"/>
  <c r="CN4" i="103"/>
  <c r="CM7" i="103"/>
  <c r="CM8" i="103" s="1"/>
  <c r="CM9" i="103" s="1"/>
  <c r="CK19" i="103"/>
  <c r="CK20" i="103" s="1"/>
  <c r="CL64" i="103"/>
  <c r="CL10" i="103"/>
  <c r="CL14" i="103"/>
  <c r="CL15" i="103" s="1"/>
  <c r="CL11" i="103"/>
  <c r="CM10" i="103" l="1"/>
  <c r="CM64" i="103"/>
  <c r="CM14" i="103"/>
  <c r="CM15" i="103" s="1"/>
  <c r="CL12" i="103"/>
  <c r="CL13" i="103" s="1"/>
  <c r="CL19" i="103"/>
  <c r="CL20" i="103" s="1"/>
  <c r="CN7" i="103"/>
  <c r="CN8" i="103" s="1"/>
  <c r="CN9" i="103" s="1"/>
  <c r="CN11" i="103" s="1"/>
  <c r="CM11" i="103"/>
  <c r="CO4" i="103"/>
  <c r="CL16" i="103"/>
  <c r="CL61" i="103"/>
  <c r="CN12" i="103" l="1"/>
  <c r="CN13" i="103" s="1"/>
  <c r="CM12" i="103"/>
  <c r="CM13" i="103" s="1"/>
  <c r="CM19" i="103"/>
  <c r="CM20" i="103" s="1"/>
  <c r="CM16" i="103"/>
  <c r="CM61" i="103"/>
  <c r="CN64" i="103"/>
  <c r="CN10" i="103"/>
  <c r="CN14" i="103"/>
  <c r="CN15" i="103" s="1"/>
  <c r="CP4" i="103"/>
  <c r="CO7" i="103"/>
  <c r="CO8" i="103" s="1"/>
  <c r="CO9" i="103" s="1"/>
  <c r="CO11" i="103" s="1"/>
  <c r="CN19" i="103" l="1"/>
  <c r="CN20" i="103" s="1"/>
  <c r="CO12" i="103"/>
  <c r="CO13" i="103" s="1"/>
  <c r="CQ4" i="103"/>
  <c r="CP7" i="103"/>
  <c r="CP8" i="103" s="1"/>
  <c r="CP9" i="103" s="1"/>
  <c r="CO64" i="103"/>
  <c r="CO10" i="103"/>
  <c r="CO14" i="103"/>
  <c r="CO15" i="103" s="1"/>
  <c r="CN16" i="103"/>
  <c r="CN61" i="103"/>
  <c r="CO19" i="103" l="1"/>
  <c r="CO20" i="103" s="1"/>
  <c r="CP64" i="103"/>
  <c r="CP10" i="103"/>
  <c r="CP14" i="103"/>
  <c r="CP15" i="103" s="1"/>
  <c r="CQ7" i="103"/>
  <c r="CQ8" i="103" s="1"/>
  <c r="CQ9" i="103" s="1"/>
  <c r="CQ11" i="103" s="1"/>
  <c r="CP11" i="103"/>
  <c r="CR4" i="103"/>
  <c r="CO61" i="103"/>
  <c r="CO16" i="103"/>
  <c r="CQ12" i="103" l="1"/>
  <c r="CQ13" i="103" s="1"/>
  <c r="CR7" i="103"/>
  <c r="CR8" i="103" s="1"/>
  <c r="CR9" i="103" s="1"/>
  <c r="CR11" i="103" s="1"/>
  <c r="CS4" i="103"/>
  <c r="CP19" i="103"/>
  <c r="CP20" i="103" s="1"/>
  <c r="CP12" i="103"/>
  <c r="CP13" i="103" s="1"/>
  <c r="CQ14" i="103"/>
  <c r="CQ15" i="103" s="1"/>
  <c r="CQ10" i="103"/>
  <c r="CQ64" i="103"/>
  <c r="CP16" i="103"/>
  <c r="CP61" i="103"/>
  <c r="CR12" i="103" l="1"/>
  <c r="CR13" i="103" s="1"/>
  <c r="CT4" i="103"/>
  <c r="CS7" i="103"/>
  <c r="CS8" i="103" s="1"/>
  <c r="CS9" i="103" s="1"/>
  <c r="CS11" i="103" s="1"/>
  <c r="CR14" i="103"/>
  <c r="CR15" i="103" s="1"/>
  <c r="CR10" i="103"/>
  <c r="CR64" i="103"/>
  <c r="CQ16" i="103"/>
  <c r="CQ61" i="103"/>
  <c r="CQ19" i="103"/>
  <c r="CQ20" i="103" s="1"/>
  <c r="CS12" i="103" l="1"/>
  <c r="CS13" i="103" s="1"/>
  <c r="CR61" i="103"/>
  <c r="CR16" i="103"/>
  <c r="CU4" i="103"/>
  <c r="CT7" i="103"/>
  <c r="CT8" i="103" s="1"/>
  <c r="CT9" i="103" s="1"/>
  <c r="CS64" i="103"/>
  <c r="CS10" i="103"/>
  <c r="CS14" i="103"/>
  <c r="CS15" i="103" s="1"/>
  <c r="CR19" i="103"/>
  <c r="CR20" i="103" s="1"/>
  <c r="CT14" i="103" l="1"/>
  <c r="CT15" i="103" s="1"/>
  <c r="CT10" i="103"/>
  <c r="CT64" i="103"/>
  <c r="CU7" i="103"/>
  <c r="CU8" i="103" s="1"/>
  <c r="CU9" i="103" s="1"/>
  <c r="CU11" i="103" s="1"/>
  <c r="CT11" i="103"/>
  <c r="CV4" i="103"/>
  <c r="CS16" i="103"/>
  <c r="CS61" i="103"/>
  <c r="CS19" i="103"/>
  <c r="CS20" i="103" s="1"/>
  <c r="CU12" i="103" l="1"/>
  <c r="CU13" i="103" s="1"/>
  <c r="CV7" i="103"/>
  <c r="CV8" i="103" s="1"/>
  <c r="CV9" i="103" s="1"/>
  <c r="CV11" i="103" s="1"/>
  <c r="CT12" i="103"/>
  <c r="CT13" i="103" s="1"/>
  <c r="CT19" i="103"/>
  <c r="CT20" i="103" s="1"/>
  <c r="CU14" i="103"/>
  <c r="CU15" i="103" s="1"/>
  <c r="CU64" i="103"/>
  <c r="CU10" i="103"/>
  <c r="CW4" i="103"/>
  <c r="CT16" i="103"/>
  <c r="CT61" i="103"/>
  <c r="CV12" i="103" l="1"/>
  <c r="CV13" i="103" s="1"/>
  <c r="CX4" i="103"/>
  <c r="CU61" i="103"/>
  <c r="CU16" i="103"/>
  <c r="CV14" i="103"/>
  <c r="CV15" i="103" s="1"/>
  <c r="CV10" i="103"/>
  <c r="CV64" i="103"/>
  <c r="CW7" i="103"/>
  <c r="CW8" i="103" s="1"/>
  <c r="CW9" i="103" s="1"/>
  <c r="CU19" i="103"/>
  <c r="CU20" i="103" s="1"/>
  <c r="CV61" i="103" l="1"/>
  <c r="CV16" i="103"/>
  <c r="CX7" i="103"/>
  <c r="CX8" i="103" s="1"/>
  <c r="CX9" i="103" s="1"/>
  <c r="CX11" i="103" s="1"/>
  <c r="CW10" i="103"/>
  <c r="CW14" i="103"/>
  <c r="CW15" i="103" s="1"/>
  <c r="CW64" i="103"/>
  <c r="CY4" i="103"/>
  <c r="CW11" i="103"/>
  <c r="CV19" i="103"/>
  <c r="CV20" i="103" s="1"/>
  <c r="CX12" i="103" l="1"/>
  <c r="CX13" i="103" s="1"/>
  <c r="CW16" i="103"/>
  <c r="CW61" i="103"/>
  <c r="CY7" i="103"/>
  <c r="CY8" i="103" s="1"/>
  <c r="CY9" i="103" s="1"/>
  <c r="CX64" i="103"/>
  <c r="CX10" i="103"/>
  <c r="CX14" i="103"/>
  <c r="CX15" i="103" s="1"/>
  <c r="CW12" i="103"/>
  <c r="CW13" i="103" s="1"/>
  <c r="CW19" i="103"/>
  <c r="CW20" i="103" s="1"/>
  <c r="CZ4" i="103"/>
  <c r="CY64" i="103" l="1"/>
  <c r="CY14" i="103"/>
  <c r="CY15" i="103" s="1"/>
  <c r="CY10" i="103"/>
  <c r="CY11" i="103"/>
  <c r="CZ7" i="103"/>
  <c r="CZ8" i="103" s="1"/>
  <c r="CZ9" i="103" s="1"/>
  <c r="CZ11" i="103" s="1"/>
  <c r="DA4" i="103"/>
  <c r="CX16" i="103"/>
  <c r="CX61" i="103"/>
  <c r="CX19" i="103"/>
  <c r="CX20" i="103" s="1"/>
  <c r="CZ12" i="103" l="1"/>
  <c r="CZ13" i="103" s="1"/>
  <c r="DB4" i="103"/>
  <c r="DA7" i="103"/>
  <c r="DA8" i="103" s="1"/>
  <c r="DA9" i="103" s="1"/>
  <c r="DA11" i="103" s="1"/>
  <c r="CY19" i="103"/>
  <c r="CY20" i="103" s="1"/>
  <c r="CY12" i="103"/>
  <c r="CY13" i="103" s="1"/>
  <c r="CY61" i="103"/>
  <c r="CY16" i="103"/>
  <c r="CZ64" i="103"/>
  <c r="CZ14" i="103"/>
  <c r="CZ15" i="103" s="1"/>
  <c r="CZ10" i="103"/>
  <c r="DA12" i="103" l="1"/>
  <c r="DA13" i="103" s="1"/>
  <c r="DA14" i="103"/>
  <c r="DA15" i="103" s="1"/>
  <c r="DA10" i="103"/>
  <c r="DA64" i="103"/>
  <c r="CZ61" i="103"/>
  <c r="CZ16" i="103"/>
  <c r="DC4" i="103"/>
  <c r="DB7" i="103"/>
  <c r="DB8" i="103" s="1"/>
  <c r="DB9" i="103" s="1"/>
  <c r="DB11" i="103" s="1"/>
  <c r="CZ19" i="103"/>
  <c r="CZ20" i="103" s="1"/>
  <c r="DC7" i="103" l="1"/>
  <c r="DC8" i="103" s="1"/>
  <c r="DC9" i="103" s="1"/>
  <c r="DC11" i="103" s="1"/>
  <c r="DB12" i="103"/>
  <c r="DB13" i="103" s="1"/>
  <c r="DB14" i="103"/>
  <c r="DB15" i="103" s="1"/>
  <c r="DB10" i="103"/>
  <c r="DB64" i="103"/>
  <c r="DA61" i="103"/>
  <c r="DA16" i="103"/>
  <c r="DA19" i="103"/>
  <c r="DA20" i="103" s="1"/>
  <c r="DD4" i="103"/>
  <c r="DB16" i="103" l="1"/>
  <c r="DB61" i="103"/>
  <c r="DD7" i="103"/>
  <c r="DD8" i="103" s="1"/>
  <c r="DD9" i="103" s="1"/>
  <c r="DB19" i="103"/>
  <c r="DB20" i="103" s="1"/>
  <c r="DC12" i="103"/>
  <c r="DC13" i="103" s="1"/>
  <c r="DE4" i="103"/>
  <c r="DC10" i="103"/>
  <c r="DC64" i="103"/>
  <c r="DC14" i="103"/>
  <c r="DC15" i="103" s="1"/>
  <c r="DC19" i="103" l="1"/>
  <c r="DC20" i="103" s="1"/>
  <c r="DC16" i="103"/>
  <c r="DC61" i="103"/>
  <c r="DE7" i="103"/>
  <c r="DE8" i="103" s="1"/>
  <c r="DE9" i="103" s="1"/>
  <c r="DE11" i="103" s="1"/>
  <c r="DD14" i="103"/>
  <c r="DD15" i="103" s="1"/>
  <c r="DD10" i="103"/>
  <c r="DD64" i="103"/>
  <c r="DD11" i="103"/>
  <c r="DF4" i="103"/>
  <c r="DD61" i="103" l="1"/>
  <c r="DD16" i="103"/>
  <c r="DE12" i="103"/>
  <c r="DE13" i="103" s="1"/>
  <c r="DE14" i="103"/>
  <c r="DE15" i="103" s="1"/>
  <c r="DE64" i="103"/>
  <c r="DE10" i="103"/>
  <c r="DG4" i="103"/>
  <c r="DD12" i="103"/>
  <c r="DD13" i="103" s="1"/>
  <c r="DD19" i="103"/>
  <c r="DD20" i="103" s="1"/>
  <c r="DF7" i="103"/>
  <c r="DF8" i="103" s="1"/>
  <c r="DF9" i="103" s="1"/>
  <c r="DF11" i="103" s="1"/>
  <c r="DF12" i="103" l="1"/>
  <c r="DF13" i="103" s="1"/>
  <c r="DF14" i="103"/>
  <c r="DF15" i="103" s="1"/>
  <c r="DF64" i="103"/>
  <c r="DF10" i="103"/>
  <c r="DE61" i="103"/>
  <c r="DE16" i="103"/>
  <c r="DE19" i="103"/>
  <c r="DE20" i="103" s="1"/>
  <c r="DG7" i="103"/>
  <c r="DG8" i="103" s="1"/>
  <c r="DG9" i="103" s="1"/>
  <c r="DG11" i="103" s="1"/>
  <c r="DH4" i="103"/>
  <c r="DH7" i="103" l="1"/>
  <c r="DH8" i="103" s="1"/>
  <c r="DH9" i="103" s="1"/>
  <c r="DH11" i="103" s="1"/>
  <c r="DI4" i="103"/>
  <c r="DG12" i="103"/>
  <c r="DG13" i="103" s="1"/>
  <c r="DF19" i="103"/>
  <c r="DF20" i="103" s="1"/>
  <c r="DF61" i="103"/>
  <c r="DF16" i="103"/>
  <c r="DG64" i="103"/>
  <c r="DG10" i="103"/>
  <c r="DG14" i="103"/>
  <c r="DG15" i="103" s="1"/>
  <c r="DG19" i="103" l="1"/>
  <c r="DG20" i="103" s="1"/>
  <c r="DH12" i="103"/>
  <c r="DH13" i="103" s="1"/>
  <c r="DI7" i="103"/>
  <c r="DI8" i="103" s="1"/>
  <c r="DI9" i="103" s="1"/>
  <c r="DI11" i="103" s="1"/>
  <c r="DG61" i="103"/>
  <c r="DG16" i="103"/>
  <c r="DJ4" i="103"/>
  <c r="DH10" i="103"/>
  <c r="DH14" i="103"/>
  <c r="DH15" i="103" s="1"/>
  <c r="DH64" i="103"/>
  <c r="DK4" i="103" l="1"/>
  <c r="DI12" i="103"/>
  <c r="DI13" i="103" s="1"/>
  <c r="DH61" i="103"/>
  <c r="DH16" i="103"/>
  <c r="DJ7" i="103"/>
  <c r="DJ8" i="103" s="1"/>
  <c r="DJ9" i="103" s="1"/>
  <c r="DJ11" i="103" s="1"/>
  <c r="DI14" i="103"/>
  <c r="DI15" i="103" s="1"/>
  <c r="DI64" i="103"/>
  <c r="DI10" i="103"/>
  <c r="DH19" i="103"/>
  <c r="DH20" i="103" s="1"/>
  <c r="DI19" i="103" l="1"/>
  <c r="DI20" i="103" s="1"/>
  <c r="DJ12" i="103"/>
  <c r="DJ13" i="103" s="1"/>
  <c r="DL4" i="103"/>
  <c r="DJ64" i="103"/>
  <c r="DJ10" i="103"/>
  <c r="DJ14" i="103"/>
  <c r="DJ15" i="103" s="1"/>
  <c r="DI16" i="103"/>
  <c r="DI61" i="103"/>
  <c r="DK7" i="103"/>
  <c r="DK8" i="103" s="1"/>
  <c r="DK9" i="103" s="1"/>
  <c r="DK14" i="103" l="1"/>
  <c r="DK15" i="103" s="1"/>
  <c r="DK64" i="103"/>
  <c r="DK10" i="103"/>
  <c r="DJ16" i="103"/>
  <c r="DJ61" i="103"/>
  <c r="DM4" i="103"/>
  <c r="DK11" i="103"/>
  <c r="DL7" i="103"/>
  <c r="DL8" i="103" s="1"/>
  <c r="DL9" i="103" s="1"/>
  <c r="DL11" i="103" s="1"/>
  <c r="DJ19" i="103"/>
  <c r="DJ20" i="103" s="1"/>
  <c r="DL12" i="103" l="1"/>
  <c r="DL13" i="103" s="1"/>
  <c r="DN4" i="103"/>
  <c r="DK19" i="103"/>
  <c r="DK20" i="103" s="1"/>
  <c r="DK12" i="103"/>
  <c r="DK13" i="103" s="1"/>
  <c r="DM7" i="103"/>
  <c r="DM8" i="103" s="1"/>
  <c r="DM9" i="103" s="1"/>
  <c r="DM11" i="103" s="1"/>
  <c r="DL64" i="103"/>
  <c r="DL10" i="103"/>
  <c r="DL14" i="103"/>
  <c r="DL15" i="103" s="1"/>
  <c r="DK61" i="103"/>
  <c r="DK16" i="103"/>
  <c r="DM12" i="103" l="1"/>
  <c r="DM13" i="103" s="1"/>
  <c r="DM64" i="103"/>
  <c r="DM10" i="103"/>
  <c r="DM14" i="103"/>
  <c r="DM15" i="103" s="1"/>
  <c r="DL61" i="103"/>
  <c r="DL16" i="103"/>
  <c r="DO4" i="103"/>
  <c r="DN7" i="103"/>
  <c r="DN8" i="103" s="1"/>
  <c r="DN9" i="103" s="1"/>
  <c r="DL19" i="103"/>
  <c r="DL20" i="103" s="1"/>
  <c r="DO7" i="103" l="1"/>
  <c r="DO8" i="103" s="1"/>
  <c r="DO9" i="103" s="1"/>
  <c r="DO11" i="103" s="1"/>
  <c r="DN14" i="103"/>
  <c r="DN15" i="103" s="1"/>
  <c r="DN64" i="103"/>
  <c r="DN10" i="103"/>
  <c r="DM16" i="103"/>
  <c r="DM61" i="103"/>
  <c r="DN11" i="103"/>
  <c r="DP4" i="103"/>
  <c r="DM19" i="103"/>
  <c r="DM20" i="103" s="1"/>
  <c r="DN19" i="103" l="1"/>
  <c r="DN20" i="103" s="1"/>
  <c r="DN12" i="103"/>
  <c r="DN13" i="103" s="1"/>
  <c r="DO12" i="103"/>
  <c r="DO13" i="103" s="1"/>
  <c r="DN16" i="103"/>
  <c r="DN61" i="103"/>
  <c r="DQ4" i="103"/>
  <c r="DP7" i="103"/>
  <c r="DP8" i="103" s="1"/>
  <c r="DP9" i="103" s="1"/>
  <c r="DO64" i="103"/>
  <c r="DO10" i="103"/>
  <c r="DO14" i="103"/>
  <c r="DO15" i="103" s="1"/>
  <c r="DQ7" i="103" l="1"/>
  <c r="DQ8" i="103" s="1"/>
  <c r="DQ9" i="103" s="1"/>
  <c r="DQ11" i="103" s="1"/>
  <c r="DO16" i="103"/>
  <c r="DO61" i="103"/>
  <c r="DO19" i="103"/>
  <c r="DO20" i="103" s="1"/>
  <c r="DR4" i="103"/>
  <c r="DP14" i="103"/>
  <c r="DP15" i="103" s="1"/>
  <c r="DP10" i="103"/>
  <c r="DP64" i="103"/>
  <c r="DP11" i="103"/>
  <c r="DP61" i="103" l="1"/>
  <c r="DP16" i="103"/>
  <c r="DQ12" i="103"/>
  <c r="DQ13" i="103" s="1"/>
  <c r="DS4" i="103"/>
  <c r="DR7" i="103"/>
  <c r="DR8" i="103" s="1"/>
  <c r="DR9" i="103" s="1"/>
  <c r="DR11" i="103" s="1"/>
  <c r="DP12" i="103"/>
  <c r="DP13" i="103" s="1"/>
  <c r="DP19" i="103"/>
  <c r="DP20" i="103" s="1"/>
  <c r="DQ64" i="103"/>
  <c r="DQ10" i="103"/>
  <c r="DQ14" i="103"/>
  <c r="DQ15" i="103" s="1"/>
  <c r="DR12" i="103" l="1"/>
  <c r="DR13" i="103" s="1"/>
  <c r="DT4" i="103"/>
  <c r="DS7" i="103"/>
  <c r="DS8" i="103" s="1"/>
  <c r="DS9" i="103" s="1"/>
  <c r="DS11" i="103" s="1"/>
  <c r="DQ19" i="103"/>
  <c r="DQ20" i="103" s="1"/>
  <c r="DR14" i="103"/>
  <c r="DR15" i="103" s="1"/>
  <c r="DR10" i="103"/>
  <c r="DR64" i="103"/>
  <c r="DQ16" i="103"/>
  <c r="DQ61" i="103"/>
  <c r="DS12" i="103" l="1"/>
  <c r="DS13" i="103" s="1"/>
  <c r="DR61" i="103"/>
  <c r="DR16" i="103"/>
  <c r="DT7" i="103"/>
  <c r="DT8" i="103" s="1"/>
  <c r="DT9" i="103" s="1"/>
  <c r="DS64" i="103"/>
  <c r="DS10" i="103"/>
  <c r="DS14" i="103"/>
  <c r="DS15" i="103" s="1"/>
  <c r="DU4" i="103"/>
  <c r="DR19" i="103"/>
  <c r="DR20" i="103" s="1"/>
  <c r="DT64" i="103" l="1"/>
  <c r="DT10" i="103"/>
  <c r="DT14" i="103"/>
  <c r="DT15" i="103" s="1"/>
  <c r="DT11" i="103"/>
  <c r="DU7" i="103"/>
  <c r="DU8" i="103" s="1"/>
  <c r="DU9" i="103" s="1"/>
  <c r="DV4" i="103"/>
  <c r="DS16" i="103"/>
  <c r="DS61" i="103"/>
  <c r="DS19" i="103"/>
  <c r="DS20" i="103" s="1"/>
  <c r="DU14" i="103" l="1"/>
  <c r="DU15" i="103" s="1"/>
  <c r="DU10" i="103"/>
  <c r="DU64" i="103"/>
  <c r="DU11" i="103"/>
  <c r="DW4" i="103"/>
  <c r="DT19" i="103"/>
  <c r="DT20" i="103" s="1"/>
  <c r="DT12" i="103"/>
  <c r="DT13" i="103" s="1"/>
  <c r="DT61" i="103"/>
  <c r="DT16" i="103"/>
  <c r="DV7" i="103"/>
  <c r="DV8" i="103" s="1"/>
  <c r="DV9" i="103" s="1"/>
  <c r="DW7" i="103" l="1"/>
  <c r="DW8" i="103" s="1"/>
  <c r="DW9" i="103" s="1"/>
  <c r="DX4" i="103"/>
  <c r="DU19" i="103"/>
  <c r="DU20" i="103" s="1"/>
  <c r="DU12" i="103"/>
  <c r="DU13" i="103" s="1"/>
  <c r="DV10" i="103"/>
  <c r="DV64" i="103"/>
  <c r="DV14" i="103"/>
  <c r="DV15" i="103" s="1"/>
  <c r="DV11" i="103"/>
  <c r="DU61" i="103"/>
  <c r="DU16" i="103"/>
  <c r="DY4" i="103" l="1"/>
  <c r="DW10" i="103"/>
  <c r="DW14" i="103"/>
  <c r="DW15" i="103" s="1"/>
  <c r="DW64" i="103"/>
  <c r="DX7" i="103"/>
  <c r="DX8" i="103" s="1"/>
  <c r="DX9" i="103" s="1"/>
  <c r="DX11" i="103" s="1"/>
  <c r="DV12" i="103"/>
  <c r="DV13" i="103" s="1"/>
  <c r="DV19" i="103"/>
  <c r="DV20" i="103" s="1"/>
  <c r="DV16" i="103"/>
  <c r="DV61" i="103"/>
  <c r="DW11" i="103"/>
  <c r="DX12" i="103" l="1"/>
  <c r="DX13" i="103" s="1"/>
  <c r="DW19" i="103"/>
  <c r="DW20" i="103" s="1"/>
  <c r="DW12" i="103"/>
  <c r="DW13" i="103" s="1"/>
  <c r="DX10" i="103"/>
  <c r="DX64" i="103"/>
  <c r="DX14" i="103"/>
  <c r="DX15" i="103" s="1"/>
  <c r="DW61" i="103"/>
  <c r="DW16" i="103"/>
  <c r="DZ4" i="103"/>
  <c r="DY7" i="103"/>
  <c r="DY8" i="103" s="1"/>
  <c r="DY9" i="103" s="1"/>
  <c r="DY11" i="103" s="1"/>
  <c r="DY12" i="103" l="1"/>
  <c r="DY13" i="103" s="1"/>
  <c r="DY14" i="103"/>
  <c r="DY15" i="103" s="1"/>
  <c r="DY64" i="103"/>
  <c r="DY10" i="103"/>
  <c r="EA4" i="103"/>
  <c r="DZ7" i="103"/>
  <c r="DZ8" i="103" s="1"/>
  <c r="DZ9" i="103" s="1"/>
  <c r="DZ11" i="103" s="1"/>
  <c r="DX61" i="103"/>
  <c r="DX16" i="103"/>
  <c r="DX19" i="103"/>
  <c r="DX20" i="103" s="1"/>
  <c r="EB4" i="103" l="1"/>
  <c r="EA7" i="103"/>
  <c r="EA8" i="103" s="1"/>
  <c r="EA9" i="103" s="1"/>
  <c r="EA11" i="103" s="1"/>
  <c r="DY19" i="103"/>
  <c r="DY20" i="103" s="1"/>
  <c r="DZ19" i="103"/>
  <c r="DZ20" i="103" s="1"/>
  <c r="DZ12" i="103"/>
  <c r="DZ13" i="103" s="1"/>
  <c r="DY16" i="103"/>
  <c r="DY61" i="103"/>
  <c r="DZ10" i="103"/>
  <c r="DZ14" i="103"/>
  <c r="DZ15" i="103" s="1"/>
  <c r="DZ64" i="103"/>
  <c r="EA12" i="103" l="1"/>
  <c r="EA13" i="103" s="1"/>
  <c r="DZ16" i="103"/>
  <c r="DZ61" i="103"/>
  <c r="EC4" i="103"/>
  <c r="EA64" i="103"/>
  <c r="EA10" i="103"/>
  <c r="EA14" i="103"/>
  <c r="EA15" i="103" s="1"/>
  <c r="EB7" i="103"/>
  <c r="EB8" i="103" s="1"/>
  <c r="EB9" i="103" s="1"/>
  <c r="EB11" i="103" s="1"/>
  <c r="EB12" i="103" l="1"/>
  <c r="EB13" i="103" s="1"/>
  <c r="EC7" i="103"/>
  <c r="EC8" i="103" s="1"/>
  <c r="EC9" i="103" s="1"/>
  <c r="ED4" i="103"/>
  <c r="EB64" i="103"/>
  <c r="EB10" i="103"/>
  <c r="EB14" i="103"/>
  <c r="EB15" i="103" s="1"/>
  <c r="EA16" i="103"/>
  <c r="EA61" i="103"/>
  <c r="EA19" i="103"/>
  <c r="EA20" i="103" s="1"/>
  <c r="ED7" i="103" l="1"/>
  <c r="ED8" i="103" s="1"/>
  <c r="ED9" i="103" s="1"/>
  <c r="EE4" i="103"/>
  <c r="EC64" i="103"/>
  <c r="EC10" i="103"/>
  <c r="EC14" i="103"/>
  <c r="EC15" i="103" s="1"/>
  <c r="EC11" i="103"/>
  <c r="EB16" i="103"/>
  <c r="EB61" i="103"/>
  <c r="EB19" i="103"/>
  <c r="EB20" i="103" s="1"/>
  <c r="EC19" i="103" l="1"/>
  <c r="EC20" i="103" s="1"/>
  <c r="EC12" i="103"/>
  <c r="EF4" i="103"/>
  <c r="EC16" i="103"/>
  <c r="EC61" i="103"/>
  <c r="EE7" i="103"/>
  <c r="EE8" i="103" s="1"/>
  <c r="EE9" i="103" s="1"/>
  <c r="ED14" i="103"/>
  <c r="ED15" i="103" s="1"/>
  <c r="ED64" i="103"/>
  <c r="ED10" i="103"/>
  <c r="ED11" i="103"/>
  <c r="EC13" i="103" l="1"/>
  <c r="EE14" i="103"/>
  <c r="EE15" i="103" s="1"/>
  <c r="EE64" i="103"/>
  <c r="EE10" i="103"/>
  <c r="EE11" i="103"/>
  <c r="ED19" i="103"/>
  <c r="ED20" i="103" s="1"/>
  <c r="ED12" i="103"/>
  <c r="ED13" i="103" s="1"/>
  <c r="EG4" i="103"/>
  <c r="EF7" i="103"/>
  <c r="EF8" i="103" s="1"/>
  <c r="EF9" i="103" s="1"/>
  <c r="ED61" i="103"/>
  <c r="ED16" i="103"/>
  <c r="EH4" i="103" l="1"/>
  <c r="EF64" i="103"/>
  <c r="EF10" i="103"/>
  <c r="EF14" i="103"/>
  <c r="EF15" i="103" s="1"/>
  <c r="EG7" i="103"/>
  <c r="EG8" i="103" s="1"/>
  <c r="EG9" i="103" s="1"/>
  <c r="EG11" i="103" s="1"/>
  <c r="EE19" i="103"/>
  <c r="EE20" i="103" s="1"/>
  <c r="EE12" i="103"/>
  <c r="EF11" i="103"/>
  <c r="EE16" i="103"/>
  <c r="EE61" i="103"/>
  <c r="EE13" i="103" l="1"/>
  <c r="EF16" i="103"/>
  <c r="EF61" i="103"/>
  <c r="EI4" i="103"/>
  <c r="EG12" i="103"/>
  <c r="EG13" i="103" s="1"/>
  <c r="EG14" i="103"/>
  <c r="EG15" i="103" s="1"/>
  <c r="EG10" i="103"/>
  <c r="EG64" i="103"/>
  <c r="EF19" i="103"/>
  <c r="EF20" i="103" s="1"/>
  <c r="EF12" i="103"/>
  <c r="EF13" i="103" s="1"/>
  <c r="EH7" i="103"/>
  <c r="EH8" i="103" s="1"/>
  <c r="EH9" i="103" s="1"/>
  <c r="EH10" i="103" l="1"/>
  <c r="EH14" i="103"/>
  <c r="EH15" i="103" s="1"/>
  <c r="EH64" i="103"/>
  <c r="EG16" i="103"/>
  <c r="EG61" i="103"/>
  <c r="EH11" i="103"/>
  <c r="EI7" i="103"/>
  <c r="EI8" i="103" s="1"/>
  <c r="EI9" i="103" s="1"/>
  <c r="EI11" i="103" s="1"/>
  <c r="EG19" i="103"/>
  <c r="EG20" i="103" s="1"/>
  <c r="EJ4" i="103"/>
  <c r="EI12" i="103" l="1"/>
  <c r="EI13" i="103" s="1"/>
  <c r="EH19" i="103"/>
  <c r="EH20" i="103" s="1"/>
  <c r="EH12" i="103"/>
  <c r="EJ7" i="103"/>
  <c r="EJ8" i="103" s="1"/>
  <c r="EJ9" i="103" s="1"/>
  <c r="EK4" i="103"/>
  <c r="EH16" i="103"/>
  <c r="EH61" i="103"/>
  <c r="EI64" i="103"/>
  <c r="EI10" i="103"/>
  <c r="EI14" i="103"/>
  <c r="EI15" i="103" s="1"/>
  <c r="EH13" i="103" l="1"/>
  <c r="EJ64" i="103"/>
  <c r="EJ10" i="103"/>
  <c r="EJ14" i="103"/>
  <c r="EJ15" i="103" s="1"/>
  <c r="EK7" i="103"/>
  <c r="EK8" i="103" s="1"/>
  <c r="EK9" i="103" s="1"/>
  <c r="EK11" i="103" s="1"/>
  <c r="EJ11" i="103"/>
  <c r="EI16" i="103"/>
  <c r="EI61" i="103"/>
  <c r="EL4" i="103"/>
  <c r="EI19" i="103"/>
  <c r="EI20" i="103" s="1"/>
  <c r="EK12" i="103" l="1"/>
  <c r="EK13" i="103" s="1"/>
  <c r="EJ12" i="103"/>
  <c r="EJ19" i="103"/>
  <c r="EJ20" i="103" s="1"/>
  <c r="EK64" i="103"/>
  <c r="EK10" i="103"/>
  <c r="EK14" i="103"/>
  <c r="EK15" i="103" s="1"/>
  <c r="EJ61" i="103"/>
  <c r="EJ16" i="103"/>
  <c r="EM4" i="103"/>
  <c r="EL7" i="103"/>
  <c r="EL8" i="103" s="1"/>
  <c r="EL9" i="103" s="1"/>
  <c r="EJ13" i="103" l="1"/>
  <c r="EL14" i="103"/>
  <c r="EL15" i="103" s="1"/>
  <c r="EL64" i="103"/>
  <c r="EL10" i="103"/>
  <c r="EL11" i="103"/>
  <c r="EM7" i="103"/>
  <c r="EM8" i="103" s="1"/>
  <c r="EM9" i="103" s="1"/>
  <c r="EM11" i="103" s="1"/>
  <c r="EK61" i="103"/>
  <c r="EK16" i="103"/>
  <c r="EN4" i="103"/>
  <c r="EK19" i="103"/>
  <c r="EK20" i="103" s="1"/>
  <c r="EM12" i="103" l="1"/>
  <c r="EM13" i="103" s="1"/>
  <c r="EO4" i="103"/>
  <c r="EM14" i="103"/>
  <c r="EM15" i="103" s="1"/>
  <c r="EM64" i="103"/>
  <c r="EM10" i="103"/>
  <c r="EL12" i="103"/>
  <c r="EL19" i="103"/>
  <c r="EL20" i="103" s="1"/>
  <c r="EN7" i="103"/>
  <c r="EN8" i="103" s="1"/>
  <c r="EN9" i="103" s="1"/>
  <c r="EN11" i="103" s="1"/>
  <c r="EL61" i="103"/>
  <c r="EL16" i="103"/>
  <c r="EL13" i="103" l="1"/>
  <c r="EN12" i="103"/>
  <c r="EP4" i="103"/>
  <c r="EM16" i="103"/>
  <c r="EM61" i="103"/>
  <c r="EO7" i="103"/>
  <c r="EO8" i="103" s="1"/>
  <c r="EO9" i="103" s="1"/>
  <c r="EM19" i="103"/>
  <c r="EM20" i="103" s="1"/>
  <c r="EN14" i="103"/>
  <c r="EN15" i="103" s="1"/>
  <c r="EN64" i="103"/>
  <c r="EN10" i="103"/>
  <c r="EN13" i="103" l="1"/>
  <c r="EO64" i="103"/>
  <c r="EO10" i="103"/>
  <c r="EO14" i="103"/>
  <c r="EO15" i="103" s="1"/>
  <c r="EP7" i="103"/>
  <c r="EP8" i="103" s="1"/>
  <c r="EP9" i="103" s="1"/>
  <c r="EO11" i="103"/>
  <c r="EN61" i="103"/>
  <c r="EN16" i="103"/>
  <c r="EQ4" i="103"/>
  <c r="EN19" i="103"/>
  <c r="EN20" i="103" s="1"/>
  <c r="EO19" i="103" l="1"/>
  <c r="EO20" i="103" s="1"/>
  <c r="EO12" i="103"/>
  <c r="EO13" i="103" s="1"/>
  <c r="EP64" i="103"/>
  <c r="EP14" i="103"/>
  <c r="EP15" i="103" s="1"/>
  <c r="EP10" i="103"/>
  <c r="EP11" i="103"/>
  <c r="EO16" i="103"/>
  <c r="EO61" i="103"/>
  <c r="ER4" i="103"/>
  <c r="EQ7" i="103"/>
  <c r="EQ8" i="103" s="1"/>
  <c r="EQ9" i="103" s="1"/>
  <c r="EQ11" i="103" s="1"/>
  <c r="EQ12" i="103" l="1"/>
  <c r="EP16" i="103"/>
  <c r="EP61" i="103"/>
  <c r="EP19" i="103"/>
  <c r="EP20" i="103" s="1"/>
  <c r="EP12" i="103"/>
  <c r="EP13" i="103" s="1"/>
  <c r="ER7" i="103"/>
  <c r="ER8" i="103" s="1"/>
  <c r="ER9" i="103" s="1"/>
  <c r="ER11" i="103" s="1"/>
  <c r="EQ64" i="103"/>
  <c r="EQ14" i="103"/>
  <c r="EQ15" i="103" s="1"/>
  <c r="EQ10" i="103"/>
  <c r="ES4" i="103"/>
  <c r="EQ13" i="103" l="1"/>
  <c r="EY12" i="103"/>
  <c r="EZ12" i="103"/>
  <c r="ER12" i="103"/>
  <c r="ER13" i="103" s="1"/>
  <c r="ET4" i="103"/>
  <c r="ER64" i="103"/>
  <c r="ER10" i="103"/>
  <c r="ER14" i="103"/>
  <c r="ER15" i="103" s="1"/>
  <c r="ES7" i="103"/>
  <c r="ES8" i="103" s="1"/>
  <c r="ES9" i="103" s="1"/>
  <c r="EQ16" i="103"/>
  <c r="EQ61" i="103"/>
  <c r="EQ19" i="103"/>
  <c r="EQ20" i="103" s="1"/>
  <c r="EZ13" i="103" l="1"/>
  <c r="EY13" i="103"/>
  <c r="ES14" i="103"/>
  <c r="ES15" i="103" s="1"/>
  <c r="ES64" i="103"/>
  <c r="ES10" i="103"/>
  <c r="ER16" i="103"/>
  <c r="ER61" i="103"/>
  <c r="ET7" i="103"/>
  <c r="ET8" i="103" s="1"/>
  <c r="ET9" i="103" s="1"/>
  <c r="EU4" i="103"/>
  <c r="ER19" i="103"/>
  <c r="ER20" i="103" s="1"/>
  <c r="ES11" i="103"/>
  <c r="ET10" i="103" l="1"/>
  <c r="ET64" i="103"/>
  <c r="ET14" i="103"/>
  <c r="ET15" i="103" s="1"/>
  <c r="EV4" i="103"/>
  <c r="ET11" i="103"/>
  <c r="ES19" i="103"/>
  <c r="ES20" i="103" s="1"/>
  <c r="ES12" i="103"/>
  <c r="ES13" i="103" s="1"/>
  <c r="EU7" i="103"/>
  <c r="EU8" i="103" s="1"/>
  <c r="EU9" i="103" s="1"/>
  <c r="EU11" i="103" s="1"/>
  <c r="ES16" i="103"/>
  <c r="ES61" i="103"/>
  <c r="EV7" i="103" l="1"/>
  <c r="EV8" i="103" s="1"/>
  <c r="EV9" i="103" s="1"/>
  <c r="EV11" i="103" s="1"/>
  <c r="ET12" i="103"/>
  <c r="ET13" i="103" s="1"/>
  <c r="ET19" i="103"/>
  <c r="ET20" i="103" s="1"/>
  <c r="EW4" i="103"/>
  <c r="ET16" i="103"/>
  <c r="ET61" i="103"/>
  <c r="EU12" i="103"/>
  <c r="EU13" i="103" s="1"/>
  <c r="EU10" i="103"/>
  <c r="EU14" i="103"/>
  <c r="EU15" i="103" s="1"/>
  <c r="EU64" i="103"/>
  <c r="EX4" i="103" l="1"/>
  <c r="EW7" i="103"/>
  <c r="EW8" i="103" s="1"/>
  <c r="EW9" i="103" s="1"/>
  <c r="EW11" i="103" s="1"/>
  <c r="EV12" i="103"/>
  <c r="EV13" i="103" s="1"/>
  <c r="EU16" i="103"/>
  <c r="EU61" i="103"/>
  <c r="EU19" i="103"/>
  <c r="EU20" i="103" s="1"/>
  <c r="EV64" i="103"/>
  <c r="EV10" i="103"/>
  <c r="EV14" i="103"/>
  <c r="EV15" i="103" s="1"/>
  <c r="EV19" i="103" l="1"/>
  <c r="EV20" i="103" s="1"/>
  <c r="EW12" i="103"/>
  <c r="EW13" i="103" s="1"/>
  <c r="EV61" i="103"/>
  <c r="EV16" i="103"/>
  <c r="EW64" i="103"/>
  <c r="EW10" i="103"/>
  <c r="EW14" i="103"/>
  <c r="EW15" i="103" s="1"/>
  <c r="EX7" i="103"/>
  <c r="EX8" i="103" s="1"/>
  <c r="EX9" i="103" s="1"/>
  <c r="EW61" i="103" l="1"/>
  <c r="EW16" i="103"/>
  <c r="EX64" i="103"/>
  <c r="EX10" i="103"/>
  <c r="EX14" i="103"/>
  <c r="EX15" i="103" s="1"/>
  <c r="EW19" i="103"/>
  <c r="EW20" i="103" s="1"/>
  <c r="EX11" i="103"/>
  <c r="EX61" i="103" l="1"/>
  <c r="EX16" i="103"/>
  <c r="EX12" i="103"/>
  <c r="EX19" i="103"/>
  <c r="EX20" i="103" s="1"/>
  <c r="EX13" i="103" l="1"/>
  <c r="FC4" i="103"/>
  <c r="FB7" i="103"/>
  <c r="FB8" i="103" s="1"/>
  <c r="FB9" i="103" s="1"/>
  <c r="FB10" i="103" l="1"/>
  <c r="FB14" i="103"/>
  <c r="FB15" i="103" s="1"/>
  <c r="FB64" i="103"/>
  <c r="FB11" i="103"/>
  <c r="FC7" i="103"/>
  <c r="FC8" i="103" s="1"/>
  <c r="FC9" i="103" s="1"/>
  <c r="FC11" i="103" s="1"/>
  <c r="FC12" i="103" l="1"/>
  <c r="FC13" i="103" s="1"/>
  <c r="FB12" i="103"/>
  <c r="FB13" i="103" s="1"/>
  <c r="FB19" i="103"/>
  <c r="FB20" i="103" s="1"/>
  <c r="FC14" i="103"/>
  <c r="FC15" i="103" s="1"/>
  <c r="FC64" i="103"/>
  <c r="FC10" i="103"/>
  <c r="FB16" i="103"/>
  <c r="FB61" i="103"/>
  <c r="FC16" i="103" l="1"/>
  <c r="FC61" i="103"/>
  <c r="FC19" i="103"/>
  <c r="FC20" i="10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45" authorId="0" shapeId="0" xr:uid="{8BFAE0E5-6300-4E61-BB8A-F18483D4FA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  <comment ref="C86" authorId="0" shapeId="0" xr:uid="{4AF95A7E-F98E-40FA-BC64-30A0E05D966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6" authorId="0" shapeId="0" xr:uid="{D0F4F2E4-1AEA-4248-873C-4DE3327522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</t>
        </r>
      </text>
    </comment>
    <comment ref="C19" authorId="0" shapeId="0" xr:uid="{4EAE0D48-89C5-4213-ACF2-0C8214FB30F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B21" authorId="0" shapeId="0" xr:uid="{A8BFA985-A464-44D8-A3DD-92C007F6CD0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30" authorId="0" shapeId="0" xr:uid="{0CF0B3DC-2641-4011-BE13-48C54B21FB6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 but
depends on the g and b time ratio
* in general, if the g and b current is normalized,
   then the  ratio will be nearly 5 : 5,
   so this number can be an even.</t>
        </r>
      </text>
    </comment>
    <comment ref="B32" authorId="0" shapeId="0" xr:uid="{285DA218-249A-4F13-BCC9-3D1FB108F88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64" authorId="0" shapeId="0" xr:uid="{660FFB59-7658-422A-BB37-87EC2910FB6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+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70" authorId="0" shapeId="0" xr:uid="{E5CA15F3-9C27-481B-AA72-8717D500462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+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80" authorId="0" shapeId="0" xr:uid="{E311E644-F5CA-444A-85E9-A0673E624FF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1" authorId="0" shapeId="0" xr:uid="{55754200-3A56-41A2-9124-62795BAC410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84" authorId="0" shapeId="0" xr:uid="{CDFC91E7-3D1F-427F-9C14-97929EA49D8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5" authorId="0" shapeId="0" xr:uid="{EB774D54-A721-4757-ABE1-815C2D6D3C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8" authorId="0" shapeId="0" xr:uid="{DDA05959-6B1B-4970-A708-3C22B72249C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최소한</t>
        </r>
        <r>
          <rPr>
            <sz val="9"/>
            <color indexed="81"/>
            <rFont val="Tahoma"/>
            <family val="2"/>
          </rPr>
          <t xml:space="preserve"> xd serializing d_rate </t>
        </r>
        <r>
          <rPr>
            <sz val="9"/>
            <color indexed="81"/>
            <rFont val="돋움"/>
            <family val="3"/>
            <charset val="129"/>
          </rPr>
          <t>수치</t>
        </r>
        <r>
          <rPr>
            <sz val="9"/>
            <color indexed="81"/>
            <rFont val="Tahoma"/>
            <family val="2"/>
          </rPr>
          <t xml:space="preserve"> * 3 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107" authorId="0" shapeId="0" xr:uid="{7A6E7758-6A89-42B8-9FA6-07550B6798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1.5</t>
        </r>
      </text>
    </comment>
    <comment ref="C122" authorId="0" shapeId="0" xr:uid="{C274A1B3-75FC-490A-B13D-B360934F5B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6" authorId="0" shapeId="0" xr:uid="{CFF25A9F-B098-4062-B7A1-15CB0A9925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</t>
        </r>
      </text>
    </comment>
    <comment ref="C19" authorId="0" shapeId="0" xr:uid="{02C8DC8F-1729-4878-927C-EE59929BFD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B21" authorId="0" shapeId="0" xr:uid="{7CC3CB2F-0B36-48CD-8DAF-2E855746CF4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30" authorId="0" shapeId="0" xr:uid="{1B213A13-646E-4D87-B672-48439469250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 but
depends on the g and b time ratio
* in general, if the g and b current is normalized,
   then the  ratio will be nearly 5 : 5,
   so this number can be an even.</t>
        </r>
      </text>
    </comment>
    <comment ref="B32" authorId="0" shapeId="0" xr:uid="{9F985909-87E6-4C47-8EB5-68FD689F3D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64" authorId="0" shapeId="0" xr:uid="{8E8E2462-25E1-4294-BC92-EFA6A93206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+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70" authorId="0" shapeId="0" xr:uid="{9ABAA0B1-7BAA-452E-99CB-8A51A0F1BB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+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80" authorId="0" shapeId="0" xr:uid="{A6E2771C-7520-427F-B8AF-445C19E947E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1" authorId="0" shapeId="0" xr:uid="{6782F58B-6FC8-44D3-84B2-B88B71AACF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84" authorId="0" shapeId="0" xr:uid="{A867B93A-769F-402E-93BE-9FAD0B3E98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5" authorId="0" shapeId="0" xr:uid="{61EA9277-E903-45DF-86A8-382140BB259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7" authorId="0" shapeId="0" xr:uid="{7A279815-F356-43D5-8F95-065C26E84D2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최소한</t>
        </r>
        <r>
          <rPr>
            <sz val="9"/>
            <color indexed="81"/>
            <rFont val="Tahoma"/>
            <family val="2"/>
          </rPr>
          <t xml:space="preserve"> xd serializing d_rate </t>
        </r>
        <r>
          <rPr>
            <sz val="9"/>
            <color indexed="81"/>
            <rFont val="돋움"/>
            <family val="3"/>
            <charset val="129"/>
          </rPr>
          <t>수치</t>
        </r>
        <r>
          <rPr>
            <sz val="9"/>
            <color indexed="81"/>
            <rFont val="Tahoma"/>
            <family val="2"/>
          </rPr>
          <t xml:space="preserve"> * 3 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106" authorId="0" shapeId="0" xr:uid="{29F0745F-032C-41EC-BEAC-98F08069839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1.5</t>
        </r>
      </text>
    </comment>
    <comment ref="C121" authorId="0" shapeId="0" xr:uid="{BFF54C35-4C1D-450C-AD5F-E883EDF3E8A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oneyjs윤진수</author>
    <author>예창희</author>
  </authors>
  <commentList>
    <comment ref="R4" authorId="0" shapeId="0" xr:uid="{01177359-3412-4C88-9B1C-7095FBD500B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9" authorId="0" shapeId="0" xr:uid="{01FB4071-46C2-4C9D-9F39-D14644F52D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10" authorId="0" shapeId="0" xr:uid="{295742AC-5813-426A-AF69-C45F4A87AB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1" authorId="0" shapeId="0" xr:uid="{641CE937-7D40-402C-8E2B-CBFDF006B9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1" authorId="0" shapeId="0" xr:uid="{D5C6A67A-F682-454D-8E48-650584BA23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C13" authorId="0" shapeId="0" xr:uid="{DD20392E-30D5-4D8F-ABDA-EF4A29A8EB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3" authorId="0" shapeId="0" xr:uid="{6D47C4AE-ABE0-4BBD-9127-CE055D4C0A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4" authorId="0" shapeId="0" xr:uid="{8C10F2AC-B7EF-4755-9447-1F2A3F34F3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4" authorId="0" shapeId="0" xr:uid="{43D01560-70C3-45EA-A2D5-EFB007749F2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7" authorId="0" shapeId="0" xr:uid="{5BE405DC-4D4D-46C0-968F-FFBF198732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8" authorId="0" shapeId="0" xr:uid="{4D90EB29-66D5-444B-A4BF-EDF6E19AC9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L23" authorId="0" shapeId="0" xr:uid="{963930C9-4A40-4F69-B24A-82DEFED4D2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O26" authorId="0" shapeId="0" xr:uid="{0D176EEC-00FF-4E67-9382-41EAB2CBFCC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C31" authorId="0" shapeId="0" xr:uid="{228321EA-6A53-47C8-8D8B-70DB1D3B47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a serializer output</t>
        </r>
      </text>
    </comment>
    <comment ref="C32" authorId="0" shapeId="0" xr:uid="{2A02CB1F-3BC7-4703-84C1-4ACC21F450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 mclk as before</t>
        </r>
      </text>
    </comment>
    <comment ref="V32" authorId="0" shapeId="0" xr:uid="{166893EE-099A-4BAE-8880-0A3C4D1AA0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미정</t>
        </r>
      </text>
    </comment>
    <comment ref="W32" authorId="0" shapeId="0" xr:uid="{E7085F8E-6D47-4694-A31E-CB3FC1D98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6" authorId="0" shapeId="0" xr:uid="{1C7D5107-57DB-45D0-AA5B-8E4CC3432DA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ld_type [1:0] :
00 : xd ch </t>
        </r>
        <r>
          <rPr>
            <sz val="9"/>
            <color indexed="81"/>
            <rFont val="돋움"/>
            <family val="3"/>
            <charset val="129"/>
          </rPr>
          <t>사용개수만큼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(mono1 : LED1)
01 : xd ch </t>
        </r>
        <r>
          <rPr>
            <sz val="9"/>
            <color indexed="81"/>
            <rFont val="돋움"/>
            <family val="3"/>
            <charset val="129"/>
          </rPr>
          <t>사용개수만큼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(color1 : LED1+LED2+LED3)
10 : xd ch </t>
        </r>
        <r>
          <rPr>
            <b/>
            <u/>
            <sz val="11"/>
            <color indexed="81"/>
            <rFont val="돋움"/>
            <family val="3"/>
            <charset val="129"/>
          </rPr>
          <t>사용개수</t>
        </r>
        <r>
          <rPr>
            <b/>
            <u/>
            <sz val="11"/>
            <color indexed="81"/>
            <rFont val="Tahoma"/>
            <family val="2"/>
          </rPr>
          <t>/2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(color2 : LED1, LED2+LED3)
11 : xd ch </t>
        </r>
        <r>
          <rPr>
            <sz val="9"/>
            <color indexed="81"/>
            <rFont val="돋움"/>
            <family val="3"/>
            <charset val="129"/>
          </rPr>
          <t>사용개수만큼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(mono2 : LED1+LED2)</t>
        </r>
      </text>
    </comment>
    <comment ref="C37" authorId="0" shapeId="0" xr:uid="{46CAB537-F962-499A-A24E-50B87049F6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 = 31</t>
        </r>
      </text>
    </comment>
    <comment ref="C45" authorId="0" shapeId="0" xr:uid="{21AC45B8-2E9C-4719-B0DA-F05A0AF8C28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58" authorId="0" shapeId="0" xr:uid="{68278DED-F211-42C0-9411-FE8957D7DD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 --&gt; </t>
        </r>
        <r>
          <rPr>
            <b/>
            <sz val="9"/>
            <color indexed="81"/>
            <rFont val="Tahoma"/>
            <family val="2"/>
          </rPr>
          <t>nop</t>
        </r>
        <r>
          <rPr>
            <sz val="9"/>
            <color indexed="81"/>
            <rFont val="Tahoma"/>
            <family val="2"/>
          </rPr>
          <t xml:space="preserve">
'01' spi 24bit ; serializing pam 10bit + pwm 11bit --&gt; </t>
        </r>
        <r>
          <rPr>
            <b/>
            <sz val="9"/>
            <color indexed="81"/>
            <rFont val="Tahoma"/>
            <family val="2"/>
          </rPr>
          <t>spi 16bit ; serializing 12bi</t>
        </r>
        <r>
          <rPr>
            <sz val="9"/>
            <color indexed="81"/>
            <rFont val="Tahoma"/>
            <family val="2"/>
          </rPr>
          <t xml:space="preserve">t
'10' spi 24bit ; serializing pam 10bit + pwm 12bit --&gt; </t>
        </r>
        <r>
          <rPr>
            <b/>
            <sz val="9"/>
            <color indexed="81"/>
            <rFont val="Tahoma"/>
            <family val="2"/>
          </rPr>
          <t>spi 16bit ; serializing 14bit</t>
        </r>
        <r>
          <rPr>
            <sz val="9"/>
            <color indexed="81"/>
            <rFont val="Tahoma"/>
            <family val="2"/>
          </rPr>
          <t xml:space="preserve">
'11' spi 16bit ; serializing 16bit --&gt; </t>
        </r>
        <r>
          <rPr>
            <b/>
            <sz val="9"/>
            <color indexed="81"/>
            <rFont val="Tahoma"/>
            <family val="2"/>
          </rPr>
          <t>spi 16bit ; serializing 16bit</t>
        </r>
      </text>
    </comment>
    <comment ref="K58" authorId="0" shapeId="0" xr:uid="{C642C75F-FEF6-492D-8BA9-0A7D83AF70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means how many ch is enabled
2. at this time, ch_en bit can be set un-sequentially</t>
        </r>
      </text>
    </comment>
    <comment ref="N78" authorId="0" shapeId="0" xr:uid="{3F86D24F-CBC2-453E-BE42-14531BEF4E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NO OUT
2 : svo_off 2/3 active
3 : svo_off 1/2/3 active</t>
        </r>
      </text>
    </comment>
    <comment ref="R78" authorId="0" shapeId="0" xr:uid="{6CAD94E0-8EDD-4E01-9382-8572A428C8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sv_no_type </t>
        </r>
        <r>
          <rPr>
            <sz val="9"/>
            <color indexed="81"/>
            <rFont val="돋움"/>
            <family val="3"/>
            <charset val="129"/>
          </rPr>
          <t>반복횟수</t>
        </r>
      </text>
    </comment>
    <comment ref="W79" authorId="0" shapeId="0" xr:uid="{7E08467A-FF26-4995-9896-67C93FFB42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R82" authorId="1" shapeId="0" xr:uid="{CED663E3-53D1-46D9-8740-84282071E056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T82" authorId="0" shapeId="0" xr:uid="{8BCA07AF-CC15-4A1E-9897-DD7A652D274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dac_auto=1, dac_auto_type=0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dac_inc1 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조정됨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설정했었음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Tahoma"/>
            <family val="2"/>
          </rPr>
          <t>dac_inc1 = dac_inc2 = dac_inc3 = dac_inc4</t>
        </r>
        <r>
          <rPr>
            <sz val="9"/>
            <color indexed="81"/>
            <rFont val="Tahoma"/>
            <family val="2"/>
          </rPr>
          <t xml:space="preserve">
   </t>
        </r>
        <r>
          <rPr>
            <sz val="9"/>
            <color indexed="81"/>
            <rFont val="돋움"/>
            <family val="3"/>
            <charset val="129"/>
          </rPr>
          <t>그래야만</t>
        </r>
        <r>
          <rPr>
            <sz val="9"/>
            <color indexed="81"/>
            <rFont val="Tahoma"/>
            <family val="2"/>
          </rPr>
          <t xml:space="preserve"> SOP range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VLED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83" authorId="0" shapeId="0" xr:uid="{01002747-74B6-4FE2-BA1D-2951D9951562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4" authorId="0" shapeId="0" xr:uid="{860CA406-63D4-4539-B35C-83924CA5A23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5" authorId="0" shapeId="0" xr:uid="{CC5BC0B9-5B7C-46BB-844C-753CE585858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6" authorId="0" shapeId="0" xr:uid="{55A1FDB4-402D-40AD-AB00-EFBA044272A6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7" authorId="0" shapeId="0" xr:uid="{BC1E4F31-7B2E-4031-998B-B73915263CDF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8" authorId="0" shapeId="0" xr:uid="{838C63E5-08A5-4DB2-BFC1-B0753DF61FA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9" authorId="0" shapeId="0" xr:uid="{C886D626-485C-42C0-854C-2D5D84C0B73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0" authorId="0" shapeId="0" xr:uid="{DB41CFE4-0BE3-4036-90D7-D3D814DFFDD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1" authorId="0" shapeId="0" xr:uid="{4614DF79-DE69-4E5A-A784-9D3A4ED12F0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101" authorId="0" shapeId="0" xr:uid="{5925C3A2-C862-4850-AD50-6F40083ED8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0" authorId="0" shapeId="0" xr:uid="{81A2E183-E353-4ADA-9377-769DD09799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9" authorId="0" shapeId="0" xr:uid="{91986AE7-6ACD-4E18-9F16-A750C3D2F66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268" authorId="0" shapeId="0" xr:uid="{57A2A580-1ABF-46C6-A67F-9BC44F43418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=1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Download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>.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>.</t>
        </r>
      </text>
    </comment>
    <comment ref="I268" authorId="0" shapeId="0" xr:uid="{02149A17-4D91-4FC7-B776-CF57EDA0316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기능
</t>
        </r>
        <r>
          <rPr>
            <sz val="9"/>
            <color indexed="81"/>
            <rFont val="Tahoma"/>
            <family val="2"/>
          </rPr>
          <t>'0'  reg I group address
'1'  reg II group address</t>
        </r>
      </text>
    </comment>
    <comment ref="M268" authorId="0" shapeId="0" xr:uid="{7ACF9F96-6018-4293-9FA4-5F615EB832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DACO3_DIRECT=1 :
dac3_out &lt;= CURR_TGT_DAC3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DACO3 pin</t>
        </r>
      </text>
    </comment>
    <comment ref="N268" authorId="0" shapeId="0" xr:uid="{A1DB331E-10EB-4052-8C81-0AAED9A002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DACO2_DIRECT=1 :
dac2_out &lt;= CURR_TGT_DAC2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DACO2 pin</t>
        </r>
      </text>
    </comment>
    <comment ref="O268" authorId="0" shapeId="0" xr:uid="{42DE5404-2031-48AB-81F6-3DC92169323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DACO1_DIRECT=1 :
dac1_out &lt;= CURR_TGT_DAC1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DACO1 pin</t>
        </r>
      </text>
    </comment>
    <comment ref="S268" authorId="0" shapeId="0" xr:uid="{7133DE42-436E-4788-B18C-EC76E13CD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 xml:space="preserve">TEST_EN &amp;&amp; MCLK1_O=1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out to SVO12 pin</t>
        </r>
      </text>
    </comment>
    <comment ref="V268" authorId="2" shapeId="0" xr:uid="{E81AD4DA-E3BC-4AD2-8D87-0BCD0D90535B}">
      <text>
        <r>
          <rPr>
            <b/>
            <sz val="9"/>
            <color indexed="81"/>
            <rFont val="돋움"/>
            <family val="3"/>
            <charset val="129"/>
          </rPr>
          <t>예창희</t>
        </r>
        <r>
          <rPr>
            <b/>
            <sz val="9"/>
            <color indexed="81"/>
            <rFont val="Tahoma"/>
            <family val="2"/>
          </rPr>
          <t xml:space="preserve">:  monitor </t>
        </r>
        <r>
          <rPr>
            <b/>
            <sz val="9"/>
            <color indexed="81"/>
            <rFont val="돋움"/>
            <family val="3"/>
            <charset val="129"/>
          </rPr>
          <t>용</t>
        </r>
        <r>
          <rPr>
            <b/>
            <sz val="9"/>
            <color indexed="81"/>
            <rFont val="Tahoma"/>
            <family val="2"/>
          </rPr>
          <t xml:space="preserve"> OSC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
0 : OSC2
1 : OSC1</t>
        </r>
      </text>
    </comment>
    <comment ref="W268" authorId="0" shapeId="0" xr:uid="{D6389C68-C97E-4B11-9729-77924A4540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b/>
            <u/>
            <sz val="9"/>
            <color indexed="81"/>
            <rFont val="Tahoma"/>
            <family val="2"/>
          </rPr>
          <t>64</t>
        </r>
        <r>
          <rPr>
            <b/>
            <u/>
            <sz val="9"/>
            <color indexed="81"/>
            <rFont val="돋움"/>
            <family val="3"/>
            <charset val="129"/>
          </rPr>
          <t>분주로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64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MCLK64_O=1 : out to SVO12 pin</t>
        </r>
      </text>
    </comment>
    <comment ref="L272" authorId="0" shapeId="0" xr:uid="{104559D5-7E12-4612-BAEF-1CDCA5996E4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OTP program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H283" authorId="0" shapeId="0" xr:uid="{29E939BC-5B85-497B-8E66-7B5B85E815E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85" authorId="0" shapeId="0" xr:uid="{03E3F515-1253-47BF-904A-E2A65BFF6A6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0" authorId="0" shapeId="0" xr:uid="{9483D3C8-B8B3-4742-8634-BCC3B99E36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2" authorId="0" shapeId="0" xr:uid="{F2703705-ABC7-43C5-976A-B82B6D3BFB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7" authorId="0" shapeId="0" xr:uid="{3BC56DBA-F02C-4764-81D8-5637AC181F6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9" authorId="0" shapeId="0" xr:uid="{7DA87DED-9A4C-45EC-8F66-004B0287DF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9" authorId="0" shapeId="0" xr:uid="{C8D8E53A-B274-49BB-B386-6409B11FCB7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fault read response</t>
        </r>
      </text>
    </comment>
    <comment ref="I9" authorId="0" shapeId="0" xr:uid="{2D86EFF0-4640-48C9-A6D6-218C5386881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I36" authorId="0" shapeId="0" xr:uid="{892D611C-BFAE-492F-8E5E-A0730272537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I50" authorId="0" shapeId="0" xr:uid="{93A618DF-0286-4750-A1C1-4A9803338672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9" authorId="0" shapeId="0" xr:uid="{A8C639A7-52D2-4E76-9359-EEADB0A877D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fault read response</t>
        </r>
      </text>
    </comment>
    <comment ref="I9" authorId="0" shapeId="0" xr:uid="{C119BC3E-5F6A-4268-9ADD-6CC9EDDAA8F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I36" authorId="0" shapeId="0" xr:uid="{EDEFDADD-25F4-4215-B594-71E7685EB2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I50" authorId="0" shapeId="0" xr:uid="{C30A1404-B11F-4444-888B-9260E76C1DDE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4" authorId="0" shapeId="0" xr:uid="{F01365B2-27E0-4FC7-AE3C-D6E6637EC2A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LD_TYPE=01 or 11, max set value=12
LD_TYPE=10, max set value=6</t>
        </r>
      </text>
    </comment>
    <comment ref="L9" authorId="0" shapeId="0" xr:uid="{58D934FE-F70C-4F41-AD7C-E1B67927C6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J29" authorId="0" shapeId="0" xr:uid="{2281638D-5AAF-4D87-A81D-4856E22D38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1FF = 467us
31ea x 8bits x 0.5mbps = 500us</t>
        </r>
      </text>
    </comment>
    <comment ref="I42" authorId="0" shapeId="0" xr:uid="{77CC394D-C3B3-41FB-9E1A-1E410B4B59DC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D37" authorId="0" shapeId="0" xr:uid="{F0202347-D01B-44DB-9638-4B766B13545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same</t>
        </r>
      </text>
    </comment>
    <comment ref="D46" authorId="0" shapeId="0" xr:uid="{D701DF6E-7DE0-4E41-BE6F-71FFEE9EEA5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same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3" authorId="0" shapeId="0" xr:uid="{697E239F-520F-44F1-B294-671438AFC85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8" authorId="0" shapeId="0" xr:uid="{C8A8B610-C4A8-41A7-807B-895A57EEBAA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9" authorId="0" shapeId="0" xr:uid="{D5CF0FEF-4150-4D15-BEEF-F334BD33E20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10" authorId="0" shapeId="0" xr:uid="{4797CC35-E353-42D8-A817-997B20CDF8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14" authorId="0" shapeId="0" xr:uid="{C20524B2-55AF-4124-B7C9-D1432B4C9F1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15" authorId="0" shapeId="0" xr:uid="{3D106EE8-2D26-4766-970F-022333E919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16" authorId="0" shapeId="0" xr:uid="{A99C234B-3BA3-4676-B350-693D3B1F6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17" authorId="0" shapeId="0" xr:uid="{8FCCEA80-39E1-4930-85CB-4B313B2A6E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18" authorId="0" shapeId="0" xr:uid="{E10DB14C-467F-45E8-B544-B64EFF673CC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B23" authorId="0" shapeId="0" xr:uid="{00540FBC-631E-4105-A675-16D8BE598D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28" authorId="0" shapeId="0" xr:uid="{F23AC4F7-30BF-4D29-897D-8FBE177B56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29" authorId="0" shapeId="0" xr:uid="{DC830548-7D34-45BA-8136-90A7AE3AA8C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30" authorId="0" shapeId="0" xr:uid="{C7EF7563-90A9-4B7C-AAEF-B6DA3A46D1B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34" authorId="0" shapeId="0" xr:uid="{62B83260-4564-4FA1-92FE-68E559DC24E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35" authorId="0" shapeId="0" xr:uid="{52A29B49-3758-407A-B819-907DACC7C1A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36" authorId="0" shapeId="0" xr:uid="{89E5AA86-BD76-4A55-A4B1-09C1C8F723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37" authorId="0" shapeId="0" xr:uid="{9B48C6FD-C0CF-40B0-9E61-16B90389F0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38" authorId="0" shapeId="0" xr:uid="{E4071AE2-CD0A-459C-8975-EFE95CD0001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49" authorId="0" shapeId="0" xr:uid="{9FBBE86C-79D1-40D5-BF07-34E6D370287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0" authorId="0" shapeId="0" xr:uid="{56D2F06A-142D-4767-9B3C-97742DBB53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1" authorId="0" shapeId="0" xr:uid="{ABAE70FD-6890-4F99-9A05-814FF03BA37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52" authorId="0" shapeId="0" xr:uid="{71D5E171-8051-4874-9263-7AC10B5BC8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56" authorId="0" shapeId="0" xr:uid="{B1FAA3E7-6A06-4E26-8D15-58C3079FCC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7" authorId="0" shapeId="0" xr:uid="{6790D79F-6C8D-44BA-8DE3-573D66908A8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58" authorId="0" shapeId="0" xr:uid="{9FC5AF40-DD84-4EFC-82EE-86A2AEA12DD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59" authorId="0" shapeId="0" xr:uid="{A6752BC1-5365-4092-A8C4-AE7FBB44466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60" authorId="0" shapeId="0" xr:uid="{906997EF-D415-4C1D-9F41-A54FA26F5F1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77" authorId="0" shapeId="0" xr:uid="{027290D4-E50A-4764-8B99-9FFF935D9B5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8" authorId="0" shapeId="0" xr:uid="{05E7B21D-5B2B-4059-9EAC-5C98AB5D7C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9" authorId="0" shapeId="0" xr:uid="{C16918AE-A1A6-4E61-A69C-05D1EA153E2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80" authorId="0" shapeId="0" xr:uid="{166ACC8E-DFF5-4E5A-BD9D-F233B5F72D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84" authorId="0" shapeId="0" xr:uid="{34C0A519-C8E3-4ED9-9320-1C60A3B747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85" authorId="0" shapeId="0" xr:uid="{7FF4D814-7610-41C0-B19A-D7445FA3E5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86" authorId="0" shapeId="0" xr:uid="{A505DD3F-A17B-4A1D-AF1B-7541C64AA6E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87" authorId="0" shapeId="0" xr:uid="{6E1FAEA5-645E-4AE2-B5A3-569DFF51F5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88" authorId="0" shapeId="0" xr:uid="{CE4CEE6A-E24E-4477-BD45-15B7FA7CEB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김영훈</author>
    <author>oneyjs윤진수</author>
  </authors>
  <commentList>
    <comment ref="R3" authorId="0" shapeId="0" xr:uid="{125F2488-ABE3-4A2A-8EE3-C7B29A3A76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6A401933-700D-4E17-892B-51D1CB6A1A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DE8F82A3-89AC-4ACD-9136-231FDF8DFD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0C3CC9D3-C679-476B-9B5A-E749AF6585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C8858102-F7CA-46D7-8739-7D3910C96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1DF65B32-4C93-46FD-B4C2-8958FC4E23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15-bit, 32,768ea, 1191us@25+2.5mhz
xd fault-read daisied 31ea @ 202khz : max 1189us </t>
        </r>
        <r>
          <rPr>
            <sz val="9"/>
            <color indexed="81"/>
            <rFont val="돋움"/>
            <family val="3"/>
            <charset val="129"/>
          </rPr>
          <t>소요</t>
        </r>
      </text>
    </comment>
    <comment ref="C12" authorId="0" shapeId="0" xr:uid="{EE9BBDD3-CCC7-4D6D-9A32-37CC3EEDA7F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FAD34B87-F5D3-412E-AC13-A547579A36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7CD86F75-9AD6-405D-B55C-4B645145ED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34A506AB-6DDB-47C3-A309-8E41E3556E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5F71021E-7E03-4E2F-890A-4E830150CA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289DB6CB-6848-4D46-A5A6-27AB543D81F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C4D65CA7-3002-4655-8EF7-A875E0DC7D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W30" authorId="0" shapeId="0" xr:uid="{2317568B-BC40-48C7-9C92-771B6D97A4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2" authorId="0" shapeId="0" xr:uid="{7E501954-443B-4C63-9C31-DBD2093AEF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interrupt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>, filtering 100us, show only status, int source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비트</t>
        </r>
        <r>
          <rPr>
            <sz val="9"/>
            <color indexed="81"/>
            <rFont val="Tahoma"/>
            <family val="2"/>
          </rPr>
          <t xml:space="preserve"> rising detection and auto-cleared</t>
        </r>
      </text>
    </comment>
    <comment ref="I33" authorId="1" shapeId="0" xr:uid="{B1D654FE-FCA8-4F47-B52F-CE3CD2E76D64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5.42V
001 : 5.49V
010 : 5.63V
011 : 5.71V
100 : 5.78V
101 : 5.94V
110 : 6.03V
111 : 6.12V</t>
        </r>
      </text>
    </comment>
    <comment ref="M33" authorId="1" shapeId="0" xr:uid="{BD89ACAE-934A-44D7-839B-1D7166268A8A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3.78V
001 : 3.88V
010 : 3.99V
011 : 4.11V
100 : 4.19V
101 : 4.31V
110 : 4.40V
111 : 4.49V</t>
        </r>
      </text>
    </comment>
    <comment ref="Q33" authorId="1" shapeId="0" xr:uid="{95EC1794-5B3E-4FE3-ADC6-5C2E7E5618E9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1.62V
001 : 1.65V
010 : 1.68V
011 : 1.71V
100 : 1.74V
101 : 1.77V
110 : 1.80V
111 : 1.83V</t>
        </r>
      </text>
    </comment>
    <comment ref="U33" authorId="1" shapeId="0" xr:uid="{9DF14CBB-790D-4E54-A21E-CB1F6A109538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1.19V
001 : 1.22V
010 : 1.25V
011 : 1.28V
100 : 1.32V
101 : 1.34V
110 : 1.36V
111 : 1.37V</t>
        </r>
      </text>
    </comment>
    <comment ref="C37" authorId="0" shapeId="0" xr:uid="{DACBDA02-0E47-4D4E-93C2-71AFC615CF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6" authorId="0" shapeId="0" xr:uid="{3B302F57-10D6-49F8-9E33-D8E6D3C5A0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4" authorId="0" shapeId="0" xr:uid="{E547E80A-4C7A-43BA-9D01-10888C3BBC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8" authorId="0" shapeId="0" xr:uid="{9C0DE745-CFA7-4B3D-BD81-70D37FADEF7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  <comment ref="R71" authorId="2" shapeId="0" xr:uid="{797E9CB4-6DE9-496E-BF4A-BAE821B79484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F72" authorId="0" shapeId="0" xr:uid="{50C420E4-44FF-4847-8127-FF990F16CA7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3" authorId="0" shapeId="0" xr:uid="{0C791687-0333-4FCA-B72E-A40B3358DB4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4" authorId="0" shapeId="0" xr:uid="{E734E086-CAAA-4D07-877B-482E4B1E520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82" authorId="0" shapeId="0" xr:uid="{C52FA90F-61EA-4BBD-A40B-8D41C3F812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86" authorId="0" shapeId="0" xr:uid="{33A69DF8-2B36-4380-96EE-91377B694C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88" authorId="0" shapeId="0" xr:uid="{78239372-8477-4D56-BF2F-D724F7B5B0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O230" authorId="0" shapeId="0" xr:uid="{2DF16084-4484-4D3F-AA71-04F195E9FFE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DAC_DIRECT :
dac_out &lt;= CURR_TGT_DAC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</t>
        </r>
      </text>
    </comment>
    <comment ref="S230" authorId="0" shapeId="0" xr:uid="{AAEE331A-A5F4-4E8E-BE15-5C8E0E5D4B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~MCLK32_O &amp;&amp; MCLK1_O</t>
        </r>
      </text>
    </comment>
    <comment ref="W230" authorId="0" shapeId="0" xr:uid="{47B214D9-F392-4738-9F35-3E925D7360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MCLK32_O &amp;&amp; ~MCLK1_O</t>
        </r>
      </text>
    </comment>
    <comment ref="L234" authorId="0" shapeId="0" xr:uid="{BF22559B-C1BB-41F4-B3E9-04A4C15BB2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protect_dis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accessible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 xml:space="preserve"> re-downloading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.
protect_en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normal function, otp auto-downloading after por, checksum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활성화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김영훈</author>
    <author>oneyjs윤진수</author>
  </authors>
  <commentList>
    <comment ref="R3" authorId="0" shapeId="0" xr:uid="{94F1D3D1-B72D-4325-8B33-65550342976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7E5853D0-F28F-4DFE-AB13-0A7EDC21BB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4B7B577A-2D52-4EF9-AB7E-348270F0884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ACC23D45-7716-4B58-BFE0-693F9AD45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E5C95C52-A04A-44E2-9307-1F20FBC1C66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0A9450D5-03F8-485E-9F97-3857AA8744C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15-bit, 32,768ea, 1191us@25+2.5mhz
xd fault-read daisied 31ea @ 202khz : max 1189us </t>
        </r>
        <r>
          <rPr>
            <sz val="9"/>
            <color indexed="81"/>
            <rFont val="돋움"/>
            <family val="3"/>
            <charset val="129"/>
          </rPr>
          <t>소요</t>
        </r>
      </text>
    </comment>
    <comment ref="C12" authorId="0" shapeId="0" xr:uid="{91145064-7D8A-443A-BE88-6780D196A23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1BCCFAB9-960F-4BF9-98C6-E6914E682DB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A141BACC-6C23-477C-B215-FFCA1CB52C8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15CC84BD-50F8-4D17-BE80-64FA31E1925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1FB44A2B-F6EF-4961-9FFA-6782E3A6F35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A51424DF-B13F-4488-8990-B34F78B5A2A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3A5EF24B-29DC-4427-82ED-DC5D991C4E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W30" authorId="0" shapeId="0" xr:uid="{3EB75AA5-3547-4BCA-888C-E724473124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2" authorId="0" shapeId="0" xr:uid="{D7FE733B-6A01-4947-BE29-3649519D29E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interrupt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>, filtering 100us, show only status, int source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비트</t>
        </r>
        <r>
          <rPr>
            <sz val="9"/>
            <color indexed="81"/>
            <rFont val="Tahoma"/>
            <family val="2"/>
          </rPr>
          <t xml:space="preserve"> rising detection and auto-cleared</t>
        </r>
      </text>
    </comment>
    <comment ref="I33" authorId="1" shapeId="0" xr:uid="{BA52B2DB-F433-492F-BC16-DBD7F90754DC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5.42V
001 : 5.49V
010 : 5.63V
011 : 5.71V
100 : 5.78V
101 : 5.94V
110 : 6.03V
111 : 6.12V</t>
        </r>
      </text>
    </comment>
    <comment ref="M33" authorId="1" shapeId="0" xr:uid="{9BBB3DE3-2FF1-4BCA-ACBF-FB3910C1CCB4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3.78V
001 : 3.88V
010 : 3.99V
011 : 4.11V
100 : 4.19V
101 : 4.31V
110 : 4.40V
111 : 4.49V</t>
        </r>
      </text>
    </comment>
    <comment ref="Q33" authorId="1" shapeId="0" xr:uid="{51C2B324-C02D-4B5C-A5F2-B6A9469B3275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1.62V
001 : 1.65V
010 : 1.68V
011 : 1.71V
100 : 1.74V
101 : 1.77V
110 : 1.80V
111 : 1.83V</t>
        </r>
      </text>
    </comment>
    <comment ref="U33" authorId="1" shapeId="0" xr:uid="{B874A7AD-76F3-4104-8A2C-E0E3781ACE80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1.19V
001 : 1.22V
010 : 1.25V
011 : 1.28V
100 : 1.32V
101 : 1.34V
110 : 1.36V
111 : 1.37V</t>
        </r>
      </text>
    </comment>
    <comment ref="C37" authorId="0" shapeId="0" xr:uid="{5CCECD25-CD93-4ED4-94B4-EF1E74D47AE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6" authorId="0" shapeId="0" xr:uid="{B751DCA5-479B-47DB-B6DD-C3ABDFFC83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4" authorId="0" shapeId="0" xr:uid="{504E2928-5294-4C1C-A0A1-23762EF5B4C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8" authorId="0" shapeId="0" xr:uid="{878600EF-FF5A-4C40-8B60-4F4D0D1918F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  <comment ref="R71" authorId="2" shapeId="0" xr:uid="{4D7C584E-139F-4296-AF0B-F2CBA0055E04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V71" authorId="0" shapeId="0" xr:uid="{AA41ECC4-2221-4BDE-93AD-7576FF829A3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오직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daco </t>
        </r>
        <r>
          <rPr>
            <sz val="9"/>
            <color indexed="81"/>
            <rFont val="돋움"/>
            <family val="3"/>
            <charset val="129"/>
          </rPr>
          <t>제어하는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
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wr</t>
        </r>
        <r>
          <rPr>
            <sz val="9"/>
            <color indexed="81"/>
            <rFont val="돋움"/>
            <family val="3"/>
            <charset val="129"/>
          </rPr>
          <t>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wr</t>
        </r>
      </text>
    </comment>
    <comment ref="W71" authorId="0" shapeId="0" xr:uid="{EA2180E1-ACD4-4399-B0E6-D8523A77996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프레임별</t>
        </r>
        <r>
          <rPr>
            <sz val="9"/>
            <color indexed="81"/>
            <rFont val="Tahoma"/>
            <family val="2"/>
          </rPr>
          <t xml:space="preserve"> target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wr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F72" authorId="0" shapeId="0" xr:uid="{19F23D06-9696-4C7B-ACEF-F9A45F972D89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3" authorId="0" shapeId="0" xr:uid="{1F01F2D4-0222-4B5B-A494-B8202D7D5CB9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4" authorId="0" shapeId="0" xr:uid="{268933C2-3C17-4B4C-BC37-1021EAADDBFF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82" authorId="0" shapeId="0" xr:uid="{C7661C5E-C15B-4A5A-BFA2-6888EFA873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86" authorId="0" shapeId="0" xr:uid="{EDF65522-8B0C-49AB-8995-FFD695AB05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88" authorId="0" shapeId="0" xr:uid="{0D44A150-2003-4366-B913-032E327D2C7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O230" authorId="0" shapeId="0" xr:uid="{E861C5C3-80CA-4E8A-81F6-4404B4FB581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DAC_DIRECT :
dac_out &lt;= CURR_TGT_DAC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</t>
        </r>
      </text>
    </comment>
    <comment ref="S230" authorId="0" shapeId="0" xr:uid="{BFD53EEB-836E-44FB-8800-1D3D77FB13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~MCLK32_O &amp;&amp; MCLK1_O</t>
        </r>
      </text>
    </comment>
    <comment ref="W230" authorId="0" shapeId="0" xr:uid="{7EAF6EF8-AFB2-4B5B-B9FD-70C7C3E063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MCLK32_O &amp;&amp; ~MCLK1_O</t>
        </r>
      </text>
    </comment>
    <comment ref="L234" authorId="0" shapeId="0" xr:uid="{64290C18-B426-4892-90EA-4204CAA4665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protect_dis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accessible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 xml:space="preserve"> re-downloading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.
protect_en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normal function, otp auto-downloading after por, checksum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활성화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J3" authorId="0" shapeId="0" xr:uid="{EE0E8D31-D89B-4AF9-B48E-426939296DD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ref 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>( full-3)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stop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 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시작
</t>
        </r>
        <r>
          <rPr>
            <sz val="9"/>
            <color indexed="81"/>
            <rFont val="Tahoma"/>
            <family val="2"/>
          </rPr>
          <t>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xd </t>
        </r>
        <r>
          <rPr>
            <sz val="9"/>
            <color indexed="81"/>
            <rFont val="돋움"/>
            <family val="3"/>
            <charset val="129"/>
          </rPr>
          <t>초기화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>, vsync</t>
        </r>
        <r>
          <rPr>
            <sz val="9"/>
            <color indexed="81"/>
            <rFont val="돋움"/>
            <family val="3"/>
            <charset val="129"/>
          </rPr>
          <t>입력시키면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>) sync cmd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VS_RST, E_RST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sync cmd stream </t>
        </r>
        <r>
          <rPr>
            <sz val="9"/>
            <color indexed="81"/>
            <rFont val="돋움"/>
            <family val="3"/>
            <charset val="129"/>
          </rPr>
          <t>도중에</t>
        </r>
        <r>
          <rPr>
            <sz val="9"/>
            <color indexed="81"/>
            <rFont val="Tahoma"/>
            <family val="2"/>
          </rPr>
          <t xml:space="preserve"> E_RST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J8" authorId="0" shapeId="0" xr:uid="{E4ED7F9F-B297-40DE-BBFF-0D23FB264E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8" authorId="0" shapeId="0" xr:uid="{338A4CD5-F5B1-46AF-9783-BE30D905EF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8" authorId="0" shapeId="0" xr:uid="{474640C7-83C1-4585-803D-3DA4EBF4836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9" authorId="0" shapeId="0" xr:uid="{2833AEEE-C4BF-4253-AE58-4D120325A25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101(32mA),
110(20mA), 111(28mA)</t>
        </r>
      </text>
    </comment>
    <comment ref="M9" authorId="0" shapeId="0" xr:uid="{E475D35F-004E-4929-AB33-67AB538D2A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P9" authorId="0" shapeId="0" xr:uid="{279D9088-5EAD-4F9D-9E87-329B5EF0AC3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FAST
1 : SLOW</t>
        </r>
      </text>
    </comment>
    <comment ref="Q9" authorId="0" shapeId="0" xr:uid="{9E074AF3-37FB-49CD-9E73-6D634EA8674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(0.25V),
101 (0.30V),
110 (0.35v),
111 (0.80V)</t>
        </r>
      </text>
    </comment>
    <comment ref="H10" authorId="0" shapeId="0" xr:uid="{441CBC7D-9799-4E72-A00B-9FC7DD1746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21-bit x 0.22mbps = 2960us
17-bit, default=0x1FFFF = 3276us</t>
        </r>
      </text>
    </comment>
    <comment ref="L10" authorId="0" shapeId="0" xr:uid="{C2A80A34-B2D0-4F49-BD32-245979B909B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PWM always high out
- VREF = 4096/8 = 512 = fixed (old version)
- next version : VREF = VREF_FIX reg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대체
</t>
        </r>
        <r>
          <rPr>
            <sz val="9"/>
            <color indexed="81"/>
            <rFont val="Tahoma"/>
            <family val="2"/>
          </rPr>
          <t>- 26ms detection (20bits)</t>
        </r>
      </text>
    </comment>
    <comment ref="U10" authorId="0" shapeId="0" xr:uid="{C2514E52-8D9A-4904-888A-ECDB275481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F5D3E746-ACDB-4EFB-AE26-ED606703B9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H36" authorId="0" shapeId="0" xr:uid="{03453A4A-4D4E-44E5-AD86-894B47BB568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independent pwmclk between channels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J3" authorId="0" shapeId="0" xr:uid="{32FE6DB2-6C83-4208-809F-E5E4FD023DC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ref 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>( full-3)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stop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 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시작
</t>
        </r>
        <r>
          <rPr>
            <sz val="9"/>
            <color indexed="81"/>
            <rFont val="Tahoma"/>
            <family val="2"/>
          </rPr>
          <t>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xd </t>
        </r>
        <r>
          <rPr>
            <sz val="9"/>
            <color indexed="81"/>
            <rFont val="돋움"/>
            <family val="3"/>
            <charset val="129"/>
          </rPr>
          <t>초기화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>, vsync</t>
        </r>
        <r>
          <rPr>
            <sz val="9"/>
            <color indexed="81"/>
            <rFont val="돋움"/>
            <family val="3"/>
            <charset val="129"/>
          </rPr>
          <t>입력시키면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>) sync cmd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VS_RST, E_RST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sync cmd stream </t>
        </r>
        <r>
          <rPr>
            <sz val="9"/>
            <color indexed="81"/>
            <rFont val="돋움"/>
            <family val="3"/>
            <charset val="129"/>
          </rPr>
          <t>도중에</t>
        </r>
        <r>
          <rPr>
            <sz val="9"/>
            <color indexed="81"/>
            <rFont val="Tahoma"/>
            <family val="2"/>
          </rPr>
          <t xml:space="preserve"> E_RST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J8" authorId="0" shapeId="0" xr:uid="{DD445835-1987-4FAA-9F6C-4390FFFB6C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8" authorId="0" shapeId="0" xr:uid="{84026126-1632-409A-9927-F760990AF8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8" authorId="0" shapeId="0" xr:uid="{280DF289-6420-496D-9D7D-832082B1A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9" authorId="0" shapeId="0" xr:uid="{23C8CA73-6669-4B62-8B84-05946A379C9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</t>
        </r>
      </text>
    </comment>
    <comment ref="M9" authorId="0" shapeId="0" xr:uid="{CC46DFAF-6B40-4812-A1B3-9D8205286A2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9" authorId="0" shapeId="0" xr:uid="{AEBEE51A-1FD9-4AB0-A7C6-2C2914CB9B8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(0.2V),
101 (0.3V)</t>
        </r>
      </text>
    </comment>
    <comment ref="H10" authorId="0" shapeId="0" xr:uid="{B6CED4D1-45E1-4B2E-845B-BBD713948E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21-bit x 0.22mbps = 2960us
17-bit, default=0x1FFFF = 3276us</t>
        </r>
      </text>
    </comment>
    <comment ref="L10" authorId="0" shapeId="0" xr:uid="{E48496B8-142A-4C9C-ACDA-D6C8E58B2C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PWM always high out
- VREF = 4096/8 = 512 = fixed (old version)
- next version : VREF = VREF_FIX reg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대체
</t>
        </r>
        <r>
          <rPr>
            <sz val="9"/>
            <color indexed="81"/>
            <rFont val="Tahoma"/>
            <family val="2"/>
          </rPr>
          <t>- 26ms detection (20bits)</t>
        </r>
      </text>
    </comment>
    <comment ref="U10" authorId="0" shapeId="0" xr:uid="{FE9D99CA-6748-4C7B-B3A5-94F571A67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2A57B871-61A7-4884-BDB0-0AFFBBEE40B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H36" authorId="0" shapeId="0" xr:uid="{35EB630C-BE2D-40CF-919B-B41CB4A9D9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independent pwmclk between channels</t>
        </r>
      </text>
    </comment>
  </commentList>
</comments>
</file>

<file path=xl/sharedStrings.xml><?xml version="1.0" encoding="utf-8"?>
<sst xmlns="http://schemas.openxmlformats.org/spreadsheetml/2006/main" count="11295" uniqueCount="2883">
  <si>
    <t>mhz</t>
    <phoneticPr fontId="2" type="noConversion"/>
  </si>
  <si>
    <t>us</t>
    <phoneticPr fontId="2" type="noConversion"/>
  </si>
  <si>
    <t>mclk</t>
    <phoneticPr fontId="2" type="noConversion"/>
  </si>
  <si>
    <t>frame</t>
    <phoneticPr fontId="2" type="noConversion"/>
  </si>
  <si>
    <t>hz</t>
    <phoneticPr fontId="2" type="noConversion"/>
  </si>
  <si>
    <t>ea</t>
    <phoneticPr fontId="2" type="noConversion"/>
  </si>
  <si>
    <t>mbps</t>
    <phoneticPr fontId="2" type="noConversion"/>
  </si>
  <si>
    <t>mclk_cnt</t>
    <phoneticPr fontId="2" type="noConversion"/>
  </si>
  <si>
    <t>hex</t>
    <phoneticPr fontId="2" type="noConversion"/>
  </si>
  <si>
    <t>vsync</t>
    <phoneticPr fontId="2" type="noConversion"/>
  </si>
  <si>
    <t>ch</t>
    <phoneticPr fontId="2" type="noConversion"/>
  </si>
  <si>
    <t>VDD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</si>
  <si>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</si>
  <si>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2" type="noConversion"/>
  </si>
  <si>
    <t>VSS</t>
    <phoneticPr fontId="2" type="noConversion"/>
  </si>
  <si>
    <t>FB</t>
    <phoneticPr fontId="2" type="noConversion"/>
  </si>
  <si>
    <t>fpwm_div</t>
    <phoneticPr fontId="2" type="noConversion"/>
  </si>
  <si>
    <t>xd mclk</t>
    <phoneticPr fontId="2" type="noConversion"/>
  </si>
  <si>
    <t>bit</t>
    <phoneticPr fontId="2" type="noConversion"/>
  </si>
  <si>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</si>
  <si>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</si>
  <si>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</si>
  <si>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</si>
  <si>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</si>
  <si>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</si>
  <si>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</si>
  <si>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</si>
  <si>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</si>
  <si>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</si>
  <si>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</si>
  <si>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</si>
  <si>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</si>
  <si>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</si>
  <si>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</si>
  <si>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</si>
  <si>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</si>
  <si>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feature</t>
    <phoneticPr fontId="2" type="noConversion"/>
  </si>
  <si>
    <t>r/w</t>
    <phoneticPr fontId="2" type="noConversion"/>
  </si>
  <si>
    <t>0x00</t>
    <phoneticPr fontId="2" type="noConversion"/>
  </si>
  <si>
    <t>0x000</t>
    <phoneticPr fontId="2" type="noConversion"/>
  </si>
  <si>
    <t>ID [4:0]</t>
    <phoneticPr fontId="2" type="noConversion"/>
  </si>
  <si>
    <t>0x01</t>
    <phoneticPr fontId="2" type="noConversion"/>
  </si>
  <si>
    <t>LD_DIR</t>
    <phoneticPr fontId="2" type="noConversion"/>
  </si>
  <si>
    <t>0x03</t>
  </si>
  <si>
    <t>0x04</t>
  </si>
  <si>
    <t>CH_SIZE [3:0]</t>
    <phoneticPr fontId="2" type="noConversion"/>
  </si>
  <si>
    <t>0x06</t>
  </si>
  <si>
    <t>0x000</t>
  </si>
  <si>
    <t>MAX_CURR_VREF</t>
    <phoneticPr fontId="2" type="noConversion"/>
  </si>
  <si>
    <t>0x08</t>
  </si>
  <si>
    <t>MAX_CURR_VREF[11:0]</t>
    <phoneticPr fontId="2" type="noConversion"/>
  </si>
  <si>
    <t>CHANNEL ENABLE1</t>
    <phoneticPr fontId="2" type="noConversion"/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</si>
  <si>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</si>
  <si>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</si>
  <si>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</si>
  <si>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</si>
  <si>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</si>
  <si>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</si>
  <si>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</si>
  <si>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</si>
  <si>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</si>
  <si>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</si>
  <si>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</si>
  <si>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</si>
  <si>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</si>
  <si>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STATUS</t>
    <phoneticPr fontId="2" type="noConversion"/>
  </si>
  <si>
    <t>ro</t>
    <phoneticPr fontId="2" type="noConversion"/>
  </si>
  <si>
    <t>0x0B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</si>
  <si>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</si>
  <si>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</si>
  <si>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</si>
  <si>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FAULT LEVEL</t>
    <phoneticPr fontId="2" type="noConversion"/>
  </si>
  <si>
    <t>0x0C</t>
    <phoneticPr fontId="2" type="noConversion"/>
  </si>
  <si>
    <t>DEV_MAX_CURR_LEVEL [2:0]</t>
    <phoneticPr fontId="2" type="noConversion"/>
  </si>
  <si>
    <t>SHORT_LEVEL [2:0]</t>
    <phoneticPr fontId="2" type="noConversion"/>
  </si>
  <si>
    <t>FB_LEVEL [2:0]</t>
    <phoneticPr fontId="2" type="noConversion"/>
  </si>
  <si>
    <t>0x0D</t>
    <phoneticPr fontId="2" type="noConversion"/>
  </si>
  <si>
    <t>0x800</t>
    <phoneticPr fontId="2" type="noConversion"/>
  </si>
  <si>
    <t>DELAY_CH1</t>
    <phoneticPr fontId="2" type="noConversion"/>
  </si>
  <si>
    <t>0x0E</t>
    <phoneticPr fontId="2" type="noConversion"/>
  </si>
  <si>
    <t>DELAY_CH2</t>
  </si>
  <si>
    <t>0x0F</t>
    <phoneticPr fontId="2" type="noConversion"/>
  </si>
  <si>
    <t>DELAY_CH3</t>
  </si>
  <si>
    <t>0x10</t>
    <phoneticPr fontId="2" type="noConversion"/>
  </si>
  <si>
    <t>DELAY_CH4</t>
  </si>
  <si>
    <t>DELAY_CH5</t>
  </si>
  <si>
    <t>0x12</t>
  </si>
  <si>
    <t>DELAY_CH6</t>
  </si>
  <si>
    <t>0x13</t>
  </si>
  <si>
    <t>DELAY_CH7</t>
  </si>
  <si>
    <t>0x14</t>
  </si>
  <si>
    <t>DELAY_CH8</t>
  </si>
  <si>
    <t>0x15</t>
  </si>
  <si>
    <t>DELAY_CH9</t>
  </si>
  <si>
    <t>0x16</t>
  </si>
  <si>
    <t>DELAY_CH10</t>
  </si>
  <si>
    <t>DELAY_CH11</t>
  </si>
  <si>
    <t>DELAY_CH12</t>
  </si>
  <si>
    <t>0x26</t>
  </si>
  <si>
    <t>0x27</t>
  </si>
  <si>
    <t>OFS_TEMP [3:0]</t>
    <phoneticPr fontId="2" type="noConversion"/>
  </si>
  <si>
    <t>0x28</t>
  </si>
  <si>
    <t>MCLK_LOCK [11:0]</t>
    <phoneticPr fontId="2" type="noConversion"/>
  </si>
  <si>
    <t>0x2A</t>
    <phoneticPr fontId="2" type="noConversion"/>
  </si>
  <si>
    <t>MCLK_LOCK_E</t>
    <phoneticPr fontId="2" type="noConversion"/>
  </si>
  <si>
    <t>0x2B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</si>
  <si>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</si>
  <si>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</si>
  <si>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</si>
  <si>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ADDR_EXT</t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</si>
  <si>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</si>
  <si>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</si>
  <si>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</si>
  <si>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OTP ACCESS2</t>
    <phoneticPr fontId="2" type="noConversion"/>
  </si>
  <si>
    <t>0x3B</t>
    <phoneticPr fontId="2" type="noConversion"/>
  </si>
  <si>
    <t>OTP_PG_ACC_CYCLE [11:0] (default : decimal 320)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</si>
  <si>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</si>
  <si>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</si>
  <si>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</si>
  <si>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</si>
  <si>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</si>
  <si>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</si>
  <si>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</si>
  <si>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</si>
  <si>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</si>
  <si>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</si>
  <si>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PROTECT_EN (0x5A5), PROTECT_DIS (0xA5A)</t>
    <phoneticPr fontId="2" type="noConversion"/>
  </si>
  <si>
    <t>OTP CRC</t>
    <phoneticPr fontId="2" type="noConversion"/>
  </si>
  <si>
    <t>OTP_CRC_CHECKSUM [7:0]</t>
    <phoneticPr fontId="2" type="noConversion"/>
  </si>
  <si>
    <t>OSC</t>
    <phoneticPr fontId="2" type="noConversion"/>
  </si>
  <si>
    <t>0x01</t>
  </si>
  <si>
    <t>0x040</t>
    <phoneticPr fontId="2" type="noConversion"/>
  </si>
  <si>
    <t>VREF_CTL</t>
    <phoneticPr fontId="2" type="noConversion"/>
  </si>
  <si>
    <t>0x02</t>
  </si>
  <si>
    <t>OFS1</t>
    <phoneticPr fontId="2" type="noConversion"/>
  </si>
  <si>
    <t>OFS2</t>
    <phoneticPr fontId="2" type="noConversion"/>
  </si>
  <si>
    <t>OFS3</t>
  </si>
  <si>
    <t>0x05</t>
  </si>
  <si>
    <t>OFS4</t>
  </si>
  <si>
    <t>OFS5</t>
  </si>
  <si>
    <t>0x07</t>
  </si>
  <si>
    <t>OFS6</t>
  </si>
  <si>
    <t>OFS7</t>
  </si>
  <si>
    <t>OFS8</t>
  </si>
  <si>
    <t>0x0A</t>
    <phoneticPr fontId="2" type="noConversion"/>
  </si>
  <si>
    <t>OFS9</t>
  </si>
  <si>
    <t>OFS10</t>
  </si>
  <si>
    <t>OFS11</t>
  </si>
  <si>
    <t>OFS12</t>
  </si>
  <si>
    <t>GAIN1</t>
    <phoneticPr fontId="2" type="noConversion"/>
  </si>
  <si>
    <t>0x1B</t>
    <phoneticPr fontId="2" type="noConversion"/>
  </si>
  <si>
    <t>0x040</t>
  </si>
  <si>
    <t>GAIN2</t>
  </si>
  <si>
    <t>0x1C</t>
    <phoneticPr fontId="2" type="noConversion"/>
  </si>
  <si>
    <t>GAIN3</t>
  </si>
  <si>
    <t>0x1D</t>
    <phoneticPr fontId="2" type="noConversion"/>
  </si>
  <si>
    <t>GAIN4</t>
  </si>
  <si>
    <t>0x1E</t>
    <phoneticPr fontId="2" type="noConversion"/>
  </si>
  <si>
    <t>GAIN5</t>
  </si>
  <si>
    <t>0x1F</t>
    <phoneticPr fontId="2" type="noConversion"/>
  </si>
  <si>
    <t>GAIN6</t>
  </si>
  <si>
    <t>0x20</t>
  </si>
  <si>
    <t>`</t>
    <phoneticPr fontId="2" type="noConversion"/>
  </si>
  <si>
    <t>GAIN7</t>
  </si>
  <si>
    <t>0x21</t>
  </si>
  <si>
    <t>GAIN8</t>
  </si>
  <si>
    <t>0x22</t>
  </si>
  <si>
    <t>GAIN9</t>
  </si>
  <si>
    <t>0x23</t>
  </si>
  <si>
    <t>GAIN10</t>
  </si>
  <si>
    <t>0x24</t>
  </si>
  <si>
    <t>GAIN11</t>
  </si>
  <si>
    <t>0x25</t>
  </si>
  <si>
    <t>GAIN12</t>
  </si>
  <si>
    <t>RST</t>
    <phoneticPr fontId="2" type="noConversion"/>
  </si>
  <si>
    <t>PWM_RES</t>
    <phoneticPr fontId="2" type="noConversion"/>
  </si>
  <si>
    <t>OVER_TO_E</t>
    <phoneticPr fontId="2" type="noConversion"/>
  </si>
  <si>
    <t>PWM_FULL_O</t>
    <phoneticPr fontId="2" type="noConversion"/>
  </si>
  <si>
    <t>VREF_O</t>
    <phoneticPr fontId="2" type="noConversion"/>
  </si>
  <si>
    <t>uploaded at a vsync</t>
    <phoneticPr fontId="2" type="noConversion"/>
  </si>
  <si>
    <t>FPWM_DIV</t>
    <phoneticPr fontId="2" type="noConversion"/>
  </si>
  <si>
    <t>MCLK_LOCK [19:12]</t>
    <phoneticPr fontId="2" type="noConversion"/>
  </si>
  <si>
    <t>start dimming from (set value+1)th pwmclk</t>
    <phoneticPr fontId="2" type="noConversion"/>
  </si>
  <si>
    <t>DELAY_CH1 [11:0]</t>
    <phoneticPr fontId="2" type="noConversion"/>
  </si>
  <si>
    <t>DELAY_CH2 [11:0]</t>
    <phoneticPr fontId="2" type="noConversion"/>
  </si>
  <si>
    <t>DELAY_CH3 [11:0]</t>
    <phoneticPr fontId="2" type="noConversion"/>
  </si>
  <si>
    <t>DELAY_CH4 [11:0]</t>
    <phoneticPr fontId="2" type="noConversion"/>
  </si>
  <si>
    <t>DELAY_CH5 [11:0]</t>
    <phoneticPr fontId="2" type="noConversion"/>
  </si>
  <si>
    <t>DELAY_CH6 [11:0]</t>
    <phoneticPr fontId="2" type="noConversion"/>
  </si>
  <si>
    <t>DELAY_CH7 [11:0]</t>
    <phoneticPr fontId="2" type="noConversion"/>
  </si>
  <si>
    <t>DELAY_CH8 [11:0]</t>
    <phoneticPr fontId="2" type="noConversion"/>
  </si>
  <si>
    <t>DELAY_CH9 [11:0]</t>
    <phoneticPr fontId="2" type="noConversion"/>
  </si>
  <si>
    <t>DELAY_CH10 [11:0]</t>
    <phoneticPr fontId="2" type="noConversion"/>
  </si>
  <si>
    <t>DELAY_CH11 [11:0]</t>
    <phoneticPr fontId="2" type="noConversion"/>
  </si>
  <si>
    <t>DELAY_CH12 [11:0]</t>
    <phoneticPr fontId="2" type="noConversion"/>
  </si>
  <si>
    <t>DELAY_CH1 [13:12]</t>
    <phoneticPr fontId="2" type="noConversion"/>
  </si>
  <si>
    <t>DELAY_CH2 [13:12]</t>
    <phoneticPr fontId="2" type="noConversion"/>
  </si>
  <si>
    <t>DELAY_CH3 [13:12]</t>
    <phoneticPr fontId="2" type="noConversion"/>
  </si>
  <si>
    <t>DELAY_CH4 [13:12]</t>
    <phoneticPr fontId="2" type="noConversion"/>
  </si>
  <si>
    <t>DELAY_CH5 [13:12]</t>
    <phoneticPr fontId="2" type="noConversion"/>
  </si>
  <si>
    <t>DELAY_CH6 [13:12]</t>
    <phoneticPr fontId="2" type="noConversion"/>
  </si>
  <si>
    <t>DELAY_CH7 [13:12]</t>
    <phoneticPr fontId="2" type="noConversion"/>
  </si>
  <si>
    <t>DELAY_CH8 [13:12]</t>
    <phoneticPr fontId="2" type="noConversion"/>
  </si>
  <si>
    <t>DELAY_CH9 [13:12]</t>
    <phoneticPr fontId="2" type="noConversion"/>
  </si>
  <si>
    <t>DELAY_CH10 [13:12]</t>
    <phoneticPr fontId="2" type="noConversion"/>
  </si>
  <si>
    <t>DELAY_CH11 [13:12]</t>
    <phoneticPr fontId="2" type="noConversion"/>
  </si>
  <si>
    <t>DELAY_CH12 [13:12]</t>
    <phoneticPr fontId="2" type="noConversion"/>
  </si>
  <si>
    <t>reserved</t>
    <phoneticPr fontId="2" type="noConversion"/>
  </si>
  <si>
    <t>DELAY_CH_EX1</t>
    <phoneticPr fontId="2" type="noConversion"/>
  </si>
  <si>
    <t>DELAY_CH_EX2</t>
  </si>
  <si>
    <t>0x11</t>
    <phoneticPr fontId="2" type="noConversion"/>
  </si>
  <si>
    <t>~0x24</t>
    <phoneticPr fontId="2" type="noConversion"/>
  </si>
  <si>
    <t>MCLK_LOCK1</t>
    <phoneticPr fontId="2" type="noConversion"/>
  </si>
  <si>
    <t>MCLK_LOCK2</t>
  </si>
  <si>
    <t>SERIAL CLK GEN</t>
    <phoneticPr fontId="2" type="noConversion"/>
  </si>
  <si>
    <t>MISS_VS_LOCK</t>
    <phoneticPr fontId="2" type="noConversion"/>
  </si>
  <si>
    <t>MISS_VS</t>
    <phoneticPr fontId="2" type="noConversion"/>
  </si>
  <si>
    <t>MISS_VS_DIMM</t>
    <phoneticPr fontId="2" type="noConversion"/>
  </si>
  <si>
    <t>SCAN_NO [2:0]</t>
    <phoneticPr fontId="2" type="noConversion"/>
  </si>
  <si>
    <t>FAULT CONTROL</t>
    <phoneticPr fontId="2" type="noConversion"/>
  </si>
  <si>
    <t>MISS_VS_DET_E</t>
    <phoneticPr fontId="2" type="noConversion"/>
  </si>
  <si>
    <t>O_OFF_E</t>
    <phoneticPr fontId="2" type="noConversion"/>
  </si>
  <si>
    <t>S_OFF_E</t>
    <phoneticPr fontId="2" type="noConversion"/>
  </si>
  <si>
    <t>T_OFF_E</t>
    <phoneticPr fontId="2" type="noConversion"/>
  </si>
  <si>
    <t>OPEN_FB_E</t>
    <phoneticPr fontId="2" type="noConversion"/>
  </si>
  <si>
    <t>TIMEOUT_E</t>
    <phoneticPr fontId="2" type="noConversion"/>
  </si>
  <si>
    <t>0x020</t>
    <phoneticPr fontId="2" type="noConversion"/>
  </si>
  <si>
    <t>OSC_FLL_MAN [11:0]</t>
    <phoneticPr fontId="2" type="noConversion"/>
  </si>
  <si>
    <t>OSC_MAN_E</t>
    <phoneticPr fontId="2" type="noConversion"/>
  </si>
  <si>
    <t>FLT_GAIN [1:0]</t>
    <phoneticPr fontId="2" type="noConversion"/>
  </si>
  <si>
    <t>OSC_FLL_MAN1</t>
    <phoneticPr fontId="2" type="noConversion"/>
  </si>
  <si>
    <t>OSC_FLL_MAN2</t>
  </si>
  <si>
    <t>FBO drives the real-time state of FB on pin#6</t>
    <phoneticPr fontId="2" type="noConversion"/>
  </si>
  <si>
    <t>FBO</t>
    <phoneticPr fontId="2" type="noConversion"/>
  </si>
  <si>
    <t>FBI</t>
    <phoneticPr fontId="2" type="noConversion"/>
  </si>
  <si>
    <t>External VSYNC</t>
    <phoneticPr fontId="2" type="noConversion"/>
  </si>
  <si>
    <t>FBO_OEN (tri-state output enable, active-low) =</t>
    <phoneticPr fontId="2" type="noConversion"/>
  </si>
  <si>
    <t>FBI_OEN = HIGH (always disabled)</t>
    <phoneticPr fontId="2" type="noConversion"/>
  </si>
  <si>
    <t>EXT_VS_OEN (tri-state output enable, active-low) = ~(EXT_VS_E &amp;&amp; ~TEST_E)</t>
    <phoneticPr fontId="2" type="noConversion"/>
  </si>
  <si>
    <t>internal VSYNC = command VSYNC || external VSYNC</t>
    <phoneticPr fontId="2" type="noConversion"/>
  </si>
  <si>
    <t>external VSYNC = filtered VSYNCI</t>
    <phoneticPr fontId="2" type="noConversion"/>
  </si>
  <si>
    <t>LD_DIR/PWM_RES/OVER_TO_E/SCAN_NO
updated at a vsync</t>
    <phoneticPr fontId="2" type="noConversion"/>
  </si>
  <si>
    <t>OSC [5:0]</t>
    <phoneticPr fontId="2" type="noConversion"/>
  </si>
  <si>
    <t>VREF_CTL [5:0]</t>
    <phoneticPr fontId="2" type="noConversion"/>
  </si>
  <si>
    <t>T/S/O/FB storage required
(fault read time, 1block FB)</t>
    <phoneticPr fontId="2" type="noConversion"/>
  </si>
  <si>
    <t>data format</t>
    <phoneticPr fontId="2" type="noConversion"/>
  </si>
  <si>
    <t>bit21</t>
  </si>
  <si>
    <t>bit20</t>
    <phoneticPr fontId="2" type="noConversion"/>
  </si>
  <si>
    <t>bit19</t>
    <phoneticPr fontId="2" type="noConversion"/>
  </si>
  <si>
    <t>bit18</t>
    <phoneticPr fontId="2" type="noConversion"/>
  </si>
  <si>
    <t>bit17</t>
    <phoneticPr fontId="2" type="noConversion"/>
  </si>
  <si>
    <t>bit16</t>
    <phoneticPr fontId="2" type="noConversion"/>
  </si>
  <si>
    <t>bit15</t>
    <phoneticPr fontId="2" type="noConversion"/>
  </si>
  <si>
    <t>bit14</t>
    <phoneticPr fontId="2" type="noConversion"/>
  </si>
  <si>
    <t>bit13</t>
    <phoneticPr fontId="2" type="noConversion"/>
  </si>
  <si>
    <t>bit12</t>
    <phoneticPr fontId="2" type="noConversion"/>
  </si>
  <si>
    <t>bit11</t>
  </si>
  <si>
    <t>bit10</t>
  </si>
  <si>
    <t>(serializer)</t>
    <phoneticPr fontId="2" type="noConversion"/>
  </si>
  <si>
    <t>start</t>
    <phoneticPr fontId="2" type="noConversion"/>
  </si>
  <si>
    <t>command code [2:0]</t>
    <phoneticPr fontId="2" type="noConversion"/>
  </si>
  <si>
    <t>addr [5:0]</t>
    <phoneticPr fontId="2" type="noConversion"/>
  </si>
  <si>
    <t>data [11:0]</t>
    <phoneticPr fontId="2" type="noConversion"/>
  </si>
  <si>
    <t>write command</t>
    <phoneticPr fontId="2" type="noConversion"/>
  </si>
  <si>
    <t>bit9</t>
    <phoneticPr fontId="2" type="noConversion"/>
  </si>
  <si>
    <t>bit8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</si>
  <si>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</si>
  <si>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</si>
  <si>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</si>
  <si>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read command</t>
    <phoneticPr fontId="2" type="noConversion"/>
  </si>
  <si>
    <t>bit16</t>
  </si>
  <si>
    <t>bit15</t>
  </si>
  <si>
    <t>(de-serializer)</t>
    <phoneticPr fontId="2" type="noConversion"/>
  </si>
  <si>
    <t>ld [4:0]</t>
    <phoneticPr fontId="2" type="noConversion"/>
  </si>
  <si>
    <t>read receive format</t>
    <phoneticPr fontId="2" type="noConversion"/>
  </si>
  <si>
    <t>bit23</t>
  </si>
  <si>
    <t>bit22</t>
  </si>
  <si>
    <t>bit20</t>
  </si>
  <si>
    <t>bit19</t>
  </si>
  <si>
    <t>bit18</t>
  </si>
  <si>
    <t>bit17</t>
  </si>
  <si>
    <t>bit14</t>
  </si>
  <si>
    <t>bit13</t>
  </si>
  <si>
    <t>bit12</t>
  </si>
  <si>
    <t>pam [9:0]</t>
    <phoneticPr fontId="2" type="noConversion"/>
  </si>
  <si>
    <t>pwm [9:0]</t>
    <phoneticPr fontId="2" type="noConversion"/>
  </si>
  <si>
    <t>bit24</t>
  </si>
  <si>
    <t>pwm [10:0]</t>
    <phoneticPr fontId="2" type="noConversion"/>
  </si>
  <si>
    <t>bit25</t>
  </si>
  <si>
    <t>pwm [11:0]</t>
    <phoneticPr fontId="2" type="noConversion"/>
  </si>
  <si>
    <t>ld [15:0]</t>
    <phoneticPr fontId="2" type="noConversion"/>
  </si>
  <si>
    <t>fault (auto) read command</t>
    <phoneticPr fontId="2" type="noConversion"/>
  </si>
  <si>
    <t>bit4</t>
    <phoneticPr fontId="2" type="noConversion"/>
  </si>
  <si>
    <t>bit1</t>
    <phoneticPr fontId="2" type="noConversion"/>
  </si>
  <si>
    <t>bit0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</si>
  <si>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</si>
  <si>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</si>
  <si>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</si>
  <si>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fb</t>
    <phoneticPr fontId="2" type="noConversion"/>
  </si>
  <si>
    <t>fault (auto) receive format</t>
    <phoneticPr fontId="2" type="noConversion"/>
  </si>
  <si>
    <t>bit3</t>
    <phoneticPr fontId="2" type="noConversion"/>
  </si>
  <si>
    <t>bit2</t>
    <phoneticPr fontId="2" type="noConversion"/>
  </si>
  <si>
    <t>sync (auto) gen</t>
    <phoneticPr fontId="2" type="noConversion"/>
  </si>
  <si>
    <t>id gen</t>
    <phoneticPr fontId="2" type="noConversion"/>
  </si>
  <si>
    <t>spi protocol</t>
    <phoneticPr fontId="2" type="noConversion"/>
  </si>
  <si>
    <t>data format (16-bit command+16-bit data)</t>
    <phoneticPr fontId="2" type="noConversion"/>
  </si>
  <si>
    <t>command</t>
    <phoneticPr fontId="2" type="noConversion"/>
  </si>
  <si>
    <t>command code [1:0]</t>
    <phoneticPr fontId="2" type="noConversion"/>
  </si>
  <si>
    <t>addr [7:0]</t>
    <phoneticPr fontId="2" type="noConversion"/>
  </si>
  <si>
    <t>size [5:0]</t>
    <phoneticPr fontId="2" type="noConversion"/>
  </si>
  <si>
    <t>register read</t>
    <phoneticPr fontId="2" type="noConversion"/>
  </si>
  <si>
    <t>start address</t>
    <phoneticPr fontId="2" type="noConversion"/>
  </si>
  <si>
    <t>burst size</t>
    <phoneticPr fontId="2" type="noConversion"/>
  </si>
  <si>
    <t>register write</t>
    <phoneticPr fontId="2" type="noConversion"/>
  </si>
  <si>
    <t>ld transfer</t>
    <phoneticPr fontId="2" type="noConversion"/>
  </si>
  <si>
    <t>8'hxx</t>
    <phoneticPr fontId="2" type="noConversion"/>
  </si>
  <si>
    <t>line size (max 63)</t>
    <phoneticPr fontId="2" type="noConversion"/>
  </si>
  <si>
    <t>register data</t>
    <phoneticPr fontId="2" type="noConversion"/>
  </si>
  <si>
    <t>register data [15:0]</t>
    <phoneticPr fontId="2" type="noConversion"/>
  </si>
  <si>
    <t>ld data</t>
    <phoneticPr fontId="2" type="noConversion"/>
  </si>
  <si>
    <t>ld_width = '00' 24-bit (pam 12-bit + pwm 12-bit)</t>
    <phoneticPr fontId="2" type="noConversion"/>
  </si>
  <si>
    <t>ld_width = '01' 24-bit (pam 12-bit + pwm 12-bit)</t>
    <phoneticPr fontId="2" type="noConversion"/>
  </si>
  <si>
    <t>FBI_PS = FBO_E</t>
    <phoneticPr fontId="2" type="noConversion"/>
  </si>
  <si>
    <t>0x3FF</t>
    <phoneticPr fontId="2" type="noConversion"/>
  </si>
  <si>
    <t>SERIAL_LATENCY</t>
    <phoneticPr fontId="2" type="noConversion"/>
  </si>
  <si>
    <t>S_DET_E</t>
    <phoneticPr fontId="2" type="noConversion"/>
  </si>
  <si>
    <t>0x29</t>
    <phoneticPr fontId="2" type="noConversion"/>
  </si>
  <si>
    <t>TEMP</t>
    <phoneticPr fontId="2" type="noConversion"/>
  </si>
  <si>
    <t>0x26</t>
    <phoneticPr fontId="2" type="noConversion"/>
  </si>
  <si>
    <t>spi</t>
    <phoneticPr fontId="2" type="noConversion"/>
  </si>
  <si>
    <t>RESET</t>
    <phoneticPr fontId="2" type="noConversion"/>
  </si>
  <si>
    <t>0x0000</t>
    <phoneticPr fontId="2" type="noConversion"/>
  </si>
  <si>
    <t>vsync_rst_en2</t>
    <phoneticPr fontId="2" type="noConversion"/>
  </si>
  <si>
    <t>vsync_rst_en1</t>
    <phoneticPr fontId="2" type="noConversion"/>
  </si>
  <si>
    <t>rst3</t>
    <phoneticPr fontId="2" type="noConversion"/>
  </si>
  <si>
    <t>rst2</t>
    <phoneticPr fontId="2" type="noConversion"/>
  </si>
  <si>
    <t>rst1</t>
    <phoneticPr fontId="2" type="noConversion"/>
  </si>
  <si>
    <t>GLOBAL WRITE COMMAND</t>
    <phoneticPr fontId="2" type="noConversion"/>
  </si>
  <si>
    <t>enable</t>
    <phoneticPr fontId="2" type="noConversion"/>
  </si>
  <si>
    <t>LOCAL WRITE COMMAND</t>
    <phoneticPr fontId="2" type="noConversion"/>
  </si>
  <si>
    <t>ch_seg[1:0]</t>
    <phoneticPr fontId="2" type="noConversion"/>
  </si>
  <si>
    <t>LOCAL READ COMMAND</t>
    <phoneticPr fontId="2" type="noConversion"/>
  </si>
  <si>
    <t>ID GEN COMMAND</t>
    <phoneticPr fontId="2" type="noConversion"/>
  </si>
  <si>
    <t>0x04</t>
    <phoneticPr fontId="2" type="noConversion"/>
  </si>
  <si>
    <t>0x0000</t>
  </si>
  <si>
    <t>FAULT READ COMMAND</t>
    <phoneticPr fontId="2" type="noConversion"/>
  </si>
  <si>
    <t>LD TRANSFER COMMAND</t>
    <phoneticPr fontId="2" type="noConversion"/>
  </si>
  <si>
    <t>SYNC GEN COMMAND</t>
    <phoneticPr fontId="2" type="noConversion"/>
  </si>
  <si>
    <t>COMMAND AUTO ENABLE</t>
    <phoneticPr fontId="2" type="noConversion"/>
  </si>
  <si>
    <t>0x0111</t>
    <phoneticPr fontId="2" type="noConversion"/>
  </si>
  <si>
    <t>timeout_en</t>
    <phoneticPr fontId="2" type="noConversion"/>
  </si>
  <si>
    <t>fault auto_en</t>
    <phoneticPr fontId="2" type="noConversion"/>
  </si>
  <si>
    <t>sync auto_en</t>
    <phoneticPr fontId="2" type="noConversion"/>
  </si>
  <si>
    <t>LD WRITE POINTER</t>
    <phoneticPr fontId="2" type="noConversion"/>
  </si>
  <si>
    <t>ld_wr_pointer [8:0]</t>
    <phoneticPr fontId="2" type="noConversion"/>
  </si>
  <si>
    <t>LD READ POINTER</t>
    <phoneticPr fontId="2" type="noConversion"/>
  </si>
  <si>
    <t>ld_rd_pointer [8:0]</t>
    <phoneticPr fontId="2" type="noConversion"/>
  </si>
  <si>
    <t>LD DIFFERENCE POINTER</t>
    <phoneticPr fontId="2" type="noConversion"/>
  </si>
  <si>
    <t>ld_diff_pointer [5:0]</t>
    <phoneticPr fontId="2" type="noConversion"/>
  </si>
  <si>
    <t>LD START POINTER/TH</t>
    <phoneticPr fontId="2" type="noConversion"/>
  </si>
  <si>
    <t>ld_rd_start_pointer [5:0]</t>
    <phoneticPr fontId="2" type="noConversion"/>
  </si>
  <si>
    <t>int_ld_sign</t>
    <phoneticPr fontId="2" type="noConversion"/>
  </si>
  <si>
    <t>ld_diff_threshold [5:0]</t>
    <phoneticPr fontId="2" type="noConversion"/>
  </si>
  <si>
    <t>LOCAL WRITE TRANSFER POINTER</t>
    <phoneticPr fontId="2" type="noConversion"/>
  </si>
  <si>
    <t>local_wr_transfer_read_pointer [5:0]</t>
    <phoneticPr fontId="2" type="noConversion"/>
  </si>
  <si>
    <t>local_wr_transfer_write_pointer [5:0]</t>
    <phoneticPr fontId="2" type="noConversion"/>
  </si>
  <si>
    <t>LOCAL READ RECEIVE POINTER</t>
    <phoneticPr fontId="2" type="noConversion"/>
  </si>
  <si>
    <t>local_rd_receive_read_pointer [5:0]</t>
    <phoneticPr fontId="2" type="noConversion"/>
  </si>
  <si>
    <t>local_rd_receive_write_pointer [5:0]</t>
    <phoneticPr fontId="2" type="noConversion"/>
  </si>
  <si>
    <t>LOCAL RW DIFFERENCE POINTER</t>
    <phoneticPr fontId="2" type="noConversion"/>
  </si>
  <si>
    <t>local_rd_receive_diff_pointer [5:0]</t>
    <phoneticPr fontId="2" type="noConversion"/>
  </si>
  <si>
    <t>local_wr_transfer_diff_pointer [5:0]</t>
    <phoneticPr fontId="2" type="noConversion"/>
  </si>
  <si>
    <t>LOCAL RW POINTER RESET</t>
    <phoneticPr fontId="2" type="noConversion"/>
  </si>
  <si>
    <t>wo</t>
    <phoneticPr fontId="2" type="noConversion"/>
  </si>
  <si>
    <t>0x11</t>
  </si>
  <si>
    <t>local_receive_pointer_rst</t>
    <phoneticPr fontId="2" type="noConversion"/>
  </si>
  <si>
    <t>local_transfer_pointer_rst</t>
    <phoneticPr fontId="2" type="noConversion"/>
  </si>
  <si>
    <t>FAULT AUTO READ INTERVAL</t>
    <phoneticPr fontId="2" type="noConversion"/>
  </si>
  <si>
    <t>fault_auto_rd_interval [15:0]</t>
    <phoneticPr fontId="2" type="noConversion"/>
  </si>
  <si>
    <t>FAULT AUTO READ EVENT</t>
    <phoneticPr fontId="2" type="noConversion"/>
  </si>
  <si>
    <t>fault_auto_rd_timer_event [7:0]</t>
    <phoneticPr fontId="2" type="noConversion"/>
  </si>
  <si>
    <t>fault_auto_rd_interval [16]</t>
    <phoneticPr fontId="2" type="noConversion"/>
  </si>
  <si>
    <t>SERIALIZER CLOCK GEN</t>
    <phoneticPr fontId="2" type="noConversion"/>
  </si>
  <si>
    <t>INTERRUPT ENABLE</t>
    <phoneticPr fontId="2" type="noConversion"/>
  </si>
  <si>
    <t>int_timeout_err_en</t>
    <phoneticPr fontId="2" type="noConversion"/>
  </si>
  <si>
    <t>int_fault_rec_fail_en</t>
    <phoneticPr fontId="2" type="noConversion"/>
  </si>
  <si>
    <t>int_fault_auto_rec_fail_en</t>
    <phoneticPr fontId="2" type="noConversion"/>
  </si>
  <si>
    <t>int_rd_rec_fail_en</t>
    <phoneticPr fontId="2" type="noConversion"/>
  </si>
  <si>
    <t>int_ld_en</t>
    <phoneticPr fontId="2" type="noConversion"/>
  </si>
  <si>
    <t>int_thermal_en</t>
    <phoneticPr fontId="2" type="noConversion"/>
  </si>
  <si>
    <t>int_short_en</t>
    <phoneticPr fontId="2" type="noConversion"/>
  </si>
  <si>
    <t>int_open_en</t>
    <phoneticPr fontId="2" type="noConversion"/>
  </si>
  <si>
    <t>int_fb_en</t>
    <phoneticPr fontId="2" type="noConversion"/>
  </si>
  <si>
    <t>COMMAND STATUS 1</t>
    <phoneticPr fontId="2" type="noConversion"/>
  </si>
  <si>
    <t>local_r_done</t>
    <phoneticPr fontId="2" type="noConversion"/>
  </si>
  <si>
    <t>local_r_doing</t>
    <phoneticPr fontId="2" type="noConversion"/>
  </si>
  <si>
    <t>local_w_done</t>
    <phoneticPr fontId="2" type="noConversion"/>
  </si>
  <si>
    <t>local_w_doing</t>
    <phoneticPr fontId="2" type="noConversion"/>
  </si>
  <si>
    <t>glbl_w_done</t>
    <phoneticPr fontId="2" type="noConversion"/>
  </si>
  <si>
    <t>glbl_w_doing</t>
    <phoneticPr fontId="2" type="noConversion"/>
  </si>
  <si>
    <t>ld_done</t>
    <phoneticPr fontId="2" type="noConversion"/>
  </si>
  <si>
    <t>ld_doing</t>
    <phoneticPr fontId="2" type="noConversion"/>
  </si>
  <si>
    <t>fault_done</t>
    <phoneticPr fontId="2" type="noConversion"/>
  </si>
  <si>
    <t>fault_doing</t>
    <phoneticPr fontId="2" type="noConversion"/>
  </si>
  <si>
    <t>fault_auto_done</t>
    <phoneticPr fontId="2" type="noConversion"/>
  </si>
  <si>
    <t>fault_auto_doing</t>
    <phoneticPr fontId="2" type="noConversion"/>
  </si>
  <si>
    <t>sync_auto_done</t>
    <phoneticPr fontId="2" type="noConversion"/>
  </si>
  <si>
    <t>sync_auto_doing</t>
    <phoneticPr fontId="2" type="noConversion"/>
  </si>
  <si>
    <t>sync_done</t>
    <phoneticPr fontId="2" type="noConversion"/>
  </si>
  <si>
    <t>sync_doing</t>
    <phoneticPr fontId="2" type="noConversion"/>
  </si>
  <si>
    <t>COMMAND STATUS 2</t>
    <phoneticPr fontId="2" type="noConversion"/>
  </si>
  <si>
    <t>0x17</t>
  </si>
  <si>
    <t>id_done</t>
    <phoneticPr fontId="2" type="noConversion"/>
  </si>
  <si>
    <t>id_doing</t>
    <phoneticPr fontId="2" type="noConversion"/>
  </si>
  <si>
    <t>RECEIVE STATUS</t>
    <phoneticPr fontId="2" type="noConversion"/>
  </si>
  <si>
    <t>0x18</t>
  </si>
  <si>
    <t>fault_receive_fail</t>
    <phoneticPr fontId="2" type="noConversion"/>
  </si>
  <si>
    <t>fault_auto_rec_fail</t>
    <phoneticPr fontId="2" type="noConversion"/>
  </si>
  <si>
    <t>rd_receive_fail</t>
    <phoneticPr fontId="2" type="noConversion"/>
  </si>
  <si>
    <t>timeout_err</t>
    <phoneticPr fontId="2" type="noConversion"/>
  </si>
  <si>
    <t>fault_receive_done</t>
    <phoneticPr fontId="2" type="noConversion"/>
  </si>
  <si>
    <t>fault_receive_doing</t>
    <phoneticPr fontId="2" type="noConversion"/>
  </si>
  <si>
    <t>fault_auto_rec_done</t>
    <phoneticPr fontId="2" type="noConversion"/>
  </si>
  <si>
    <t>fault_auto_rec_doing</t>
    <phoneticPr fontId="2" type="noConversion"/>
  </si>
  <si>
    <t>rd_receive_done</t>
    <phoneticPr fontId="2" type="noConversion"/>
  </si>
  <si>
    <t>rd_receive_doing</t>
    <phoneticPr fontId="2" type="noConversion"/>
  </si>
  <si>
    <t>INTERRUPT STATUS</t>
    <phoneticPr fontId="2" type="noConversion"/>
  </si>
  <si>
    <t>0x19</t>
  </si>
  <si>
    <t>int_timeout_err
_source</t>
    <phoneticPr fontId="2" type="noConversion"/>
  </si>
  <si>
    <t>int_fault_rec_fail
_source</t>
    <phoneticPr fontId="2" type="noConversion"/>
  </si>
  <si>
    <t>int_fault_auto_rec_fail
_source</t>
    <phoneticPr fontId="2" type="noConversion"/>
  </si>
  <si>
    <t>int_rd_rec_fail
_source</t>
    <phoneticPr fontId="2" type="noConversion"/>
  </si>
  <si>
    <t>int_ld_source</t>
    <phoneticPr fontId="2" type="noConversion"/>
  </si>
  <si>
    <t>int_thermal_source</t>
    <phoneticPr fontId="2" type="noConversion"/>
  </si>
  <si>
    <t>int_short_source</t>
    <phoneticPr fontId="2" type="noConversion"/>
  </si>
  <si>
    <t>int_open_source</t>
    <phoneticPr fontId="2" type="noConversion"/>
  </si>
  <si>
    <t>int_fb_source</t>
    <phoneticPr fontId="2" type="noConversion"/>
  </si>
  <si>
    <t>0x1A</t>
    <phoneticPr fontId="2" type="noConversion"/>
  </si>
  <si>
    <t>cmd_latency  [7:0]</t>
    <phoneticPr fontId="2" type="noConversion"/>
  </si>
  <si>
    <t>DAISIED DEVICE CH SIZE 1</t>
    <phoneticPr fontId="2" type="noConversion"/>
  </si>
  <si>
    <t>0x20</t>
    <phoneticPr fontId="2" type="noConversion"/>
  </si>
  <si>
    <t>daisied_dev_ch_size3[4:0]</t>
    <phoneticPr fontId="2" type="noConversion"/>
  </si>
  <si>
    <t>daisied_dev_ch_size2[4:0]</t>
    <phoneticPr fontId="2" type="noConversion"/>
  </si>
  <si>
    <t>daisied_dev_ch_size1 [4:0]</t>
    <phoneticPr fontId="2" type="noConversion"/>
  </si>
  <si>
    <t>DAISIED DEVICE CH SIZE 2</t>
  </si>
  <si>
    <t>daisied_dev_ch_size6[4:0]</t>
    <phoneticPr fontId="2" type="noConversion"/>
  </si>
  <si>
    <t>daisied_dev_ch_size5[4:0]</t>
    <phoneticPr fontId="2" type="noConversion"/>
  </si>
  <si>
    <t>daisied_dev_ch_size4[4:0]</t>
    <phoneticPr fontId="2" type="noConversion"/>
  </si>
  <si>
    <t>DAISIED DEVICE CH SIZE 3</t>
  </si>
  <si>
    <t>daisied_dev_ch_size9[4:0]</t>
    <phoneticPr fontId="2" type="noConversion"/>
  </si>
  <si>
    <t>daisied_dev_ch_size8[4:0]</t>
    <phoneticPr fontId="2" type="noConversion"/>
  </si>
  <si>
    <t>daisied_dev_ch_size7[4:0]</t>
    <phoneticPr fontId="2" type="noConversion"/>
  </si>
  <si>
    <t>DAISIED DEVICE CH SIZE 4</t>
  </si>
  <si>
    <t>daisied_dev_ch_size12[4:0]</t>
    <phoneticPr fontId="2" type="noConversion"/>
  </si>
  <si>
    <t>daisied_dev_ch_size11[4:0]</t>
    <phoneticPr fontId="2" type="noConversion"/>
  </si>
  <si>
    <t>daisied_dev_ch_size10[4:0]</t>
    <phoneticPr fontId="2" type="noConversion"/>
  </si>
  <si>
    <t>DAISIED DEVICE CH SIZE 5</t>
  </si>
  <si>
    <t>daisied_dev_ch_size15[4:0]</t>
    <phoneticPr fontId="2" type="noConversion"/>
  </si>
  <si>
    <t>daisied_dev_ch_size14[4:0]</t>
    <phoneticPr fontId="2" type="noConversion"/>
  </si>
  <si>
    <t>daisied_dev_ch_size13[4:0]</t>
    <phoneticPr fontId="2" type="noConversion"/>
  </si>
  <si>
    <t>DAISIED DEVICE CH SIZE 6</t>
  </si>
  <si>
    <t>daisied_dev_ch_size18[4:0]</t>
    <phoneticPr fontId="2" type="noConversion"/>
  </si>
  <si>
    <t>daisied_dev_ch_size17[4:0]</t>
    <phoneticPr fontId="2" type="noConversion"/>
  </si>
  <si>
    <t>daisied_dev_ch_size16[4:0]</t>
    <phoneticPr fontId="2" type="noConversion"/>
  </si>
  <si>
    <t>DAISIED DEVICE CH SIZE 7</t>
  </si>
  <si>
    <t>daisied_dev_ch_size21[4:0]</t>
    <phoneticPr fontId="2" type="noConversion"/>
  </si>
  <si>
    <t>daisied_dev_ch_size20[4:0]</t>
    <phoneticPr fontId="2" type="noConversion"/>
  </si>
  <si>
    <t>daisied_dev_ch_size19[4:0]</t>
    <phoneticPr fontId="2" type="noConversion"/>
  </si>
  <si>
    <t>DAISIED DEVICE CH SIZE 8</t>
  </si>
  <si>
    <t>daisied_dev_ch_size24[4:0]</t>
    <phoneticPr fontId="2" type="noConversion"/>
  </si>
  <si>
    <t>daisied_dev_ch_size23[4:0]</t>
    <phoneticPr fontId="2" type="noConversion"/>
  </si>
  <si>
    <t>daisied_dev_ch_size22[4:0]</t>
    <phoneticPr fontId="2" type="noConversion"/>
  </si>
  <si>
    <t>DAISY SIZE 1</t>
    <phoneticPr fontId="2" type="noConversion"/>
  </si>
  <si>
    <t>0x30</t>
    <phoneticPr fontId="2" type="noConversion"/>
  </si>
  <si>
    <t>daisy_size_ch3[4:0]</t>
    <phoneticPr fontId="2" type="noConversion"/>
  </si>
  <si>
    <t>daisy_size_ch2[4:0]</t>
    <phoneticPr fontId="2" type="noConversion"/>
  </si>
  <si>
    <t>daisy_size_ch1[4:0]</t>
    <phoneticPr fontId="2" type="noConversion"/>
  </si>
  <si>
    <t>DAISY SIZE 2</t>
  </si>
  <si>
    <t>0x31</t>
  </si>
  <si>
    <t>daisy_size_ch6[4:0]</t>
    <phoneticPr fontId="2" type="noConversion"/>
  </si>
  <si>
    <t>daisy_size_ch5[4:0]</t>
    <phoneticPr fontId="2" type="noConversion"/>
  </si>
  <si>
    <t>daisy_size_ch4[4:0]</t>
    <phoneticPr fontId="2" type="noConversion"/>
  </si>
  <si>
    <t>DAISY SIZE 3</t>
  </si>
  <si>
    <t>0x32</t>
  </si>
  <si>
    <t>daisy_size_ch9[4:0]</t>
    <phoneticPr fontId="2" type="noConversion"/>
  </si>
  <si>
    <t>daisy_size_ch8[4:0]</t>
    <phoneticPr fontId="2" type="noConversion"/>
  </si>
  <si>
    <t>daisy_size_ch7[4:0]</t>
    <phoneticPr fontId="2" type="noConversion"/>
  </si>
  <si>
    <t>DAISY SIZE 4</t>
  </si>
  <si>
    <t>0x33</t>
  </si>
  <si>
    <t>daisy_size_ch12[4:0]</t>
    <phoneticPr fontId="2" type="noConversion"/>
  </si>
  <si>
    <t>daisy_size_ch11[4:0]</t>
    <phoneticPr fontId="2" type="noConversion"/>
  </si>
  <si>
    <t>daisy_size_ch10[4:0]</t>
    <phoneticPr fontId="2" type="noConversion"/>
  </si>
  <si>
    <t>DAISY SIZE 5</t>
  </si>
  <si>
    <t>0x34</t>
  </si>
  <si>
    <t>daisy_size_ch15[4:0]</t>
    <phoneticPr fontId="2" type="noConversion"/>
  </si>
  <si>
    <t>daisy_size_ch14[4:0]</t>
    <phoneticPr fontId="2" type="noConversion"/>
  </si>
  <si>
    <t>daisy_size_ch13[4:0]</t>
    <phoneticPr fontId="2" type="noConversion"/>
  </si>
  <si>
    <t>DAISY SIZE 6</t>
  </si>
  <si>
    <t>0x35</t>
  </si>
  <si>
    <t>daisy_size_ch18[4:0]</t>
    <phoneticPr fontId="2" type="noConversion"/>
  </si>
  <si>
    <t>daisy_size_ch17[4:0]</t>
    <phoneticPr fontId="2" type="noConversion"/>
  </si>
  <si>
    <t>daisy_size_ch16[4:0]</t>
    <phoneticPr fontId="2" type="noConversion"/>
  </si>
  <si>
    <t>DAISY SIZE 7</t>
  </si>
  <si>
    <t>0x36</t>
  </si>
  <si>
    <t>daisy_size_ch21[4:0]</t>
    <phoneticPr fontId="2" type="noConversion"/>
  </si>
  <si>
    <t>daisy_size_ch20[4:0]</t>
    <phoneticPr fontId="2" type="noConversion"/>
  </si>
  <si>
    <t>daisy_size_ch19[4:0]</t>
    <phoneticPr fontId="2" type="noConversion"/>
  </si>
  <si>
    <t>DAISY SIZE 8</t>
  </si>
  <si>
    <t>0x37</t>
  </si>
  <si>
    <t>daisy_size_ch24[4:0]</t>
    <phoneticPr fontId="2" type="noConversion"/>
  </si>
  <si>
    <t>daisy_size_ch23[4:0]</t>
    <phoneticPr fontId="2" type="noConversion"/>
  </si>
  <si>
    <t>daisy_size_ch22[4:0]</t>
    <phoneticPr fontId="2" type="noConversion"/>
  </si>
  <si>
    <t>BLOCK SIZE 1</t>
    <phoneticPr fontId="2" type="noConversion"/>
  </si>
  <si>
    <t>0x38</t>
  </si>
  <si>
    <t>block_size_ch2 [7:0]</t>
    <phoneticPr fontId="2" type="noConversion"/>
  </si>
  <si>
    <t>block_size_ch1 [7:0]</t>
    <phoneticPr fontId="2" type="noConversion"/>
  </si>
  <si>
    <t>BLOCK SIZE 2</t>
  </si>
  <si>
    <t>0x39</t>
  </si>
  <si>
    <t>block_size_ch4 [7:0]</t>
    <phoneticPr fontId="2" type="noConversion"/>
  </si>
  <si>
    <t>block_size_ch3 [7:0]</t>
    <phoneticPr fontId="2" type="noConversion"/>
  </si>
  <si>
    <t>BLOCK SIZE 3</t>
  </si>
  <si>
    <t>block_size_ch6 [7:0]</t>
    <phoneticPr fontId="2" type="noConversion"/>
  </si>
  <si>
    <t>block_size_ch5 [7:0]</t>
    <phoneticPr fontId="2" type="noConversion"/>
  </si>
  <si>
    <t>BLOCK SIZE 4</t>
  </si>
  <si>
    <t>block_size_ch8 [7:0]</t>
    <phoneticPr fontId="2" type="noConversion"/>
  </si>
  <si>
    <t>block_size_ch7 [7:0]</t>
    <phoneticPr fontId="2" type="noConversion"/>
  </si>
  <si>
    <t>BLOCK SIZE 5</t>
  </si>
  <si>
    <t>block_size_ch10 [7:0]</t>
    <phoneticPr fontId="2" type="noConversion"/>
  </si>
  <si>
    <t>block_size_ch9 [7:0]</t>
    <phoneticPr fontId="2" type="noConversion"/>
  </si>
  <si>
    <t>BLOCK SIZE 6</t>
  </si>
  <si>
    <t>block_size_ch12 [7:0]</t>
    <phoneticPr fontId="2" type="noConversion"/>
  </si>
  <si>
    <t>block_size_ch11 [7:0]</t>
    <phoneticPr fontId="2" type="noConversion"/>
  </si>
  <si>
    <t>BLOCK SIZE 7</t>
  </si>
  <si>
    <t>block_size_ch14 [7:0]</t>
    <phoneticPr fontId="2" type="noConversion"/>
  </si>
  <si>
    <t>block_size_ch13 [7:0]</t>
    <phoneticPr fontId="2" type="noConversion"/>
  </si>
  <si>
    <t>BLOCK SIZE 8</t>
  </si>
  <si>
    <t>block_size_ch16 [7:0]</t>
    <phoneticPr fontId="2" type="noConversion"/>
  </si>
  <si>
    <t>block_size_ch15 [7:0]</t>
    <phoneticPr fontId="2" type="noConversion"/>
  </si>
  <si>
    <t>BLOCK SIZE 9</t>
  </si>
  <si>
    <t>0x40</t>
    <phoneticPr fontId="2" type="noConversion"/>
  </si>
  <si>
    <t>block_size_ch18 [7:0]</t>
    <phoneticPr fontId="2" type="noConversion"/>
  </si>
  <si>
    <t>block_size_ch17 [7:0]</t>
    <phoneticPr fontId="2" type="noConversion"/>
  </si>
  <si>
    <t>BLOCK SIZE 10</t>
  </si>
  <si>
    <t>0x41</t>
  </si>
  <si>
    <t>block_size_ch20 [7:0]</t>
    <phoneticPr fontId="2" type="noConversion"/>
  </si>
  <si>
    <t>block_size_ch19 [7:0]</t>
    <phoneticPr fontId="2" type="noConversion"/>
  </si>
  <si>
    <t>BLOCK SIZE 11</t>
  </si>
  <si>
    <t>0x42</t>
  </si>
  <si>
    <t>block_size_ch22 [7:0]</t>
    <phoneticPr fontId="2" type="noConversion"/>
  </si>
  <si>
    <t>block_size_ch21 [7:0]</t>
    <phoneticPr fontId="2" type="noConversion"/>
  </si>
  <si>
    <t>BLOCK SIZE 12</t>
  </si>
  <si>
    <t>0x43</t>
  </si>
  <si>
    <t>block_size_ch24 [7:0]</t>
    <phoneticPr fontId="2" type="noConversion"/>
  </si>
  <si>
    <t>block_size_ch23 [7:0]</t>
    <phoneticPr fontId="2" type="noConversion"/>
  </si>
  <si>
    <t>CHANNEL ENALBE 1</t>
    <phoneticPr fontId="2" type="noConversion"/>
  </si>
  <si>
    <t>0x45</t>
  </si>
  <si>
    <t>ch16_en</t>
    <phoneticPr fontId="2" type="noConversion"/>
  </si>
  <si>
    <t>ch15_en</t>
    <phoneticPr fontId="2" type="noConversion"/>
  </si>
  <si>
    <t>ch14_en</t>
    <phoneticPr fontId="2" type="noConversion"/>
  </si>
  <si>
    <t>ch13_en</t>
    <phoneticPr fontId="2" type="noConversion"/>
  </si>
  <si>
    <t>ch12_en</t>
    <phoneticPr fontId="2" type="noConversion"/>
  </si>
  <si>
    <t>ch11_en</t>
    <phoneticPr fontId="2" type="noConversion"/>
  </si>
  <si>
    <t>ch10_en</t>
    <phoneticPr fontId="2" type="noConversion"/>
  </si>
  <si>
    <t>ch9_en</t>
    <phoneticPr fontId="2" type="noConversion"/>
  </si>
  <si>
    <t>ch8_en</t>
    <phoneticPr fontId="2" type="noConversion"/>
  </si>
  <si>
    <t>ch7_en</t>
    <phoneticPr fontId="2" type="noConversion"/>
  </si>
  <si>
    <t>ch6_en</t>
    <phoneticPr fontId="2" type="noConversion"/>
  </si>
  <si>
    <t>ch5_en</t>
    <phoneticPr fontId="2" type="noConversion"/>
  </si>
  <si>
    <t>ch4_en</t>
    <phoneticPr fontId="2" type="noConversion"/>
  </si>
  <si>
    <t>ch3_en</t>
    <phoneticPr fontId="2" type="noConversion"/>
  </si>
  <si>
    <t>ch2_en</t>
    <phoneticPr fontId="2" type="noConversion"/>
  </si>
  <si>
    <t>ch1_en</t>
    <phoneticPr fontId="2" type="noConversion"/>
  </si>
  <si>
    <t>CHANNEL ENABLE 2</t>
    <phoneticPr fontId="2" type="noConversion"/>
  </si>
  <si>
    <t>0x46</t>
  </si>
  <si>
    <t>ld_width [1:0]</t>
    <phoneticPr fontId="2" type="noConversion"/>
  </si>
  <si>
    <t>ch_size [4:0]</t>
    <phoneticPr fontId="2" type="noConversion"/>
  </si>
  <si>
    <t>ch24_en</t>
    <phoneticPr fontId="2" type="noConversion"/>
  </si>
  <si>
    <t>ch23_en</t>
    <phoneticPr fontId="2" type="noConversion"/>
  </si>
  <si>
    <t>ch22_en</t>
    <phoneticPr fontId="2" type="noConversion"/>
  </si>
  <si>
    <t>ch21_en</t>
    <phoneticPr fontId="2" type="noConversion"/>
  </si>
  <si>
    <t>ch20_en</t>
    <phoneticPr fontId="2" type="noConversion"/>
  </si>
  <si>
    <t>ch19_en</t>
    <phoneticPr fontId="2" type="noConversion"/>
  </si>
  <si>
    <t>ch18_en</t>
    <phoneticPr fontId="2" type="noConversion"/>
  </si>
  <si>
    <t>ch17_en</t>
    <phoneticPr fontId="2" type="noConversion"/>
  </si>
  <si>
    <t>GLOBAL DATA PORT</t>
    <phoneticPr fontId="2" type="noConversion"/>
  </si>
  <si>
    <t>GLOBAL WRITE DATA</t>
    <phoneticPr fontId="2" type="noConversion"/>
  </si>
  <si>
    <t>0x60</t>
    <phoneticPr fontId="2" type="noConversion"/>
  </si>
  <si>
    <t>data[11:0]</t>
    <phoneticPr fontId="2" type="noConversion"/>
  </si>
  <si>
    <t>GLOBAL FAULT READ DATA1</t>
    <phoneticPr fontId="2" type="noConversion"/>
  </si>
  <si>
    <t>0x61</t>
  </si>
  <si>
    <t>fault_ch4 [3:0]</t>
    <phoneticPr fontId="2" type="noConversion"/>
  </si>
  <si>
    <t>fault_ch3 [3:0]</t>
    <phoneticPr fontId="2" type="noConversion"/>
  </si>
  <si>
    <t>fault_ch2 [3:0]</t>
    <phoneticPr fontId="2" type="noConversion"/>
  </si>
  <si>
    <t>fault_ch1 [3:0]</t>
    <phoneticPr fontId="2" type="noConversion"/>
  </si>
  <si>
    <t>GLOBAL FAULT READ DATA2</t>
    <phoneticPr fontId="2" type="noConversion"/>
  </si>
  <si>
    <t>0x62</t>
  </si>
  <si>
    <t>fault_ch8 [3:0]</t>
    <phoneticPr fontId="2" type="noConversion"/>
  </si>
  <si>
    <t>fault_ch7 [3:0]</t>
    <phoneticPr fontId="2" type="noConversion"/>
  </si>
  <si>
    <t>fault_ch6 [3:0]</t>
    <phoneticPr fontId="2" type="noConversion"/>
  </si>
  <si>
    <t>fault_ch5 [3:0]</t>
    <phoneticPr fontId="2" type="noConversion"/>
  </si>
  <si>
    <t>GLOBAL FAULT READ DATA3</t>
    <phoneticPr fontId="2" type="noConversion"/>
  </si>
  <si>
    <t>0x63</t>
  </si>
  <si>
    <t>fault_ch12 [3:0]</t>
    <phoneticPr fontId="2" type="noConversion"/>
  </si>
  <si>
    <t>fault_ch11 [3:0]</t>
    <phoneticPr fontId="2" type="noConversion"/>
  </si>
  <si>
    <t>fault_ch10 [3:0]</t>
    <phoneticPr fontId="2" type="noConversion"/>
  </si>
  <si>
    <t>fault_ch9 [3:0]</t>
    <phoneticPr fontId="2" type="noConversion"/>
  </si>
  <si>
    <t>GLOBAL FAULT READ DATA4</t>
    <phoneticPr fontId="2" type="noConversion"/>
  </si>
  <si>
    <t>0x64</t>
  </si>
  <si>
    <t>fault_ch16 [3:0]</t>
    <phoneticPr fontId="2" type="noConversion"/>
  </si>
  <si>
    <t>fault_ch15 [3:0]</t>
    <phoneticPr fontId="2" type="noConversion"/>
  </si>
  <si>
    <t>fault_ch14 [3:0]</t>
    <phoneticPr fontId="2" type="noConversion"/>
  </si>
  <si>
    <t>fault_ch13 [3:0]</t>
    <phoneticPr fontId="2" type="noConversion"/>
  </si>
  <si>
    <t>GLOBAL FAULT READ DATA5</t>
    <phoneticPr fontId="2" type="noConversion"/>
  </si>
  <si>
    <t>0x65</t>
  </si>
  <si>
    <t>fault_ch20 [3:0]</t>
    <phoneticPr fontId="2" type="noConversion"/>
  </si>
  <si>
    <t>fault_ch19 [3:0]</t>
    <phoneticPr fontId="2" type="noConversion"/>
  </si>
  <si>
    <t>fault_ch18 [3:0]</t>
    <phoneticPr fontId="2" type="noConversion"/>
  </si>
  <si>
    <t>fault_ch17 [3:0]</t>
    <phoneticPr fontId="2" type="noConversion"/>
  </si>
  <si>
    <t>GLOBAL FAULT READ DATA6</t>
    <phoneticPr fontId="2" type="noConversion"/>
  </si>
  <si>
    <t>0x66</t>
  </si>
  <si>
    <t>fault_ch24 [3:0]</t>
    <phoneticPr fontId="2" type="noConversion"/>
  </si>
  <si>
    <t>fault_ch23 [3:0]</t>
    <phoneticPr fontId="2" type="noConversion"/>
  </si>
  <si>
    <t>fault_ch22 [3:0]</t>
    <phoneticPr fontId="2" type="noConversion"/>
  </si>
  <si>
    <t>fault_ch21 [3:0]</t>
    <phoneticPr fontId="2" type="noConversion"/>
  </si>
  <si>
    <t>LOCAL DATA PORT</t>
    <phoneticPr fontId="2" type="noConversion"/>
  </si>
  <si>
    <t>PORT1 LOCAL RW DATA1</t>
    <phoneticPr fontId="2" type="noConversion"/>
  </si>
  <si>
    <t>0x70</t>
    <phoneticPr fontId="2" type="noConversion"/>
  </si>
  <si>
    <t>PORT2 LOCAL RW DATA1</t>
    <phoneticPr fontId="2" type="noConversion"/>
  </si>
  <si>
    <t>0x71</t>
  </si>
  <si>
    <t>PORT3 LOCAL RW DATA1</t>
    <phoneticPr fontId="2" type="noConversion"/>
  </si>
  <si>
    <t>0x72</t>
  </si>
  <si>
    <t>data[11:0]</t>
  </si>
  <si>
    <t>PORT4 LOCAL RW DATA1</t>
    <phoneticPr fontId="2" type="noConversion"/>
  </si>
  <si>
    <t>0x73</t>
  </si>
  <si>
    <t>PORT5 LOCAL RW DATA1</t>
    <phoneticPr fontId="2" type="noConversion"/>
  </si>
  <si>
    <t>0x74</t>
  </si>
  <si>
    <t>PORT6 LOCAL RW DATA1</t>
    <phoneticPr fontId="2" type="noConversion"/>
  </si>
  <si>
    <t>0x75</t>
  </si>
  <si>
    <t>PORT7 LOCAL RW DATA1</t>
    <phoneticPr fontId="2" type="noConversion"/>
  </si>
  <si>
    <t>0x76</t>
  </si>
  <si>
    <t>PORT8 LOCAL RW DATA1</t>
    <phoneticPr fontId="2" type="noConversion"/>
  </si>
  <si>
    <t>0x77</t>
  </si>
  <si>
    <t>PORT1 LOCAL RW DATA2</t>
    <phoneticPr fontId="2" type="noConversion"/>
  </si>
  <si>
    <t>0x78</t>
  </si>
  <si>
    <t>PORT2 LOCAL RW DATA2</t>
    <phoneticPr fontId="2" type="noConversion"/>
  </si>
  <si>
    <t>0x79</t>
  </si>
  <si>
    <t>PORT3 LOCAL RW DATA2</t>
    <phoneticPr fontId="2" type="noConversion"/>
  </si>
  <si>
    <t>0x7A</t>
    <phoneticPr fontId="2" type="noConversion"/>
  </si>
  <si>
    <t>PORT4 LOCAL RW DATA2</t>
    <phoneticPr fontId="2" type="noConversion"/>
  </si>
  <si>
    <t>0x7B</t>
    <phoneticPr fontId="2" type="noConversion"/>
  </si>
  <si>
    <t>PORT5 LOCAL RW DATA2</t>
    <phoneticPr fontId="2" type="noConversion"/>
  </si>
  <si>
    <t>0x7C</t>
    <phoneticPr fontId="2" type="noConversion"/>
  </si>
  <si>
    <t>PORT6 LOCAL RW DATA2</t>
    <phoneticPr fontId="2" type="noConversion"/>
  </si>
  <si>
    <t>0x7D</t>
    <phoneticPr fontId="2" type="noConversion"/>
  </si>
  <si>
    <t>PORT7 LOCAL RW DATA2</t>
    <phoneticPr fontId="2" type="noConversion"/>
  </si>
  <si>
    <t>0x7E</t>
    <phoneticPr fontId="2" type="noConversion"/>
  </si>
  <si>
    <t>PORT8 LOCAL RW DATA2</t>
    <phoneticPr fontId="2" type="noConversion"/>
  </si>
  <si>
    <t>0x7F</t>
    <phoneticPr fontId="2" type="noConversion"/>
  </si>
  <si>
    <t>PORT1 LOCAL RW DATA3</t>
    <phoneticPr fontId="2" type="noConversion"/>
  </si>
  <si>
    <t>0x80</t>
    <phoneticPr fontId="2" type="noConversion"/>
  </si>
  <si>
    <t>PORT2 LOCAL RW DATA3</t>
    <phoneticPr fontId="2" type="noConversion"/>
  </si>
  <si>
    <t>0x81</t>
    <phoneticPr fontId="2" type="noConversion"/>
  </si>
  <si>
    <t>PORT3 LOCAL RW DATA3</t>
    <phoneticPr fontId="2" type="noConversion"/>
  </si>
  <si>
    <t>0x82</t>
  </si>
  <si>
    <t>PORT4 LOCAL RW DATA3</t>
    <phoneticPr fontId="2" type="noConversion"/>
  </si>
  <si>
    <t>0x83</t>
  </si>
  <si>
    <t>PORT5 LOCAL RW DATA3</t>
    <phoneticPr fontId="2" type="noConversion"/>
  </si>
  <si>
    <t>0x84</t>
  </si>
  <si>
    <t>PORT6 LOCAL RW DATA3</t>
    <phoneticPr fontId="2" type="noConversion"/>
  </si>
  <si>
    <t>0x85</t>
  </si>
  <si>
    <t>PORT7 LOCAL RW DATA3</t>
    <phoneticPr fontId="2" type="noConversion"/>
  </si>
  <si>
    <t>0x86</t>
  </si>
  <si>
    <t>PORT8 LOCAL RW DATA3</t>
    <phoneticPr fontId="2" type="noConversion"/>
  </si>
  <si>
    <t>0x87</t>
  </si>
  <si>
    <t>PORT1 LOCAL RW DATA4</t>
    <phoneticPr fontId="2" type="noConversion"/>
  </si>
  <si>
    <t>0x88</t>
  </si>
  <si>
    <t>PORT2 LOCAL RW DATA4</t>
    <phoneticPr fontId="2" type="noConversion"/>
  </si>
  <si>
    <t>0x89</t>
  </si>
  <si>
    <t>PORT3 LOCAL RW DATA4</t>
    <phoneticPr fontId="2" type="noConversion"/>
  </si>
  <si>
    <t>0x8A</t>
    <phoneticPr fontId="2" type="noConversion"/>
  </si>
  <si>
    <t>PORT4 LOCAL RW DATA4</t>
    <phoneticPr fontId="2" type="noConversion"/>
  </si>
  <si>
    <t>0x8B</t>
    <phoneticPr fontId="2" type="noConversion"/>
  </si>
  <si>
    <t>PORT5 LOCAL RW DATA4</t>
    <phoneticPr fontId="2" type="noConversion"/>
  </si>
  <si>
    <t>0x8C</t>
    <phoneticPr fontId="2" type="noConversion"/>
  </si>
  <si>
    <t>PORT6 LOCAL RW DATA4</t>
    <phoneticPr fontId="2" type="noConversion"/>
  </si>
  <si>
    <t>0x8D</t>
    <phoneticPr fontId="2" type="noConversion"/>
  </si>
  <si>
    <t>PORT7 LOCAL RW DATA4</t>
    <phoneticPr fontId="2" type="noConversion"/>
  </si>
  <si>
    <t>0x8E</t>
    <phoneticPr fontId="2" type="noConversion"/>
  </si>
  <si>
    <t>PORT8 LOCAL RW DATA4</t>
    <phoneticPr fontId="2" type="noConversion"/>
  </si>
  <si>
    <t>0x8F</t>
    <phoneticPr fontId="2" type="noConversion"/>
  </si>
  <si>
    <t>PORT1 LOCAL RW DATA5</t>
    <phoneticPr fontId="2" type="noConversion"/>
  </si>
  <si>
    <t>0x90</t>
    <phoneticPr fontId="2" type="noConversion"/>
  </si>
  <si>
    <t>PORT2 LOCAL RW DATA5</t>
    <phoneticPr fontId="2" type="noConversion"/>
  </si>
  <si>
    <t>0x91</t>
  </si>
  <si>
    <t>PORT3 LOCAL RW DATA5</t>
    <phoneticPr fontId="2" type="noConversion"/>
  </si>
  <si>
    <t>0x92</t>
  </si>
  <si>
    <t>PORT4 LOCAL RW DATA5</t>
    <phoneticPr fontId="2" type="noConversion"/>
  </si>
  <si>
    <t>0x93</t>
  </si>
  <si>
    <t>PORT5 LOCAL RW DATA5</t>
    <phoneticPr fontId="2" type="noConversion"/>
  </si>
  <si>
    <t>0x94</t>
  </si>
  <si>
    <t>PORT6 LOCAL RW DATA5</t>
    <phoneticPr fontId="2" type="noConversion"/>
  </si>
  <si>
    <t>0x95</t>
  </si>
  <si>
    <t>PORT7 LOCAL RW DATA5</t>
    <phoneticPr fontId="2" type="noConversion"/>
  </si>
  <si>
    <t>0x96</t>
  </si>
  <si>
    <t>PORT8 LOCAL RW DATA5</t>
    <phoneticPr fontId="2" type="noConversion"/>
  </si>
  <si>
    <t>0x97</t>
  </si>
  <si>
    <t>PORT1 LOCAL RW DATA6</t>
    <phoneticPr fontId="2" type="noConversion"/>
  </si>
  <si>
    <t>0x98</t>
  </si>
  <si>
    <t>PORT2 LOCAL RW DATA6</t>
    <phoneticPr fontId="2" type="noConversion"/>
  </si>
  <si>
    <t>0x99</t>
  </si>
  <si>
    <t>PORT3 LOCAL RW DATA6</t>
    <phoneticPr fontId="2" type="noConversion"/>
  </si>
  <si>
    <t>0x9A</t>
    <phoneticPr fontId="2" type="noConversion"/>
  </si>
  <si>
    <t>PORT4 LOCAL RW DATA6</t>
    <phoneticPr fontId="2" type="noConversion"/>
  </si>
  <si>
    <t>0x9B</t>
    <phoneticPr fontId="2" type="noConversion"/>
  </si>
  <si>
    <t>PORT5 LOCAL RW DATA6</t>
    <phoneticPr fontId="2" type="noConversion"/>
  </si>
  <si>
    <t>0x9C</t>
    <phoneticPr fontId="2" type="noConversion"/>
  </si>
  <si>
    <t>PORT6 LOCAL RW DATA6</t>
    <phoneticPr fontId="2" type="noConversion"/>
  </si>
  <si>
    <t>0x9D</t>
    <phoneticPr fontId="2" type="noConversion"/>
  </si>
  <si>
    <t>PORT7 LOCAL RW DATA6</t>
    <phoneticPr fontId="2" type="noConversion"/>
  </si>
  <si>
    <t>0x9E</t>
    <phoneticPr fontId="2" type="noConversion"/>
  </si>
  <si>
    <t>PORT8 LOCAL RW DATA6</t>
    <phoneticPr fontId="2" type="noConversion"/>
  </si>
  <si>
    <t>0x9F</t>
    <phoneticPr fontId="2" type="noConversion"/>
  </si>
  <si>
    <t>PORT1 LOCAL RW DATA7</t>
    <phoneticPr fontId="2" type="noConversion"/>
  </si>
  <si>
    <t>0xA0</t>
    <phoneticPr fontId="2" type="noConversion"/>
  </si>
  <si>
    <t>PORT2 LOCAL RW DATA7</t>
    <phoneticPr fontId="2" type="noConversion"/>
  </si>
  <si>
    <t>0xA1</t>
    <phoneticPr fontId="2" type="noConversion"/>
  </si>
  <si>
    <t>PORT3 LOCAL RW DATA7</t>
    <phoneticPr fontId="2" type="noConversion"/>
  </si>
  <si>
    <t>0xA2</t>
  </si>
  <si>
    <t>PORT4 LOCAL RW DATA7</t>
    <phoneticPr fontId="2" type="noConversion"/>
  </si>
  <si>
    <t>0xA3</t>
  </si>
  <si>
    <t>PORT5 LOCAL RW DATA7</t>
    <phoneticPr fontId="2" type="noConversion"/>
  </si>
  <si>
    <t>0xA4</t>
  </si>
  <si>
    <t>PORT6 LOCAL RW DATA7</t>
    <phoneticPr fontId="2" type="noConversion"/>
  </si>
  <si>
    <t>0xA5</t>
  </si>
  <si>
    <t>PORT7 LOCAL RW DATA7</t>
    <phoneticPr fontId="2" type="noConversion"/>
  </si>
  <si>
    <t>0xA6</t>
  </si>
  <si>
    <t>PORT8 LOCAL RW DATA7</t>
    <phoneticPr fontId="2" type="noConversion"/>
  </si>
  <si>
    <t>0xA7</t>
  </si>
  <si>
    <t>PORT1 LOCAL RW DATA8</t>
    <phoneticPr fontId="2" type="noConversion"/>
  </si>
  <si>
    <t>0xA8</t>
  </si>
  <si>
    <t>PORT2 LOCAL RW DATA8</t>
    <phoneticPr fontId="2" type="noConversion"/>
  </si>
  <si>
    <t>0xA9</t>
  </si>
  <si>
    <t>PORT3 LOCAL RW DATA8</t>
    <phoneticPr fontId="2" type="noConversion"/>
  </si>
  <si>
    <t>0xAA</t>
    <phoneticPr fontId="2" type="noConversion"/>
  </si>
  <si>
    <t>PORT4 LOCAL RW DATA8</t>
    <phoneticPr fontId="2" type="noConversion"/>
  </si>
  <si>
    <t>0xAB</t>
    <phoneticPr fontId="2" type="noConversion"/>
  </si>
  <si>
    <t>PORT5 LOCAL RW DATA8</t>
    <phoneticPr fontId="2" type="noConversion"/>
  </si>
  <si>
    <t>0xAC</t>
    <phoneticPr fontId="2" type="noConversion"/>
  </si>
  <si>
    <t>PORT6 LOCAL RW DATA8</t>
    <phoneticPr fontId="2" type="noConversion"/>
  </si>
  <si>
    <t>0xAD</t>
    <phoneticPr fontId="2" type="noConversion"/>
  </si>
  <si>
    <t>PORT7 LOCAL RW DATA8</t>
    <phoneticPr fontId="2" type="noConversion"/>
  </si>
  <si>
    <t>0xAE</t>
    <phoneticPr fontId="2" type="noConversion"/>
  </si>
  <si>
    <t>PORT8 LOCAL RW DATA8</t>
    <phoneticPr fontId="2" type="noConversion"/>
  </si>
  <si>
    <t>0xAF</t>
    <phoneticPr fontId="2" type="noConversion"/>
  </si>
  <si>
    <t>PORT1 LOCAL RW DATA9</t>
    <phoneticPr fontId="2" type="noConversion"/>
  </si>
  <si>
    <t>0xB0</t>
    <phoneticPr fontId="2" type="noConversion"/>
  </si>
  <si>
    <t>PORT2 LOCAL RW DATA9</t>
    <phoneticPr fontId="2" type="noConversion"/>
  </si>
  <si>
    <t>0xB1</t>
  </si>
  <si>
    <t>PORT3 LOCAL RW DATA9</t>
    <phoneticPr fontId="2" type="noConversion"/>
  </si>
  <si>
    <t>0xB2</t>
  </si>
  <si>
    <t>PORT4 LOCAL RW DATA9</t>
    <phoneticPr fontId="2" type="noConversion"/>
  </si>
  <si>
    <t>0xB3</t>
  </si>
  <si>
    <t>PORT5 LOCAL RW DATA9</t>
    <phoneticPr fontId="2" type="noConversion"/>
  </si>
  <si>
    <t>0xB4</t>
  </si>
  <si>
    <t>PORT6 LOCAL RW DATA9</t>
    <phoneticPr fontId="2" type="noConversion"/>
  </si>
  <si>
    <t>0xB5</t>
  </si>
  <si>
    <t>PORT7 LOCAL RW DATA9</t>
    <phoneticPr fontId="2" type="noConversion"/>
  </si>
  <si>
    <t>0xB6</t>
  </si>
  <si>
    <t>PORT8 LOCAL RW DATA9</t>
    <phoneticPr fontId="2" type="noConversion"/>
  </si>
  <si>
    <t>0xB7</t>
  </si>
  <si>
    <t>PORT1 LOCAL RW DATA10</t>
    <phoneticPr fontId="2" type="noConversion"/>
  </si>
  <si>
    <t>0xB8</t>
  </si>
  <si>
    <t>PORT2 LOCAL RW DATA10</t>
    <phoneticPr fontId="2" type="noConversion"/>
  </si>
  <si>
    <t>0xB9</t>
  </si>
  <si>
    <t>PORT3 LOCAL RW DATA10</t>
    <phoneticPr fontId="2" type="noConversion"/>
  </si>
  <si>
    <t>0xBA</t>
    <phoneticPr fontId="2" type="noConversion"/>
  </si>
  <si>
    <t>PORT4 LOCAL RW DATA10</t>
    <phoneticPr fontId="2" type="noConversion"/>
  </si>
  <si>
    <t>0xBB</t>
    <phoneticPr fontId="2" type="noConversion"/>
  </si>
  <si>
    <t>PORT5 LOCAL RW DATA10</t>
    <phoneticPr fontId="2" type="noConversion"/>
  </si>
  <si>
    <t>0xBC</t>
    <phoneticPr fontId="2" type="noConversion"/>
  </si>
  <si>
    <t>PORT6 LOCAL RW DATA10</t>
    <phoneticPr fontId="2" type="noConversion"/>
  </si>
  <si>
    <t>0xBD</t>
    <phoneticPr fontId="2" type="noConversion"/>
  </si>
  <si>
    <t>PORT7 LOCAL RW DATA10</t>
    <phoneticPr fontId="2" type="noConversion"/>
  </si>
  <si>
    <t>0xBE</t>
    <phoneticPr fontId="2" type="noConversion"/>
  </si>
  <si>
    <t>PORT8 LOCAL RW DATA10</t>
    <phoneticPr fontId="2" type="noConversion"/>
  </si>
  <si>
    <t>0xBF</t>
    <phoneticPr fontId="2" type="noConversion"/>
  </si>
  <si>
    <t>PORT1 LOCAL RW DATA11</t>
    <phoneticPr fontId="2" type="noConversion"/>
  </si>
  <si>
    <t>0xC0</t>
    <phoneticPr fontId="2" type="noConversion"/>
  </si>
  <si>
    <t>PORT2 LOCAL RW DATA11</t>
    <phoneticPr fontId="2" type="noConversion"/>
  </si>
  <si>
    <t>0xC1</t>
    <phoneticPr fontId="2" type="noConversion"/>
  </si>
  <si>
    <t>PORT3 LOCAL RW DATA11</t>
    <phoneticPr fontId="2" type="noConversion"/>
  </si>
  <si>
    <t>0xC2</t>
  </si>
  <si>
    <t>PORT4 LOCAL RW DATA11</t>
    <phoneticPr fontId="2" type="noConversion"/>
  </si>
  <si>
    <t>0xC3</t>
  </si>
  <si>
    <t>PORT5 LOCAL RW DATA11</t>
    <phoneticPr fontId="2" type="noConversion"/>
  </si>
  <si>
    <t>0xC4</t>
  </si>
  <si>
    <t>PORT6 LOCAL RW DATA11</t>
    <phoneticPr fontId="2" type="noConversion"/>
  </si>
  <si>
    <t>0xC5</t>
  </si>
  <si>
    <t>PORT7 LOCAL RW DATA11</t>
    <phoneticPr fontId="2" type="noConversion"/>
  </si>
  <si>
    <t>0xC6</t>
  </si>
  <si>
    <t>PORT8 LOCAL RW DATA11</t>
    <phoneticPr fontId="2" type="noConversion"/>
  </si>
  <si>
    <t>0xC7</t>
  </si>
  <si>
    <t>PORT1 LOCAL RW DATA12</t>
    <phoneticPr fontId="2" type="noConversion"/>
  </si>
  <si>
    <t>0xC8</t>
  </si>
  <si>
    <t>PORT2 LOCAL RW DATA12</t>
    <phoneticPr fontId="2" type="noConversion"/>
  </si>
  <si>
    <t>0xC9</t>
  </si>
  <si>
    <t>PORT3 LOCAL RW DATA12</t>
    <phoneticPr fontId="2" type="noConversion"/>
  </si>
  <si>
    <t>0xCA</t>
    <phoneticPr fontId="2" type="noConversion"/>
  </si>
  <si>
    <t>PORT4 LOCAL RW DATA12</t>
    <phoneticPr fontId="2" type="noConversion"/>
  </si>
  <si>
    <t>0xCB</t>
    <phoneticPr fontId="2" type="noConversion"/>
  </si>
  <si>
    <t>PORT5 LOCAL RW DATA12</t>
    <phoneticPr fontId="2" type="noConversion"/>
  </si>
  <si>
    <t>0xCC</t>
    <phoneticPr fontId="2" type="noConversion"/>
  </si>
  <si>
    <t>PORT6 LOCAL RW DATA12</t>
    <phoneticPr fontId="2" type="noConversion"/>
  </si>
  <si>
    <t>0xCD</t>
    <phoneticPr fontId="2" type="noConversion"/>
  </si>
  <si>
    <t>PORT7 LOCAL RW DATA12</t>
    <phoneticPr fontId="2" type="noConversion"/>
  </si>
  <si>
    <t>0xCE</t>
    <phoneticPr fontId="2" type="noConversion"/>
  </si>
  <si>
    <t>PORT8 LOCAL RW DATA12</t>
    <phoneticPr fontId="2" type="noConversion"/>
  </si>
  <si>
    <t>0xCF</t>
    <phoneticPr fontId="2" type="noConversion"/>
  </si>
  <si>
    <t>PORT1 LOCAL RW DATA13</t>
    <phoneticPr fontId="2" type="noConversion"/>
  </si>
  <si>
    <t>0xD0</t>
    <phoneticPr fontId="2" type="noConversion"/>
  </si>
  <si>
    <t>PORT2 LOCAL RW DATA13</t>
    <phoneticPr fontId="2" type="noConversion"/>
  </si>
  <si>
    <t>0xD1</t>
  </si>
  <si>
    <t>PORT3 LOCAL RW DATA13</t>
    <phoneticPr fontId="2" type="noConversion"/>
  </si>
  <si>
    <t>0xD2</t>
  </si>
  <si>
    <t>PORT4 LOCAL RW DATA13</t>
    <phoneticPr fontId="2" type="noConversion"/>
  </si>
  <si>
    <t>0xD3</t>
  </si>
  <si>
    <t>PORT5 LOCAL RW DATA13</t>
    <phoneticPr fontId="2" type="noConversion"/>
  </si>
  <si>
    <t>0xD4</t>
  </si>
  <si>
    <t>PORT6 LOCAL RW DATA13</t>
    <phoneticPr fontId="2" type="noConversion"/>
  </si>
  <si>
    <t>0xD5</t>
  </si>
  <si>
    <t>PORT7 LOCAL RW DATA13</t>
    <phoneticPr fontId="2" type="noConversion"/>
  </si>
  <si>
    <t>0xD6</t>
  </si>
  <si>
    <t>PORT8 LOCAL RW DATA13</t>
    <phoneticPr fontId="2" type="noConversion"/>
  </si>
  <si>
    <t>0xD7</t>
  </si>
  <si>
    <t>PORT1 LOCAL RW DATA14</t>
    <phoneticPr fontId="2" type="noConversion"/>
  </si>
  <si>
    <t>0xD8</t>
  </si>
  <si>
    <t>PORT2 LOCAL RW DATA14</t>
    <phoneticPr fontId="2" type="noConversion"/>
  </si>
  <si>
    <t>0xD9</t>
  </si>
  <si>
    <t>PORT3 LOCAL RW DATA14</t>
    <phoneticPr fontId="2" type="noConversion"/>
  </si>
  <si>
    <t>0xDA</t>
    <phoneticPr fontId="2" type="noConversion"/>
  </si>
  <si>
    <t>PORT4 LOCAL RW DATA14</t>
    <phoneticPr fontId="2" type="noConversion"/>
  </si>
  <si>
    <t>0xDB</t>
    <phoneticPr fontId="2" type="noConversion"/>
  </si>
  <si>
    <t>PORT5 LOCAL RW DATA14</t>
    <phoneticPr fontId="2" type="noConversion"/>
  </si>
  <si>
    <t>0xDC</t>
    <phoneticPr fontId="2" type="noConversion"/>
  </si>
  <si>
    <t>PORT6 LOCAL RW DATA14</t>
    <phoneticPr fontId="2" type="noConversion"/>
  </si>
  <si>
    <t>0xDD</t>
    <phoneticPr fontId="2" type="noConversion"/>
  </si>
  <si>
    <t>PORT7 LOCAL RW DATA14</t>
    <phoneticPr fontId="2" type="noConversion"/>
  </si>
  <si>
    <t>0xDE</t>
    <phoneticPr fontId="2" type="noConversion"/>
  </si>
  <si>
    <t>PORT8 LOCAL RW DATA14</t>
    <phoneticPr fontId="2" type="noConversion"/>
  </si>
  <si>
    <t>0xDF</t>
    <phoneticPr fontId="2" type="noConversion"/>
  </si>
  <si>
    <t>PORT1 LOCAL RW DATA15</t>
    <phoneticPr fontId="2" type="noConversion"/>
  </si>
  <si>
    <t>0xE0</t>
    <phoneticPr fontId="2" type="noConversion"/>
  </si>
  <si>
    <t>PORT2 LOCAL RW DATA15</t>
    <phoneticPr fontId="2" type="noConversion"/>
  </si>
  <si>
    <t>0xE1</t>
  </si>
  <si>
    <t>PORT3 LOCAL RW DATA15</t>
    <phoneticPr fontId="2" type="noConversion"/>
  </si>
  <si>
    <t>0xE2</t>
  </si>
  <si>
    <t>PORT4 LOCAL RW DATA15</t>
    <phoneticPr fontId="2" type="noConversion"/>
  </si>
  <si>
    <t>0xE3</t>
  </si>
  <si>
    <t>PORT5 LOCAL RW DATA15</t>
    <phoneticPr fontId="2" type="noConversion"/>
  </si>
  <si>
    <t>0xE4</t>
  </si>
  <si>
    <t>PORT6 LOCAL RW DATA15</t>
    <phoneticPr fontId="2" type="noConversion"/>
  </si>
  <si>
    <t>0xE5</t>
  </si>
  <si>
    <t>PORT7 LOCAL RW DATA15</t>
    <phoneticPr fontId="2" type="noConversion"/>
  </si>
  <si>
    <t>0xE6</t>
  </si>
  <si>
    <t>PORT8 LOCAL RW DATA15</t>
    <phoneticPr fontId="2" type="noConversion"/>
  </si>
  <si>
    <t>0xE7</t>
  </si>
  <si>
    <t>PORT1 LOCAL RW DATA16</t>
    <phoneticPr fontId="2" type="noConversion"/>
  </si>
  <si>
    <t>0xE8</t>
  </si>
  <si>
    <t>PORT2 LOCAL RW DATA16</t>
    <phoneticPr fontId="2" type="noConversion"/>
  </si>
  <si>
    <t>0xE9</t>
  </si>
  <si>
    <t>PORT3 LOCAL RW DATA16</t>
    <phoneticPr fontId="2" type="noConversion"/>
  </si>
  <si>
    <t>0xEA</t>
    <phoneticPr fontId="2" type="noConversion"/>
  </si>
  <si>
    <t>PORT4 LOCAL RW DATA16</t>
    <phoneticPr fontId="2" type="noConversion"/>
  </si>
  <si>
    <t>0xEB</t>
    <phoneticPr fontId="2" type="noConversion"/>
  </si>
  <si>
    <t>PORT5 LOCAL RW DATA16</t>
    <phoneticPr fontId="2" type="noConversion"/>
  </si>
  <si>
    <t>0xEC</t>
    <phoneticPr fontId="2" type="noConversion"/>
  </si>
  <si>
    <t>PORT6 LOCAL RW DATA16</t>
    <phoneticPr fontId="2" type="noConversion"/>
  </si>
  <si>
    <t>0xED</t>
    <phoneticPr fontId="2" type="noConversion"/>
  </si>
  <si>
    <t>PORT7 LOCAL RW DATA16</t>
    <phoneticPr fontId="2" type="noConversion"/>
  </si>
  <si>
    <t>0xEE</t>
    <phoneticPr fontId="2" type="noConversion"/>
  </si>
  <si>
    <t>PORT8 LOCAL RW DATA16</t>
    <phoneticPr fontId="2" type="noConversion"/>
  </si>
  <si>
    <t>0xEF</t>
    <phoneticPr fontId="2" type="noConversion"/>
  </si>
  <si>
    <t>4ffb0</t>
    <phoneticPr fontId="2" type="noConversion"/>
  </si>
  <si>
    <t>0xFB0</t>
    <phoneticPr fontId="2" type="noConversion"/>
  </si>
  <si>
    <t>0' original mclk</t>
    <phoneticPr fontId="2" type="noConversion"/>
  </si>
  <si>
    <t>VSYNCO = EXT_VS_E &amp;&amp; ~TEST_E &amp;&amp; VSYNCI</t>
    <phoneticPr fontId="2" type="noConversion"/>
  </si>
  <si>
    <t>(note) FBO_E=1 일 때, FBI pin을 사용하지 않는다면 Pullup or Open시켜야 함 (GND 연결 불가)</t>
    <phoneticPr fontId="2" type="noConversion"/>
  </si>
  <si>
    <t>Max 1-bit length=(SCLK_HIGH+SCLK_LOW)=127</t>
    <phoneticPr fontId="2" type="noConversion"/>
  </si>
  <si>
    <t>0x318</t>
    <phoneticPr fontId="2" type="noConversion"/>
  </si>
  <si>
    <t>OSC_FLL_MAN [15:12]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</si>
  <si>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</si>
  <si>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</si>
  <si>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when reg readout, output the current status of fault
'FB/OPEN can be asserted at the same time
OPEN : detecting while PWM_OUTx is low
MISS_VS : when MISS_VS_DET_E=1, auto-cleared at a vsync
FB/OPEN/SHORT/THERMAL : auto-cleared after fault-(auto)-read or reg-read</t>
    <phoneticPr fontId="2" type="noConversion"/>
  </si>
  <si>
    <t>O_DET_E</t>
    <phoneticPr fontId="2" type="noConversion"/>
  </si>
  <si>
    <t>if the bit high or low length goes over this value,
then the decoder state goes to the idle (for noise pulse or cycle end)</t>
    <phoneticPr fontId="2" type="noConversion"/>
  </si>
  <si>
    <t>MCLK_LOCK_E : mclk_lock_cnt '1' disable and stop ACC input(0), '1' disable
when mclk_lock_cnt==MCLK_LOCK, calculate and auto-stop/start at a vsync</t>
    <phoneticPr fontId="2" type="noConversion"/>
  </si>
  <si>
    <t>despite of normal operation, OT_RD_S can start downloaing</t>
    <phoneticPr fontId="2" type="noConversion"/>
  </si>
  <si>
    <t>LD CONTROL</t>
    <phoneticPr fontId="2" type="noConversion"/>
  </si>
  <si>
    <t>RST/ID</t>
    <phoneticPr fontId="2" type="noConversion"/>
  </si>
  <si>
    <t>0x5A5</t>
    <phoneticPr fontId="2" type="noConversion"/>
  </si>
  <si>
    <t>gap</t>
    <phoneticPr fontId="2" type="noConversion"/>
  </si>
  <si>
    <t>#</t>
    <phoneticPr fontId="2" type="noConversion"/>
  </si>
  <si>
    <t>dev</t>
    <phoneticPr fontId="2" type="noConversion"/>
  </si>
  <si>
    <t>%</t>
    <phoneticPr fontId="2" type="noConversion"/>
  </si>
  <si>
    <t>0x808</t>
    <phoneticPr fontId="2" type="noConversion"/>
  </si>
  <si>
    <t>FLL_RANGE [1:0]</t>
    <phoneticPr fontId="2" type="noConversion"/>
  </si>
  <si>
    <t>DAC_RNG</t>
    <phoneticPr fontId="2" type="noConversion"/>
  </si>
  <si>
    <t>FLT_CTL [1:0]</t>
    <phoneticPr fontId="2" type="noConversion"/>
  </si>
  <si>
    <t>TEST_ANA_EN [1:0]</t>
    <phoneticPr fontId="2" type="noConversion"/>
  </si>
  <si>
    <t>0x820</t>
    <phoneticPr fontId="2" type="noConversion"/>
  </si>
  <si>
    <r>
      <t>~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(FB_IN1 &amp; CH1_EN &amp; (~OPEN_FB_E || ~I_OPEN1 &amp; OPEN_FB_E))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|| ... ||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0000FF"/>
        <rFont val="맑은 고딕"/>
        <family val="3"/>
        <charset val="129"/>
        <scheme val="minor"/>
      </rPr>
      <t>(FB_IN12 &amp; CH12_EN &amp; (~OPEN_FB_E || ~I_OPEN12 &amp; OPEN_FB_E))</t>
    </r>
    <r>
      <rPr>
        <sz val="11"/>
        <color theme="1"/>
        <rFont val="맑은 고딕"/>
        <family val="3"/>
        <charset val="129"/>
        <scheme val="minor"/>
      </rPr>
      <t xml:space="preserve"> || </t>
    </r>
    <r>
      <rPr>
        <sz val="11"/>
        <color rgb="FF006600"/>
        <rFont val="맑은 고딕"/>
        <family val="3"/>
        <charset val="129"/>
        <scheme val="minor"/>
      </rPr>
      <t>(~FBI)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&amp;&amp; </t>
    </r>
    <r>
      <rPr>
        <sz val="11"/>
        <color rgb="FF00B0F0"/>
        <rFont val="맑은 고딕"/>
        <family val="3"/>
        <charset val="129"/>
        <scheme val="minor"/>
      </rPr>
      <t>FBO_E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 )</t>
    </r>
    <phoneticPr fontId="2" type="noConversion"/>
  </si>
  <si>
    <t>OSC_FLL_MONITOR</t>
    <phoneticPr fontId="2" type="noConversion"/>
  </si>
  <si>
    <t>r/o</t>
    <phoneticPr fontId="2" type="noConversion"/>
  </si>
  <si>
    <t>0x2C</t>
    <phoneticPr fontId="2" type="noConversion"/>
  </si>
  <si>
    <t>OSC_FLL_FLT [6:0]</t>
    <phoneticPr fontId="2" type="noConversion"/>
  </si>
  <si>
    <t>monitor FLT [15:9] value of FLL control</t>
    <phoneticPr fontId="2" type="noConversion"/>
  </si>
  <si>
    <t>IO_MODE</t>
    <phoneticPr fontId="2" type="noConversion"/>
  </si>
  <si>
    <t>VSO</t>
    <phoneticPr fontId="2" type="noConversion"/>
  </si>
  <si>
    <t>VSI</t>
    <phoneticPr fontId="2" type="noConversion"/>
  </si>
  <si>
    <t>00</t>
    <phoneticPr fontId="2" type="noConversion"/>
  </si>
  <si>
    <t>01</t>
    <phoneticPr fontId="2" type="noConversion"/>
  </si>
  <si>
    <t>10</t>
    <phoneticPr fontId="2" type="noConversion"/>
  </si>
  <si>
    <t>11</t>
    <phoneticPr fontId="2" type="noConversion"/>
  </si>
  <si>
    <t>nop</t>
    <phoneticPr fontId="2" type="noConversion"/>
  </si>
  <si>
    <t>remark</t>
    <phoneticPr fontId="2" type="noConversion"/>
  </si>
  <si>
    <t>used</t>
    <phoneticPr fontId="2" type="noConversion"/>
  </si>
  <si>
    <t>FBO_OEN</t>
    <phoneticPr fontId="2" type="noConversion"/>
  </si>
  <si>
    <t>ES1</t>
    <phoneticPr fontId="2" type="noConversion"/>
  </si>
  <si>
    <t>VSO_OEN</t>
    <phoneticPr fontId="2" type="noConversion"/>
  </si>
  <si>
    <t>= VSI</t>
    <phoneticPr fontId="2" type="noConversion"/>
  </si>
  <si>
    <r>
      <t xml:space="preserve">=  ~ </t>
    </r>
    <r>
      <rPr>
        <b/>
        <sz val="18"/>
        <color theme="1"/>
        <rFont val="맑은 고딕"/>
        <family val="3"/>
        <charset val="129"/>
        <scheme val="minor"/>
      </rPr>
      <t>(</t>
    </r>
    <r>
      <rPr>
        <b/>
        <sz val="11"/>
        <color theme="1"/>
        <rFont val="맑은 고딕"/>
        <family val="3"/>
        <charset val="129"/>
        <scheme val="minor"/>
      </rPr>
      <t xml:space="preserve">  ( IO_MODE==01)  </t>
    </r>
    <r>
      <rPr>
        <b/>
        <sz val="18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</si>
  <si>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=  </t>
    </r>
    <r>
      <rPr>
        <b/>
        <sz val="11"/>
        <rFont val="맑은 고딕"/>
        <family val="3"/>
        <charset val="129"/>
        <scheme val="minor"/>
      </rPr>
      <t xml:space="preserve">~ </t>
    </r>
    <r>
      <rPr>
        <b/>
        <sz val="18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0000FF"/>
        <rFont val="맑은 고딕"/>
        <family val="3"/>
        <charset val="129"/>
        <scheme val="minor"/>
      </rPr>
      <t>FB_IN1 &amp; CH1_EN &amp; (~OPEN_FB_E || ~I_OPEN1 &amp; OPEN_FB_E)</t>
    </r>
    <r>
      <rPr>
        <b/>
        <sz val="11"/>
        <color rgb="FF0000FF"/>
        <rFont val="맑은 고딕"/>
        <family val="3"/>
        <charset val="129"/>
        <scheme val="minor"/>
      </rPr>
      <t xml:space="preserve"> )</t>
    </r>
    <r>
      <rPr>
        <sz val="11"/>
        <rFont val="맑은 고딕"/>
        <family val="3"/>
        <charset val="129"/>
        <scheme val="minor"/>
      </rPr>
      <t xml:space="preserve">  ||  ...  ||  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( </t>
    </r>
    <r>
      <rPr>
        <b/>
        <u/>
        <sz val="11"/>
        <color theme="5" tint="-0.249977111117893"/>
        <rFont val="맑은 고딕"/>
        <family val="3"/>
        <charset val="129"/>
        <scheme val="minor"/>
      </rPr>
      <t>FB_IN12 &amp; CH12_EN &amp; (~OPEN_FB_E || ~I_OPEN12 &amp; OPEN_FB_E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) ) </t>
    </r>
    <r>
      <rPr>
        <sz val="11"/>
        <rFont val="맑은 고딕"/>
        <family val="3"/>
        <charset val="129"/>
        <scheme val="minor"/>
      </rPr>
      <t xml:space="preserve"> ||  </t>
    </r>
    <r>
      <rPr>
        <b/>
        <sz val="11"/>
        <color rgb="FFFF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FF00FF"/>
        <rFont val="맑은 고딕"/>
        <family val="3"/>
        <charset val="129"/>
        <scheme val="minor"/>
      </rPr>
      <t xml:space="preserve">~FBI_VSO &amp;&amp; IO_MODE==10 </t>
    </r>
    <r>
      <rPr>
        <b/>
        <sz val="11"/>
        <color rgb="FFFF00FF"/>
        <rFont val="맑은 고딕"/>
        <family val="3"/>
        <charset val="129"/>
        <scheme val="minor"/>
      </rPr>
      <t xml:space="preserve">)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&amp;&amp;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IO_MODE==10  ||   IO_MODE==11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 </t>
    </r>
    <r>
      <rPr>
        <b/>
        <sz val="18"/>
        <rFont val="맑은 고딕"/>
        <family val="3"/>
        <charset val="129"/>
        <scheme val="minor"/>
      </rPr>
      <t xml:space="preserve">)  </t>
    </r>
    <phoneticPr fontId="2" type="noConversion"/>
  </si>
  <si>
    <t xml:space="preserve">default input state possible to GND; PU@IO_MODE=10, 그 외는 PU/PD 없음 </t>
    <phoneticPr fontId="2" type="noConversion"/>
  </si>
  <si>
    <t>normal</t>
    <phoneticPr fontId="2" type="noConversion"/>
  </si>
  <si>
    <t>ES2</t>
    <phoneticPr fontId="2" type="noConversion"/>
  </si>
  <si>
    <t>0x03FF</t>
    <phoneticPr fontId="2" type="noConversion"/>
  </si>
  <si>
    <t>0xF0</t>
    <phoneticPr fontId="2" type="noConversion"/>
  </si>
  <si>
    <t>0xF1</t>
  </si>
  <si>
    <t>0xF2</t>
  </si>
  <si>
    <t>0xF3</t>
  </si>
  <si>
    <t>0xF4</t>
  </si>
  <si>
    <t>0xF7</t>
  </si>
  <si>
    <t>0x50</t>
    <phoneticPr fontId="2" type="noConversion"/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</si>
  <si>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</si>
  <si>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</si>
  <si>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</si>
  <si>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</si>
  <si>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</si>
  <si>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</si>
  <si>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</si>
  <si>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</si>
  <si>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</si>
  <si>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DAC CONTROL</t>
    <phoneticPr fontId="2" type="noConversion"/>
  </si>
  <si>
    <t>CURRENT TARGET DAC</t>
    <phoneticPr fontId="2" type="noConversion"/>
  </si>
  <si>
    <t>PREVIOUS TARGET DAC</t>
    <phoneticPr fontId="2" type="noConversion"/>
  </si>
  <si>
    <t>curr_tgt_dac [11:0]</t>
    <phoneticPr fontId="2" type="noConversion"/>
  </si>
  <si>
    <t>DAC OUT</t>
    <phoneticPr fontId="2" type="noConversion"/>
  </si>
  <si>
    <t>dac_out [11:0]</t>
    <phoneticPr fontId="2" type="noConversion"/>
  </si>
  <si>
    <t>prev_tgt_dac [11:0]</t>
    <phoneticPr fontId="2" type="noConversion"/>
  </si>
  <si>
    <t>DAC FB VALID TIMER</t>
    <phoneticPr fontId="2" type="noConversion"/>
  </si>
  <si>
    <t>DAC STATE</t>
    <phoneticPr fontId="2" type="noConversion"/>
  </si>
  <si>
    <t>DAC FB VALID CNT</t>
    <phoneticPr fontId="2" type="noConversion"/>
  </si>
  <si>
    <t>DAC FB CONTROL</t>
    <phoneticPr fontId="2" type="noConversion"/>
  </si>
  <si>
    <t>serial_clk_high [6:0]</t>
    <phoneticPr fontId="2" type="noConversion"/>
  </si>
  <si>
    <t>serial_clk_low [6:0]</t>
    <phoneticPr fontId="2" type="noConversion"/>
  </si>
  <si>
    <t>0x0A14</t>
    <phoneticPr fontId="2" type="noConversion"/>
  </si>
  <si>
    <t>OTP Control</t>
    <phoneticPr fontId="2" type="noConversion"/>
  </si>
  <si>
    <t>OTP Mirror</t>
    <phoneticPr fontId="2" type="noConversion"/>
  </si>
  <si>
    <t>vctl_ldo [3:0]</t>
    <phoneticPr fontId="2" type="noConversion"/>
  </si>
  <si>
    <t>osc_fctl [6:0]</t>
    <phoneticPr fontId="2" type="noConversion"/>
  </si>
  <si>
    <t>dac_gain [5:0]</t>
    <phoneticPr fontId="2" type="noConversion"/>
  </si>
  <si>
    <t>dac_ofs [7:0]    * dac_ofs[7]=signed bit</t>
    <phoneticPr fontId="2" type="noConversion"/>
  </si>
  <si>
    <t>0xF6</t>
  </si>
  <si>
    <t>0x05A5</t>
    <phoneticPr fontId="2" type="noConversion"/>
  </si>
  <si>
    <t>OTP_PG_ACC_CYCLE [15:0]</t>
    <phoneticPr fontId="2" type="noConversion"/>
  </si>
  <si>
    <t>OTP PG ACCESS</t>
    <phoneticPr fontId="2" type="noConversion"/>
  </si>
  <si>
    <t>MIRROR1</t>
    <phoneticPr fontId="2" type="noConversion"/>
  </si>
  <si>
    <t>MIRROR2</t>
    <phoneticPr fontId="2" type="noConversion"/>
  </si>
  <si>
    <t>dac_auto
'0' manual
'1' auto</t>
    <phoneticPr fontId="2" type="noConversion"/>
  </si>
  <si>
    <t>dac_sync_mode
'0' cmd (sync_done)
'1' ext (rising edge)</t>
    <phoneticPr fontId="2" type="noConversion"/>
  </si>
  <si>
    <t>dac_thermal_off
'0' disable
'1' enable</t>
    <phoneticPr fontId="2" type="noConversion"/>
  </si>
  <si>
    <t>CLK CONTROL 1</t>
    <phoneticPr fontId="2" type="noConversion"/>
  </si>
  <si>
    <t>CLK CONTROL 2</t>
    <phoneticPr fontId="2" type="noConversion"/>
  </si>
  <si>
    <t>uv15_det</t>
    <phoneticPr fontId="2" type="noConversion"/>
  </si>
  <si>
    <t>ov15_det</t>
    <phoneticPr fontId="2" type="noConversion"/>
  </si>
  <si>
    <t>uv50_det</t>
    <phoneticPr fontId="2" type="noConversion"/>
  </si>
  <si>
    <t>ov50_det</t>
    <phoneticPr fontId="2" type="noConversion"/>
  </si>
  <si>
    <t>VDD &amp; LDO STATUS</t>
    <phoneticPr fontId="2" type="noConversion"/>
  </si>
  <si>
    <t>0x2D</t>
    <phoneticPr fontId="2" type="noConversion"/>
  </si>
  <si>
    <t>result</t>
    <phoneticPr fontId="2" type="noConversion"/>
  </si>
  <si>
    <t>DDIO_DIS</t>
    <phoneticPr fontId="2" type="noConversion"/>
  </si>
  <si>
    <t>MCLK32_O</t>
    <phoneticPr fontId="2" type="noConversion"/>
  </si>
  <si>
    <t>0x84F</t>
    <phoneticPr fontId="2" type="noConversion"/>
  </si>
  <si>
    <t>MIRROR3</t>
    <phoneticPr fontId="2" type="noConversion"/>
  </si>
  <si>
    <t>VDD &amp; LDO FAULT LEVEL</t>
    <phoneticPr fontId="2" type="noConversion"/>
  </si>
  <si>
    <t>uv15_level [2:0]</t>
    <phoneticPr fontId="2" type="noConversion"/>
  </si>
  <si>
    <t>ov15_level [2:0]</t>
    <phoneticPr fontId="2" type="noConversion"/>
  </si>
  <si>
    <t>uv50_level [2:0]</t>
    <phoneticPr fontId="2" type="noConversion"/>
  </si>
  <si>
    <t>ov50_level [2:0]</t>
    <phoneticPr fontId="2" type="noConversion"/>
  </si>
  <si>
    <t>dac_inc1 [4:0]</t>
    <phoneticPr fontId="2" type="noConversion"/>
  </si>
  <si>
    <t>dac_inc2 [4:0]</t>
    <phoneticPr fontId="2" type="noConversion"/>
  </si>
  <si>
    <t>dac_inc3 [5:0]</t>
    <phoneticPr fontId="2" type="noConversion"/>
  </si>
  <si>
    <t>dac_hold_en
'0' disable
'1' enable</t>
    <phoneticPr fontId="2" type="noConversion"/>
  </si>
  <si>
    <t>DAC INCREMENT HOLD THRESOLD</t>
    <phoneticPr fontId="2" type="noConversion"/>
  </si>
  <si>
    <t>signed</t>
    <phoneticPr fontId="2" type="noConversion"/>
  </si>
  <si>
    <t>dac_st_en [3:0]</t>
    <phoneticPr fontId="2" type="noConversion"/>
  </si>
  <si>
    <t>dac_state [3:0]</t>
    <phoneticPr fontId="2" type="noConversion"/>
  </si>
  <si>
    <t>dac_inc_hold_limit_cnt [7:0]</t>
    <phoneticPr fontId="2" type="noConversion"/>
  </si>
  <si>
    <t>DAC INC HOLD/WAIT CNT</t>
    <phoneticPr fontId="2" type="noConversion"/>
  </si>
  <si>
    <t>0x5A</t>
    <phoneticPr fontId="2" type="noConversion"/>
  </si>
  <si>
    <t>0x5B</t>
    <phoneticPr fontId="2" type="noConversion"/>
  </si>
  <si>
    <t>0x5C</t>
    <phoneticPr fontId="2" type="noConversion"/>
  </si>
  <si>
    <t>0x5D</t>
    <phoneticPr fontId="2" type="noConversion"/>
  </si>
  <si>
    <t>0x5E</t>
    <phoneticPr fontId="2" type="noConversion"/>
  </si>
  <si>
    <t>0x5F</t>
    <phoneticPr fontId="2" type="noConversion"/>
  </si>
  <si>
    <t>DAC MIN LIMIT</t>
    <phoneticPr fontId="2" type="noConversion"/>
  </si>
  <si>
    <t>dac_min_limit [11:0]</t>
    <phoneticPr fontId="2" type="noConversion"/>
  </si>
  <si>
    <t>dac_inc_hold_threshold [8:0]</t>
    <phoneticPr fontId="2" type="noConversion"/>
  </si>
  <si>
    <t>soa_n1 [6:0]</t>
    <phoneticPr fontId="2" type="noConversion"/>
  </si>
  <si>
    <t>soa_n11 [8:0]</t>
    <phoneticPr fontId="2" type="noConversion"/>
  </si>
  <si>
    <t>SOA_N1 &amp; N11</t>
    <phoneticPr fontId="2" type="noConversion"/>
  </si>
  <si>
    <t>soa_p3 [9:0]</t>
    <phoneticPr fontId="2" type="noConversion"/>
  </si>
  <si>
    <t>dac_dec1_mode
'0' static
'1' arithmetic exp</t>
    <phoneticPr fontId="2" type="noConversion"/>
  </si>
  <si>
    <t>0x1301</t>
    <phoneticPr fontId="2" type="noConversion"/>
  </si>
  <si>
    <t>soa_p1 [8:0]</t>
    <phoneticPr fontId="2" type="noConversion"/>
  </si>
  <si>
    <t>soa_p2 [3:0]</t>
    <phoneticPr fontId="2" type="noConversion"/>
  </si>
  <si>
    <t>soa_p2 [9:4]</t>
    <phoneticPr fontId="2" type="noConversion"/>
  </si>
  <si>
    <t>SOA_P3/P2</t>
    <phoneticPr fontId="2" type="noConversion"/>
  </si>
  <si>
    <t>SOA_P2/P1</t>
    <phoneticPr fontId="2" type="noConversion"/>
  </si>
  <si>
    <t>dac_int4 [6:0]</t>
    <phoneticPr fontId="2" type="noConversion"/>
  </si>
  <si>
    <t>dac_inc_hold_limit [8:0]</t>
    <phoneticPr fontId="2" type="noConversion"/>
  </si>
  <si>
    <t>dac_dec1 [6:0]</t>
    <phoneticPr fontId="2" type="noConversion"/>
  </si>
  <si>
    <t>dac_inc1_wait [6:0]</t>
    <phoneticPr fontId="2" type="noConversion"/>
  </si>
  <si>
    <t>DAC DECREMENT &amp; INC WAIT</t>
    <phoneticPr fontId="2" type="noConversion"/>
  </si>
  <si>
    <t>0x0190</t>
    <phoneticPr fontId="2" type="noConversion"/>
  </si>
  <si>
    <t>0x020A</t>
    <phoneticPr fontId="2" type="noConversion"/>
  </si>
  <si>
    <t>0x40C2</t>
    <phoneticPr fontId="2" type="noConversion"/>
  </si>
  <si>
    <t>0x1908</t>
    <phoneticPr fontId="2" type="noConversion"/>
  </si>
  <si>
    <t>0x0820</t>
    <phoneticPr fontId="2" type="noConversion"/>
  </si>
  <si>
    <t>alone</t>
    <phoneticPr fontId="2" type="noConversion"/>
  </si>
  <si>
    <t>real_fb</t>
    <phoneticPr fontId="2" type="noConversion"/>
  </si>
  <si>
    <t>cmd_fb</t>
    <phoneticPr fontId="2" type="noConversion"/>
  </si>
  <si>
    <t>multitple</t>
    <phoneticPr fontId="2" type="noConversion"/>
  </si>
  <si>
    <t>미사용</t>
    <phoneticPr fontId="2" type="noConversion"/>
  </si>
  <si>
    <t>= int_fb_source</t>
    <phoneticPr fontId="2" type="noConversion"/>
  </si>
  <si>
    <t>사용</t>
    <phoneticPr fontId="2" type="noConversion"/>
  </si>
  <si>
    <t>미사용 (PU)</t>
    <phoneticPr fontId="2" type="noConversion"/>
  </si>
  <si>
    <t>int_fb_source 그대로 사용</t>
    <phoneticPr fontId="2" type="noConversion"/>
  </si>
  <si>
    <t>사용(PU)</t>
    <phoneticPr fontId="2" type="noConversion"/>
  </si>
  <si>
    <t>FBO를 FBI와 연결(all XC)</t>
    <phoneticPr fontId="2" type="noConversion"/>
  </si>
  <si>
    <t>FBI신호를 filtering &amp; latch해서 사용</t>
    <phoneticPr fontId="2" type="noConversion"/>
  </si>
  <si>
    <t>FBI 신호를 filtering &amp; latch 필요</t>
    <phoneticPr fontId="2" type="noConversion"/>
  </si>
  <si>
    <t>(이전 한 프레임 신호가 latched)</t>
    <phoneticPr fontId="2" type="noConversion"/>
  </si>
  <si>
    <t>master로 입력되는 FBI (real fb) 신호를 한 프레임 동안 filtering &amp; latch해서 사용</t>
    <phoneticPr fontId="2" type="noConversion"/>
  </si>
  <si>
    <t>master로 입력되는 FBI (cmd fb) 신호들을 한 프레임동안 filtering &amp; latch해서 사용</t>
    <phoneticPr fontId="2" type="noConversion"/>
  </si>
  <si>
    <t>모든 FBO 신호(master포함)들을 묶어서 master FBI로 연결 (slave FBI 미사용)</t>
    <phoneticPr fontId="2" type="noConversion"/>
  </si>
  <si>
    <t>master FBI(real fb, PU) 만 사용, 나머지 모든 FBI/ FBO 미사용</t>
    <phoneticPr fontId="2" type="noConversion"/>
  </si>
  <si>
    <t>FBI(real fb, PU) 만 사용, FBO 미사용</t>
    <phoneticPr fontId="2" type="noConversion"/>
  </si>
  <si>
    <t>FBI(PU) 미사용 / FBO 미사용</t>
    <phoneticPr fontId="2" type="noConversion"/>
  </si>
  <si>
    <t xml:space="preserve"> = int_fb_source 로 처리</t>
    <phoneticPr fontId="2" type="noConversion"/>
  </si>
  <si>
    <t>design</t>
    <phoneticPr fontId="2" type="noConversion"/>
  </si>
  <si>
    <t>dac_fb_mode : '0' internal   '1' external (multiple XC)</t>
    <phoneticPr fontId="2" type="noConversion"/>
  </si>
  <si>
    <t>FBI : filterred and latched</t>
    <phoneticPr fontId="2" type="noConversion"/>
  </si>
  <si>
    <t>dac_fb_mode
'0' internal
'1' ext multiple XC</t>
    <phoneticPr fontId="2" type="noConversion"/>
  </si>
  <si>
    <t>0x0400</t>
    <phoneticPr fontId="2" type="noConversion"/>
  </si>
  <si>
    <t>0xC07D</t>
    <phoneticPr fontId="2" type="noConversion"/>
  </si>
  <si>
    <t>0x7D12</t>
    <phoneticPr fontId="2" type="noConversion"/>
  </si>
  <si>
    <t>TEST CONTROL</t>
    <phoneticPr fontId="2" type="noConversion"/>
  </si>
  <si>
    <t>0x4F</t>
    <phoneticPr fontId="2" type="noConversion"/>
  </si>
  <si>
    <t>dac_inc1_wait_cnt [6:0]</t>
    <phoneticPr fontId="2" type="noConversion"/>
  </si>
  <si>
    <t>r2 [ 11:0]</t>
    <phoneticPr fontId="2" type="noConversion"/>
  </si>
  <si>
    <t>R2</t>
    <phoneticPr fontId="2" type="noConversion"/>
  </si>
  <si>
    <t>MCLK1_O</t>
    <phoneticPr fontId="2" type="noConversion"/>
  </si>
  <si>
    <t>dac_fb_valid_timer [17:2]</t>
    <phoneticPr fontId="2" type="noConversion"/>
  </si>
  <si>
    <t>0xF5</t>
    <phoneticPr fontId="2" type="noConversion"/>
  </si>
  <si>
    <t>dac_fb_valid_cnt [17:2]</t>
    <phoneticPr fontId="2" type="noConversion"/>
  </si>
  <si>
    <t>0x4D</t>
    <phoneticPr fontId="2" type="noConversion"/>
  </si>
  <si>
    <t>DAC MAX LIMIT</t>
    <phoneticPr fontId="2" type="noConversion"/>
  </si>
  <si>
    <t>dac_max_limit [11:0]</t>
    <phoneticPr fontId="2" type="noConversion"/>
  </si>
  <si>
    <t>int_parity_err_en</t>
    <phoneticPr fontId="2" type="noConversion"/>
  </si>
  <si>
    <t>int_acc_cnt_err_en</t>
    <phoneticPr fontId="2" type="noConversion"/>
  </si>
  <si>
    <t>spi_parity_err_det_en
'0' disable  '1' enable</t>
    <phoneticPr fontId="2" type="noConversion"/>
  </si>
  <si>
    <t>spi_acc_cnt_err_det_en
'0' disable  '0' enable</t>
    <phoneticPr fontId="2" type="noConversion"/>
  </si>
  <si>
    <t>parity_err_status</t>
    <phoneticPr fontId="2" type="noConversion"/>
  </si>
  <si>
    <t>acc_cnt_err_status</t>
    <phoneticPr fontId="2" type="noConversion"/>
  </si>
  <si>
    <t>int_ov50_en</t>
    <phoneticPr fontId="2" type="noConversion"/>
  </si>
  <si>
    <t>int_uv50_en</t>
    <phoneticPr fontId="2" type="noConversion"/>
  </si>
  <si>
    <t>int_ov15_en</t>
    <phoneticPr fontId="2" type="noConversion"/>
  </si>
  <si>
    <t>int_uv15_en</t>
    <phoneticPr fontId="2" type="noConversion"/>
  </si>
  <si>
    <t>int_ovuv_err
_source</t>
    <phoneticPr fontId="2" type="noConversion"/>
  </si>
  <si>
    <t>int_acc_cnt_err
_source</t>
    <phoneticPr fontId="2" type="noConversion"/>
  </si>
  <si>
    <t>int_parity_err
_source</t>
    <phoneticPr fontId="2" type="noConversion"/>
  </si>
  <si>
    <t>checksum_status [1;0]</t>
    <phoneticPr fontId="2" type="noConversion"/>
  </si>
  <si>
    <t>acc_counter [7:0]</t>
    <phoneticPr fontId="2" type="noConversion"/>
  </si>
  <si>
    <t>SPI FAULT STATUS/CONTROL</t>
    <phoneticPr fontId="2" type="noConversion"/>
  </si>
  <si>
    <t>0x4444</t>
    <phoneticPr fontId="2" type="noConversion"/>
  </si>
  <si>
    <t>max_limit</t>
    <phoneticPr fontId="2" type="noConversion"/>
  </si>
  <si>
    <t>osc_force_static [6:0]</t>
    <phoneticPr fontId="2" type="noConversion"/>
  </si>
  <si>
    <t>otp_checksum [5:0]</t>
    <phoneticPr fontId="2" type="noConversion"/>
  </si>
  <si>
    <t>DAC INCREMENT 1</t>
    <phoneticPr fontId="2" type="noConversion"/>
  </si>
  <si>
    <t>DAC INCREMENT 2 &amp; HOLD_LIMIT</t>
    <phoneticPr fontId="2" type="noConversion"/>
  </si>
  <si>
    <t>LATENCY</t>
    <phoneticPr fontId="2" type="noConversion"/>
  </si>
  <si>
    <t>serial_latency [7:0]</t>
    <phoneticPr fontId="2" type="noConversion"/>
  </si>
  <si>
    <t>0x0FA0</t>
    <phoneticPr fontId="2" type="noConversion"/>
  </si>
  <si>
    <t>0x0004</t>
    <phoneticPr fontId="2" type="noConversion"/>
  </si>
  <si>
    <t>0x4008</t>
    <phoneticPr fontId="2" type="noConversion"/>
  </si>
  <si>
    <t>0x2000</t>
    <phoneticPr fontId="2" type="noConversion"/>
  </si>
  <si>
    <t>DACO_DIRECT</t>
    <phoneticPr fontId="2" type="noConversion"/>
  </si>
  <si>
    <t>OV15</t>
    <phoneticPr fontId="2" type="noConversion"/>
  </si>
  <si>
    <t>UV15</t>
    <phoneticPr fontId="2" type="noConversion"/>
  </si>
  <si>
    <t>OVUV15_EN</t>
    <phoneticPr fontId="2" type="noConversion"/>
  </si>
  <si>
    <t>VREF_FIX</t>
    <phoneticPr fontId="2" type="noConversion"/>
  </si>
  <si>
    <t>VREF_FIX [11:0]</t>
    <phoneticPr fontId="2" type="noConversion"/>
  </si>
  <si>
    <t>0x2F</t>
    <phoneticPr fontId="2" type="noConversion"/>
  </si>
  <si>
    <t>next dbout때 추가 : vsync missing에서 사용</t>
    <phoneticPr fontId="2" type="noConversion"/>
  </si>
  <si>
    <t>int_ld
(= nINT_LD, OD)</t>
    <phoneticPr fontId="2" type="noConversion"/>
  </si>
  <si>
    <t>int_fault
(= nINT_FAULT, OD)</t>
    <phoneticPr fontId="2" type="noConversion"/>
  </si>
  <si>
    <t>spread_range_a [2:0]</t>
    <phoneticPr fontId="2" type="noConversion"/>
  </si>
  <si>
    <t>spread_range_d [1:0]</t>
    <phoneticPr fontId="2" type="noConversion"/>
  </si>
  <si>
    <t>spread_speed [1:0]</t>
    <phoneticPr fontId="2" type="noConversion"/>
  </si>
  <si>
    <r>
      <t xml:space="preserve">spread_dir [1:0]
 '00' +       '01' -      '10' </t>
    </r>
    <r>
      <rPr>
        <sz val="11"/>
        <color rgb="FFFF0000"/>
        <rFont val="맑은 고딕"/>
        <family val="3"/>
        <charset val="129"/>
      </rPr>
      <t>±</t>
    </r>
    <phoneticPr fontId="2" type="noConversion"/>
  </si>
  <si>
    <t>serializer_skew_en
'0' disable
'1' enable</t>
    <phoneticPr fontId="2" type="noConversion"/>
  </si>
  <si>
    <t>osc_spread_en
'0' disable
'1' enable</t>
    <phoneticPr fontId="2" type="noConversion"/>
  </si>
  <si>
    <t>serializer_clk_sel
'0' internal osc
  '1' external mclk</t>
    <phoneticPr fontId="2" type="noConversion"/>
  </si>
  <si>
    <r>
      <t xml:space="preserve">mclk_mode
'0' internal osc(default)
</t>
    </r>
    <r>
      <rPr>
        <sz val="11"/>
        <color theme="0" tint="-0.249977111117893"/>
        <rFont val="맑은 고딕"/>
        <family val="3"/>
        <charset val="129"/>
        <scheme val="minor"/>
      </rPr>
      <t xml:space="preserve"> '1'</t>
    </r>
    <r>
      <rPr>
        <sz val="11"/>
        <color rgb="FFFF0000"/>
        <rFont val="맑은 고딕"/>
        <family val="3"/>
        <charset val="129"/>
        <scheme val="minor"/>
      </rPr>
      <t xml:space="preserve"> ext mclk (if entered)</t>
    </r>
    <phoneticPr fontId="2" type="noConversion"/>
  </si>
  <si>
    <t>main spi</t>
    <phoneticPr fontId="2" type="noConversion"/>
  </si>
  <si>
    <t>line</t>
    <phoneticPr fontId="2" type="noConversion"/>
  </si>
  <si>
    <t>xc baudrate</t>
    <phoneticPr fontId="2" type="noConversion"/>
  </si>
  <si>
    <t>low/high</t>
    <phoneticPr fontId="2" type="noConversion"/>
  </si>
  <si>
    <t>margin</t>
    <phoneticPr fontId="2" type="noConversion"/>
  </si>
  <si>
    <t>block</t>
    <phoneticPr fontId="2" type="noConversion"/>
  </si>
  <si>
    <t>room blk#</t>
    <phoneticPr fontId="2" type="noConversion"/>
  </si>
  <si>
    <t>spi frequency</t>
    <phoneticPr fontId="2" type="noConversion"/>
  </si>
  <si>
    <t>xc_ld_size</t>
    <phoneticPr fontId="2" type="noConversion"/>
  </si>
  <si>
    <t>spi latency1</t>
    <phoneticPr fontId="2" type="noConversion"/>
  </si>
  <si>
    <t>spi ld/blk</t>
    <phoneticPr fontId="2" type="noConversion"/>
  </si>
  <si>
    <t>spi latency2</t>
  </si>
  <si>
    <t>xc_dev_ch_size</t>
    <phoneticPr fontId="2" type="noConversion"/>
  </si>
  <si>
    <t>transmit</t>
    <phoneticPr fontId="2" type="noConversion"/>
  </si>
  <si>
    <t>total line</t>
    <phoneticPr fontId="2" type="noConversion"/>
  </si>
  <si>
    <t>spi thruput</t>
    <phoneticPr fontId="2" type="noConversion"/>
  </si>
  <si>
    <t>ld serializing thruput</t>
    <phoneticPr fontId="2" type="noConversion"/>
  </si>
  <si>
    <t>total blk#</t>
    <phoneticPr fontId="2" type="noConversion"/>
  </si>
  <si>
    <t>ld_transfer_start_point</t>
    <phoneticPr fontId="2" type="noConversion"/>
  </si>
  <si>
    <t>FPWM_DIV [7:0]</t>
    <phoneticPr fontId="2" type="noConversion"/>
  </si>
  <si>
    <t>E_RST</t>
    <phoneticPr fontId="2" type="noConversion"/>
  </si>
  <si>
    <t>VS_RST</t>
    <phoneticPr fontId="2" type="noConversion"/>
  </si>
  <si>
    <t>RST : all logics reset, auto-cleared
VS_RST : SER/DESER reset @ vsync
E_RST : SER/DESER reset @ last pwmclk
ID #1~#31 ('0' invalid) : not writable</t>
    <phoneticPr fontId="2" type="noConversion"/>
  </si>
  <si>
    <t>WR_PROTECT</t>
    <phoneticPr fontId="2" type="noConversion"/>
  </si>
  <si>
    <t>WR_PROTECT [9:0] 0x155 (wr_en), 0x2AA (wr_dis), *But 0x08 MXC_CURR_VREF is always writable</t>
    <phoneticPr fontId="2" type="noConversion"/>
  </si>
  <si>
    <t>SERIAL_LATENCY [7:0] default= 150ea;  &gt; sclk_high + sclk_low</t>
    <phoneticPr fontId="2" type="noConversion"/>
  </si>
  <si>
    <t>C8</t>
    <phoneticPr fontId="2" type="noConversion"/>
  </si>
  <si>
    <t>0x0C8</t>
    <phoneticPr fontId="2" type="noConversion"/>
  </si>
  <si>
    <t>PCK_MODE</t>
    <phoneticPr fontId="2" type="noConversion"/>
  </si>
  <si>
    <t>PCK_SYNC_EN</t>
    <phoneticPr fontId="2" type="noConversion"/>
  </si>
  <si>
    <t>0xD55</t>
    <phoneticPr fontId="2" type="noConversion"/>
  </si>
  <si>
    <t>frame frequency</t>
    <phoneticPr fontId="2" type="noConversion"/>
  </si>
  <si>
    <t>us/step</t>
    <phoneticPr fontId="2" type="noConversion"/>
  </si>
  <si>
    <t>step</t>
    <phoneticPr fontId="2" type="noConversion"/>
  </si>
  <si>
    <t>ref mclk</t>
    <phoneticPr fontId="2" type="noConversion"/>
  </si>
  <si>
    <t>dev %</t>
    <phoneticPr fontId="2" type="noConversion"/>
  </si>
  <si>
    <t>pwm_resolution</t>
    <phoneticPr fontId="2" type="noConversion"/>
  </si>
  <si>
    <t>scan_no</t>
    <phoneticPr fontId="2" type="noConversion"/>
  </si>
  <si>
    <t>중간계산</t>
    <phoneticPr fontId="2" type="noConversion"/>
  </si>
  <si>
    <t>32bit</t>
    <phoneticPr fontId="2" type="noConversion"/>
  </si>
  <si>
    <t>dev_prove</t>
    <phoneticPr fontId="2" type="noConversion"/>
  </si>
  <si>
    <t>scan_no set value</t>
    <phoneticPr fontId="2" type="noConversion"/>
  </si>
  <si>
    <t>original 대비 오차</t>
    <phoneticPr fontId="2" type="noConversion"/>
  </si>
  <si>
    <t>1-step deviation</t>
    <phoneticPr fontId="2" type="noConversion"/>
  </si>
  <si>
    <t>dev to right</t>
    <phoneticPr fontId="2" type="noConversion"/>
  </si>
  <si>
    <t>dev to left</t>
    <phoneticPr fontId="2" type="noConversion"/>
  </si>
  <si>
    <t>PWM 12-bit (VD수식)</t>
    <phoneticPr fontId="2" type="noConversion"/>
  </si>
  <si>
    <t>mclk_REAL</t>
    <phoneticPr fontId="2" type="noConversion"/>
  </si>
  <si>
    <t>state</t>
    <phoneticPr fontId="2" type="noConversion"/>
  </si>
  <si>
    <t>scan_no[2:0]</t>
    <phoneticPr fontId="2" type="noConversion"/>
  </si>
  <si>
    <t>ref. mclk_cnt</t>
    <phoneticPr fontId="2" type="noConversion"/>
  </si>
  <si>
    <t>ref mclk_cnt 보정</t>
    <phoneticPr fontId="2" type="noConversion"/>
  </si>
  <si>
    <t>final mclk_cnt</t>
    <phoneticPr fontId="2" type="noConversion"/>
  </si>
  <si>
    <t>mclk_cnt_lock_en</t>
    <phoneticPr fontId="2" type="noConversion"/>
  </si>
  <si>
    <t>mclk_cnt reg</t>
    <phoneticPr fontId="2" type="noConversion"/>
  </si>
  <si>
    <t>060_129</t>
    <phoneticPr fontId="2" type="noConversion"/>
  </si>
  <si>
    <t>frame frequency@cal</t>
    <phoneticPr fontId="2" type="noConversion"/>
  </si>
  <si>
    <t>PWM 12-bit 계산table (original)</t>
    <phoneticPr fontId="2" type="noConversion"/>
  </si>
  <si>
    <t>PWM 14-bit 계산table (original)</t>
    <phoneticPr fontId="2" type="noConversion"/>
  </si>
  <si>
    <t>PWM 14-bit (VD수식)</t>
    <phoneticPr fontId="2" type="noConversion"/>
  </si>
  <si>
    <t>value</t>
    <phoneticPr fontId="2" type="noConversion"/>
  </si>
  <si>
    <t>061_51F</t>
    <phoneticPr fontId="2" type="noConversion"/>
  </si>
  <si>
    <t>161_51F</t>
    <phoneticPr fontId="2" type="noConversion"/>
  </si>
  <si>
    <t>transition 2</t>
    <phoneticPr fontId="2" type="noConversion"/>
  </si>
  <si>
    <t>transition 1</t>
    <phoneticPr fontId="2" type="noConversion"/>
  </si>
  <si>
    <t>FLL enable</t>
    <phoneticPr fontId="2" type="noConversion"/>
  </si>
  <si>
    <t>FLL disable</t>
    <phoneticPr fontId="2" type="noConversion"/>
  </si>
  <si>
    <t>[계산 및 설정]</t>
    <phoneticPr fontId="2" type="noConversion"/>
  </si>
  <si>
    <t>060_171</t>
    <phoneticPr fontId="2" type="noConversion"/>
  </si>
  <si>
    <t>063_420</t>
    <phoneticPr fontId="2" type="noConversion"/>
  </si>
  <si>
    <t>163_420</t>
    <phoneticPr fontId="2" type="noConversion"/>
  </si>
  <si>
    <t>050_133</t>
    <phoneticPr fontId="2" type="noConversion"/>
  </si>
  <si>
    <t>050_134</t>
  </si>
  <si>
    <t>050_0F7</t>
    <phoneticPr fontId="2" type="noConversion"/>
  </si>
  <si>
    <r>
      <t>mclk*</t>
    </r>
    <r>
      <rPr>
        <sz val="11"/>
        <color rgb="FFFF00FF"/>
        <rFont val="맑은 고딕"/>
        <family val="3"/>
        <charset val="129"/>
        <scheme val="minor"/>
      </rPr>
      <t>3.4%</t>
    </r>
    <phoneticPr fontId="2" type="noConversion"/>
  </si>
  <si>
    <t>changing the fpwm_div</t>
    <phoneticPr fontId="2" type="noConversion"/>
  </si>
  <si>
    <t>transition 3</t>
    <phoneticPr fontId="2" type="noConversion"/>
  </si>
  <si>
    <r>
      <t>ref mclk*</t>
    </r>
    <r>
      <rPr>
        <sz val="10"/>
        <color rgb="FFFF00FF"/>
        <rFont val="맑은 고딕"/>
        <family val="3"/>
        <charset val="129"/>
        <scheme val="minor"/>
      </rPr>
      <t>1.4%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</si>
  <si>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14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</si>
  <si>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34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</si>
  <si>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t>ld_rd_clk_sel
'0' internal osc
'1' ext mclk</t>
    <phoneticPr fontId="2" type="noConversion"/>
  </si>
  <si>
    <t>0x4228</t>
    <phoneticPr fontId="2" type="noConversion"/>
  </si>
  <si>
    <t>serialize_clk_status(RO)
'0' internal osc
'2' ext mclk</t>
    <phoneticPr fontId="2" type="noConversion"/>
  </si>
  <si>
    <t>0x4040</t>
    <phoneticPr fontId="2" type="noConversion"/>
  </si>
  <si>
    <r>
      <t>0x</t>
    </r>
    <r>
      <rPr>
        <sz val="11"/>
        <color rgb="FFFF0000"/>
        <rFont val="맑은 고딕"/>
        <family val="3"/>
        <charset val="129"/>
        <scheme val="minor"/>
      </rPr>
      <t>20</t>
    </r>
    <r>
      <rPr>
        <sz val="11"/>
        <color theme="1"/>
        <rFont val="맑은 고딕"/>
        <family val="3"/>
        <charset val="129"/>
        <scheme val="minor"/>
      </rPr>
      <t>5A</t>
    </r>
    <phoneticPr fontId="2" type="noConversion"/>
  </si>
  <si>
    <t xml:space="preserve">LD_DIR : '0' Head Lighting, '1' Tail Lighting
PWM_RES : '0' 12-bit, '1' 14-bit
SCAN_NO : '0'=1, '1'=2, '2'=4, '3'=8, '4'=16, '5'=32
OVER_TO_E : pwmclk free-running, '0' not over, '1' over turn-on
CH_SIZE : the number of LD DATA to be received
IO_MODE : '00'=NOP (input), '01'=EXT_VSYNC (EXT_VSI/EXT_VSO),
               '10'=FBO (FBI/FBO), '11'= EXT_VYI/FBO </t>
    <phoneticPr fontId="2" type="noConversion"/>
  </si>
  <si>
    <r>
      <t xml:space="preserve">when MISS_VS_LOCK &amp; MISS_VS, stop ACC input(0)
when MISS_VS_DIMM &amp; MISS_VS, PWM_OUT_CHx=1 and max_current_vref=0x1FF fixed
MISS_VS_DET_E : enable detection of missing vsync
PWM_OUT_CHx =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(MISS_VS_DIMM &amp; MISS_VS) || (TEST_E &amp; PWM_FULL_O) 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 xml:space="preserve"> &amp; CHx_EN  ? 1'b1 :
        PWM_OUTx &amp; ~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(O_OFF_E &amp; OPENx) || (S_OFF_E &amp; SHORTx || (T_OFF_E &amp; THERMAL_IN)</t>
    </r>
    <r>
      <rPr>
        <b/>
        <sz val="11"/>
        <color theme="1"/>
        <rFont val="맑은 고딕"/>
        <family val="3"/>
        <charset val="129"/>
        <scheme val="minor"/>
      </rPr>
      <t xml:space="preserve"> )
</t>
    </r>
    <r>
      <rPr>
        <sz val="11"/>
        <color theme="1"/>
        <rFont val="맑은 고딕"/>
        <family val="3"/>
        <charset val="129"/>
        <scheme val="minor"/>
      </rPr>
      <t xml:space="preserve">
TIMEOUT_E : TIMEOUT cnt bit = 15-bit (819us)</t>
    </r>
    <phoneticPr fontId="2" type="noConversion"/>
  </si>
  <si>
    <r>
      <t xml:space="preserve">FBx = FB_INx &amp; CHx_EN &amp; (~OPEN_FB_E || ~OPENx &amp; OPEN_FB_E))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</si>
  <si>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FBx = FB_INx &amp; CHx_EN &amp; (~OPEN_FB_E || ~OPENx &amp; OPEN_FB_E))
        OPENx는 DFF아니라 analog OPEN신호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</si>
  <si>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TEST_EN=1 &amp;&amp;
① MCLK32_O=1 : mclk/32 clk out to DDIO pin#15
② PWM_FULL_O=1 : </t>
    </r>
    <r>
      <rPr>
        <sz val="11"/>
        <color theme="1"/>
        <rFont val="맑은 고딕"/>
        <family val="3"/>
        <charset val="129"/>
      </rPr>
      <t>PWM_OUT_CHx=1 (@CHx_EN=1)
    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VREF_O=1 : MAX_CURR_VREF [11:0] reg always out regardless of a vsync
</t>
    </r>
    <r>
      <rPr>
        <sz val="11"/>
        <color theme="1"/>
        <rFont val="맑은 고딕"/>
        <family val="3"/>
        <charset val="129"/>
      </rPr>
      <t>④ DDIO_DIS=1 : DDIO blocking out to PAD</t>
    </r>
    <r>
      <rPr>
        <sz val="11"/>
        <color theme="1"/>
        <rFont val="맑은 고딕"/>
        <family val="3"/>
        <charset val="129"/>
        <scheme val="minor"/>
      </rPr>
      <t xml:space="preserve">
TEST_EN=1, then stop OTP downloaing
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'0' general reg addr accessible
'1' otp address accesible</t>
    </r>
    <phoneticPr fontId="2" type="noConversion"/>
  </si>
  <si>
    <t>ICTL_CH1[6:0]</t>
    <phoneticPr fontId="2" type="noConversion"/>
  </si>
  <si>
    <t>OFS_CH1[5:0]</t>
    <phoneticPr fontId="2" type="noConversion"/>
  </si>
  <si>
    <t>OFS_RNG [1:0]</t>
    <phoneticPr fontId="2" type="noConversion"/>
  </si>
  <si>
    <t>RSVD3</t>
    <phoneticPr fontId="2" type="noConversion"/>
  </si>
  <si>
    <t>RSVD2</t>
    <phoneticPr fontId="2" type="noConversion"/>
  </si>
  <si>
    <t>RSVD1</t>
  </si>
  <si>
    <t>RSVD0</t>
  </si>
  <si>
    <t>OTP_PG_DONE</t>
    <phoneticPr fontId="2" type="noConversion"/>
  </si>
  <si>
    <t>E_RST_TH [1:0]</t>
    <phoneticPr fontId="2" type="noConversion"/>
  </si>
  <si>
    <t>OFS_CH2[5:0]</t>
    <phoneticPr fontId="2" type="noConversion"/>
  </si>
  <si>
    <t>OFS_CH3[5:0]</t>
    <phoneticPr fontId="2" type="noConversion"/>
  </si>
  <si>
    <t>OFS_CH4[5:0]</t>
    <phoneticPr fontId="2" type="noConversion"/>
  </si>
  <si>
    <t>OFS_CH5[5:0]</t>
    <phoneticPr fontId="2" type="noConversion"/>
  </si>
  <si>
    <t>OFS_CH6[5:0]</t>
    <phoneticPr fontId="2" type="noConversion"/>
  </si>
  <si>
    <t>OFS_CH7[5:0]</t>
    <phoneticPr fontId="2" type="noConversion"/>
  </si>
  <si>
    <t>OFS_CH8[5:0]</t>
    <phoneticPr fontId="2" type="noConversion"/>
  </si>
  <si>
    <t>OFS_CH9[5:0]</t>
    <phoneticPr fontId="2" type="noConversion"/>
  </si>
  <si>
    <t>OFS_CH10[5:0]</t>
    <phoneticPr fontId="2" type="noConversion"/>
  </si>
  <si>
    <t>OFS_CH11[5:0]</t>
    <phoneticPr fontId="2" type="noConversion"/>
  </si>
  <si>
    <t>OFS_CH12[5:0]</t>
    <phoneticPr fontId="2" type="noConversion"/>
  </si>
  <si>
    <t>ICTL_CH2[6:0]</t>
    <phoneticPr fontId="2" type="noConversion"/>
  </si>
  <si>
    <t>ICTL_CH3[6:0]</t>
    <phoneticPr fontId="2" type="noConversion"/>
  </si>
  <si>
    <t>ICTL_CH4[6:0]</t>
    <phoneticPr fontId="2" type="noConversion"/>
  </si>
  <si>
    <t>ICTL_CH5[6:0]</t>
    <phoneticPr fontId="2" type="noConversion"/>
  </si>
  <si>
    <t>ICTL_CH6[6:0]</t>
    <phoneticPr fontId="2" type="noConversion"/>
  </si>
  <si>
    <t>ICTL_CH7[6:0]</t>
    <phoneticPr fontId="2" type="noConversion"/>
  </si>
  <si>
    <t>ICTL_CH8[6:0]</t>
    <phoneticPr fontId="2" type="noConversion"/>
  </si>
  <si>
    <t>ICTL_CH9[6:0]</t>
    <phoneticPr fontId="2" type="noConversion"/>
  </si>
  <si>
    <t>ICTL_CH10[6:0]</t>
    <phoneticPr fontId="2" type="noConversion"/>
  </si>
  <si>
    <t>ICTL_CH11[6:0]</t>
    <phoneticPr fontId="2" type="noConversion"/>
  </si>
  <si>
    <t>ICTL_CH12[6:0]</t>
    <phoneticPr fontId="2" type="noConversion"/>
  </si>
  <si>
    <t>0x3A0</t>
    <phoneticPr fontId="2" type="noConversion"/>
  </si>
  <si>
    <t>0x020</t>
  </si>
  <si>
    <t>duty ratio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</si>
  <si>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</si>
  <si>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</si>
  <si>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</si>
  <si>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normalized ratio</t>
    <phoneticPr fontId="2" type="noConversion"/>
  </si>
  <si>
    <t>max_current spec</t>
    <phoneticPr fontId="2" type="noConversion"/>
  </si>
  <si>
    <t>[mA]</t>
    <phoneticPr fontId="2" type="noConversion"/>
  </si>
  <si>
    <t>(r+g+b)</t>
    <phoneticPr fontId="2" type="noConversion"/>
  </si>
  <si>
    <t>1 step</t>
    <phoneticPr fontId="2" type="noConversion"/>
  </si>
  <si>
    <t>divisor2</t>
    <phoneticPr fontId="2" type="noConversion"/>
  </si>
  <si>
    <t>divisor1</t>
    <phoneticPr fontId="2" type="noConversion"/>
  </si>
  <si>
    <t>pwmclk</t>
    <phoneticPr fontId="2" type="noConversion"/>
  </si>
  <si>
    <t>s-frame #</t>
    <phoneticPr fontId="2" type="noConversion"/>
  </si>
  <si>
    <t>total gating t/frame</t>
    <phoneticPr fontId="2" type="noConversion"/>
  </si>
  <si>
    <t>gating t/s-frame</t>
    <phoneticPr fontId="2" type="noConversion"/>
  </si>
  <si>
    <t>gating t</t>
    <phoneticPr fontId="2" type="noConversion"/>
  </si>
  <si>
    <t>semi-final current</t>
    <phoneticPr fontId="2" type="noConversion"/>
  </si>
  <si>
    <t>Specification</t>
    <phoneticPr fontId="2" type="noConversion"/>
  </si>
  <si>
    <t>Adjusted wo gating time</t>
    <phoneticPr fontId="2" type="noConversion"/>
  </si>
  <si>
    <t>Adjusted w gating time</t>
    <phoneticPr fontId="2" type="noConversion"/>
  </si>
  <si>
    <t>ideal</t>
    <phoneticPr fontId="2" type="noConversion"/>
  </si>
  <si>
    <t>real</t>
    <phoneticPr fontId="2" type="noConversion"/>
  </si>
  <si>
    <t>final current(r/g/b)</t>
    <phoneticPr fontId="2" type="noConversion"/>
  </si>
  <si>
    <t>desired</t>
    <phoneticPr fontId="2" type="noConversion"/>
  </si>
  <si>
    <t>1 step mclk#</t>
    <phoneticPr fontId="2" type="noConversion"/>
  </si>
  <si>
    <t>wasted ratio</t>
    <phoneticPr fontId="2" type="noConversion"/>
  </si>
  <si>
    <t>w gating t</t>
    <phoneticPr fontId="2" type="noConversion"/>
  </si>
  <si>
    <t>ch1</t>
    <phoneticPr fontId="2" type="noConversion"/>
  </si>
  <si>
    <t>ch2</t>
  </si>
  <si>
    <t>ch3</t>
  </si>
  <si>
    <t>ch4</t>
  </si>
  <si>
    <t>ch5</t>
  </si>
  <si>
    <t>ch21</t>
  </si>
  <si>
    <t>ch22</t>
  </si>
  <si>
    <t>ch23</t>
  </si>
  <si>
    <t>ch24</t>
  </si>
  <si>
    <t>mW/dev</t>
    <phoneticPr fontId="2" type="noConversion"/>
  </si>
  <si>
    <t>mA/ch</t>
    <phoneticPr fontId="2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</si>
  <si>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HD</t>
    </r>
    <phoneticPr fontId="2" type="noConversion"/>
  </si>
  <si>
    <t>mW/ch</t>
    <phoneticPr fontId="2" type="noConversion"/>
  </si>
  <si>
    <r>
      <t>T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</si>
  <si>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ratio</t>
    <phoneticPr fontId="2" type="noConversion"/>
  </si>
  <si>
    <t>pwm resolution</t>
    <phoneticPr fontId="2" type="noConversion"/>
  </si>
  <si>
    <t>sub-frame</t>
    <phoneticPr fontId="2" type="noConversion"/>
  </si>
  <si>
    <t>1-1</t>
    <phoneticPr fontId="2" type="noConversion"/>
  </si>
  <si>
    <r>
      <t>PKG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</si>
  <si>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mclk #</t>
    <phoneticPr fontId="2" type="noConversion"/>
  </si>
  <si>
    <t>ref mclk #</t>
    <phoneticPr fontId="2" type="noConversion"/>
  </si>
  <si>
    <t>mclk#</t>
    <phoneticPr fontId="2" type="noConversion"/>
  </si>
  <si>
    <t>calc</t>
    <phoneticPr fontId="2" type="noConversion"/>
  </si>
  <si>
    <t>avg</t>
    <phoneticPr fontId="2" type="noConversion"/>
  </si>
  <si>
    <t>svsync_no</t>
    <phoneticPr fontId="2" type="noConversion"/>
  </si>
  <si>
    <t>b11</t>
    <phoneticPr fontId="2" type="noConversion"/>
  </si>
  <si>
    <t>b12</t>
  </si>
  <si>
    <t>b10</t>
    <phoneticPr fontId="2" type="noConversion"/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</si>
  <si>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</si>
  <si>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</si>
  <si>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</si>
  <si>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</si>
  <si>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</si>
  <si>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</si>
  <si>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</si>
  <si>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</si>
  <si>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</si>
  <si>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</si>
  <si>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b0</t>
    <phoneticPr fontId="2" type="noConversion"/>
  </si>
  <si>
    <t>svsync #</t>
    <phoneticPr fontId="2" type="noConversion"/>
  </si>
  <si>
    <t>pwmclk_period</t>
    <phoneticPr fontId="2" type="noConversion"/>
  </si>
  <si>
    <t>motion clear</t>
    <phoneticPr fontId="2" type="noConversion"/>
  </si>
  <si>
    <t>x8</t>
    <phoneticPr fontId="2" type="noConversion"/>
  </si>
  <si>
    <t>gating t/svsync</t>
    <phoneticPr fontId="2" type="noConversion"/>
  </si>
  <si>
    <t>total gating t/vsync</t>
    <phoneticPr fontId="2" type="noConversion"/>
  </si>
  <si>
    <t>step ratio</t>
    <phoneticPr fontId="2" type="noConversion"/>
  </si>
  <si>
    <t>b13</t>
  </si>
  <si>
    <t>b02</t>
    <phoneticPr fontId="2" type="noConversion"/>
  </si>
  <si>
    <t>b01</t>
    <phoneticPr fontId="2" type="noConversion"/>
  </si>
  <si>
    <t>b00</t>
    <phoneticPr fontId="2" type="noConversion"/>
  </si>
  <si>
    <t>b04</t>
    <phoneticPr fontId="2" type="noConversion"/>
  </si>
  <si>
    <t>b06</t>
    <phoneticPr fontId="2" type="noConversion"/>
  </si>
  <si>
    <t>b07</t>
    <phoneticPr fontId="2" type="noConversion"/>
  </si>
  <si>
    <t>b08</t>
    <phoneticPr fontId="2" type="noConversion"/>
  </si>
  <si>
    <t>b09</t>
    <phoneticPr fontId="2" type="noConversion"/>
  </si>
  <si>
    <t>b05</t>
    <phoneticPr fontId="2" type="noConversion"/>
  </si>
  <si>
    <t>b03</t>
    <phoneticPr fontId="2" type="noConversion"/>
  </si>
  <si>
    <t>same as normal</t>
    <phoneticPr fontId="2" type="noConversion"/>
  </si>
  <si>
    <t>b3</t>
    <phoneticPr fontId="2" type="noConversion"/>
  </si>
  <si>
    <t>b2</t>
    <phoneticPr fontId="2" type="noConversion"/>
  </si>
  <si>
    <t>b1</t>
    <phoneticPr fontId="2" type="noConversion"/>
  </si>
  <si>
    <t>b4</t>
    <phoneticPr fontId="2" type="noConversion"/>
  </si>
  <si>
    <t>b5</t>
    <phoneticPr fontId="2" type="noConversion"/>
  </si>
  <si>
    <t>b6</t>
    <phoneticPr fontId="2" type="noConversion"/>
  </si>
  <si>
    <t>b7</t>
    <phoneticPr fontId="2" type="noConversion"/>
  </si>
  <si>
    <t>b8</t>
    <phoneticPr fontId="2" type="noConversion"/>
  </si>
  <si>
    <t>b9</t>
    <phoneticPr fontId="2" type="noConversion"/>
  </si>
  <si>
    <t>min</t>
    <phoneticPr fontId="2" type="noConversion"/>
  </si>
  <si>
    <t>max</t>
    <phoneticPr fontId="2" type="noConversion"/>
  </si>
  <si>
    <t>12bit</t>
    <phoneticPr fontId="2" type="noConversion"/>
  </si>
  <si>
    <t>14bit</t>
    <phoneticPr fontId="2" type="noConversion"/>
  </si>
  <si>
    <t>switching</t>
    <phoneticPr fontId="2" type="noConversion"/>
  </si>
  <si>
    <t>vhd</t>
    <phoneticPr fontId="2" type="noConversion"/>
  </si>
  <si>
    <t>total gep</t>
    <phoneticPr fontId="2" type="noConversion"/>
  </si>
  <si>
    <t>total gap</t>
    <phoneticPr fontId="2" type="noConversion"/>
  </si>
  <si>
    <t>O_SLEW</t>
    <phoneticPr fontId="2" type="noConversion"/>
  </si>
  <si>
    <t>coeff1</t>
    <phoneticPr fontId="2" type="noConversion"/>
  </si>
  <si>
    <t>coeff2</t>
  </si>
  <si>
    <t>coeff3</t>
  </si>
  <si>
    <t>coeff4</t>
  </si>
  <si>
    <t>fpga clk</t>
    <phoneticPr fontId="2" type="noConversion"/>
  </si>
  <si>
    <t>dec</t>
    <phoneticPr fontId="2" type="noConversion"/>
  </si>
  <si>
    <t>Jan</t>
  </si>
  <si>
    <t>fpga cnt</t>
    <phoneticPr fontId="2" type="noConversion"/>
  </si>
  <si>
    <t>calc #1</t>
    <phoneticPr fontId="2" type="noConversion"/>
  </si>
  <si>
    <t>calc #2</t>
  </si>
  <si>
    <t>calc #3</t>
    <phoneticPr fontId="2" type="noConversion"/>
  </si>
  <si>
    <t>result2 (set value)</t>
    <phoneticPr fontId="2" type="noConversion"/>
  </si>
  <si>
    <t>result1 (set value)</t>
    <phoneticPr fontId="2" type="noConversion"/>
  </si>
  <si>
    <t>bit size</t>
    <phoneticPr fontId="2" type="noConversion"/>
  </si>
  <si>
    <t>data lane#</t>
    <phoneticPr fontId="2" type="noConversion"/>
  </si>
  <si>
    <t>xc</t>
    <phoneticPr fontId="2" type="noConversion"/>
  </si>
  <si>
    <t>lat1</t>
    <phoneticPr fontId="2" type="noConversion"/>
  </si>
  <si>
    <t>lat2</t>
    <phoneticPr fontId="2" type="noConversion"/>
  </si>
  <si>
    <t>ld_size</t>
    <phoneticPr fontId="2" type="noConversion"/>
  </si>
  <si>
    <t>burst_size</t>
    <phoneticPr fontId="2" type="noConversion"/>
  </si>
  <si>
    <t>ld bit size</t>
    <phoneticPr fontId="2" type="noConversion"/>
  </si>
  <si>
    <t>ld transmit# to xc</t>
    <phoneticPr fontId="2" type="noConversion"/>
  </si>
  <si>
    <t>daisied xd#</t>
    <phoneticPr fontId="2" type="noConversion"/>
  </si>
  <si>
    <t>xd ld_size</t>
    <phoneticPr fontId="2" type="noConversion"/>
  </si>
  <si>
    <t>ld transmit to xd</t>
    <phoneticPr fontId="2" type="noConversion"/>
  </si>
  <si>
    <t>xd</t>
    <phoneticPr fontId="2" type="noConversion"/>
  </si>
  <si>
    <t>xd baudrate</t>
    <phoneticPr fontId="2" type="noConversion"/>
  </si>
  <si>
    <t>reg access</t>
    <phoneticPr fontId="2" type="noConversion"/>
  </si>
  <si>
    <t>sync_cmd</t>
    <phoneticPr fontId="2" type="noConversion"/>
  </si>
  <si>
    <t>cmd_latency</t>
    <phoneticPr fontId="2" type="noConversion"/>
  </si>
  <si>
    <t>fault_readout</t>
    <phoneticPr fontId="2" type="noConversion"/>
  </si>
  <si>
    <t>xc reg wr</t>
    <phoneticPr fontId="2" type="noConversion"/>
  </si>
  <si>
    <t>xd reg wr</t>
    <phoneticPr fontId="2" type="noConversion"/>
  </si>
  <si>
    <t>1 time xd wr</t>
    <phoneticPr fontId="2" type="noConversion"/>
  </si>
  <si>
    <t>4 times xd wr</t>
    <phoneticPr fontId="2" type="noConversion"/>
  </si>
  <si>
    <t>vsync to xc</t>
    <phoneticPr fontId="2" type="noConversion"/>
  </si>
  <si>
    <t>spi_cs</t>
    <phoneticPr fontId="2" type="noConversion"/>
  </si>
  <si>
    <t>xc out to xd</t>
    <phoneticPr fontId="2" type="noConversion"/>
  </si>
  <si>
    <t>reg wr</t>
    <phoneticPr fontId="2" type="noConversion"/>
  </si>
  <si>
    <t>spi cs</t>
    <phoneticPr fontId="2" type="noConversion"/>
  </si>
  <si>
    <t>spi clk</t>
    <phoneticPr fontId="2" type="noConversion"/>
  </si>
  <si>
    <t>mosi</t>
    <phoneticPr fontId="2" type="noConversion"/>
  </si>
  <si>
    <t>miso</t>
    <phoneticPr fontId="2" type="noConversion"/>
  </si>
  <si>
    <t>ROUNDDOWN( ((D113*$D$106)/4095 - $D$107), 0)</t>
    <phoneticPr fontId="2" type="noConversion"/>
  </si>
  <si>
    <t>D115/$D$108</t>
  </si>
  <si>
    <t>ROUNDDOWN(D116,0)</t>
  </si>
  <si>
    <t>4095*(D117+1)</t>
    <phoneticPr fontId="2" type="noConversion"/>
  </si>
  <si>
    <t>ROUNDDOWN( (D119+D119/$D$109),0)</t>
  </si>
  <si>
    <t>daisy_size</t>
    <phoneticPr fontId="2" type="noConversion"/>
  </si>
  <si>
    <t>daisied_dev_ch_size</t>
    <phoneticPr fontId="2" type="noConversion"/>
  </si>
  <si>
    <t>xc#</t>
    <phoneticPr fontId="2" type="noConversion"/>
  </si>
  <si>
    <t>~</t>
    <phoneticPr fontId="2" type="noConversion"/>
  </si>
  <si>
    <t>삭제</t>
    <phoneticPr fontId="2" type="noConversion"/>
  </si>
  <si>
    <t>ld_width = '11' 16-bit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</si>
  <si>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</si>
  <si>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</si>
  <si>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</si>
  <si>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fault</t>
    <phoneticPr fontId="2" type="noConversion"/>
  </si>
  <si>
    <t>ld [11:0]</t>
    <phoneticPr fontId="2" type="noConversion"/>
  </si>
  <si>
    <t>ld [13:0]</t>
    <phoneticPr fontId="2" type="noConversion"/>
  </si>
  <si>
    <t>ld_width</t>
    <phoneticPr fontId="2" type="noConversion"/>
  </si>
  <si>
    <t>block_size</t>
    <phoneticPr fontId="2" type="noConversion"/>
  </si>
  <si>
    <t>total ld#</t>
    <phoneticPr fontId="2" type="noConversion"/>
  </si>
  <si>
    <t>total block#/xc</t>
    <phoneticPr fontId="2" type="noConversion"/>
  </si>
  <si>
    <t>xc ld_size</t>
    <phoneticPr fontId="2" type="noConversion"/>
  </si>
  <si>
    <t>total ld#/ch</t>
    <phoneticPr fontId="2" type="noConversion"/>
  </si>
  <si>
    <t>total ld#/xc</t>
    <phoneticPr fontId="2" type="noConversion"/>
  </si>
  <si>
    <t>total block#</t>
    <phoneticPr fontId="2" type="noConversion"/>
  </si>
  <si>
    <t>(xc) GATE1</t>
    <phoneticPr fontId="2" type="noConversion"/>
  </si>
  <si>
    <t>(xc) GATE2</t>
    <phoneticPr fontId="2" type="noConversion"/>
  </si>
  <si>
    <t>(xc) GATE3</t>
    <phoneticPr fontId="2" type="noConversion"/>
  </si>
  <si>
    <t>(xd) OUTx</t>
    <phoneticPr fontId="2" type="noConversion"/>
  </si>
  <si>
    <t>(xd) dimming time</t>
    <phoneticPr fontId="2" type="noConversion"/>
  </si>
  <si>
    <r>
      <t xml:space="preserve">(xd) </t>
    </r>
    <r>
      <rPr>
        <i/>
        <sz val="10"/>
        <color theme="1"/>
        <rFont val="Aptos Narrow"/>
        <family val="2"/>
      </rPr>
      <t>dimming time</t>
    </r>
    <phoneticPr fontId="2" type="noConversion"/>
  </si>
  <si>
    <t>(xd) mclk</t>
    <phoneticPr fontId="2" type="noConversion"/>
  </si>
  <si>
    <t>(xd) vsync</t>
    <phoneticPr fontId="2" type="noConversion"/>
  </si>
  <si>
    <t>delay_ch1</t>
    <phoneticPr fontId="2" type="noConversion"/>
  </si>
  <si>
    <t>delay_ch2</t>
  </si>
  <si>
    <t>delay_ch3</t>
  </si>
  <si>
    <t>delay_chx</t>
    <phoneticPr fontId="2" type="noConversion"/>
  </si>
  <si>
    <t>(xc) VSYNCI</t>
    <phoneticPr fontId="2" type="noConversion"/>
  </si>
  <si>
    <t>(xd) svsync</t>
    <phoneticPr fontId="2" type="noConversion"/>
  </si>
  <si>
    <t>(xc) Dx</t>
    <phoneticPr fontId="2" type="noConversion"/>
  </si>
  <si>
    <t>(xc) spi write access</t>
    <phoneticPr fontId="2" type="noConversion"/>
  </si>
  <si>
    <t>(xd) vref1/2/3</t>
    <phoneticPr fontId="2" type="noConversion"/>
  </si>
  <si>
    <t>data modulation</t>
    <phoneticPr fontId="2" type="noConversion"/>
  </si>
  <si>
    <t>(xc) GATE1</t>
  </si>
  <si>
    <r>
      <t>(xd) OUT</t>
    </r>
    <r>
      <rPr>
        <vertAlign val="subscript"/>
        <sz val="10"/>
        <color theme="1"/>
        <rFont val="Aptos Narrow"/>
        <family val="2"/>
      </rPr>
      <t>X</t>
    </r>
    <phoneticPr fontId="2" type="noConversion"/>
  </si>
  <si>
    <t>FBI1</t>
    <phoneticPr fontId="2" type="noConversion"/>
  </si>
  <si>
    <t>FBI2</t>
  </si>
  <si>
    <t>FBI3</t>
  </si>
  <si>
    <t>FBO1</t>
    <phoneticPr fontId="2" type="noConversion"/>
  </si>
  <si>
    <t>FBO2</t>
  </si>
  <si>
    <t>FBO3</t>
  </si>
  <si>
    <t>DACO1</t>
    <phoneticPr fontId="2" type="noConversion"/>
  </si>
  <si>
    <t>DACO2</t>
  </si>
  <si>
    <t>DACO3</t>
  </si>
  <si>
    <t>VDD1</t>
    <phoneticPr fontId="2" type="noConversion"/>
  </si>
  <si>
    <t>VDD2</t>
  </si>
  <si>
    <t>VDD3</t>
  </si>
  <si>
    <t>VDD4</t>
  </si>
  <si>
    <t>GND1</t>
    <phoneticPr fontId="2" type="noConversion"/>
  </si>
  <si>
    <t>GND2</t>
  </si>
  <si>
    <t>GND3</t>
  </si>
  <si>
    <t>GND4</t>
  </si>
  <si>
    <t>(xd) pwmclk</t>
    <phoneticPr fontId="2" type="noConversion"/>
  </si>
  <si>
    <t>FLL</t>
    <phoneticPr fontId="2" type="noConversion"/>
  </si>
  <si>
    <t>spi daisy out</t>
    <phoneticPr fontId="2" type="noConversion"/>
  </si>
  <si>
    <t>no support</t>
    <phoneticPr fontId="2" type="noConversion"/>
  </si>
  <si>
    <t>spi clock</t>
    <phoneticPr fontId="2" type="noConversion"/>
  </si>
  <si>
    <t>up to 40mhz</t>
    <phoneticPr fontId="2" type="noConversion"/>
  </si>
  <si>
    <t>fllcnt</t>
    <phoneticPr fontId="2" type="noConversion"/>
  </si>
  <si>
    <t>FLLSYNC (input pin)</t>
    <phoneticPr fontId="2" type="noConversion"/>
  </si>
  <si>
    <t>VSYNCI (input pin)</t>
    <phoneticPr fontId="2" type="noConversion"/>
  </si>
  <si>
    <t>indepenant of frame period</t>
    <phoneticPr fontId="2" type="noConversion"/>
  </si>
  <si>
    <t>spread</t>
    <phoneticPr fontId="2" type="noConversion"/>
  </si>
  <si>
    <t>skew</t>
    <phoneticPr fontId="2" type="noConversion"/>
  </si>
  <si>
    <t>same as current behavior</t>
    <phoneticPr fontId="2" type="noConversion"/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</si>
  <si>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</si>
  <si>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</si>
  <si>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</si>
  <si>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</si>
  <si>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</si>
  <si>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</si>
  <si>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</si>
  <si>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</si>
  <si>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</si>
  <si>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</si>
  <si>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</si>
  <si>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</si>
  <si>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</si>
  <si>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</si>
  <si>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</si>
  <si>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skew [ns]</t>
    <phoneticPr fontId="2" type="noConversion"/>
  </si>
  <si>
    <t>refer to the right</t>
    <phoneticPr fontId="2" type="noConversion"/>
  </si>
  <si>
    <t>Vdd</t>
    <phoneticPr fontId="2" type="noConversion"/>
  </si>
  <si>
    <t>3.3V</t>
    <phoneticPr fontId="2" type="noConversion"/>
  </si>
  <si>
    <t>Synthesis</t>
    <phoneticPr fontId="2" type="noConversion"/>
  </si>
  <si>
    <t>PAD</t>
    <phoneticPr fontId="2" type="noConversion"/>
  </si>
  <si>
    <t>Open-drain= FBO1/2/3,  nINT_LD,  nINT_FT</t>
    <phoneticPr fontId="2" type="noConversion"/>
  </si>
  <si>
    <t>Bidirectional &amp; PD 48Kohm= Dx</t>
    <phoneticPr fontId="2" type="noConversion"/>
  </si>
  <si>
    <t>Schimit trigger= nSCS, SCLK, MOSI, Dx, VSYNCI, FLLSYNC, FBI1/2/3</t>
    <phoneticPr fontId="2" type="noConversion"/>
  </si>
  <si>
    <t>serializer/de-serializer protocol</t>
    <phoneticPr fontId="2" type="noConversion"/>
  </si>
  <si>
    <t xml:space="preserve">12-bit, 3 channels : 0V ~ 3.3V, required full range available </t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</si>
  <si>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</si>
  <si>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='01'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</si>
  <si>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</si>
  <si>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='11'</t>
    </r>
    <phoneticPr fontId="2" type="noConversion"/>
  </si>
  <si>
    <t>fixed</t>
    <phoneticPr fontId="2" type="noConversion"/>
  </si>
  <si>
    <t>'11'</t>
    <phoneticPr fontId="2" type="noConversion"/>
  </si>
  <si>
    <t>'10'</t>
    <phoneticPr fontId="2" type="noConversion"/>
  </si>
  <si>
    <t>'01'</t>
    <phoneticPr fontId="2" type="noConversion"/>
  </si>
  <si>
    <t>'00'</t>
  </si>
  <si>
    <t>* ld_width[1:0] 은 spi에서는 기능사라지고, serializer 에서는 용도 변경해서 사용 (헷갈리지 말 것)</t>
    <phoneticPr fontId="2" type="noConversion"/>
  </si>
  <si>
    <t>ld_width='01'</t>
    <phoneticPr fontId="2" type="noConversion"/>
  </si>
  <si>
    <t>ld_width='10'</t>
    <phoneticPr fontId="2" type="noConversion"/>
  </si>
  <si>
    <t>ld_width='11'</t>
    <phoneticPr fontId="2" type="noConversion"/>
  </si>
  <si>
    <t>* ld_width='00' NOP</t>
    <phoneticPr fontId="2" type="noConversion"/>
  </si>
  <si>
    <t>ld_width[1:0]</t>
    <phoneticPr fontId="2" type="noConversion"/>
  </si>
  <si>
    <t>NOP</t>
    <phoneticPr fontId="2" type="noConversion"/>
  </si>
  <si>
    <t>12-bit ld</t>
    <phoneticPr fontId="2" type="noConversion"/>
  </si>
  <si>
    <t>14-bit ld</t>
    <phoneticPr fontId="2" type="noConversion"/>
  </si>
  <si>
    <t>16-bit ld</t>
    <phoneticPr fontId="2" type="noConversion"/>
  </si>
  <si>
    <t>int vsync</t>
    <phoneticPr fontId="2" type="noConversion"/>
  </si>
  <si>
    <t>REF DAC</t>
    <phoneticPr fontId="2" type="noConversion"/>
  </si>
  <si>
    <t>Package</t>
    <phoneticPr fontId="2" type="noConversion"/>
  </si>
  <si>
    <t>68QFN</t>
    <phoneticPr fontId="2" type="noConversion"/>
  </si>
  <si>
    <t>3030QFN</t>
    <phoneticPr fontId="2" type="noConversion"/>
  </si>
  <si>
    <t>CH &amp; MAX CURRENT/WV</t>
    <phoneticPr fontId="2" type="noConversion"/>
  </si>
  <si>
    <t>Current Accuracy</t>
    <phoneticPr fontId="2" type="noConversion"/>
  </si>
  <si>
    <t>+/- 1%</t>
    <phoneticPr fontId="2" type="noConversion"/>
  </si>
  <si>
    <t>full range</t>
    <phoneticPr fontId="2" type="noConversion"/>
  </si>
  <si>
    <t>thermal pad size=normal</t>
    <phoneticPr fontId="2" type="noConversion"/>
  </si>
  <si>
    <t>Bidirectional &amp; PD 48Kohm= DIOx,  DDIOx</t>
    <phoneticPr fontId="2" type="noConversion"/>
  </si>
  <si>
    <t>Trimming</t>
    <phoneticPr fontId="2" type="noConversion"/>
  </si>
  <si>
    <t>SCAN</t>
    <phoneticPr fontId="2" type="noConversion"/>
  </si>
  <si>
    <t>DACO1/2/3</t>
    <phoneticPr fontId="2" type="noConversion"/>
  </si>
  <si>
    <t>ld buffer</t>
    <phoneticPr fontId="2" type="noConversion"/>
  </si>
  <si>
    <t>buffer 개수 3배 증가 ; 16-bit 12-ch * 3= 576bits -&gt; 14-bit 12-ch * 3 * 3=1512bits</t>
    <phoneticPr fontId="2" type="noConversion"/>
  </si>
  <si>
    <t>vsync마다 round-robin</t>
    <phoneticPr fontId="2" type="noConversion"/>
  </si>
  <si>
    <t>-&gt;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</si>
  <si>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xc</t>
    </r>
    <r>
      <rPr>
        <b/>
        <sz val="11"/>
        <color rgb="FFFF00FF"/>
        <rFont val="맑은 고딕"/>
        <family val="3"/>
        <charset val="129"/>
        <scheme val="minor"/>
      </rPr>
      <t xml:space="preserve"> ld_width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</si>
  <si>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xc</t>
    </r>
    <r>
      <rPr>
        <b/>
        <sz val="11"/>
        <color rgb="FFFF00FF"/>
        <rFont val="맑은 고딕"/>
        <family val="3"/>
        <charset val="129"/>
        <scheme val="minor"/>
      </rPr>
      <t xml:space="preserve"> ld_type</t>
    </r>
    <phoneticPr fontId="2" type="noConversion"/>
  </si>
  <si>
    <t>transmit time</t>
    <phoneticPr fontId="2" type="noConversion"/>
  </si>
  <si>
    <t>ld_buff1</t>
    <phoneticPr fontId="2" type="noConversion"/>
  </si>
  <si>
    <t>ld_buff2</t>
  </si>
  <si>
    <t>ld_buff3</t>
  </si>
  <si>
    <t>ld1_1</t>
    <phoneticPr fontId="2" type="noConversion"/>
  </si>
  <si>
    <t>ld1_2</t>
  </si>
  <si>
    <t>ld1_3</t>
  </si>
  <si>
    <t>ld2_1</t>
    <phoneticPr fontId="2" type="noConversion"/>
  </si>
  <si>
    <t>ld2_2</t>
  </si>
  <si>
    <t>ld2_3</t>
  </si>
  <si>
    <t>ch12</t>
    <phoneticPr fontId="2" type="noConversion"/>
  </si>
  <si>
    <t>ld12_1</t>
    <phoneticPr fontId="2" type="noConversion"/>
  </si>
  <si>
    <t>ld12_2</t>
  </si>
  <si>
    <t>ld12_3</t>
  </si>
  <si>
    <t>ld buffer mapping</t>
    <phoneticPr fontId="2" type="noConversion"/>
  </si>
  <si>
    <t>ld start pointer</t>
    <phoneticPr fontId="2" type="noConversion"/>
  </si>
  <si>
    <t>(pwm1_1)</t>
    <phoneticPr fontId="2" type="noConversion"/>
  </si>
  <si>
    <t>(pwm1_2)</t>
    <phoneticPr fontId="2" type="noConversion"/>
  </si>
  <si>
    <t>(pwm1_3)</t>
    <phoneticPr fontId="2" type="noConversion"/>
  </si>
  <si>
    <t>(pwm2_1)</t>
    <phoneticPr fontId="2" type="noConversion"/>
  </si>
  <si>
    <t>(pwm2_2)</t>
    <phoneticPr fontId="2" type="noConversion"/>
  </si>
  <si>
    <t>(pwm12_1)</t>
    <phoneticPr fontId="2" type="noConversion"/>
  </si>
  <si>
    <t>(pwm12_2)</t>
    <phoneticPr fontId="2" type="noConversion"/>
  </si>
  <si>
    <t>(pwm12_3)</t>
    <phoneticPr fontId="2" type="noConversion"/>
  </si>
  <si>
    <t>round-robin</t>
    <phoneticPr fontId="2" type="noConversion"/>
  </si>
  <si>
    <t>ch2</t>
    <phoneticPr fontId="2" type="noConversion"/>
  </si>
  <si>
    <t>ch3</t>
    <phoneticPr fontId="2" type="noConversion"/>
  </si>
  <si>
    <t>ch4</t>
    <phoneticPr fontId="2" type="noConversion"/>
  </si>
  <si>
    <t>(pwm2_3)</t>
    <phoneticPr fontId="2" type="noConversion"/>
  </si>
  <si>
    <t>ld6_1</t>
    <phoneticPr fontId="2" type="noConversion"/>
  </si>
  <si>
    <t>(pwm6_1)</t>
    <phoneticPr fontId="2" type="noConversion"/>
  </si>
  <si>
    <t>(pwm6_2)</t>
    <phoneticPr fontId="2" type="noConversion"/>
  </si>
  <si>
    <t>(pwm6_3)</t>
    <phoneticPr fontId="2" type="noConversion"/>
  </si>
  <si>
    <t>ld6_2</t>
    <phoneticPr fontId="2" type="noConversion"/>
  </si>
  <si>
    <t>ld6_3</t>
    <phoneticPr fontId="2" type="noConversion"/>
  </si>
  <si>
    <t>ch11</t>
    <phoneticPr fontId="2" type="noConversion"/>
  </si>
  <si>
    <t>(xd) daca</t>
    <phoneticPr fontId="2" type="noConversion"/>
  </si>
  <si>
    <t>(xd) dacb</t>
    <phoneticPr fontId="2" type="noConversion"/>
  </si>
  <si>
    <r>
      <t>(xd) OUT</t>
    </r>
    <r>
      <rPr>
        <vertAlign val="subscript"/>
        <sz val="10"/>
        <color theme="1"/>
        <rFont val="Aptos Narrow"/>
        <family val="2"/>
      </rPr>
      <t>X+1</t>
    </r>
    <phoneticPr fontId="2" type="noConversion"/>
  </si>
  <si>
    <t>fb_all1</t>
    <phoneticPr fontId="2" type="noConversion"/>
  </si>
  <si>
    <t>fb_all2</t>
    <phoneticPr fontId="2" type="noConversion"/>
  </si>
  <si>
    <t>fb_all3</t>
    <phoneticPr fontId="2" type="noConversion"/>
  </si>
  <si>
    <t>Open-Drain</t>
    <phoneticPr fontId="2" type="noConversion"/>
  </si>
  <si>
    <t>SCS</t>
    <phoneticPr fontId="2" type="noConversion"/>
  </si>
  <si>
    <t>XC</t>
    <phoneticPr fontId="2" type="noConversion"/>
  </si>
  <si>
    <t>SCLK</t>
    <phoneticPr fontId="2" type="noConversion"/>
  </si>
  <si>
    <t>MOSI</t>
    <phoneticPr fontId="2" type="noConversion"/>
  </si>
  <si>
    <t>MISO</t>
    <phoneticPr fontId="2" type="noConversion"/>
  </si>
  <si>
    <t>TEST</t>
    <phoneticPr fontId="2" type="noConversion"/>
  </si>
  <si>
    <t>VSYNCI</t>
    <phoneticPr fontId="2" type="noConversion"/>
  </si>
  <si>
    <t>MCLK</t>
    <phoneticPr fontId="2" type="noConversion"/>
  </si>
  <si>
    <t>D1</t>
    <phoneticPr fontId="2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</si>
  <si>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</si>
  <si>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</si>
  <si>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</si>
  <si>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</si>
  <si>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</si>
  <si>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</si>
  <si>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</si>
  <si>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</si>
  <si>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</si>
  <si>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</si>
  <si>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</si>
  <si>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</si>
  <si>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</si>
  <si>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</si>
  <si>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</si>
  <si>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</si>
  <si>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</si>
  <si>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</si>
  <si>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</si>
  <si>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</si>
  <si>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</si>
  <si>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</si>
  <si>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</si>
  <si>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schmit_trigger</t>
    <phoneticPr fontId="2" type="noConversion"/>
  </si>
  <si>
    <t>8mA</t>
    <phoneticPr fontId="2" type="noConversion"/>
  </si>
  <si>
    <t>driving</t>
    <phoneticPr fontId="2" type="noConversion"/>
  </si>
  <si>
    <t>io type</t>
    <phoneticPr fontId="2" type="noConversion"/>
  </si>
  <si>
    <t>name</t>
    <phoneticPr fontId="2" type="noConversion"/>
  </si>
  <si>
    <t>schmit_trigger, 48K PD</t>
  </si>
  <si>
    <t>schmit_trigger, 48K PD</t>
    <phoneticPr fontId="2" type="noConversion"/>
  </si>
  <si>
    <t>dir</t>
    <phoneticPr fontId="2" type="noConversion"/>
  </si>
  <si>
    <t>in</t>
    <phoneticPr fontId="2" type="noConversion"/>
  </si>
  <si>
    <t>out</t>
    <phoneticPr fontId="2" type="noConversion"/>
  </si>
  <si>
    <t>in/out</t>
    <phoneticPr fontId="2" type="noConversion"/>
  </si>
  <si>
    <t>LDO_I</t>
    <phoneticPr fontId="2" type="noConversion"/>
  </si>
  <si>
    <t>LDO_O</t>
    <phoneticPr fontId="2" type="noConversion"/>
  </si>
  <si>
    <t>nFT_INT</t>
    <phoneticPr fontId="2" type="noConversion"/>
  </si>
  <si>
    <t>nLD_INT</t>
    <phoneticPr fontId="2" type="noConversion"/>
  </si>
  <si>
    <t>power</t>
    <phoneticPr fontId="2" type="noConversion"/>
  </si>
  <si>
    <t>XD</t>
    <phoneticPr fontId="2" type="noConversion"/>
  </si>
  <si>
    <t>DIO</t>
    <phoneticPr fontId="2" type="noConversion"/>
  </si>
  <si>
    <t>DDIO</t>
    <phoneticPr fontId="2" type="noConversion"/>
  </si>
  <si>
    <t>CH1</t>
    <phoneticPr fontId="2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</si>
  <si>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</si>
  <si>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</si>
  <si>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</si>
  <si>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</si>
  <si>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</si>
  <si>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</si>
  <si>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</si>
  <si>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</si>
  <si>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</si>
  <si>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</si>
  <si>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</si>
  <si>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sink</t>
    <phoneticPr fontId="2" type="noConversion"/>
  </si>
  <si>
    <t>GND5</t>
  </si>
  <si>
    <t>GND6</t>
  </si>
  <si>
    <t>ld_width=0</t>
    <phoneticPr fontId="2" type="noConversion"/>
  </si>
  <si>
    <t>ld_width=1</t>
    <phoneticPr fontId="2" type="noConversion"/>
  </si>
  <si>
    <t>applied to only serializer output, Dx</t>
    <phoneticPr fontId="2" type="noConversion"/>
  </si>
  <si>
    <t>applied to only Dx</t>
    <phoneticPr fontId="2" type="noConversion"/>
  </si>
  <si>
    <t>MISO delay &lt; 4ns</t>
    <phoneticPr fontId="2" type="noConversion"/>
  </si>
  <si>
    <t>Vheadroom</t>
    <phoneticPr fontId="2" type="noConversion"/>
  </si>
  <si>
    <t>100ns</t>
    <phoneticPr fontId="2" type="noConversion"/>
  </si>
  <si>
    <t>200ns</t>
    <phoneticPr fontId="2" type="noConversion"/>
  </si>
  <si>
    <t>300ns</t>
    <phoneticPr fontId="2" type="noConversion"/>
  </si>
  <si>
    <t>fast</t>
    <phoneticPr fontId="2" type="noConversion"/>
  </si>
  <si>
    <t>middle</t>
    <phoneticPr fontId="2" type="noConversion"/>
  </si>
  <si>
    <t>12 channels, 40mA, 40V</t>
    <phoneticPr fontId="2" type="noConversion"/>
  </si>
  <si>
    <t>frame update</t>
    <phoneticPr fontId="2" type="noConversion"/>
  </si>
  <si>
    <t>&lt; 256</t>
    <phoneticPr fontId="2" type="noConversion"/>
  </si>
  <si>
    <t>&lt; 32</t>
    <phoneticPr fontId="2" type="noConversion"/>
  </si>
  <si>
    <t>DACO (analog)</t>
    <phoneticPr fontId="2" type="noConversion"/>
  </si>
  <si>
    <t>DACO (digital)</t>
    <phoneticPr fontId="2" type="noConversion"/>
  </si>
  <si>
    <t>(cmd or ext)</t>
    <phoneticPr fontId="2" type="noConversion"/>
  </si>
  <si>
    <t>fault_(auto)_read</t>
    <phoneticPr fontId="2" type="noConversion"/>
  </si>
  <si>
    <t>real fb</t>
    <phoneticPr fontId="2" type="noConversion"/>
  </si>
  <si>
    <t>dac_sync</t>
    <phoneticPr fontId="2" type="noConversion"/>
  </si>
  <si>
    <t>dac_state_en</t>
    <phoneticPr fontId="2" type="noConversion"/>
  </si>
  <si>
    <t>dac_out_en</t>
    <phoneticPr fontId="2" type="noConversion"/>
  </si>
  <si>
    <t>dac_fb_valid</t>
    <phoneticPr fontId="2" type="noConversion"/>
  </si>
  <si>
    <t>prev</t>
    <phoneticPr fontId="2" type="noConversion"/>
  </si>
  <si>
    <t>target</t>
    <phoneticPr fontId="2" type="noConversion"/>
  </si>
  <si>
    <t>r1</t>
    <phoneticPr fontId="2" type="noConversion"/>
  </si>
  <si>
    <t>curr</t>
    <phoneticPr fontId="2" type="noConversion"/>
  </si>
  <si>
    <t>curr'</t>
    <phoneticPr fontId="2" type="noConversion"/>
  </si>
  <si>
    <t>dac_auto1
'0' manual
'1' auto</t>
    <phoneticPr fontId="2" type="noConversion"/>
  </si>
  <si>
    <t>dac_auto1
'0' disable
'1' enable</t>
    <phoneticPr fontId="2" type="noConversion"/>
  </si>
  <si>
    <t>gating</t>
    <phoneticPr fontId="2" type="noConversion"/>
  </si>
  <si>
    <t>16bits</t>
    <phoneticPr fontId="2" type="noConversion"/>
  </si>
  <si>
    <t>width</t>
    <phoneticPr fontId="2" type="noConversion"/>
  </si>
  <si>
    <t>50hz</t>
    <phoneticPr fontId="2" type="noConversion"/>
  </si>
  <si>
    <t>8bits</t>
    <phoneticPr fontId="2" type="noConversion"/>
  </si>
  <si>
    <t>9bits</t>
    <phoneticPr fontId="2" type="noConversion"/>
  </si>
  <si>
    <t>xd [ea]</t>
    <phoneticPr fontId="2" type="noConversion"/>
  </si>
  <si>
    <t>baudrate [mbps]</t>
    <phoneticPr fontId="2" type="noConversion"/>
  </si>
  <si>
    <t>transmit t [us]</t>
    <phoneticPr fontId="2" type="noConversion"/>
  </si>
  <si>
    <t>min time required</t>
    <phoneticPr fontId="2" type="noConversion"/>
  </si>
  <si>
    <t>target baudrate [mbps]</t>
    <phoneticPr fontId="2" type="noConversion"/>
  </si>
  <si>
    <t>1-bit</t>
    <phoneticPr fontId="2" type="noConversion"/>
  </si>
  <si>
    <t>serial_low [ea]</t>
    <phoneticPr fontId="2" type="noConversion"/>
  </si>
  <si>
    <t>serial_high [ea]</t>
    <phoneticPr fontId="2" type="noConversion"/>
  </si>
  <si>
    <t>cmd_latency [ea]</t>
    <phoneticPr fontId="2" type="noConversion"/>
  </si>
  <si>
    <t>serial_latency [ea]</t>
    <phoneticPr fontId="2" type="noConversion"/>
  </si>
  <si>
    <t>xc encoding</t>
    <phoneticPr fontId="2" type="noConversion"/>
  </si>
  <si>
    <t>xd decoding</t>
    <phoneticPr fontId="2" type="noConversion"/>
  </si>
  <si>
    <t>7bits</t>
    <phoneticPr fontId="2" type="noConversion"/>
  </si>
  <si>
    <t>6bits</t>
    <phoneticPr fontId="2" type="noConversion"/>
  </si>
  <si>
    <t>xd encoding</t>
    <phoneticPr fontId="2" type="noConversion"/>
  </si>
  <si>
    <t>xc decoding</t>
    <phoneticPr fontId="2" type="noConversion"/>
  </si>
  <si>
    <t>7bits</t>
  </si>
  <si>
    <t>Dimming sequence</t>
    <phoneticPr fontId="2" type="noConversion"/>
  </si>
  <si>
    <t>[us]</t>
    <phoneticPr fontId="2" type="noConversion"/>
  </si>
  <si>
    <t>Serial encoding/decooding</t>
    <phoneticPr fontId="2" type="noConversion"/>
  </si>
  <si>
    <t>DACO1, DACO2, DACO3 3ea 구비</t>
    <phoneticPr fontId="2" type="noConversion"/>
  </si>
  <si>
    <t>int_fb_source2 = 0</t>
    <phoneticPr fontId="2" type="noConversion"/>
  </si>
  <si>
    <t>int_fb_source3 = 0</t>
    <phoneticPr fontId="2" type="noConversion"/>
  </si>
  <si>
    <t>int_open_source = 0</t>
    <phoneticPr fontId="2" type="noConversion"/>
  </si>
  <si>
    <t>int_short_source = 0</t>
    <phoneticPr fontId="2" type="noConversion"/>
  </si>
  <si>
    <t xml:space="preserve">  </t>
    <phoneticPr fontId="2" type="noConversion"/>
  </si>
  <si>
    <t>'xc_reg' sheet description 참조</t>
    <phoneticPr fontId="2" type="noConversion"/>
  </si>
  <si>
    <t>0x21</t>
    <phoneticPr fontId="2" type="noConversion"/>
  </si>
  <si>
    <t>0x29</t>
  </si>
  <si>
    <t>0x2E</t>
    <phoneticPr fontId="2" type="noConversion"/>
  </si>
  <si>
    <t>DAC1 FB CONTROL</t>
    <phoneticPr fontId="2" type="noConversion"/>
  </si>
  <si>
    <t>DAC2 FB CONTROL</t>
    <phoneticPr fontId="2" type="noConversion"/>
  </si>
  <si>
    <t>DAC3 FB CONTROL</t>
    <phoneticPr fontId="2" type="noConversion"/>
  </si>
  <si>
    <t>0x6E</t>
    <phoneticPr fontId="2" type="noConversion"/>
  </si>
  <si>
    <t>0x6D</t>
    <phoneticPr fontId="2" type="noConversion"/>
  </si>
  <si>
    <t>0x6C</t>
    <phoneticPr fontId="2" type="noConversion"/>
  </si>
  <si>
    <t>0x6F</t>
    <phoneticPr fontId="2" type="noConversion"/>
  </si>
  <si>
    <t>0x6B</t>
    <phoneticPr fontId="2" type="noConversion"/>
  </si>
  <si>
    <t>0x6A</t>
    <phoneticPr fontId="2" type="noConversion"/>
  </si>
  <si>
    <t>0x69</t>
    <phoneticPr fontId="2" type="noConversion"/>
  </si>
  <si>
    <t>CURRENT TARGET DAC1</t>
    <phoneticPr fontId="2" type="noConversion"/>
  </si>
  <si>
    <t>PREVIOUS TARGET DAC1</t>
    <phoneticPr fontId="2" type="noConversion"/>
  </si>
  <si>
    <t>DAC1 OUT</t>
    <phoneticPr fontId="2" type="noConversion"/>
  </si>
  <si>
    <t>DAC1 INCREMENT 1</t>
    <phoneticPr fontId="2" type="noConversion"/>
  </si>
  <si>
    <t>DAC1 INCREMENT 2 &amp; HOLD_LIMIT</t>
    <phoneticPr fontId="2" type="noConversion"/>
  </si>
  <si>
    <t>DAC1 DECREMENT &amp; INC WAIT</t>
    <phoneticPr fontId="2" type="noConversion"/>
  </si>
  <si>
    <t>DAC1 INCREMENT HOLD THRESOLD</t>
    <phoneticPr fontId="2" type="noConversion"/>
  </si>
  <si>
    <t>SOA1_N1 &amp; N11</t>
    <phoneticPr fontId="2" type="noConversion"/>
  </si>
  <si>
    <t>SOA1_P2/P1</t>
    <phoneticPr fontId="2" type="noConversion"/>
  </si>
  <si>
    <t>SOA1_P3/P2</t>
    <phoneticPr fontId="2" type="noConversion"/>
  </si>
  <si>
    <t>DAC1 FB VALID TIMER</t>
    <phoneticPr fontId="2" type="noConversion"/>
  </si>
  <si>
    <t>DAC1 MIN LIMIT</t>
    <phoneticPr fontId="2" type="noConversion"/>
  </si>
  <si>
    <t>DAC1 MAX LIMIT</t>
    <phoneticPr fontId="2" type="noConversion"/>
  </si>
  <si>
    <t>DAC1 STATE</t>
    <phoneticPr fontId="2" type="noConversion"/>
  </si>
  <si>
    <t>DAC1 FB VALID CNT</t>
    <phoneticPr fontId="2" type="noConversion"/>
  </si>
  <si>
    <t>DAC1 INC HOLD/WAIT CNT</t>
    <phoneticPr fontId="2" type="noConversion"/>
  </si>
  <si>
    <t>1R2</t>
    <phoneticPr fontId="2" type="noConversion"/>
  </si>
  <si>
    <t>CURRENT TARGET DAC2</t>
    <phoneticPr fontId="2" type="noConversion"/>
  </si>
  <si>
    <t>PREVIOUS TARGET DAC2</t>
    <phoneticPr fontId="2" type="noConversion"/>
  </si>
  <si>
    <t>DAC2 OUT</t>
    <phoneticPr fontId="2" type="noConversion"/>
  </si>
  <si>
    <t>DAC2 INCREMENT 1</t>
    <phoneticPr fontId="2" type="noConversion"/>
  </si>
  <si>
    <t>DAC2 INCREMENT 2 &amp; HOLD_LIMIT</t>
    <phoneticPr fontId="2" type="noConversion"/>
  </si>
  <si>
    <t>DAC2 DECREMENT &amp; INC WAIT</t>
    <phoneticPr fontId="2" type="noConversion"/>
  </si>
  <si>
    <t>DAC2 INCREMENT HOLD THRESOLD</t>
    <phoneticPr fontId="2" type="noConversion"/>
  </si>
  <si>
    <t>SOA2_N1 &amp; N11</t>
    <phoneticPr fontId="2" type="noConversion"/>
  </si>
  <si>
    <t>SOA2_P2/P1</t>
    <phoneticPr fontId="2" type="noConversion"/>
  </si>
  <si>
    <t>SOA2_P3/P2</t>
    <phoneticPr fontId="2" type="noConversion"/>
  </si>
  <si>
    <t>DAC2 FB VALID TIMER</t>
    <phoneticPr fontId="2" type="noConversion"/>
  </si>
  <si>
    <t>DAC2 MIN LIMIT</t>
    <phoneticPr fontId="2" type="noConversion"/>
  </si>
  <si>
    <t>DAC2 MAX LIMIT</t>
    <phoneticPr fontId="2" type="noConversion"/>
  </si>
  <si>
    <t>DAC2 STATE</t>
  </si>
  <si>
    <t>DAC2 FB VALID CNT</t>
    <phoneticPr fontId="2" type="noConversion"/>
  </si>
  <si>
    <t>DAC2 INC HOLD/WAIT CNT</t>
    <phoneticPr fontId="2" type="noConversion"/>
  </si>
  <si>
    <t>2R2</t>
    <phoneticPr fontId="2" type="noConversion"/>
  </si>
  <si>
    <t>CURRENT TARGET DAC3</t>
    <phoneticPr fontId="2" type="noConversion"/>
  </si>
  <si>
    <t>PREVIOUS TARGET DAC3</t>
    <phoneticPr fontId="2" type="noConversion"/>
  </si>
  <si>
    <t>DAC3 OUT</t>
    <phoneticPr fontId="2" type="noConversion"/>
  </si>
  <si>
    <t>DAC3 INCREMENT 1</t>
    <phoneticPr fontId="2" type="noConversion"/>
  </si>
  <si>
    <t>DAC3 INCREMENT 2 &amp; HOLD_LIMIT</t>
    <phoneticPr fontId="2" type="noConversion"/>
  </si>
  <si>
    <t>DAC3 DECREMENT &amp; INC WAIT</t>
    <phoneticPr fontId="2" type="noConversion"/>
  </si>
  <si>
    <t>DAC3 INCREMENT HOLD THRESOLD</t>
    <phoneticPr fontId="2" type="noConversion"/>
  </si>
  <si>
    <t>SOA3_N1 &amp; N11</t>
    <phoneticPr fontId="2" type="noConversion"/>
  </si>
  <si>
    <t>SOA3_P2/P1</t>
    <phoneticPr fontId="2" type="noConversion"/>
  </si>
  <si>
    <t>SOA3_P3/P2</t>
    <phoneticPr fontId="2" type="noConversion"/>
  </si>
  <si>
    <t>DAC3 FB VALID TIMER</t>
    <phoneticPr fontId="2" type="noConversion"/>
  </si>
  <si>
    <t>DAC3 MIN LIMIT</t>
    <phoneticPr fontId="2" type="noConversion"/>
  </si>
  <si>
    <t>DAC3 MAX LIMIT</t>
    <phoneticPr fontId="2" type="noConversion"/>
  </si>
  <si>
    <t>DAC3 STATE</t>
  </si>
  <si>
    <t>DAC3 FB VALID CNT</t>
    <phoneticPr fontId="2" type="noConversion"/>
  </si>
  <si>
    <t>DAC3 INC HOLD/WAIT CNT</t>
    <phoneticPr fontId="2" type="noConversion"/>
  </si>
  <si>
    <t>3R2</t>
    <phoneticPr fontId="2" type="noConversion"/>
  </si>
  <si>
    <t>0x47</t>
  </si>
  <si>
    <t>0x48</t>
  </si>
  <si>
    <t>0x49</t>
  </si>
  <si>
    <t>0x4A</t>
    <phoneticPr fontId="2" type="noConversion"/>
  </si>
  <si>
    <t>0x4B</t>
    <phoneticPr fontId="2" type="noConversion"/>
  </si>
  <si>
    <t>0x4C</t>
    <phoneticPr fontId="2" type="noConversion"/>
  </si>
  <si>
    <t>0x4E</t>
    <phoneticPr fontId="2" type="noConversion"/>
  </si>
  <si>
    <t>dac_fault_off
'0' disable
'1' enable</t>
    <phoneticPr fontId="2" type="noConversion"/>
  </si>
  <si>
    <t>dac1_hold_en
'0' disable
'1' enable</t>
    <phoneticPr fontId="2" type="noConversion"/>
  </si>
  <si>
    <t>dac2_hold_en
'0' disable
'1' enable</t>
    <phoneticPr fontId="2" type="noConversion"/>
  </si>
  <si>
    <t>dac3_hold_en
'0' disable
'1' enable</t>
    <phoneticPr fontId="2" type="noConversion"/>
  </si>
  <si>
    <t>dac1_dec1_mode
'0' static
'1' arithmetic exp</t>
    <phoneticPr fontId="2" type="noConversion"/>
  </si>
  <si>
    <t>dac2_dec1_mode
'0' static
'1' arithmetic exp</t>
    <phoneticPr fontId="2" type="noConversion"/>
  </si>
  <si>
    <t>dac3_dec1_mode
'0' static
'1' arithmetic exp</t>
    <phoneticPr fontId="2" type="noConversion"/>
  </si>
  <si>
    <t>dac3_auto
'0' manual
'1' auto</t>
    <phoneticPr fontId="2" type="noConversion"/>
  </si>
  <si>
    <t>dac2_auto
'0' manual
'1' auto</t>
    <phoneticPr fontId="2" type="noConversion"/>
  </si>
  <si>
    <t>dac1_auto
'0' manual
'1' auto</t>
    <phoneticPr fontId="2" type="noConversion"/>
  </si>
  <si>
    <t>dac1_fb_mode
'0' internal
'1' ext multiple XC</t>
    <phoneticPr fontId="2" type="noConversion"/>
  </si>
  <si>
    <t>dac2_fb_mode
'0' internal
'1' ext multiple XC</t>
    <phoneticPr fontId="2" type="noConversion"/>
  </si>
  <si>
    <t>dac3_fb_mode
'0' internal
'1' ext multiple XC</t>
    <phoneticPr fontId="2" type="noConversion"/>
  </si>
  <si>
    <t>curr_tgt_dac1 [11:0]</t>
    <phoneticPr fontId="2" type="noConversion"/>
  </si>
  <si>
    <t>prev_tgt_dac1 [11:0]</t>
    <phoneticPr fontId="2" type="noConversion"/>
  </si>
  <si>
    <t>dac1_out [11:0]</t>
    <phoneticPr fontId="2" type="noConversion"/>
  </si>
  <si>
    <t>dac1_inc1 [4:0]</t>
    <phoneticPr fontId="2" type="noConversion"/>
  </si>
  <si>
    <t>dac1_inc2 [4:0]</t>
    <phoneticPr fontId="2" type="noConversion"/>
  </si>
  <si>
    <t>dac1_inc3 [5:0]</t>
    <phoneticPr fontId="2" type="noConversion"/>
  </si>
  <si>
    <t>dac1_int4 [6:0]</t>
    <phoneticPr fontId="2" type="noConversion"/>
  </si>
  <si>
    <t>dac1_inc_hold_limit [8:0]</t>
    <phoneticPr fontId="2" type="noConversion"/>
  </si>
  <si>
    <t>dac1_dec1 [6:0]</t>
    <phoneticPr fontId="2" type="noConversion"/>
  </si>
  <si>
    <t>dac1_inc1_wait [6:0]</t>
    <phoneticPr fontId="2" type="noConversion"/>
  </si>
  <si>
    <t>dac1_inc_hold_threshold [8:0]</t>
    <phoneticPr fontId="2" type="noConversion"/>
  </si>
  <si>
    <t>soa1_n11 [8:0]</t>
    <phoneticPr fontId="2" type="noConversion"/>
  </si>
  <si>
    <t>soa1_p1 [8:0]</t>
    <phoneticPr fontId="2" type="noConversion"/>
  </si>
  <si>
    <t>soa1_p2 [9:4]</t>
    <phoneticPr fontId="2" type="noConversion"/>
  </si>
  <si>
    <t>dac1_fb_valid_timer [17:2]</t>
    <phoneticPr fontId="2" type="noConversion"/>
  </si>
  <si>
    <t>soa1_p3 [9:0]</t>
    <phoneticPr fontId="2" type="noConversion"/>
  </si>
  <si>
    <t>dac1_min_limit [11:0]</t>
    <phoneticPr fontId="2" type="noConversion"/>
  </si>
  <si>
    <t>dac1_max_limit [11:0]</t>
    <phoneticPr fontId="2" type="noConversion"/>
  </si>
  <si>
    <t>dac1_st_en [3:0]</t>
    <phoneticPr fontId="2" type="noConversion"/>
  </si>
  <si>
    <t>dac1_state [3:0]</t>
    <phoneticPr fontId="2" type="noConversion"/>
  </si>
  <si>
    <t>dac1_fb_valid_cnt [17:2]</t>
    <phoneticPr fontId="2" type="noConversion"/>
  </si>
  <si>
    <t>1r2 [ 11:0]</t>
    <phoneticPr fontId="2" type="noConversion"/>
  </si>
  <si>
    <t>dac1_inc1_wait_cnt [6:0]</t>
    <phoneticPr fontId="2" type="noConversion"/>
  </si>
  <si>
    <t>dac2_state [3:0]</t>
    <phoneticPr fontId="2" type="noConversion"/>
  </si>
  <si>
    <t>dac3_state [3:0]</t>
    <phoneticPr fontId="2" type="noConversion"/>
  </si>
  <si>
    <t>dac3_st_en [3:0]</t>
    <phoneticPr fontId="2" type="noConversion"/>
  </si>
  <si>
    <t>2r2 [11:0]</t>
    <phoneticPr fontId="2" type="noConversion"/>
  </si>
  <si>
    <t>MCLK64_O</t>
    <phoneticPr fontId="2" type="noConversion"/>
  </si>
  <si>
    <t>DACO1_DIRECT</t>
    <phoneticPr fontId="2" type="noConversion"/>
  </si>
  <si>
    <t>DACO2_DIRECT</t>
    <phoneticPr fontId="2" type="noConversion"/>
  </si>
  <si>
    <t>DACO3_DIRECT</t>
    <phoneticPr fontId="2" type="noConversion"/>
  </si>
  <si>
    <t>FLLCNT1</t>
    <phoneticPr fontId="2" type="noConversion"/>
  </si>
  <si>
    <t>Register Group 1</t>
    <phoneticPr fontId="2" type="noConversion"/>
  </si>
  <si>
    <t>dac2_st_en [3:0]</t>
    <phoneticPr fontId="2" type="noConversion"/>
  </si>
  <si>
    <t>curr_tgt_dac2 [11:0]</t>
    <phoneticPr fontId="2" type="noConversion"/>
  </si>
  <si>
    <t>curr_tgt_dac3 [11:0]</t>
    <phoneticPr fontId="2" type="noConversion"/>
  </si>
  <si>
    <t>prev_tgt_dac2 [11:0]</t>
    <phoneticPr fontId="2" type="noConversion"/>
  </si>
  <si>
    <t>prev_tgt_dac3 [11:0]</t>
    <phoneticPr fontId="2" type="noConversion"/>
  </si>
  <si>
    <t>dac2_out [11:0]</t>
    <phoneticPr fontId="2" type="noConversion"/>
  </si>
  <si>
    <t>dac3_out [11:0]</t>
    <phoneticPr fontId="2" type="noConversion"/>
  </si>
  <si>
    <t>Register Group 2</t>
    <phoneticPr fontId="2" type="noConversion"/>
  </si>
  <si>
    <t>dac2_fb_valid_cnt [17:2]</t>
    <phoneticPr fontId="2" type="noConversion"/>
  </si>
  <si>
    <t>dac2_inc1_wait_cnt [6:0]</t>
    <phoneticPr fontId="2" type="noConversion"/>
  </si>
  <si>
    <t>dac3_inc1_wait_cnt [6:0]</t>
    <phoneticPr fontId="2" type="noConversion"/>
  </si>
  <si>
    <t>dac3_fb_valid_cnt [17:2]</t>
    <phoneticPr fontId="2" type="noConversion"/>
  </si>
  <si>
    <t>3r2 [11:0]</t>
    <phoneticPr fontId="2" type="noConversion"/>
  </si>
  <si>
    <t>MAX_CURR_VREF1</t>
    <phoneticPr fontId="2" type="noConversion"/>
  </si>
  <si>
    <t>MAX_CURR_VREF2</t>
  </si>
  <si>
    <t>MAX_CURR_VREF3</t>
  </si>
  <si>
    <t>MAX_CURR_VREF1 [11:0]</t>
    <phoneticPr fontId="2" type="noConversion"/>
  </si>
  <si>
    <t>MAX_CURR_VREF2 [11:0]</t>
    <phoneticPr fontId="2" type="noConversion"/>
  </si>
  <si>
    <t>MAX_CURR_VREF3 [11:0]</t>
    <phoneticPr fontId="2" type="noConversion"/>
  </si>
  <si>
    <t>FLLCNT2</t>
    <phoneticPr fontId="2" type="noConversion"/>
  </si>
  <si>
    <t>PWMCLK_DIV1 [7:0]</t>
    <phoneticPr fontId="2" type="noConversion"/>
  </si>
  <si>
    <t>PWMCLK_DIV2 [3:0]</t>
    <phoneticPr fontId="2" type="noConversion"/>
  </si>
  <si>
    <t>PWMCLK_DIV2 [7:4]</t>
    <phoneticPr fontId="2" type="noConversion"/>
  </si>
  <si>
    <t>PWMCLK_DIV3 [7:0]</t>
    <phoneticPr fontId="2" type="noConversion"/>
  </si>
  <si>
    <t>PWMCLK_DIV2/3</t>
    <phoneticPr fontId="2" type="noConversion"/>
  </si>
  <si>
    <t>PWMCLK_DIV1/2</t>
    <phoneticPr fontId="2" type="noConversion"/>
  </si>
  <si>
    <t>pin</t>
    <phoneticPr fontId="2" type="noConversion"/>
  </si>
  <si>
    <t>SVO</t>
    <phoneticPr fontId="2" type="noConversion"/>
  </si>
  <si>
    <t>SVO1</t>
    <phoneticPr fontId="2" type="noConversion"/>
  </si>
  <si>
    <t>SVO2</t>
    <phoneticPr fontId="2" type="noConversion"/>
  </si>
  <si>
    <t>DELAY_CH1 [4:0]</t>
    <phoneticPr fontId="2" type="noConversion"/>
  </si>
  <si>
    <t>DELAY_CH2 [4:0]</t>
    <phoneticPr fontId="2" type="noConversion"/>
  </si>
  <si>
    <t>DELAY_CH3 [4:0]</t>
    <phoneticPr fontId="2" type="noConversion"/>
  </si>
  <si>
    <t>DELAY_CH4 [4:0]</t>
    <phoneticPr fontId="2" type="noConversion"/>
  </si>
  <si>
    <t>DELAY_CH5 [4:0]</t>
    <phoneticPr fontId="2" type="noConversion"/>
  </si>
  <si>
    <t>DELAY_CH6 [4:0]</t>
    <phoneticPr fontId="2" type="noConversion"/>
  </si>
  <si>
    <t>DELAY_CH7 [4:0]</t>
    <phoneticPr fontId="2" type="noConversion"/>
  </si>
  <si>
    <t>DELAY_CH8 [4:0]</t>
    <phoneticPr fontId="2" type="noConversion"/>
  </si>
  <si>
    <t>DELAY_CH9 [4:0]</t>
    <phoneticPr fontId="2" type="noConversion"/>
  </si>
  <si>
    <t>DELAY_CH10 [4:0]</t>
    <phoneticPr fontId="2" type="noConversion"/>
  </si>
  <si>
    <t>DELAY_CH11 [4:0]</t>
    <phoneticPr fontId="2" type="noConversion"/>
  </si>
  <si>
    <t>DELAY_CH12 [4:0]</t>
    <phoneticPr fontId="2" type="noConversion"/>
  </si>
  <si>
    <t>DELAY_CH1/2</t>
    <phoneticPr fontId="2" type="noConversion"/>
  </si>
  <si>
    <t>DELAY_CH3/4</t>
    <phoneticPr fontId="2" type="noConversion"/>
  </si>
  <si>
    <t>DELAY_CH5/6</t>
    <phoneticPr fontId="2" type="noConversion"/>
  </si>
  <si>
    <t>DELAY_CH7/8</t>
    <phoneticPr fontId="2" type="noConversion"/>
  </si>
  <si>
    <t>DELAY_CH9/10</t>
    <phoneticPr fontId="2" type="noConversion"/>
  </si>
  <si>
    <t>DELAY_CH11/12</t>
    <phoneticPr fontId="2" type="noConversion"/>
  </si>
  <si>
    <t>fllsync
'0'  vsync
'1'  ext fllsync</t>
    <phoneticPr fontId="2" type="noConversion"/>
  </si>
  <si>
    <t>if 1, the dimming starts at 2nd svsync</t>
    <phoneticPr fontId="2" type="noConversion"/>
  </si>
  <si>
    <t>RST &amp; ID</t>
    <phoneticPr fontId="2" type="noConversion"/>
  </si>
  <si>
    <t>LD_SIZE [3:0]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</si>
  <si>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</si>
  <si>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</si>
  <si>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</si>
  <si>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FB1_LEVEL [2:0]</t>
    <phoneticPr fontId="2" type="noConversion"/>
  </si>
  <si>
    <t>FB2_LEVEL [2:0]</t>
    <phoneticPr fontId="2" type="noConversion"/>
  </si>
  <si>
    <t>FB3_LEVEL [2:0]</t>
    <phoneticPr fontId="2" type="noConversion"/>
  </si>
  <si>
    <t>MAX_CURR_LEVEL1 [3:0]</t>
    <phoneticPr fontId="2" type="noConversion"/>
  </si>
  <si>
    <t>MAX_CURR_LEVEL2 [3:0]</t>
    <phoneticPr fontId="2" type="noConversion"/>
  </si>
  <si>
    <t>MAX_CURR_LEVEL3 [3:0]</t>
    <phoneticPr fontId="2" type="noConversion"/>
  </si>
  <si>
    <t>MAX CURRENT LEVEL</t>
    <phoneticPr fontId="2" type="noConversion"/>
  </si>
  <si>
    <t>CHANNEL ENABLE</t>
    <phoneticPr fontId="2" type="noConversion"/>
  </si>
  <si>
    <t>OTP MIRROR</t>
    <phoneticPr fontId="2" type="noConversion"/>
  </si>
  <si>
    <t>OTP CONTROL</t>
    <phoneticPr fontId="2" type="noConversion"/>
  </si>
  <si>
    <t>dac2_inc1 [4:0]</t>
    <phoneticPr fontId="2" type="noConversion"/>
  </si>
  <si>
    <t>dac2_inc2 [4:0]</t>
    <phoneticPr fontId="2" type="noConversion"/>
  </si>
  <si>
    <t>dac2inc3 [5:0]</t>
    <phoneticPr fontId="2" type="noConversion"/>
  </si>
  <si>
    <t>dac2_inc_hold_limit [8:0]</t>
    <phoneticPr fontId="2" type="noConversion"/>
  </si>
  <si>
    <t>dac2_dec1 [6:0]</t>
    <phoneticPr fontId="2" type="noConversion"/>
  </si>
  <si>
    <t>dac2_inc_hold_threshold [8:0]</t>
    <phoneticPr fontId="2" type="noConversion"/>
  </si>
  <si>
    <t>dac2_inc1_wait [6:0]</t>
    <phoneticPr fontId="2" type="noConversion"/>
  </si>
  <si>
    <t>dac2_int4 [6:0]</t>
    <phoneticPr fontId="2" type="noConversion"/>
  </si>
  <si>
    <t>soa2_n1 [6:0]</t>
    <phoneticPr fontId="2" type="noConversion"/>
  </si>
  <si>
    <t>soa2_p1 [8:0]</t>
    <phoneticPr fontId="2" type="noConversion"/>
  </si>
  <si>
    <t>soa2_p2 [9:4]</t>
    <phoneticPr fontId="2" type="noConversion"/>
  </si>
  <si>
    <t>dac2_min_limit [11:0]</t>
    <phoneticPr fontId="2" type="noConversion"/>
  </si>
  <si>
    <t>dac2_max_limit [11:0]</t>
    <phoneticPr fontId="2" type="noConversion"/>
  </si>
  <si>
    <t>soa2_p3 [9:0]</t>
    <phoneticPr fontId="2" type="noConversion"/>
  </si>
  <si>
    <t>soa2_p2 [3:0]</t>
    <phoneticPr fontId="2" type="noConversion"/>
  </si>
  <si>
    <t>soa2_n11 [8:0]</t>
    <phoneticPr fontId="2" type="noConversion"/>
  </si>
  <si>
    <t>dac2_fb_valid_timer [17:2]</t>
    <phoneticPr fontId="2" type="noConversion"/>
  </si>
  <si>
    <t>dac3_inc1 [4:0]</t>
    <phoneticPr fontId="2" type="noConversion"/>
  </si>
  <si>
    <t>dac3_inc2 [4:0]</t>
    <phoneticPr fontId="2" type="noConversion"/>
  </si>
  <si>
    <t>dac3_inc3 [5:0]</t>
    <phoneticPr fontId="2" type="noConversion"/>
  </si>
  <si>
    <t>dac3_inc_hold_limit [8:0]</t>
    <phoneticPr fontId="2" type="noConversion"/>
  </si>
  <si>
    <t>dac3_dec1 [6:0]</t>
    <phoneticPr fontId="2" type="noConversion"/>
  </si>
  <si>
    <t>soa3_n11 [8:0]</t>
    <phoneticPr fontId="2" type="noConversion"/>
  </si>
  <si>
    <t>soa3_p2 [3:0]</t>
    <phoneticPr fontId="2" type="noConversion"/>
  </si>
  <si>
    <t>soa3_p3 [9:0]</t>
    <phoneticPr fontId="2" type="noConversion"/>
  </si>
  <si>
    <t>dac3_fb_valid_timer [17:2]</t>
    <phoneticPr fontId="2" type="noConversion"/>
  </si>
  <si>
    <t>dac3_min_limit [11:0]</t>
    <phoneticPr fontId="2" type="noConversion"/>
  </si>
  <si>
    <t>dac3_max_limit [11:0]</t>
    <phoneticPr fontId="2" type="noConversion"/>
  </si>
  <si>
    <t>dac3_int4 [6:0]</t>
    <phoneticPr fontId="2" type="noConversion"/>
  </si>
  <si>
    <t>dac3_inc1_wait [6:0]</t>
    <phoneticPr fontId="2" type="noConversion"/>
  </si>
  <si>
    <t>dac3_inc_hold_threshold [8:0]</t>
    <phoneticPr fontId="2" type="noConversion"/>
  </si>
  <si>
    <t>soa3_n1 [6:0]</t>
    <phoneticPr fontId="2" type="noConversion"/>
  </si>
  <si>
    <t>soa3_p1 [8:0]</t>
    <phoneticPr fontId="2" type="noConversion"/>
  </si>
  <si>
    <t>soa3_p2 [9:4]</t>
    <phoneticPr fontId="2" type="noConversion"/>
  </si>
  <si>
    <t>SVI</t>
    <phoneticPr fontId="2" type="noConversion"/>
  </si>
  <si>
    <t>PWMOUT_FULL</t>
    <phoneticPr fontId="2" type="noConversion"/>
  </si>
  <si>
    <t>int_fb_source2 = ( fault_ch1 [1] &amp;&amp; ch1_en) || (fault_ch2 [1] &amp;&amp; ch2_en) || … || (fault_ch24 [1] &amp;&amp; ch24_en)</t>
    <phoneticPr fontId="2" type="noConversion"/>
  </si>
  <si>
    <t>int_fb_source1 = ( fault_ch1 [0] &amp;&amp; ch1_en) || (fault_ch2 [0] &amp;&amp; ch2_en) || … || (fault_ch24 [0] &amp;&amp; ch24_en)</t>
    <phoneticPr fontId="2" type="noConversion"/>
  </si>
  <si>
    <t>int_thermal_source = (fault_ch1 [3] &amp;&amp; ch1_en) || (fault_ch2 [3] &amp;&amp; ch2_en) || … || (fault_ch24 [3] &amp;&amp; ch24_en)</t>
    <phoneticPr fontId="2" type="noConversion"/>
  </si>
  <si>
    <t>int_short_source = (fault_ch1 [2] &amp;&amp; ch1_en) || (fault_ch2 [2] &amp;&amp; ch2_en) || … || (fault_ch24 [2] &amp;&amp; ch24_en)</t>
    <phoneticPr fontId="2" type="noConversion"/>
  </si>
  <si>
    <t>int_open_source = (fault_ch1 [1] &amp;&amp; ch1_en) || (fault_ch2 [1] &amp;&amp; ch2_en) || … || (fault_ch24 [1] &amp;&amp; ch24_en)</t>
    <phoneticPr fontId="2" type="noConversion"/>
  </si>
  <si>
    <t>int_fb_source1 =(fault_ch1 [0] &amp;&amp; ch1_en) || (fault_ch2 [0] &amp;&amp; ch2_en) || … || (fault_ch24 [0] &amp;&amp; ch24_en)</t>
    <phoneticPr fontId="2" type="noConversion"/>
  </si>
  <si>
    <t>17bits</t>
    <phoneticPr fontId="2" type="noConversion"/>
  </si>
  <si>
    <t>SVSYNC NO</t>
    <phoneticPr fontId="2" type="noConversion"/>
  </si>
  <si>
    <t>Baudrate clock</t>
    <phoneticPr fontId="2" type="noConversion"/>
  </si>
  <si>
    <t>reg / counter bit size 최적화</t>
    <phoneticPr fontId="2" type="noConversion"/>
  </si>
  <si>
    <t>ld_type[1:0]</t>
    <phoneticPr fontId="2" type="noConversion"/>
  </si>
  <si>
    <t>ld_type [1:0]</t>
    <phoneticPr fontId="2" type="noConversion"/>
  </si>
  <si>
    <t>'00'</t>
    <phoneticPr fontId="2" type="noConversion"/>
  </si>
  <si>
    <t>'01'</t>
  </si>
  <si>
    <t>FLLSYNC</t>
    <phoneticPr fontId="2" type="noConversion"/>
  </si>
  <si>
    <t>x</t>
    <phoneticPr fontId="2" type="noConversion"/>
  </si>
  <si>
    <t>LD_TYPE [1:0]</t>
    <phoneticPr fontId="2" type="noConversion"/>
  </si>
  <si>
    <t>아래 내용은 ld transfer command(1111)에서만 적용. 기존 cmd는 동일</t>
    <phoneticPr fontId="2" type="noConversion"/>
  </si>
  <si>
    <t>ld_type=01</t>
    <phoneticPr fontId="2" type="noConversion"/>
  </si>
  <si>
    <t>ld_type=10</t>
    <phoneticPr fontId="2" type="noConversion"/>
  </si>
  <si>
    <t>ld_type=11</t>
    <phoneticPr fontId="2" type="noConversion"/>
  </si>
  <si>
    <t>ld12_2</t>
    <phoneticPr fontId="2" type="noConversion"/>
  </si>
  <si>
    <t>mono mode1</t>
    <phoneticPr fontId="2" type="noConversion"/>
  </si>
  <si>
    <t>ld data format = ld transfer cmd 4bit + (ld_size * 3) ld data, 그 외는 bypass, 여기서 ld는 14bits</t>
    <phoneticPr fontId="2" type="noConversion"/>
  </si>
  <si>
    <t>ld data format = ld transfer cmd 4bit + (ld_size * 3) ld data, 그 외는 bypass, 여기서 ld는 12bits</t>
    <phoneticPr fontId="2" type="noConversion"/>
  </si>
  <si>
    <t>ld data format = ld transfer cmd 4bit + (ld_size * 2) ld data, 그 외는 bypass, 여기서 ld는 12bits</t>
    <phoneticPr fontId="2" type="noConversion"/>
  </si>
  <si>
    <t>ld data format = ld transfer cmd 4bit + (ld_size * 2) ld data, 그 외는 bypass, 여기서 ld는 14bits</t>
    <phoneticPr fontId="2" type="noConversion"/>
  </si>
  <si>
    <t>TIMEOUT</t>
    <phoneticPr fontId="2" type="noConversion"/>
  </si>
  <si>
    <t>timeout [us]</t>
    <phoneticPr fontId="2" type="noConversion"/>
  </si>
  <si>
    <t xml:space="preserve"> fault read timeout [us]</t>
    <phoneticPr fontId="2" type="noConversion"/>
  </si>
  <si>
    <t>fault readout [us]</t>
    <phoneticPr fontId="2" type="noConversion"/>
  </si>
  <si>
    <t>reg readout [us]</t>
    <phoneticPr fontId="2" type="noConversion"/>
  </si>
  <si>
    <r>
      <t>mclk</t>
    </r>
    <r>
      <rPr>
        <sz val="11"/>
        <color theme="1"/>
        <rFont val="맑은 고딕"/>
        <family val="2"/>
        <charset val="129"/>
      </rPr>
      <t>분주</t>
    </r>
    <phoneticPr fontId="2" type="noConversion"/>
  </si>
  <si>
    <t>serial_latency [us]</t>
    <phoneticPr fontId="2" type="noConversion"/>
  </si>
  <si>
    <t>10bits</t>
    <phoneticPr fontId="2" type="noConversion"/>
  </si>
  <si>
    <t>(min) us/step</t>
    <phoneticPr fontId="2" type="noConversion"/>
  </si>
  <si>
    <t>fllcnt [ea]</t>
    <phoneticPr fontId="2" type="noConversion"/>
  </si>
  <si>
    <t>pwmclk_div1/2/3 [ea]</t>
    <phoneticPr fontId="2" type="noConversion"/>
  </si>
  <si>
    <t>(r+g+b) step</t>
    <phoneticPr fontId="2" type="noConversion"/>
  </si>
  <si>
    <t>xcr24</t>
    <phoneticPr fontId="2" type="noConversion"/>
  </si>
  <si>
    <t>xdr12</t>
    <phoneticPr fontId="2" type="noConversion"/>
  </si>
  <si>
    <t>11bits</t>
    <phoneticPr fontId="2" type="noConversion"/>
  </si>
  <si>
    <t>(max)</t>
    <phoneticPr fontId="2" type="noConversion"/>
  </si>
  <si>
    <t>TEST_EN=1</t>
    <phoneticPr fontId="2" type="noConversion"/>
  </si>
  <si>
    <t>PROTECT_EN (0x5A5=not accessible), PROTECT_DIS (0xA5A=accessible)</t>
    <phoneticPr fontId="2" type="noConversion"/>
  </si>
  <si>
    <t>updated at a next vsync</t>
    <phoneticPr fontId="2" type="noConversion"/>
  </si>
  <si>
    <t>if 0, the dimming starts at 1st svsync</t>
    <phoneticPr fontId="2" type="noConversion"/>
  </si>
  <si>
    <t>FLL_EN</t>
    <phoneticPr fontId="2" type="noConversion"/>
  </si>
  <si>
    <t>fllsync</t>
    <phoneticPr fontId="2" type="noConversion"/>
  </si>
  <si>
    <t>* value will be updated at a next vsync (not svsync)</t>
    <phoneticPr fontId="2" type="noConversion"/>
  </si>
  <si>
    <t>slow1</t>
    <phoneticPr fontId="2" type="noConversion"/>
  </si>
  <si>
    <t>slow2</t>
    <phoneticPr fontId="2" type="noConversion"/>
  </si>
  <si>
    <t>400ns</t>
    <phoneticPr fontId="2" type="noConversion"/>
  </si>
  <si>
    <t>mclk * 64분주 @ TEST_EN=1 &amp;&amp; MCLK64_O=1</t>
    <phoneticPr fontId="2" type="noConversion"/>
  </si>
  <si>
    <t>SVO (pin 13)</t>
    <phoneticPr fontId="2" type="noConversion"/>
  </si>
  <si>
    <t>VDD (pin 17)</t>
    <phoneticPr fontId="2" type="noConversion"/>
  </si>
  <si>
    <t>o_slew [1:0]</t>
    <phoneticPr fontId="2" type="noConversion"/>
  </si>
  <si>
    <r>
      <rPr>
        <b/>
        <sz val="11"/>
        <color theme="1"/>
        <rFont val="맑은 고딕"/>
        <family val="3"/>
        <charset val="129"/>
      </rPr>
      <t>※</t>
    </r>
    <r>
      <rPr>
        <b/>
        <sz val="12.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</si>
  <si>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r>
      <rPr>
        <sz val="11"/>
        <color theme="1"/>
        <rFont val="맑은 고딕"/>
        <family val="3"/>
        <charset val="129"/>
      </rPr>
      <t>※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</si>
  <si>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t>[3:0] = { thermal, short_all, open_all, fb1_all }</t>
    <phoneticPr fontId="2" type="noConversion"/>
  </si>
  <si>
    <t>[3:0] = { fault*, fb3_all, fb2_all, fb1_all }</t>
    <phoneticPr fontId="2" type="noConversion"/>
  </si>
  <si>
    <t>LD_MODE</t>
    <phoneticPr fontId="2" type="noConversion"/>
  </si>
  <si>
    <t>SYNCMODE</t>
    <phoneticPr fontId="2" type="noConversion"/>
  </si>
  <si>
    <t>O_SLEW [1:0]</t>
    <phoneticPr fontId="2" type="noConversion"/>
  </si>
  <si>
    <t>auto-cleared just after a readout</t>
    <phoneticPr fontId="2" type="noConversion"/>
  </si>
  <si>
    <t>MIRROR4</t>
  </si>
  <si>
    <t>0xF8</t>
  </si>
  <si>
    <t>SERIAL_LATENCY [8:0] default 128ea</t>
    <phoneticPr fontId="2" type="noConversion"/>
  </si>
  <si>
    <t>0x080</t>
    <phoneticPr fontId="2" type="noConversion"/>
  </si>
  <si>
    <t>the value updated at a next vsync or ext. FLLSYNC pin by fllsync bit</t>
    <phoneticPr fontId="2" type="noConversion"/>
  </si>
  <si>
    <t>updated with temp reg value at a next vsync</t>
    <phoneticPr fontId="2" type="noConversion"/>
  </si>
  <si>
    <t>updated with curr_tgt reg value at a next vsync</t>
    <phoneticPr fontId="2" type="noConversion"/>
  </si>
  <si>
    <t>spi side decoding수정/ bit size check (reg &amp; counter)</t>
    <phoneticPr fontId="2" type="noConversion"/>
  </si>
  <si>
    <t>int mclk out for test @ TEST_EN=1 &amp;&amp; MCLK1_O=1</t>
    <phoneticPr fontId="2" type="noConversion"/>
  </si>
  <si>
    <t>fllsync bit</t>
    <phoneticPr fontId="2" type="noConversion"/>
  </si>
  <si>
    <t>DAISIED DEVICE CH SIZE</t>
    <phoneticPr fontId="2" type="noConversion"/>
  </si>
  <si>
    <t>ld_type [1:0] : serializing 때 사용   * ld_width와 같이 decoding 필요</t>
    <phoneticPr fontId="2" type="noConversion"/>
  </si>
  <si>
    <r>
      <t xml:space="preserve">lsb 1bit </t>
    </r>
    <r>
      <rPr>
        <sz val="11"/>
        <color theme="1"/>
        <rFont val="맑은 고딕"/>
        <family val="2"/>
        <charset val="129"/>
      </rPr>
      <t>제거 (2</t>
    </r>
    <r>
      <rPr>
        <sz val="11"/>
        <color theme="1"/>
        <rFont val="Aptos Narrow"/>
        <family val="2"/>
      </rPr>
      <t xml:space="preserve">mclk </t>
    </r>
    <r>
      <rPr>
        <sz val="11"/>
        <color theme="1"/>
        <rFont val="맑은 고딕"/>
        <family val="2"/>
        <charset val="129"/>
      </rPr>
      <t>오차 내재)</t>
    </r>
    <phoneticPr fontId="2" type="noConversion"/>
  </si>
  <si>
    <t>pwm reset [us]</t>
    <phoneticPr fontId="2" type="noConversion"/>
  </si>
  <si>
    <t>@ last svsync</t>
    <phoneticPr fontId="2" type="noConversion"/>
  </si>
  <si>
    <t>15bits</t>
    <phoneticPr fontId="2" type="noConversion"/>
  </si>
  <si>
    <t>RSTCNT</t>
    <phoneticPr fontId="2" type="noConversion"/>
  </si>
  <si>
    <t>RSTCNT [9:0]</t>
    <phoneticPr fontId="2" type="noConversion"/>
  </si>
  <si>
    <t>int_fb_source3</t>
  </si>
  <si>
    <t>int_fb_source1</t>
    <phoneticPr fontId="2" type="noConversion"/>
  </si>
  <si>
    <t>int_fb_source2</t>
    <phoneticPr fontId="2" type="noConversion"/>
  </si>
  <si>
    <t>ld_mode=0, ld_type=01, ld_dir=0, pwm_res=0</t>
    <phoneticPr fontId="2" type="noConversion"/>
  </si>
  <si>
    <t>ld_mode=0, ld_type=01, ld_dir=1, pwm_res=0</t>
    <phoneticPr fontId="2" type="noConversion"/>
  </si>
  <si>
    <r>
      <rPr>
        <sz val="10"/>
        <color rgb="FFFF00FF"/>
        <rFont val="Aptos Narrow"/>
        <family val="2"/>
      </rPr>
      <t>ld_mode=1</t>
    </r>
    <r>
      <rPr>
        <sz val="10"/>
        <color theme="1"/>
        <rFont val="Aptos Narrow"/>
        <family val="2"/>
      </rPr>
      <t xml:space="preserve">, ld_type=01, ld_dir=1, pwm_res=0 : </t>
    </r>
    <r>
      <rPr>
        <sz val="10"/>
        <color theme="1"/>
        <rFont val="맑은 고딕"/>
        <family val="2"/>
        <charset val="129"/>
      </rPr>
      <t xml:space="preserve">동일 </t>
    </r>
    <r>
      <rPr>
        <sz val="10"/>
        <color theme="1"/>
        <rFont val="Aptos Narrow"/>
        <family val="2"/>
      </rPr>
      <t>dimming</t>
    </r>
    <r>
      <rPr>
        <sz val="10"/>
        <color theme="1"/>
        <rFont val="맑은 고딕"/>
        <family val="2"/>
        <charset val="129"/>
      </rPr>
      <t xml:space="preserve">값 </t>
    </r>
    <r>
      <rPr>
        <sz val="10"/>
        <color rgb="FFFF00FF"/>
        <rFont val="맑은 고딕"/>
        <family val="3"/>
        <charset val="129"/>
      </rPr>
      <t>8회 반복</t>
    </r>
    <phoneticPr fontId="2" type="noConversion"/>
  </si>
  <si>
    <t>pwmclk gen :  ld_type=10, ld_dir=1</t>
    <phoneticPr fontId="2" type="noConversion"/>
  </si>
  <si>
    <t>pwmclk gen :  ld_type=01, ld_dir=1</t>
    <phoneticPr fontId="2" type="noConversion"/>
  </si>
  <si>
    <t>gate control &amp; step gen : ld_type=01, ld_dir=1</t>
    <phoneticPr fontId="2" type="noConversion"/>
  </si>
  <si>
    <t>pwmclk gen :  ld_type=11, ld_dir=1</t>
    <phoneticPr fontId="2" type="noConversion"/>
  </si>
  <si>
    <t>(xd) pwmclk1</t>
    <phoneticPr fontId="2" type="noConversion"/>
  </si>
  <si>
    <t>(xd) pwmclk2</t>
    <phoneticPr fontId="2" type="noConversion"/>
  </si>
  <si>
    <t>ld transmit bit#/xd ch</t>
    <phoneticPr fontId="2" type="noConversion"/>
  </si>
  <si>
    <t>ld transmit time/xd ch</t>
    <phoneticPr fontId="2" type="noConversion"/>
  </si>
  <si>
    <t>simultaneous operation</t>
    <phoneticPr fontId="2" type="noConversion"/>
  </si>
  <si>
    <t>total transmit time</t>
    <phoneticPr fontId="2" type="noConversion"/>
  </si>
  <si>
    <t>not parallel transmit</t>
    <phoneticPr fontId="2" type="noConversion"/>
  </si>
  <si>
    <t>se/deserializer_rst</t>
    <phoneticPr fontId="2" type="noConversion"/>
  </si>
  <si>
    <t>dimming sequence : ld_mode=0, ld_type=01 (LED1+LED2+LED3), ld_dir=1 @ syncmode=0 (cmd + SVO/SVI)</t>
    <phoneticPr fontId="2" type="noConversion"/>
  </si>
  <si>
    <t>dimming sequence : ld_mode=0, ld_type=10 (LED1, LED2+LED3), ld_dir=1 @ syncmode=0 (cmd + SVO/SVI)</t>
    <phoneticPr fontId="2" type="noConversion"/>
  </si>
  <si>
    <t>dimming sequence : ld_mode=0, ld_type=11 (LED2+LED3), ld_dir=1 @ syncmode=0 (cmd + SVO/SVI)</t>
    <phoneticPr fontId="2" type="noConversion"/>
  </si>
  <si>
    <t>(xd) DACa</t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</si>
  <si>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X</t>
    </r>
    <phoneticPr fontId="2" type="noConversion"/>
  </si>
  <si>
    <r>
      <t xml:space="preserve"> (xd) pwmout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</si>
  <si>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</si>
  <si>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</si>
  <si>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fb1_det_act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</si>
  <si>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(a)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</si>
  <si>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</si>
  <si>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</si>
  <si>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</si>
  <si>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OUT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</si>
  <si>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fb2_det_act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_2</t>
    </r>
    <phoneticPr fontId="2" type="noConversion"/>
  </si>
  <si>
    <r>
      <t>(xd) fb3_det_act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_3</t>
    </r>
    <phoneticPr fontId="2" type="noConversion"/>
  </si>
  <si>
    <r>
      <t xml:space="preserve"> (xd) pwmout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</si>
  <si>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(X+1)</t>
    </r>
    <phoneticPr fontId="2" type="noConversion"/>
  </si>
  <si>
    <r>
      <t>(xd) short_en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</si>
  <si>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</si>
  <si>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t>GRJT_EN</t>
    <phoneticPr fontId="2" type="noConversion"/>
  </si>
  <si>
    <t>BBKN_EN</t>
    <phoneticPr fontId="2" type="noConversion"/>
  </si>
  <si>
    <t>RST : all logics reset, auto-cleared
VS_RST : SER/DESER reset @ vsync
E_RST : SER/DESER reset @ last pwmclk
ID #1~#31 ('0' invalid) : not writable
GRJT_EN : '1' glitch rejection enable
BBKN_EN : '1' bit broken detection enable</t>
    <phoneticPr fontId="2" type="noConversion"/>
  </si>
  <si>
    <t>BBKN_TH [3:0] : default=0 (disable status)</t>
    <phoneticPr fontId="2" type="noConversion"/>
  </si>
  <si>
    <t>osc=35~75mhz</t>
    <phoneticPr fontId="2" type="noConversion"/>
  </si>
  <si>
    <t>0x7FFF</t>
    <phoneticPr fontId="2" type="noConversion"/>
  </si>
  <si>
    <t>NF CONTROL</t>
    <phoneticPr fontId="2" type="noConversion"/>
  </si>
  <si>
    <t>BBKN_TH [5:0]</t>
    <phoneticPr fontId="2" type="noConversion"/>
  </si>
  <si>
    <t>70mhz counting, check the counter &amp; reg size</t>
    <phoneticPr fontId="2" type="noConversion"/>
  </si>
  <si>
    <t>spi ld data reset</t>
    <phoneticPr fontId="2" type="noConversion"/>
  </si>
  <si>
    <t>vsync detection</t>
    <phoneticPr fontId="2" type="noConversion"/>
  </si>
  <si>
    <t>(xc) SVO</t>
    <phoneticPr fontId="2" type="noConversion"/>
  </si>
  <si>
    <t>1-2</t>
  </si>
  <si>
    <t>1-3</t>
  </si>
  <si>
    <t>2-1</t>
    <phoneticPr fontId="2" type="noConversion"/>
  </si>
  <si>
    <t>2-3</t>
  </si>
  <si>
    <t>3-1</t>
    <phoneticPr fontId="2" type="noConversion"/>
  </si>
  <si>
    <t>n-3</t>
    <phoneticPr fontId="2" type="noConversion"/>
  </si>
  <si>
    <t>n-2</t>
    <phoneticPr fontId="2" type="noConversion"/>
  </si>
  <si>
    <t>n-1</t>
    <phoneticPr fontId="2" type="noConversion"/>
  </si>
  <si>
    <t>2-2</t>
    <phoneticPr fontId="2" type="noConversion"/>
  </si>
  <si>
    <t>2-3</t>
    <phoneticPr fontId="2" type="noConversion"/>
  </si>
  <si>
    <t>3-2</t>
    <phoneticPr fontId="2" type="noConversion"/>
  </si>
  <si>
    <t>3-3</t>
  </si>
  <si>
    <t>3-4</t>
  </si>
  <si>
    <t>(xc) vsync</t>
    <phoneticPr fontId="2" type="noConversion"/>
  </si>
  <si>
    <t>3-2</t>
  </si>
  <si>
    <t>4-1</t>
    <phoneticPr fontId="2" type="noConversion"/>
  </si>
  <si>
    <t>1-3</t>
    <phoneticPr fontId="2" type="noConversion"/>
  </si>
  <si>
    <t>1-2</t>
    <phoneticPr fontId="2" type="noConversion"/>
  </si>
  <si>
    <t>(xd) SVI</t>
    <phoneticPr fontId="2" type="noConversion"/>
  </si>
  <si>
    <t>(xd)  SVI</t>
    <phoneticPr fontId="2" type="noConversion"/>
  </si>
  <si>
    <t>m-1</t>
    <phoneticPr fontId="2" type="noConversion"/>
  </si>
  <si>
    <t>m-2</t>
    <phoneticPr fontId="2" type="noConversion"/>
  </si>
  <si>
    <t>m-3</t>
    <phoneticPr fontId="2" type="noConversion"/>
  </si>
  <si>
    <t>(xc) sync cmd</t>
    <phoneticPr fontId="2" type="noConversion"/>
  </si>
  <si>
    <t>(xd) SVO</t>
    <phoneticPr fontId="2" type="noConversion"/>
  </si>
  <si>
    <t>line delay : ld_type=01</t>
    <phoneticPr fontId="2" type="noConversion"/>
  </si>
  <si>
    <t>line delay : ld_type=10 or ld_type=11</t>
    <phoneticPr fontId="2" type="noConversion"/>
  </si>
  <si>
    <t>line delay : ld_type=00 (XD A7 case)</t>
    <phoneticPr fontId="2" type="noConversion"/>
  </si>
  <si>
    <t>se/deserializer reset @ rstcnt expired from a last svsync @ syncmode=0</t>
    <phoneticPr fontId="2" type="noConversion"/>
  </si>
  <si>
    <t>(xd) sync cmd</t>
    <phoneticPr fontId="2" type="noConversion"/>
  </si>
  <si>
    <t>(xc) sync_done_delay</t>
    <phoneticPr fontId="2" type="noConversion"/>
  </si>
  <si>
    <r>
      <t>(xc) sync_done</t>
    </r>
    <r>
      <rPr>
        <sz val="10"/>
        <color rgb="FFFF00FF"/>
        <rFont val="Aptos Narrow"/>
        <family val="2"/>
      </rPr>
      <t>_delay</t>
    </r>
    <phoneticPr fontId="2" type="noConversion"/>
  </si>
  <si>
    <t>(xc) vs0</t>
    <phoneticPr fontId="2" type="noConversion"/>
  </si>
  <si>
    <t>(xc) vs1</t>
  </si>
  <si>
    <t>(xc) vs2</t>
  </si>
  <si>
    <t>(xd) svi0</t>
    <phoneticPr fontId="2" type="noConversion"/>
  </si>
  <si>
    <t>(xd) svi1</t>
  </si>
  <si>
    <t>(xd) svi2</t>
  </si>
  <si>
    <t>(xd) svi3</t>
    <phoneticPr fontId="2" type="noConversion"/>
  </si>
  <si>
    <t>(xd) sv_falling</t>
    <phoneticPr fontId="2" type="noConversion"/>
  </si>
  <si>
    <t>(xd) sv_rising</t>
    <phoneticPr fontId="2" type="noConversion"/>
  </si>
  <si>
    <t>(xd) svi_rising</t>
    <phoneticPr fontId="2" type="noConversion"/>
  </si>
  <si>
    <t>(xd) svi_falling</t>
    <phoneticPr fontId="2" type="noConversion"/>
  </si>
  <si>
    <t>dgrjt_en</t>
    <phoneticPr fontId="2" type="noConversion"/>
  </si>
  <si>
    <t>the value updated at a next vsync</t>
    <phoneticPr fontId="2" type="noConversion"/>
  </si>
  <si>
    <t>(xd) DACa (odd chx)</t>
    <phoneticPr fontId="2" type="noConversion"/>
  </si>
  <si>
    <t>(xd) DACb (even chx)</t>
    <phoneticPr fontId="2" type="noConversion"/>
  </si>
  <si>
    <t>SVO1 OFF</t>
    <phoneticPr fontId="2" type="noConversion"/>
  </si>
  <si>
    <t>SVO2 OFF</t>
  </si>
  <si>
    <t>SVO3 OFF</t>
  </si>
  <si>
    <t>SVO ON</t>
    <phoneticPr fontId="2" type="noConversion"/>
  </si>
  <si>
    <t>VO OFF/ON</t>
    <phoneticPr fontId="2" type="noConversion"/>
  </si>
  <si>
    <t>VO DELAY</t>
    <phoneticPr fontId="2" type="noConversion"/>
  </si>
  <si>
    <r>
      <t xml:space="preserve">RST : all logics reset, auto-cleared
VS_RST : </t>
    </r>
    <r>
      <rPr>
        <sz val="11"/>
        <color rgb="FFFF0000"/>
        <rFont val="맑은 고딕"/>
        <family val="3"/>
        <charset val="129"/>
        <scheme val="minor"/>
      </rPr>
      <t>both cmd and ext signal</t>
    </r>
    <r>
      <rPr>
        <sz val="11"/>
        <color theme="1"/>
        <rFont val="맑은 고딕"/>
        <family val="3"/>
        <charset val="129"/>
        <scheme val="minor"/>
      </rPr>
      <t xml:space="preserve"> ; SER/DESER reset @ vsync
E_RST : SER/DESER reset @ last svsync and rstcnt expired
ID[4:0] : no accessible from a host, ID auto-write #1~#31 ('0' invalid)</t>
    </r>
    <phoneticPr fontId="2" type="noConversion"/>
  </si>
  <si>
    <t>svsync period</t>
    <phoneticPr fontId="2" type="noConversion"/>
  </si>
  <si>
    <t>r/g/b sv on @ ld_type=01</t>
    <phoneticPr fontId="2" type="noConversion"/>
  </si>
  <si>
    <t>g/b sv on @ ld_type=10/11</t>
    <phoneticPr fontId="2" type="noConversion"/>
  </si>
  <si>
    <t>r, ( g+b) step</t>
    <phoneticPr fontId="2" type="noConversion"/>
  </si>
  <si>
    <t>vo_delay [us]</t>
    <phoneticPr fontId="2" type="noConversion"/>
  </si>
  <si>
    <t>vo_on [ us]</t>
    <phoneticPr fontId="2" type="noConversion"/>
  </si>
  <si>
    <t>vo_off [ us]</t>
    <phoneticPr fontId="2" type="noConversion"/>
  </si>
  <si>
    <t>svo_on [us]</t>
    <phoneticPr fontId="2" type="noConversion"/>
  </si>
  <si>
    <t>svo1/2/3_off [us]</t>
    <phoneticPr fontId="2" type="noConversion"/>
  </si>
  <si>
    <t>1992us</t>
    <phoneticPr fontId="2" type="noConversion"/>
  </si>
  <si>
    <t>50hz, sv 8ea, ld_type=10/11</t>
    <phoneticPr fontId="2" type="noConversion"/>
  </si>
  <si>
    <t>20000us</t>
    <phoneticPr fontId="2" type="noConversion"/>
  </si>
  <si>
    <t>sv_mask</t>
    <phoneticPr fontId="2" type="noConversion"/>
  </si>
  <si>
    <t>v_maxk</t>
    <phoneticPr fontId="2" type="noConversion"/>
  </si>
  <si>
    <t>V_MASK</t>
    <phoneticPr fontId="2" type="noConversion"/>
  </si>
  <si>
    <t>SV_MASK</t>
    <phoneticPr fontId="2" type="noConversion"/>
  </si>
  <si>
    <t>SVO NUMBER</t>
    <phoneticPr fontId="2" type="noConversion"/>
  </si>
  <si>
    <t>SV_NO [5:0]</t>
    <phoneticPr fontId="2" type="noConversion"/>
  </si>
  <si>
    <t>0x15</t>
    <phoneticPr fontId="2" type="noConversion"/>
  </si>
  <si>
    <t>SGRJT_EN1</t>
    <phoneticPr fontId="2" type="noConversion"/>
  </si>
  <si>
    <t>DGRJT_EN2</t>
    <phoneticPr fontId="2" type="noConversion"/>
  </si>
  <si>
    <t>DGRJT_EN1</t>
    <phoneticPr fontId="2" type="noConversion"/>
  </si>
  <si>
    <t>(xc) vs3</t>
  </si>
  <si>
    <t>(xd svi1 &amp;&amp; svi4)</t>
    <phoneticPr fontId="2" type="noConversion"/>
  </si>
  <si>
    <t>(xd) svi4</t>
  </si>
  <si>
    <t>ch_en[24:1] : 현재는 successive enabled set 기준 @spi ld transmit -&gt; (변경) discrete enabled set</t>
    <phoneticPr fontId="2" type="noConversion"/>
  </si>
  <si>
    <t>spi ld data sequence reset (buffer address, all pointers and start pointer) @ vsync</t>
    <phoneticPr fontId="2" type="noConversion"/>
  </si>
  <si>
    <t>(d1 &amp;&amp; ~d4)</t>
    <phoneticPr fontId="2" type="noConversion"/>
  </si>
  <si>
    <t>delay : max 6,  filter : min 3 period</t>
    <phoneticPr fontId="2" type="noConversion"/>
  </si>
  <si>
    <t>dff0 ~ dff4 glitich rejection</t>
    <phoneticPr fontId="2" type="noConversion"/>
  </si>
  <si>
    <t>bbkn_en</t>
    <phoneticPr fontId="2" type="noConversion"/>
  </si>
  <si>
    <t>bbkn_th [5:0]</t>
    <phoneticPr fontId="2" type="noConversion"/>
  </si>
  <si>
    <t>gate1_pol</t>
    <phoneticPr fontId="2" type="noConversion"/>
  </si>
  <si>
    <t>gate2_pol</t>
    <phoneticPr fontId="2" type="noConversion"/>
  </si>
  <si>
    <t>gate3_pol</t>
    <phoneticPr fontId="2" type="noConversion"/>
  </si>
  <si>
    <t>SVO3</t>
  </si>
  <si>
    <t>SVO4</t>
  </si>
  <si>
    <t>SVO5</t>
  </si>
  <si>
    <t>SVO6</t>
  </si>
  <si>
    <t>SVO7</t>
  </si>
  <si>
    <t>SVO8</t>
  </si>
  <si>
    <t>SVO9</t>
  </si>
  <si>
    <t>(xc) vs4</t>
  </si>
  <si>
    <t>color mode</t>
    <phoneticPr fontId="2" type="noConversion"/>
  </si>
  <si>
    <t>wo gating t</t>
    <phoneticPr fontId="2" type="noConversion"/>
  </si>
  <si>
    <t>gb</t>
    <phoneticPr fontId="2" type="noConversion"/>
  </si>
  <si>
    <t>r_mclk #</t>
    <phoneticPr fontId="2" type="noConversion"/>
  </si>
  <si>
    <t>r_mclk</t>
    <phoneticPr fontId="2" type="noConversion"/>
  </si>
  <si>
    <t>step#</t>
    <phoneticPr fontId="2" type="noConversion"/>
  </si>
  <si>
    <t>gb_mclk</t>
    <phoneticPr fontId="2" type="noConversion"/>
  </si>
  <si>
    <t>gb_mclk #</t>
    <phoneticPr fontId="2" type="noConversion"/>
  </si>
  <si>
    <r>
      <t>dimming sequence :</t>
    </r>
    <r>
      <rPr>
        <b/>
        <u/>
        <sz val="10"/>
        <color theme="1"/>
        <rFont val="Aptos Narrow"/>
        <family val="2"/>
      </rPr>
      <t xml:space="preserve"> </t>
    </r>
    <r>
      <rPr>
        <sz val="10"/>
        <color rgb="FFFF0000"/>
        <rFont val="Aptos Narrow"/>
        <family val="2"/>
      </rPr>
      <t>ld_mode=1 (</t>
    </r>
    <r>
      <rPr>
        <sz val="10"/>
        <color rgb="FFFF0000"/>
        <rFont val="맑은 고딕"/>
        <family val="2"/>
        <charset val="129"/>
      </rPr>
      <t xml:space="preserve">동일 </t>
    </r>
    <r>
      <rPr>
        <sz val="10"/>
        <color rgb="FFFF0000"/>
        <rFont val="Aptos Narrow"/>
        <family val="2"/>
      </rPr>
      <t>ld data</t>
    </r>
    <r>
      <rPr>
        <sz val="10"/>
        <color rgb="FFFF0000"/>
        <rFont val="맑은 고딕"/>
        <family val="2"/>
        <charset val="129"/>
      </rPr>
      <t xml:space="preserve">를 8번 반복, </t>
    </r>
    <r>
      <rPr>
        <sz val="10"/>
        <color rgb="FFFF0000"/>
        <rFont val="Aptos Narrow"/>
        <family val="2"/>
      </rPr>
      <t>sv_no=8)</t>
    </r>
    <r>
      <rPr>
        <sz val="10"/>
        <color theme="1"/>
        <rFont val="Aptos Narrow"/>
        <family val="2"/>
      </rPr>
      <t>, ld_type=10 (LED1, LED2+LED3), ld_dir=1 @ syncmode=0 (cmd + SVO/SVI)</t>
    </r>
    <phoneticPr fontId="2" type="noConversion"/>
  </si>
  <si>
    <t>high</t>
    <phoneticPr fontId="2" type="noConversion"/>
  </si>
  <si>
    <t>low</t>
    <phoneticPr fontId="2" type="noConversion"/>
  </si>
  <si>
    <t>xc mclk</t>
    <phoneticPr fontId="2" type="noConversion"/>
  </si>
  <si>
    <t>ref spi</t>
    <phoneticPr fontId="2" type="noConversion"/>
  </si>
  <si>
    <t>75"</t>
    <phoneticPr fontId="2" type="noConversion"/>
  </si>
  <si>
    <t>85"</t>
    <phoneticPr fontId="2" type="noConversion"/>
  </si>
  <si>
    <t>ld_transfer_start_pointer [5:0]</t>
    <phoneticPr fontId="2" type="noConversion"/>
  </si>
  <si>
    <t>burst(line) size (max 1023)</t>
    <phoneticPr fontId="2" type="noConversion"/>
  </si>
  <si>
    <t>r, gb</t>
    <phoneticPr fontId="2" type="noConversion"/>
  </si>
  <si>
    <t>xd ld_bit</t>
    <phoneticPr fontId="2" type="noConversion"/>
  </si>
  <si>
    <t>xd rgb block_size</t>
    <phoneticPr fontId="2" type="noConversion"/>
  </si>
  <si>
    <t>xc ld_type</t>
    <phoneticPr fontId="2" type="noConversion"/>
  </si>
  <si>
    <t>the value can not be over 255</t>
    <phoneticPr fontId="2" type="noConversion"/>
  </si>
  <si>
    <t>total rgb block #/xc</t>
    <phoneticPr fontId="2" type="noConversion"/>
  </si>
  <si>
    <t>xd unit block #</t>
    <phoneticPr fontId="2" type="noConversion"/>
  </si>
  <si>
    <t>ld_start_pointer</t>
    <phoneticPr fontId="2" type="noConversion"/>
  </si>
  <si>
    <t>FB_MODE</t>
    <phoneticPr fontId="2" type="noConversion"/>
  </si>
  <si>
    <t>50hz/sv 8ea/12-bit/ld_type=10, r)</t>
    <phoneticPr fontId="2" type="noConversion"/>
  </si>
  <si>
    <r>
      <t xml:space="preserve">1bit </t>
    </r>
    <r>
      <rPr>
        <sz val="11"/>
        <color rgb="FFFF0000"/>
        <rFont val="맑은 고딕"/>
        <family val="2"/>
        <charset val="129"/>
      </rPr>
      <t>모자라는데-&gt;14</t>
    </r>
    <r>
      <rPr>
        <sz val="11"/>
        <color rgb="FFFF0000"/>
        <rFont val="Aptos Narrow"/>
        <family val="2"/>
      </rPr>
      <t xml:space="preserve">bit </t>
    </r>
    <r>
      <rPr>
        <sz val="11"/>
        <color rgb="FFFF0000"/>
        <rFont val="맑은 고딕"/>
        <family val="2"/>
        <charset val="129"/>
      </rPr>
      <t>구동</t>
    </r>
    <phoneticPr fontId="2" type="noConversion"/>
  </si>
  <si>
    <t>PWMCLK_DIV1 [8]</t>
    <phoneticPr fontId="2" type="noConversion"/>
  </si>
  <si>
    <t>VS_MISS</t>
    <phoneticPr fontId="2" type="noConversion"/>
  </si>
  <si>
    <r>
      <t xml:space="preserve">FB_MODE '0' FB1, FB2, FB3 : vled1, vled2, vled3 different from each other
             '1' FB1, (FB2 || FB3) : </t>
    </r>
    <r>
      <rPr>
        <sz val="11"/>
        <color rgb="FFFF0000"/>
        <rFont val="맑은 고딕"/>
        <family val="3"/>
        <charset val="129"/>
        <scheme val="minor"/>
      </rPr>
      <t>vled2 and vled3 using a same vled</t>
    </r>
    <phoneticPr fontId="2" type="noConversion"/>
  </si>
  <si>
    <t>VREFMODE</t>
    <phoneticPr fontId="2" type="noConversion"/>
  </si>
  <si>
    <r>
      <t xml:space="preserve">LD_MODE : '0' Normal,  '1' x8
LD_TYPE : '00' nop, '01' 3LD, '10' 1LD &amp; 2LD, '11' 2LD
LD_DIR : '0' Head Lighting, '1' Tail Lighting
PWM_RES : '0' 12-bit LD, '1' 14-bit LD
LD_SIZE : LD DATA number to be transferred at one time
SYNCMODE : '0' cmd+svi,  '1' svi (with vsync)
</t>
    </r>
    <r>
      <rPr>
        <sz val="11"/>
        <color rgb="FFFF0000"/>
        <rFont val="맑은 고딕"/>
        <family val="3"/>
        <charset val="129"/>
        <scheme val="minor"/>
      </rPr>
      <t>VREFMODE : '0' using vref2 and vref3,  '1' vref3 = vref2 (vref3 reg 미사용)</t>
    </r>
    <phoneticPr fontId="2" type="noConversion"/>
  </si>
  <si>
    <t>sv_no # = reg set value * 3 @ ld_type=01
sv_no #= reg set value * 2 @ ld_type=10 or 11
※ when LD_MODE=1, then the reg set value must be 8
    sv_no # = 16 @ ld_type=10 or 11, = 24 @ ld_type=01</t>
    <phoneticPr fontId="2" type="noConversion"/>
  </si>
  <si>
    <t>TIMEOUT_ERR</t>
    <phoneticPr fontId="2" type="noConversion"/>
  </si>
  <si>
    <t>TIMEOUT [9:0]</t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</si>
  <si>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mclk/1</t>
    </r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</si>
  <si>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mclk/64</t>
    </r>
    <phoneticPr fontId="2" type="noConversion"/>
  </si>
  <si>
    <t>SV_MASK_EN</t>
    <phoneticPr fontId="2" type="noConversion"/>
  </si>
  <si>
    <t>SV_MASK [9:0]</t>
    <phoneticPr fontId="2" type="noConversion"/>
  </si>
  <si>
    <t>V_MASK [9:0]</t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</si>
  <si>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mclk/2</t>
    </r>
    <r>
      <rPr>
        <sz val="11"/>
        <color theme="1"/>
        <rFont val="맑은 고딕"/>
        <family val="3"/>
        <charset val="129"/>
        <scheme val="minor"/>
      </rPr>
      <t xml:space="preserve">
setting value must consider a frame frequency transition</t>
    </r>
    <phoneticPr fontId="2" type="noConversion"/>
  </si>
  <si>
    <t>(xd svi1 &amp;&amp; svi3)</t>
    <phoneticPr fontId="2" type="noConversion"/>
  </si>
  <si>
    <t>dac1_inc_hold_limit_cnt [8:0]</t>
    <phoneticPr fontId="2" type="noConversion"/>
  </si>
  <si>
    <t>dac2_inc_hold_limit_cnt [8:0]</t>
    <phoneticPr fontId="2" type="noConversion"/>
  </si>
  <si>
    <t>dac3_inc_hold_limit_cnt [8:0]</t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</si>
  <si>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</si>
  <si>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</si>
  <si>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t>fault data = {fault, fb3, fb2, fb1}, wherein fault= thermal || short || open</t>
    <phoneticPr fontId="2" type="noConversion"/>
  </si>
  <si>
    <t>int_fb_source3 = ( fault_ch1 [2] &amp;&amp; ch1_en) || (fault_ch2 [2] &amp;&amp; ch2_en) || … || (fault_ch24 [2] &amp;&amp; ch24_en)</t>
    <phoneticPr fontId="2" type="noConversion"/>
  </si>
  <si>
    <t>int_fb_source1 = 0</t>
    <phoneticPr fontId="2" type="noConversion"/>
  </si>
  <si>
    <t>int_fb_source2 = ( fault_ch1 [0] &amp;&amp; ch1_en) || (fault_ch2 [0] &amp;&amp; ch2_en) || … || (fault_ch24 [0] &amp;&amp; ch24_en)</t>
    <phoneticPr fontId="2" type="noConversion"/>
  </si>
  <si>
    <t>int_fb_source3 = ( fault_ch1 [1] &amp;&amp; ch1_en) || (fault_ch2 [1] &amp;&amp; ch2_en) || … || (fault_ch24 [1] &amp;&amp; ch24_en)</t>
    <phoneticPr fontId="2" type="noConversion"/>
  </si>
  <si>
    <t>FBO1 = int_fb_source1</t>
    <phoneticPr fontId="2" type="noConversion"/>
  </si>
  <si>
    <t>FBO2 = int_fb_source2</t>
    <phoneticPr fontId="2" type="noConversion"/>
  </si>
  <si>
    <t>FBO3 = int_fb_source3</t>
    <phoneticPr fontId="2" type="noConversion"/>
  </si>
  <si>
    <t>max 48hz</t>
    <phoneticPr fontId="2" type="noConversion"/>
  </si>
  <si>
    <t>50hz/sv 8ea/12-bit/ld_type=10, gb) 75%</t>
    <phoneticPr fontId="2" type="noConversion"/>
  </si>
  <si>
    <t>wo deadtime</t>
    <phoneticPr fontId="2" type="noConversion"/>
  </si>
  <si>
    <t>CHOP_EN</t>
    <phoneticPr fontId="2" type="noConversion"/>
  </si>
  <si>
    <t>CHOP_DRV_EN</t>
    <phoneticPr fontId="2" type="noConversion"/>
  </si>
  <si>
    <t>CHOP_OSCLDO_EN</t>
    <phoneticPr fontId="2" type="noConversion"/>
  </si>
  <si>
    <t>CHOP_OSC_EN</t>
    <phoneticPr fontId="2" type="noConversion"/>
  </si>
  <si>
    <t>CHOP_IREF_EN</t>
    <phoneticPr fontId="2" type="noConversion"/>
  </si>
  <si>
    <t>CHOP_DAC_EN</t>
    <phoneticPr fontId="2" type="noConversion"/>
  </si>
  <si>
    <t>CHOP_BGR_EN</t>
    <phoneticPr fontId="2" type="noConversion"/>
  </si>
  <si>
    <t>OSC_MAN_EN</t>
    <phoneticPr fontId="2" type="noConversion"/>
  </si>
  <si>
    <t>TEST_ANA_EN [2:0]</t>
    <phoneticPr fontId="2" type="noConversion"/>
  </si>
  <si>
    <t>EXT_CLKIN</t>
    <phoneticPr fontId="2" type="noConversion"/>
  </si>
  <si>
    <t>OFS_RNG</t>
    <phoneticPr fontId="2" type="noConversion"/>
  </si>
  <si>
    <t>OTP_RD [1:0]</t>
    <phoneticPr fontId="2" type="noConversion"/>
  </si>
  <si>
    <t>DACB_OFS [4:0]</t>
    <phoneticPr fontId="2" type="noConversion"/>
  </si>
  <si>
    <t>DACA_OFS [6:0]</t>
    <phoneticPr fontId="2" type="noConversion"/>
  </si>
  <si>
    <t>0xA10</t>
    <phoneticPr fontId="2" type="noConversion"/>
  </si>
  <si>
    <t>DACB_OFS [6:5]</t>
    <phoneticPr fontId="2" type="noConversion"/>
  </si>
  <si>
    <t>IREF_CTL [4:0]</t>
    <phoneticPr fontId="2" type="noConversion"/>
  </si>
  <si>
    <t>BGR_TC [4:0]</t>
    <phoneticPr fontId="2" type="noConversion"/>
  </si>
  <si>
    <t>0x108</t>
    <phoneticPr fontId="2" type="noConversion"/>
  </si>
  <si>
    <t>LDO_DAC_CTL [4]</t>
    <phoneticPr fontId="2" type="noConversion"/>
  </si>
  <si>
    <t>OSC_RCTL [3:0]</t>
    <phoneticPr fontId="2" type="noConversion"/>
  </si>
  <si>
    <t>0x088</t>
    <phoneticPr fontId="2" type="noConversion"/>
  </si>
  <si>
    <t>LDO_DAC_CTL [3:0]</t>
    <phoneticPr fontId="2" type="noConversion"/>
  </si>
  <si>
    <t>LDO_OSC_CTL [3:0]</t>
    <phoneticPr fontId="2" type="noConversion"/>
  </si>
  <si>
    <t>LDO_CTL [3:0]</t>
    <phoneticPr fontId="2" type="noConversion"/>
  </si>
  <si>
    <t>OFS_CH1 [7:0]</t>
    <phoneticPr fontId="2" type="noConversion"/>
  </si>
  <si>
    <t>OFS_CH2 [7:0]</t>
    <phoneticPr fontId="2" type="noConversion"/>
  </si>
  <si>
    <t>OFS_CH3 [7:0]</t>
    <phoneticPr fontId="2" type="noConversion"/>
  </si>
  <si>
    <t>OFS_CH4 [7:0]</t>
    <phoneticPr fontId="2" type="noConversion"/>
  </si>
  <si>
    <t>OFS_CH5 [7:0]</t>
    <phoneticPr fontId="2" type="noConversion"/>
  </si>
  <si>
    <t>OFS_CH6 [7:0]</t>
    <phoneticPr fontId="2" type="noConversion"/>
  </si>
  <si>
    <t>OFS_CH7 [7:0]</t>
    <phoneticPr fontId="2" type="noConversion"/>
  </si>
  <si>
    <t>OFS_CH8 [7:0]</t>
    <phoneticPr fontId="2" type="noConversion"/>
  </si>
  <si>
    <t>OFS_CH9 [7:0]</t>
    <phoneticPr fontId="2" type="noConversion"/>
  </si>
  <si>
    <t>OFS_CH10 [7:0]</t>
    <phoneticPr fontId="2" type="noConversion"/>
  </si>
  <si>
    <t>OFS_CH11 [7:0]</t>
    <phoneticPr fontId="2" type="noConversion"/>
  </si>
  <si>
    <t>OFS_CH12 [7:0]</t>
    <phoneticPr fontId="2" type="noConversion"/>
  </si>
  <si>
    <t>GAIN_CH1 [5:0]</t>
    <phoneticPr fontId="2" type="noConversion"/>
  </si>
  <si>
    <t>GAIN_CH2 [5:0]</t>
    <phoneticPr fontId="2" type="noConversion"/>
  </si>
  <si>
    <t>GAIN_CH3 [5:0]</t>
    <phoneticPr fontId="2" type="noConversion"/>
  </si>
  <si>
    <t>GAIN_CH4 [5:0]</t>
    <phoneticPr fontId="2" type="noConversion"/>
  </si>
  <si>
    <t>GAIN_CH5 [5:0]</t>
    <phoneticPr fontId="2" type="noConversion"/>
  </si>
  <si>
    <t>GAIN_CH6 [5:0]</t>
    <phoneticPr fontId="2" type="noConversion"/>
  </si>
  <si>
    <t>GAIN_CH7 [5:0]</t>
    <phoneticPr fontId="2" type="noConversion"/>
  </si>
  <si>
    <t>GAIN_CH8 [5:0]</t>
    <phoneticPr fontId="2" type="noConversion"/>
  </si>
  <si>
    <t>GAIN_CH9 [5:0]</t>
    <phoneticPr fontId="2" type="noConversion"/>
  </si>
  <si>
    <t>GAIN_CH10 [5:0]</t>
    <phoneticPr fontId="2" type="noConversion"/>
  </si>
  <si>
    <t>GAIN_CH11 [5:0]</t>
    <phoneticPr fontId="2" type="noConversion"/>
  </si>
  <si>
    <t>GAIN_CH12 [5:0]</t>
    <phoneticPr fontId="2" type="noConversion"/>
  </si>
  <si>
    <t>SHORT1_LEVEL [2:0]</t>
    <phoneticPr fontId="2" type="noConversion"/>
  </si>
  <si>
    <t>SHORT2_LEVEL [2:0]</t>
    <phoneticPr fontId="2" type="noConversion"/>
  </si>
  <si>
    <t>SHORT3_LEVEL [2:0]</t>
    <phoneticPr fontId="2" type="noConversion"/>
  </si>
  <si>
    <t>(xd) DACb</t>
    <phoneticPr fontId="2" type="noConversion"/>
  </si>
  <si>
    <t>SGRJT_EN2</t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</si>
  <si>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mclk/2</t>
    </r>
    <r>
      <rPr>
        <sz val="11"/>
        <color theme="1"/>
        <rFont val="맑은 고딕"/>
        <family val="3"/>
        <charset val="129"/>
        <scheme val="minor"/>
      </rPr>
      <t xml:space="preserve"> ; </t>
    </r>
    <r>
      <rPr>
        <sz val="11"/>
        <color rgb="FFFF0000"/>
        <rFont val="맑은 고딕"/>
        <family val="3"/>
        <charset val="129"/>
        <scheme val="minor"/>
      </rPr>
      <t>decoder operated at a mclk/1</t>
    </r>
    <phoneticPr fontId="2" type="noConversion"/>
  </si>
  <si>
    <t>FLLCNT [20:12]</t>
    <phoneticPr fontId="2" type="noConversion"/>
  </si>
  <si>
    <r>
      <t>FLLCNT [11:</t>
    </r>
    <r>
      <rPr>
        <b/>
        <u/>
        <sz val="11"/>
        <color theme="1"/>
        <rFont val="맑은 고딕"/>
        <family val="3"/>
        <charset val="129"/>
        <scheme val="minor"/>
      </rPr>
      <t>0</t>
    </r>
    <r>
      <rPr>
        <sz val="11"/>
        <color theme="1"/>
        <rFont val="맑은 고딕"/>
        <family val="3"/>
        <charset val="129"/>
        <scheme val="minor"/>
      </rPr>
      <t>]</t>
    </r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</si>
  <si>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rgb="FFFF00FF"/>
        <rFont val="맑은 고딕"/>
        <family val="3"/>
        <charset val="129"/>
        <scheme val="minor"/>
      </rPr>
      <t>the value updated at a next vsync</t>
    </r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</si>
  <si>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mclk/64</t>
    </r>
    <r>
      <rPr>
        <sz val="11"/>
        <color theme="1"/>
        <rFont val="맑은 고딕"/>
        <family val="3"/>
        <charset val="129"/>
        <scheme val="minor"/>
      </rPr>
      <t xml:space="preserve"> from a last svsync, </t>
    </r>
    <r>
      <rPr>
        <sz val="11"/>
        <color rgb="FFFF00FF"/>
        <rFont val="맑은 고딕"/>
        <family val="3"/>
        <charset val="129"/>
        <scheme val="minor"/>
      </rPr>
      <t>reset at every vsync</t>
    </r>
    <phoneticPr fontId="2" type="noConversion"/>
  </si>
  <si>
    <r>
      <t xml:space="preserve">FLL_EN : '0 disable,  </t>
    </r>
    <r>
      <rPr>
        <sz val="11"/>
        <color rgb="FFFF0000"/>
        <rFont val="맑은 고딕"/>
        <family val="3"/>
        <charset val="129"/>
        <scheme val="minor"/>
      </rPr>
      <t>'1' enable</t>
    </r>
    <r>
      <rPr>
        <sz val="11"/>
        <color theme="1"/>
        <rFont val="맑은 고딕"/>
        <family val="3"/>
        <charset val="129"/>
        <scheme val="minor"/>
      </rPr>
      <t xml:space="preserve"> (polarity changed)
</t>
    </r>
    <r>
      <rPr>
        <sz val="11"/>
        <color rgb="FFFF00FF"/>
        <rFont val="맑은 고딕"/>
        <family val="3"/>
        <charset val="129"/>
        <scheme val="minor"/>
      </rPr>
      <t>the value updated at a next vsync, not svsync</t>
    </r>
    <phoneticPr fontId="2" type="noConversion"/>
  </si>
  <si>
    <r>
      <t xml:space="preserve">DGRJT_EN1 : '1' 1 mclk data glitch rejection enable
DGRJT_EN2 : '1' 2 mclk data glitch rejection enable
BBKN_EN : '1' bit broken detection enable
</t>
    </r>
    <r>
      <rPr>
        <sz val="11"/>
        <color rgb="FFFF00FF"/>
        <rFont val="맑은 고딕"/>
        <family val="3"/>
        <charset val="129"/>
        <scheme val="minor"/>
      </rPr>
      <t xml:space="preserve">               --&gt; '0'이면 동작안됨
               --&gt; DIO/ DDIO 신호 모두 적용 </t>
    </r>
    <r>
      <rPr>
        <sz val="11"/>
        <color theme="1"/>
        <rFont val="맑은 고딕"/>
        <family val="3"/>
        <charset val="129"/>
        <scheme val="minor"/>
      </rPr>
      <t>?
SGRJT_EN1 : '1' 3 mclk svi glitch rejection enable
SGRJT_EN2 : '1' 4 mclk svi glitch rejection enable</t>
    </r>
    <phoneticPr fontId="2" type="noConversion"/>
  </si>
  <si>
    <t>FB LEVEL</t>
    <phoneticPr fontId="2" type="noConversion"/>
  </si>
  <si>
    <t>SHORT LEVEL</t>
    <phoneticPr fontId="2" type="noConversion"/>
  </si>
  <si>
    <t>vsync priority</t>
    <phoneticPr fontId="2" type="noConversion"/>
  </si>
  <si>
    <t>data out stream 도중에 vsync 입력 시</t>
    <phoneticPr fontId="2" type="noConversion"/>
  </si>
  <si>
    <t>read 동작 : readout 완료 시까지 대기, vsync skip</t>
    <phoneticPr fontId="2" type="noConversion"/>
  </si>
  <si>
    <t>adress &amp; initial value check</t>
    <phoneticPr fontId="2" type="noConversion"/>
  </si>
  <si>
    <t>asil</t>
    <phoneticPr fontId="2" type="noConversion"/>
  </si>
  <si>
    <t>program cnt, parity error발생 시 nop처리</t>
    <phoneticPr fontId="2" type="noConversion"/>
  </si>
  <si>
    <t>int_fault_source = (fault_ch1 [3] &amp;&amp; ch1_en) || (fault_ch2 [3] &amp;&amp; ch2_en) || … || (fault_ch24 [3] &amp;&amp; ch24_en)</t>
    <phoneticPr fontId="2" type="noConversion"/>
  </si>
  <si>
    <t>init_thermal_source = 0</t>
    <phoneticPr fontId="2" type="noConversion"/>
  </si>
  <si>
    <t>int_fault_source</t>
    <phoneticPr fontId="2" type="noConversion"/>
  </si>
  <si>
    <t>int_source1</t>
    <phoneticPr fontId="2" type="noConversion"/>
  </si>
  <si>
    <t>int_source4</t>
  </si>
  <si>
    <t>int_source3</t>
  </si>
  <si>
    <t>int_source2</t>
    <phoneticPr fontId="2" type="noConversion"/>
  </si>
  <si>
    <t>1. write-protect1 = 0xAAA : PWMCLK_DIV1/2/3, MAX_CURR_VREF1/2/3 writable
2. write-protect2 = 0xCCC : MAX_CURR_VREF1/2/3 writable
3. 그 외 모든 값 : writable</t>
    <phoneticPr fontId="2" type="noConversion"/>
  </si>
  <si>
    <t>WR_PROTECT [9:0]</t>
    <phoneticPr fontId="2" type="noConversion"/>
  </si>
  <si>
    <t>0x555</t>
    <phoneticPr fontId="2" type="noConversion"/>
  </si>
  <si>
    <t>VDD_SEL</t>
    <phoneticPr fontId="2" type="noConversion"/>
  </si>
  <si>
    <r>
      <t xml:space="preserve">TEST_EN=1 &amp;&amp;
① MCLK64_O=1 : mclk/64 clk out to SVO pin 13
② PWMOUT_FULL=1 : </t>
    </r>
    <r>
      <rPr>
        <sz val="11"/>
        <color theme="1"/>
        <rFont val="맑은 고딕"/>
        <family val="3"/>
        <charset val="129"/>
      </rPr>
      <t>PWMOUTx=1 (@ CHx_EN=1)
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</t>
    </r>
    <r>
      <rPr>
        <sz val="11"/>
        <color theme="1"/>
        <rFont val="맑은 고딕"/>
        <family val="3"/>
        <charset val="129"/>
      </rPr>
      <t xml:space="preserve">DDIO_DIS=1 : DDIO blocking out to PAD </t>
    </r>
    <r>
      <rPr>
        <sz val="11"/>
        <color theme="1"/>
        <rFont val="Malgun Gothic Semilight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삭제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맑은 고딕"/>
        <family val="3"/>
        <charset val="129"/>
        <scheme val="minor"/>
      </rPr>
      <t xml:space="preserve">TEST_EN=1, then blocking OTP downloaing despite of checksum error
</t>
    </r>
    <r>
      <rPr>
        <sz val="11"/>
        <color theme="1"/>
        <rFont val="맑은 고딕"/>
        <family val="3"/>
        <charset val="129"/>
      </rPr>
      <t xml:space="preserve">⑤ </t>
    </r>
    <r>
      <rPr>
        <sz val="11"/>
        <color theme="1"/>
        <rFont val="맑은 고딕"/>
        <family val="3"/>
        <charset val="129"/>
        <scheme val="minor"/>
      </rPr>
      <t>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    '0' general reg addr accessible
    '1' otp address accesible</t>
    </r>
    <phoneticPr fontId="2" type="noConversion"/>
  </si>
  <si>
    <t>4/8/12/16/20/24/28/32/ / / / / / / /36/40</t>
    <phoneticPr fontId="2" type="noConversion"/>
  </si>
  <si>
    <t>dac_auto_type
'0' by FB
'1' by Target control</t>
    <phoneticPr fontId="2" type="noConversion"/>
  </si>
  <si>
    <t>VDD3</t>
    <phoneticPr fontId="2" type="noConversion"/>
  </si>
  <si>
    <t>VSS4</t>
    <phoneticPr fontId="2" type="noConversion"/>
  </si>
  <si>
    <t>NSCS</t>
    <phoneticPr fontId="2" type="noConversion"/>
  </si>
  <si>
    <t>VSS1</t>
    <phoneticPr fontId="2" type="noConversion"/>
  </si>
  <si>
    <t>VDD2</t>
    <phoneticPr fontId="2" type="noConversion"/>
  </si>
  <si>
    <t>VSS2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</si>
  <si>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</si>
  <si>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</si>
  <si>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</si>
  <si>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D5</t>
    <phoneticPr fontId="2" type="noConversion"/>
  </si>
  <si>
    <t>SVO3</t>
    <phoneticPr fontId="2" type="noConversion"/>
  </si>
  <si>
    <t>SVO4</t>
    <phoneticPr fontId="2" type="noConversion"/>
  </si>
  <si>
    <t>D6</t>
    <phoneticPr fontId="2" type="noConversion"/>
  </si>
  <si>
    <t>D7</t>
    <phoneticPr fontId="2" type="noConversion"/>
  </si>
  <si>
    <t>D9</t>
    <phoneticPr fontId="2" type="noConversion"/>
  </si>
  <si>
    <t>D10</t>
    <phoneticPr fontId="2" type="noConversion"/>
  </si>
  <si>
    <t>D11</t>
    <phoneticPr fontId="2" type="noConversion"/>
  </si>
  <si>
    <t>D12</t>
    <phoneticPr fontId="2" type="noConversion"/>
  </si>
  <si>
    <t>NINT_FT</t>
    <phoneticPr fontId="2" type="noConversion"/>
  </si>
  <si>
    <t>NINT_LD</t>
    <phoneticPr fontId="2" type="noConversion"/>
  </si>
  <si>
    <t>FBO2</t>
    <phoneticPr fontId="2" type="noConversion"/>
  </si>
  <si>
    <t>FBO3</t>
    <phoneticPr fontId="2" type="noConversion"/>
  </si>
  <si>
    <t>FBI2</t>
    <phoneticPr fontId="2" type="noConversion"/>
  </si>
  <si>
    <t>FBI3</t>
    <phoneticPr fontId="2" type="noConversion"/>
  </si>
  <si>
    <t>LDOI</t>
    <phoneticPr fontId="2" type="noConversion"/>
  </si>
  <si>
    <t>LDOO</t>
    <phoneticPr fontId="2" type="noConversion"/>
  </si>
  <si>
    <t>VSS3</t>
    <phoneticPr fontId="2" type="noConversion"/>
  </si>
  <si>
    <t>VDD4</t>
    <phoneticPr fontId="2" type="noConversion"/>
  </si>
  <si>
    <t>DIOx=8mA,  DDIOx=8mA,  SVO=8mA</t>
    <phoneticPr fontId="2" type="noConversion"/>
  </si>
  <si>
    <t xml:space="preserve">(fault_read_doing || fault_auto_read_doing) rising edge short pulse에서 sync reset </t>
    <phoneticPr fontId="2" type="noConversion"/>
  </si>
  <si>
    <t>min/max value overflow 오류 수정</t>
    <phoneticPr fontId="2" type="noConversion"/>
  </si>
  <si>
    <t>trim out</t>
    <phoneticPr fontId="2" type="noConversion"/>
  </si>
  <si>
    <t>SVO12</t>
    <phoneticPr fontId="2" type="noConversion"/>
  </si>
  <si>
    <t>MCLK1/64분주 out</t>
    <phoneticPr fontId="2" type="noConversion"/>
  </si>
  <si>
    <t>35~75mhz</t>
    <phoneticPr fontId="2" type="noConversion"/>
  </si>
  <si>
    <t>* calculated at a vsync</t>
    <phoneticPr fontId="2" type="noConversion"/>
  </si>
  <si>
    <t>12-bit, 2 channels : ana vs current, ana vs max_curr_level Linearity</t>
    <phoneticPr fontId="2" type="noConversion"/>
  </si>
  <si>
    <t>3~5V</t>
    <phoneticPr fontId="2" type="noConversion"/>
  </si>
  <si>
    <t>mclk 80mhz</t>
    <phoneticPr fontId="2" type="noConversion"/>
  </si>
  <si>
    <t>DIOx to DDIOx delay= max 3ns</t>
    <phoneticPr fontId="2" type="noConversion"/>
  </si>
  <si>
    <t>DDIOx to DIOx delay= max 3ns</t>
    <phoneticPr fontId="2" type="noConversion"/>
  </si>
  <si>
    <t>saturation time &lt; 5us</t>
    <phoneticPr fontId="2" type="noConversion"/>
  </si>
  <si>
    <t>(xd) FB_LEVELa (a)</t>
    <phoneticPr fontId="2" type="noConversion"/>
  </si>
  <si>
    <t>(xd) FB_LEVELa/b (a)</t>
    <phoneticPr fontId="2" type="noConversion"/>
  </si>
  <si>
    <t>(xd) SHORT_LEVELa/b (a)</t>
    <phoneticPr fontId="2" type="noConversion"/>
  </si>
  <si>
    <t>(xd) SHORT_LEVELa (odd chx)</t>
    <phoneticPr fontId="2" type="noConversion"/>
  </si>
  <si>
    <t>(xd) SHORT_LEVELb (even chx)</t>
    <phoneticPr fontId="2" type="noConversion"/>
  </si>
  <si>
    <t>(xd) FB_LEVELb (a)</t>
    <phoneticPr fontId="2" type="noConversion"/>
  </si>
  <si>
    <t>(xd) SHORT_LEVELa (a)</t>
    <phoneticPr fontId="2" type="noConversion"/>
  </si>
  <si>
    <t>* rgb, r/gb 별 trim point 다름 (IC 분리 유리)</t>
    <phoneticPr fontId="2" type="noConversion"/>
  </si>
  <si>
    <t>dimming1,2 ' sheet 참조</t>
    <phoneticPr fontId="2" type="noConversion"/>
  </si>
  <si>
    <t>250kbps decoding capability ; counted by a mclk</t>
    <phoneticPr fontId="2" type="noConversion"/>
  </si>
  <si>
    <t>Schimit trigger= DIOx, DDIOx, SVI</t>
    <phoneticPr fontId="2" type="noConversion"/>
  </si>
  <si>
    <t>* 'package1' sheet 참조</t>
    <phoneticPr fontId="2" type="noConversion"/>
  </si>
  <si>
    <t>SVI to SVO= max 1.5ns</t>
    <phoneticPr fontId="2" type="noConversion"/>
  </si>
  <si>
    <t>TEST_EN=1, ANA_TEST_EN[2:0]</t>
    <phoneticPr fontId="2" type="noConversion"/>
  </si>
  <si>
    <t>'xdr12_reg' sheet description 참조</t>
    <phoneticPr fontId="2" type="noConversion"/>
  </si>
  <si>
    <r>
      <t xml:space="preserve">[3:0] = { thermal, </t>
    </r>
    <r>
      <rPr>
        <u/>
        <sz val="11"/>
        <color theme="1"/>
        <rFont val="맑은 고딕"/>
        <family val="3"/>
        <charset val="129"/>
        <scheme val="minor"/>
      </rPr>
      <t>(short_all || open_all)</t>
    </r>
    <r>
      <rPr>
        <sz val="11"/>
        <color theme="1"/>
        <rFont val="맑은 고딕"/>
        <family val="3"/>
        <charset val="129"/>
        <scheme val="minor"/>
      </rPr>
      <t>, fb3_all, fb2_all}</t>
    </r>
    <phoneticPr fontId="2" type="noConversion"/>
  </si>
  <si>
    <t>Serializer clock = mclk/2</t>
    <phoneticPr fontId="2" type="noConversion"/>
  </si>
  <si>
    <t>rgb</t>
    <phoneticPr fontId="2" type="noConversion"/>
  </si>
  <si>
    <t>m,m</t>
    <phoneticPr fontId="2" type="noConversion"/>
  </si>
  <si>
    <r>
      <t xml:space="preserve">ld data format = ld transfer cmd 4bit + (ld_size * 3) ld data, 그 외는 bypass, 여기서 ld는 12bits </t>
    </r>
    <r>
      <rPr>
        <b/>
        <sz val="11"/>
        <color theme="1"/>
        <rFont val="맑은 고딕"/>
        <family val="3"/>
        <charset val="129"/>
        <scheme val="minor"/>
      </rPr>
      <t>*max set=6</t>
    </r>
    <phoneticPr fontId="2" type="noConversion"/>
  </si>
  <si>
    <r>
      <t xml:space="preserve">ld data format = ld transfer cmd 4bit + (ld_size * 3) ld data, 그 외는 bypass, 여기서 ld는 14bits </t>
    </r>
    <r>
      <rPr>
        <b/>
        <sz val="11"/>
        <color theme="1"/>
        <rFont val="맑은 고딕"/>
        <family val="3"/>
        <charset val="129"/>
        <scheme val="minor"/>
      </rPr>
      <t>*mac set=6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</si>
  <si>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※ wherein, </t>
    </r>
    <r>
      <rPr>
        <sz val="11"/>
        <color theme="1"/>
        <rFont val="맑은 고딕"/>
        <family val="3"/>
        <charset val="129"/>
        <scheme val="minor"/>
      </rPr>
      <t>fault* = thermal || short_all || open_all</t>
    </r>
    <phoneticPr fontId="2" type="noConversion"/>
  </si>
  <si>
    <t>※ wherein, fb2_all = (fb2_all || fb3_all) and fb3_all=0 @ FB_MODE=1</t>
    <phoneticPr fontId="2" type="noConversion"/>
  </si>
  <si>
    <t>* 기존 동일값 OK</t>
    <phoneticPr fontId="2" type="noConversion"/>
  </si>
  <si>
    <t>* the value will be updated and calculated at a next sync-event signal (VSYNCI or FLLSYNC input)</t>
    <phoneticPr fontId="2" type="noConversion"/>
  </si>
  <si>
    <t>output accuracy : 1~2 LSB</t>
    <phoneticPr fontId="2" type="noConversion"/>
  </si>
  <si>
    <t>current_dac/ target_dac update 오류 수정</t>
    <phoneticPr fontId="2" type="noConversion"/>
  </si>
  <si>
    <t>behavior 수정 'xc_fb_dac_control (new)' sheet 참조</t>
    <phoneticPr fontId="2" type="noConversion"/>
  </si>
  <si>
    <t>dimming 1, 2' sheet 참조</t>
    <phoneticPr fontId="2" type="noConversion"/>
  </si>
  <si>
    <t>* 'package1, 2' sheet 참조</t>
    <phoneticPr fontId="2" type="noConversion"/>
  </si>
  <si>
    <t>dac trimming @ TEST_EN=1 &amp;&amp; ANA_TEST_EN [2:0]</t>
    <phoneticPr fontId="2" type="noConversion"/>
  </si>
  <si>
    <t>mclk 64분주 @ TEST_EN=1 &amp;&amp; MCLK64_O=1</t>
    <phoneticPr fontId="2" type="noConversion"/>
  </si>
  <si>
    <t>ld buffer width=16bits fixed</t>
    <phoneticPr fontId="2" type="noConversion"/>
  </si>
  <si>
    <t>(현재)</t>
    <phoneticPr fontId="2" type="noConversion"/>
  </si>
  <si>
    <r>
      <t>※</t>
    </r>
    <r>
      <rPr>
        <sz val="12.1"/>
        <color theme="1"/>
        <rFont val="맑은 고딕"/>
        <family val="3"/>
        <charset val="129"/>
      </rPr>
      <t xml:space="preserve"> color mode2 : daisied_dev_ch_size max = 6 (12개 전 채널 사용 시)</t>
    </r>
    <phoneticPr fontId="2" type="noConversion"/>
  </si>
  <si>
    <r>
      <t>※</t>
    </r>
    <r>
      <rPr>
        <sz val="12.1"/>
        <color theme="1"/>
        <rFont val="맑은 고딕"/>
        <family val="3"/>
        <charset val="129"/>
      </rPr>
      <t xml:space="preserve"> color mode1 : daisied_dev_ch_size max = 12 (12개 전 채널 사용 시)</t>
    </r>
    <phoneticPr fontId="2" type="noConversion"/>
  </si>
  <si>
    <r>
      <t>※</t>
    </r>
    <r>
      <rPr>
        <sz val="12.1"/>
        <color theme="1"/>
        <rFont val="맑은 고딕"/>
        <family val="3"/>
        <charset val="129"/>
      </rPr>
      <t xml:space="preserve"> mono mode2 : daisied_dev_ch_size max = 12 (12개 전 채널 사용 시)</t>
    </r>
    <phoneticPr fontId="2" type="noConversion"/>
  </si>
  <si>
    <t>※ xd 사용 채널의 절반으로 설정</t>
    <phoneticPr fontId="2" type="noConversion"/>
  </si>
  <si>
    <t>1. int_XX_source 를 만들기 위한 input muxing</t>
    <phoneticPr fontId="2" type="noConversion"/>
  </si>
  <si>
    <t>2. INTERRUPT STATUS REGISTER bits define</t>
    <phoneticPr fontId="2" type="noConversion"/>
  </si>
  <si>
    <r>
      <t>reg readout</t>
    </r>
    <r>
      <rPr>
        <sz val="12"/>
        <color theme="1"/>
        <rFont val="맑은 고딕"/>
        <family val="3"/>
        <charset val="129"/>
        <scheme val="minor"/>
      </rPr>
      <t xml:space="preserve">에서 all bits </t>
    </r>
    <r>
      <rPr>
        <sz val="12"/>
        <color theme="1"/>
        <rFont val="Aptos Narrow"/>
        <family val="2"/>
      </rPr>
      <t>auto-cleared</t>
    </r>
    <phoneticPr fontId="2" type="noConversion"/>
  </si>
  <si>
    <t>3. NINT_FT (open_drain output pin)</t>
    <phoneticPr fontId="2" type="noConversion"/>
  </si>
  <si>
    <t>int_fb_source1, 2, 3</t>
    <phoneticPr fontId="2" type="noConversion"/>
  </si>
  <si>
    <t>추가 source bits : 상기 table 참조</t>
    <phoneticPr fontId="2" type="noConversion"/>
  </si>
  <si>
    <t>2.3.1</t>
    <phoneticPr fontId="2" type="noConversion"/>
  </si>
  <si>
    <t>2.3.2</t>
    <phoneticPr fontId="2" type="noConversion"/>
  </si>
  <si>
    <r>
      <t>* int_LD source</t>
    </r>
    <r>
      <rPr>
        <sz val="12"/>
        <color theme="1"/>
        <rFont val="맑은 고딕"/>
        <family val="2"/>
        <charset val="129"/>
      </rPr>
      <t>는 제외</t>
    </r>
    <phoneticPr fontId="2" type="noConversion"/>
  </si>
  <si>
    <r>
      <t xml:space="preserve">interrupt source signals </t>
    </r>
    <r>
      <rPr>
        <b/>
        <sz val="12"/>
        <color theme="1"/>
        <rFont val="Aptos Narrow"/>
        <family val="2"/>
      </rPr>
      <t>rising</t>
    </r>
    <r>
      <rPr>
        <sz val="12"/>
        <color theme="1"/>
        <rFont val="Aptos Narrow"/>
        <family val="2"/>
      </rPr>
      <t xml:space="preserve"> edge</t>
    </r>
    <r>
      <rPr>
        <sz val="12"/>
        <color theme="1"/>
        <rFont val="맑은 고딕"/>
        <family val="3"/>
        <charset val="129"/>
        <scheme val="minor"/>
      </rPr>
      <t xml:space="preserve">에서 </t>
    </r>
    <r>
      <rPr>
        <sz val="12"/>
        <color theme="1"/>
        <rFont val="Aptos Narrow"/>
        <family val="2"/>
      </rPr>
      <t>reg bit set --&gt; [ (rising_edge) dff &lt;= 1 ; (reg readout) dff &lt;=0 ; (~interrupt enable bit) dff &lt;= 0 ) ]</t>
    </r>
    <phoneticPr fontId="2" type="noConversion"/>
  </si>
  <si>
    <t>5. FBOx pin (open_drain output)</t>
    <phoneticPr fontId="2" type="noConversion"/>
  </si>
  <si>
    <t>단위는 상기 diagram 참조 : bit depth checking</t>
    <phoneticPr fontId="2" type="noConversion"/>
  </si>
  <si>
    <r>
      <t xml:space="preserve">write 동작 : x_doing check -&gt; (x_done set + x_fail set + dout low) -&gt; </t>
    </r>
    <r>
      <rPr>
        <b/>
        <sz val="11"/>
        <color theme="1"/>
        <rFont val="맑은 고딕"/>
        <family val="3"/>
        <charset val="129"/>
        <scheme val="minor"/>
      </rPr>
      <t>cmd_latency expired 직후</t>
    </r>
    <r>
      <rPr>
        <sz val="11"/>
        <color theme="1"/>
        <rFont val="맑은 고딕"/>
        <family val="2"/>
        <charset val="129"/>
        <scheme val="minor"/>
      </rPr>
      <t xml:space="preserve"> vsync cmd &amp; fault_read</t>
    </r>
    <phoneticPr fontId="2" type="noConversion"/>
  </si>
  <si>
    <t>xcr24_reg' sheet 기준으로 read/write시 bit depth와 bit location 모두 확인할 것. 그리고 초기값 모두 확인할 것.</t>
    <phoneticPr fontId="2" type="noConversion"/>
  </si>
  <si>
    <t>Pad name</t>
    <phoneticPr fontId="2" type="noConversion"/>
  </si>
  <si>
    <t>PHOB12</t>
    <phoneticPr fontId="2" type="noConversion"/>
  </si>
  <si>
    <t>PHOB8</t>
    <phoneticPr fontId="2" type="noConversion"/>
  </si>
  <si>
    <t>PHIS</t>
    <phoneticPr fontId="2" type="noConversion"/>
  </si>
  <si>
    <t>PA5</t>
    <phoneticPr fontId="2" type="noConversion"/>
  </si>
  <si>
    <t>PVSSAS</t>
    <phoneticPr fontId="2" type="noConversion"/>
  </si>
  <si>
    <t>PVDDAS</t>
    <phoneticPr fontId="2" type="noConversion"/>
  </si>
  <si>
    <t>PHISD</t>
    <phoneticPr fontId="2" type="noConversion"/>
  </si>
  <si>
    <t>PHBCT8</t>
    <phoneticPr fontId="2" type="noConversion"/>
  </si>
  <si>
    <t>PVDD50C</t>
    <phoneticPr fontId="2" type="noConversion"/>
  </si>
  <si>
    <t>PHBSDT8</t>
    <phoneticPr fontId="2" type="noConversion"/>
  </si>
  <si>
    <t>4. fault_chx [3:0] 의 sync reset 처리 : (통신이 hang되었을 때, daco가 min으로 갈 수 있음)</t>
    <phoneticPr fontId="2" type="noConversion"/>
  </si>
  <si>
    <t>where, int_fault_source represents (open || short || thermal) ; for clarification, need to be readout fault register</t>
    <phoneticPr fontId="2" type="noConversion"/>
  </si>
  <si>
    <t>int_fault_source = int_thermal_source || int_so_source</t>
    <phoneticPr fontId="2" type="noConversion"/>
  </si>
  <si>
    <t>vctl_ldo [4:0]</t>
    <phoneticPr fontId="2" type="noConversion"/>
  </si>
  <si>
    <t>dac_ctl [5:0]</t>
    <phoneticPr fontId="2" type="noConversion"/>
  </si>
  <si>
    <t>bgr_tc [4:0]</t>
    <phoneticPr fontId="2" type="noConversion"/>
  </si>
  <si>
    <t>ldo_osc_ctl [4:0]</t>
    <phoneticPr fontId="2" type="noConversion"/>
  </si>
  <si>
    <t>OTP_RD[1:0]</t>
    <phoneticPr fontId="2" type="noConversion"/>
  </si>
  <si>
    <t>0x8010</t>
    <phoneticPr fontId="2" type="noConversion"/>
  </si>
  <si>
    <t>0x8000</t>
    <phoneticPr fontId="2" type="noConversion"/>
  </si>
  <si>
    <t>0x1010</t>
    <phoneticPr fontId="2" type="noConversion"/>
  </si>
  <si>
    <t>0x2010</t>
    <phoneticPr fontId="2" type="noConversion"/>
  </si>
  <si>
    <t xml:space="preserve">max current 결정 </t>
    <phoneticPr fontId="2" type="noConversion"/>
  </si>
  <si>
    <t>current deviation</t>
    <phoneticPr fontId="2" type="noConversion"/>
  </si>
  <si>
    <t>SHORT/OPEN</t>
    <phoneticPr fontId="2" type="noConversion"/>
  </si>
  <si>
    <t>해당채널만 오프</t>
    <phoneticPr fontId="2" type="noConversion"/>
  </si>
  <si>
    <t>Thermal/SHORT/OPEN/FB</t>
    <phoneticPr fontId="2" type="noConversion"/>
  </si>
  <si>
    <t>한 프레임 기억</t>
    <phoneticPr fontId="2" type="noConversion"/>
  </si>
  <si>
    <t>@PWM=Off</t>
    <phoneticPr fontId="2" type="noConversion"/>
  </si>
  <si>
    <t>SHORT/FB</t>
    <phoneticPr fontId="2" type="noConversion"/>
  </si>
  <si>
    <t>@PWM=On</t>
    <phoneticPr fontId="2" type="noConversion"/>
  </si>
  <si>
    <t>O_FB_MODE 1bit 추가</t>
    <phoneticPr fontId="2" type="noConversion"/>
  </si>
  <si>
    <t>@not OPEN</t>
    <phoneticPr fontId="2" type="noConversion"/>
  </si>
  <si>
    <t>내부 카운트로만 동작 기능 (불필요 : 어차피 vsync로 동작이 복구에 유리)</t>
    <phoneticPr fontId="2" type="noConversion"/>
  </si>
  <si>
    <t>SVI-VSYNC 시점에 통신 초기화</t>
    <phoneticPr fontId="2" type="noConversion"/>
  </si>
  <si>
    <t>initial set value ?mhz</t>
    <phoneticPr fontId="2" type="noConversion"/>
  </si>
  <si>
    <t>vled 공진소음</t>
    <phoneticPr fontId="2" type="noConversion"/>
  </si>
  <si>
    <t>osc clock</t>
    <phoneticPr fontId="2" type="noConversion"/>
  </si>
  <si>
    <t>osc 2ea</t>
    <phoneticPr fontId="2" type="noConversion"/>
  </si>
  <si>
    <t>35mhz</t>
    <phoneticPr fontId="2" type="noConversion"/>
  </si>
  <si>
    <t>only serializing spread, svo NOT spread (optional-&gt;final decision)</t>
    <phoneticPr fontId="2" type="noConversion"/>
  </si>
  <si>
    <t>osc 1.5V</t>
    <phoneticPr fontId="2" type="noConversion"/>
  </si>
  <si>
    <t>for EMI</t>
    <phoneticPr fontId="2" type="noConversion"/>
  </si>
  <si>
    <t>sclk 50mhz, mclk 50mhz</t>
    <phoneticPr fontId="2" type="noConversion"/>
  </si>
  <si>
    <t>Analog test</t>
    <phoneticPr fontId="2" type="noConversion"/>
  </si>
  <si>
    <t>osc=35mhz * 2ea</t>
    <phoneticPr fontId="2" type="noConversion"/>
  </si>
  <si>
    <t>MIRROR5</t>
  </si>
  <si>
    <t>0xF9</t>
  </si>
  <si>
    <t>0x02</t>
    <phoneticPr fontId="2" type="noConversion"/>
  </si>
  <si>
    <t>OSC FLL MAN_A1</t>
    <phoneticPr fontId="2" type="noConversion"/>
  </si>
  <si>
    <t>OSC_MAN_EN_A</t>
    <phoneticPr fontId="2" type="noConversion"/>
  </si>
  <si>
    <t>DAC_RNG_A</t>
    <phoneticPr fontId="2" type="noConversion"/>
  </si>
  <si>
    <t>FLT_CTL_A [1:0]</t>
    <phoneticPr fontId="2" type="noConversion"/>
  </si>
  <si>
    <t>FLT_GAIN_A [1:0]</t>
    <phoneticPr fontId="2" type="noConversion"/>
  </si>
  <si>
    <t>OSC FLL MAN_A2</t>
    <phoneticPr fontId="2" type="noConversion"/>
  </si>
  <si>
    <t>OSC_FLL_MAN_A [15:0]</t>
    <phoneticPr fontId="2" type="noConversion"/>
  </si>
  <si>
    <t>OSC FLL MAN_B1</t>
    <phoneticPr fontId="2" type="noConversion"/>
  </si>
  <si>
    <t>OSC_MAN_EN_B</t>
    <phoneticPr fontId="2" type="noConversion"/>
  </si>
  <si>
    <t>DAC_RNG_B</t>
    <phoneticPr fontId="2" type="noConversion"/>
  </si>
  <si>
    <t>FLT_CTL_B [1:0]</t>
    <phoneticPr fontId="2" type="noConversion"/>
  </si>
  <si>
    <t>FLT_GAIN_B[1:0]</t>
    <phoneticPr fontId="2" type="noConversion"/>
  </si>
  <si>
    <t>OSC FLL MAN_B2</t>
    <phoneticPr fontId="2" type="noConversion"/>
  </si>
  <si>
    <t>OSC_FLL_MAN_B [15:0]</t>
    <phoneticPr fontId="2" type="noConversion"/>
  </si>
  <si>
    <t>ANA_TEST</t>
    <phoneticPr fontId="2" type="noConversion"/>
  </si>
  <si>
    <t>CHOP_EN_OSCLDO</t>
  </si>
  <si>
    <t>CHOP_EN_BGR</t>
    <phoneticPr fontId="2" type="noConversion"/>
  </si>
  <si>
    <t>TEST_ANA_EN[2:0]</t>
    <phoneticPr fontId="2" type="noConversion"/>
  </si>
  <si>
    <t>FLLCNT11</t>
    <phoneticPr fontId="2" type="noConversion"/>
  </si>
  <si>
    <t>FLLCNT21</t>
    <phoneticPr fontId="2" type="noConversion"/>
  </si>
  <si>
    <t>FLLCNT12</t>
    <phoneticPr fontId="2" type="noConversion"/>
  </si>
  <si>
    <t>FLLCNT22</t>
    <phoneticPr fontId="2" type="noConversion"/>
  </si>
  <si>
    <t>fll1_en
'0'  disable
'1'  enable</t>
    <phoneticPr fontId="2" type="noConversion"/>
  </si>
  <si>
    <t>fll2_en
'0'  disable
'1'  enable</t>
    <phoneticPr fontId="2" type="noConversion"/>
  </si>
  <si>
    <t>fll1_range[1:0]</t>
    <phoneticPr fontId="2" type="noConversion"/>
  </si>
  <si>
    <t>fll2_range[1:0]</t>
    <phoneticPr fontId="2" type="noConversion"/>
  </si>
  <si>
    <t>fll1cnt [15:0]</t>
    <phoneticPr fontId="2" type="noConversion"/>
  </si>
  <si>
    <t>fll2cnt [15:0]</t>
    <phoneticPr fontId="2" type="noConversion"/>
  </si>
  <si>
    <t>fll1cnt [20:16]</t>
    <phoneticPr fontId="2" type="noConversion"/>
  </si>
  <si>
    <t>fll2cnt [20:16]</t>
    <phoneticPr fontId="2" type="noConversion"/>
  </si>
  <si>
    <t>spread1_spd [2:0]</t>
    <phoneticPr fontId="2" type="noConversion"/>
  </si>
  <si>
    <t>spread2_spd [2:0]</t>
    <phoneticPr fontId="2" type="noConversion"/>
  </si>
  <si>
    <t>sprd2_gain [2:0]</t>
    <phoneticPr fontId="2" type="noConversion"/>
  </si>
  <si>
    <t>sprd1_gain [2:0]</t>
    <phoneticPr fontId="2" type="noConversion"/>
  </si>
  <si>
    <t>CMD PARITY ERR STATUS2</t>
    <phoneticPr fontId="2" type="noConversion"/>
  </si>
  <si>
    <t>CMD PARITY ERR STATUS1</t>
    <phoneticPr fontId="2" type="noConversion"/>
  </si>
  <si>
    <t>0x12</t>
    <phoneticPr fontId="2" type="noConversion"/>
  </si>
  <si>
    <t>0x39</t>
    <phoneticPr fontId="2" type="noConversion"/>
  </si>
  <si>
    <t>0x41</t>
    <phoneticPr fontId="2" type="noConversion"/>
  </si>
  <si>
    <t>0x43</t>
    <phoneticPr fontId="2" type="noConversion"/>
  </si>
  <si>
    <t>0x44</t>
    <phoneticPr fontId="2" type="noConversion"/>
  </si>
  <si>
    <t>0x51</t>
    <phoneticPr fontId="2" type="noConversion"/>
  </si>
  <si>
    <t>0x57</t>
    <phoneticPr fontId="2" type="noConversion"/>
  </si>
  <si>
    <t>0x58</t>
    <phoneticPr fontId="2" type="noConversion"/>
  </si>
  <si>
    <t>0x59</t>
    <phoneticPr fontId="2" type="noConversion"/>
  </si>
  <si>
    <t>0x61</t>
    <phoneticPr fontId="2" type="noConversion"/>
  </si>
  <si>
    <t>ch24_par_err</t>
    <phoneticPr fontId="2" type="noConversion"/>
  </si>
  <si>
    <t>ch23_par_err</t>
    <phoneticPr fontId="2" type="noConversion"/>
  </si>
  <si>
    <t>ch22_par_err</t>
  </si>
  <si>
    <t>ch21_par_err</t>
  </si>
  <si>
    <t>ch20_par_err</t>
  </si>
  <si>
    <t>ch19_par_err</t>
  </si>
  <si>
    <t>ch18_par_err</t>
  </si>
  <si>
    <t>ch17_par_err</t>
  </si>
  <si>
    <t>ch16_par_err</t>
  </si>
  <si>
    <t>ch1_par_err</t>
    <phoneticPr fontId="2" type="noConversion"/>
  </si>
  <si>
    <t>ch2_par_err</t>
    <phoneticPr fontId="2" type="noConversion"/>
  </si>
  <si>
    <t>ch15_par_err</t>
  </si>
  <si>
    <t>ch14_par_err</t>
  </si>
  <si>
    <t>ch13_par_err</t>
  </si>
  <si>
    <t>ch12_par_err</t>
  </si>
  <si>
    <t>ch11_par_err</t>
  </si>
  <si>
    <t>ch10_par_err</t>
  </si>
  <si>
    <t>ch9_par_err</t>
  </si>
  <si>
    <t>ch8_par_err</t>
  </si>
  <si>
    <t>ch7_par_err</t>
  </si>
  <si>
    <t>ch6_par_err</t>
  </si>
  <si>
    <t>ch5_par_err</t>
  </si>
  <si>
    <t>ch4_par_err</t>
  </si>
  <si>
    <t>ch3_par_err</t>
  </si>
  <si>
    <t>svo1_off [15:0] : max 1872us</t>
    <phoneticPr fontId="2" type="noConversion"/>
  </si>
  <si>
    <t>svo2_off [15:0] : max 1872us</t>
    <phoneticPr fontId="2" type="noConversion"/>
  </si>
  <si>
    <t>svo3_off [15:0] : max 1872us</t>
    <phoneticPr fontId="2" type="noConversion"/>
  </si>
  <si>
    <t>0x0707</t>
    <phoneticPr fontId="2" type="noConversion"/>
  </si>
  <si>
    <t>auto-reset after readout</t>
    <phoneticPr fontId="2" type="noConversion"/>
  </si>
  <si>
    <t>for serializer out</t>
    <phoneticPr fontId="2" type="noConversion"/>
  </si>
  <si>
    <t>for others</t>
    <phoneticPr fontId="2" type="noConversion"/>
  </si>
  <si>
    <t>osc2_spread_en
'0' disable
'1' enable</t>
    <phoneticPr fontId="2" type="noConversion"/>
  </si>
  <si>
    <t>osc1_spread_en
'0' disable
'1' enable</t>
    <phoneticPr fontId="2" type="noConversion"/>
  </si>
  <si>
    <t>serializer_clk_sel1
'0' osc1
  '1' depend on bit8</t>
    <phoneticPr fontId="2" type="noConversion"/>
  </si>
  <si>
    <t>serializer_clk_sel2
'0' osc2
  '1' Ext. clk</t>
    <phoneticPr fontId="2" type="noConversion"/>
  </si>
  <si>
    <t>ld_rd_clk_sel
'0' osc1
'1' depend on bit8</t>
    <phoneticPr fontId="2" type="noConversion"/>
  </si>
  <si>
    <t>mclk_mode
'0' osc2 (default)
 '1' Ext clk (if entered)</t>
    <phoneticPr fontId="2" type="noConversion"/>
  </si>
  <si>
    <t>#2 : serial out을 제외한 모든 로직, #1 : serial out에만 적용</t>
    <phoneticPr fontId="2" type="noConversion"/>
  </si>
  <si>
    <t>0x0030</t>
    <phoneticPr fontId="2" type="noConversion"/>
  </si>
  <si>
    <t>int_spi_pc_en</t>
    <phoneticPr fontId="2" type="noConversion"/>
  </si>
  <si>
    <t>int_cmd_pc_en</t>
    <phoneticPr fontId="2" type="noConversion"/>
  </si>
  <si>
    <t>0x0C18</t>
    <phoneticPr fontId="2" type="noConversion"/>
  </si>
  <si>
    <t>0x70C0</t>
    <phoneticPr fontId="2" type="noConversion"/>
  </si>
  <si>
    <t>dac_lvl [1:0]</t>
    <phoneticPr fontId="2" type="noConversion"/>
  </si>
  <si>
    <t>DAC NF CONTROL</t>
    <phoneticPr fontId="2" type="noConversion"/>
  </si>
  <si>
    <t>0x67</t>
  </si>
  <si>
    <t>0x68</t>
  </si>
  <si>
    <t>MCLK_SEL</t>
    <phoneticPr fontId="2" type="noConversion"/>
  </si>
  <si>
    <t>vo_delay [7:0] ; max 7.28us</t>
    <phoneticPr fontId="2" type="noConversion"/>
  </si>
  <si>
    <t>svo_on [11:0] : max 117us</t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</si>
  <si>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3-bit shift to right @xd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</si>
  <si>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normal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동작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</si>
  <si>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t>v_mask</t>
    <phoneticPr fontId="2" type="noConversion"/>
  </si>
  <si>
    <t>trimming access to reg</t>
    <phoneticPr fontId="2" type="noConversion"/>
  </si>
  <si>
    <t>wr protect</t>
    <phoneticPr fontId="2" type="noConversion"/>
  </si>
  <si>
    <t>(no condition) wr protect reg, VREF1/2/3 -&gt; always writable
(if 555) all reg writable (including MIRROR and 0x3F~0x3A)
(if 555 || AAA) DIV/ SCAN NO / FLL writable
(else) un-writable</t>
    <phoneticPr fontId="2" type="noConversion"/>
  </si>
  <si>
    <t>SW_SEL [1:0]</t>
    <phoneticPr fontId="2" type="noConversion"/>
  </si>
  <si>
    <t>FT_MODE 2bits 추가</t>
    <phoneticPr fontId="2" type="noConversion"/>
  </si>
  <si>
    <t>dimming2 시트-block diagram에서 빨강박스 확인</t>
    <phoneticPr fontId="2" type="noConversion"/>
  </si>
  <si>
    <t>opt checksum download</t>
    <phoneticPr fontId="2" type="noConversion"/>
  </si>
  <si>
    <t>TEST_EN=1 일 때, 해당 기능 미활성 확인</t>
    <phoneticPr fontId="2" type="noConversion"/>
  </si>
  <si>
    <t>mode별 fault 4bits definition
1. fault_readout 4-bits : fault detection_en bit 활용해서
        @ ld_type = 01, 10
             FT_MODE=00 : fault* = thermal || short_all || open_all
             FT_MODE=01 : fault* = open_all 
             FT_MODE=10 : fault* = short_all 
             FT_MODE=11 : fault* = thermal
        @ ld_type=11
             FT_MODE=00  : short_all || open_all
             FT_MODE=01  : open_all
             FT_MODE=10  : short_all
* clarification : fault reg read or detection_en bit 설정변경</t>
    <phoneticPr fontId="2" type="noConversion"/>
  </si>
  <si>
    <t>otp</t>
    <phoneticPr fontId="2" type="noConversion"/>
  </si>
  <si>
    <t>남는 비트로 version 정보 추가</t>
    <phoneticPr fontId="2" type="noConversion"/>
  </si>
  <si>
    <t>driver strength</t>
    <phoneticPr fontId="2" type="noConversion"/>
  </si>
  <si>
    <t>출력 리키지 생성</t>
    <phoneticPr fontId="2" type="noConversion"/>
  </si>
  <si>
    <t>50nA~300nA</t>
    <phoneticPr fontId="2" type="noConversion"/>
  </si>
  <si>
    <t>SVI -&gt; vsync/sv발생</t>
    <phoneticPr fontId="2" type="noConversion"/>
  </si>
  <si>
    <t>발생 조건 정리 ; dimming1 sheet 빨강색 박스 참조</t>
    <phoneticPr fontId="2" type="noConversion"/>
  </si>
  <si>
    <t>scan 추가 여부</t>
    <phoneticPr fontId="2" type="noConversion"/>
  </si>
  <si>
    <t>svsync</t>
    <phoneticPr fontId="2" type="noConversion"/>
  </si>
  <si>
    <t>svo_skew_en
'0' disable
'1' enable</t>
    <phoneticPr fontId="2" type="noConversion"/>
  </si>
  <si>
    <t>0x7000</t>
    <phoneticPr fontId="2" type="noConversion"/>
  </si>
  <si>
    <t>0xFA</t>
    <phoneticPr fontId="2" type="noConversion"/>
  </si>
  <si>
    <t>applied to only SVOx</t>
    <phoneticPr fontId="2" type="noConversion"/>
  </si>
  <si>
    <t>dac control : 0x58번지 SOA_P3/P2 오류 수정</t>
    <phoneticPr fontId="2" type="noConversion"/>
  </si>
  <si>
    <t>int_so_source = 0</t>
    <phoneticPr fontId="2" type="noConversion"/>
  </si>
  <si>
    <t>fll1_err_range[1:0]</t>
    <phoneticPr fontId="2" type="noConversion"/>
  </si>
  <si>
    <t>fll2_err_range[1:0]</t>
    <phoneticPr fontId="2" type="noConversion"/>
  </si>
  <si>
    <t>osc_rctl [4:0]</t>
    <phoneticPr fontId="2" type="noConversion"/>
  </si>
  <si>
    <t>osc_rctl2 [4:0]</t>
    <phoneticPr fontId="2" type="noConversion"/>
  </si>
  <si>
    <r>
      <t>ld transfer cmd 4bit은 (daisied_dev_ch_size*</t>
    </r>
    <r>
      <rPr>
        <b/>
        <sz val="11"/>
        <color theme="1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3"/>
        <charset val="129"/>
        <scheme val="minor"/>
      </rPr>
      <t>) 마다 insert하고, daisy_size만큼 반복, ld=16bits</t>
    </r>
    <phoneticPr fontId="2" type="noConversion"/>
  </si>
  <si>
    <r>
      <t>ld transfer cmd 4bit은 (daisied_dev_ch_size*</t>
    </r>
    <r>
      <rPr>
        <b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3"/>
        <charset val="129"/>
        <scheme val="minor"/>
      </rPr>
      <t>) 마다 insert하고, daisy_size만큼 반복, ld=12bits</t>
    </r>
    <phoneticPr fontId="2" type="noConversion"/>
  </si>
  <si>
    <r>
      <t>ld transfer cmd 4bit은 (daisied_dev_ch_size*</t>
    </r>
    <r>
      <rPr>
        <b/>
        <sz val="11"/>
        <color theme="1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3"/>
        <charset val="129"/>
        <scheme val="minor"/>
      </rPr>
      <t>) 마다 insert하고, daisy_size만큼 반복, ld=14bits</t>
    </r>
    <phoneticPr fontId="2" type="noConversion"/>
  </si>
  <si>
    <r>
      <t>ld transfer cmd 4bit은 (daisied_dev_ch_size*</t>
    </r>
    <r>
      <rPr>
        <b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>) 마다 insert하고, daisy_size만큼 반복, ld=12bits</t>
    </r>
    <phoneticPr fontId="2" type="noConversion"/>
  </si>
  <si>
    <r>
      <t>ld transfer cmd 4bit은 (daisied_dev_ch_size*</t>
    </r>
    <r>
      <rPr>
        <b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>) 마다 insert하고, daisy_size만큼 반복, ld=14bits</t>
    </r>
    <phoneticPr fontId="2" type="noConversion"/>
  </si>
  <si>
    <r>
      <t>ld transfer cmd 4bit은 (daisied_dev_ch_size*</t>
    </r>
    <r>
      <rPr>
        <b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>) 마다 insert하고, daisy_size만큼 반복, ld=16bits</t>
    </r>
    <phoneticPr fontId="2" type="noConversion"/>
  </si>
  <si>
    <r>
      <t>ld transfer cmd 4bit은 (daisied_dev_ch_size*</t>
    </r>
    <r>
      <rPr>
        <b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3"/>
        <charset val="129"/>
        <scheme val="minor"/>
      </rPr>
      <t>) 마다 insert하고, daisy_size만큼 반복, ld=14bits</t>
    </r>
    <phoneticPr fontId="2" type="noConversion"/>
  </si>
  <si>
    <r>
      <t>ld transfer cmd 4bit은 (daisied_dev_ch_size*</t>
    </r>
    <r>
      <rPr>
        <b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3"/>
        <charset val="129"/>
        <scheme val="minor"/>
      </rPr>
      <t>) 마다 insert하고, daisy_size만큼 반복, ld=16bits</t>
    </r>
    <phoneticPr fontId="2" type="noConversion"/>
  </si>
  <si>
    <r>
      <t>※</t>
    </r>
    <r>
      <rPr>
        <b/>
        <sz val="12.1"/>
        <color rgb="FF0000FF"/>
        <rFont val="맑은 고딕"/>
        <family val="3"/>
        <charset val="129"/>
      </rPr>
      <t xml:space="preserve"> Bold number = LD size/block</t>
    </r>
    <r>
      <rPr>
        <b/>
        <sz val="11"/>
        <color rgb="FF0000FF"/>
        <rFont val="맑은 고딕"/>
        <family val="3"/>
        <charset val="129"/>
      </rPr>
      <t>, = BLOCK_SIZE counting unit</t>
    </r>
    <phoneticPr fontId="2" type="noConversion"/>
  </si>
  <si>
    <t>real sv # = sv_no * sv_no_multiplier</t>
    <phoneticPr fontId="2" type="noConversion"/>
  </si>
  <si>
    <t>ddio/ svo out delay &amp; gate delay</t>
    <phoneticPr fontId="2" type="noConversion"/>
  </si>
  <si>
    <t>+20% up 할 것 (VD 신뢰성 기준)</t>
    <phoneticPr fontId="2" type="noConversion"/>
  </si>
  <si>
    <t>normalize</t>
    <phoneticPr fontId="2" type="noConversion"/>
  </si>
  <si>
    <t>current</t>
    <phoneticPr fontId="2" type="noConversion"/>
  </si>
  <si>
    <t>full current</t>
    <phoneticPr fontId="2" type="noConversion"/>
  </si>
  <si>
    <t>VD stress 80%</t>
    <phoneticPr fontId="2" type="noConversion"/>
  </si>
  <si>
    <t>전 대역 1.5%</t>
    <phoneticPr fontId="2" type="noConversion"/>
  </si>
  <si>
    <t>Dx=8mA,  SVOx=8mA,  GATE1/2/3=8mA,,  MISO=8mA</t>
    <phoneticPr fontId="2" type="noConversion"/>
  </si>
  <si>
    <t>DIO/DDIO = 8mA,  SVO = 8mA</t>
    <phoneticPr fontId="2" type="noConversion"/>
  </si>
  <si>
    <t>drive strength</t>
    <phoneticPr fontId="2" type="noConversion"/>
  </si>
  <si>
    <t>all 8mA</t>
    <phoneticPr fontId="2" type="noConversion"/>
  </si>
  <si>
    <t>Icc</t>
    <phoneticPr fontId="2" type="noConversion"/>
  </si>
  <si>
    <t>max 1.5mA</t>
    <phoneticPr fontId="2" type="noConversion"/>
  </si>
  <si>
    <t>MISO max delay</t>
    <phoneticPr fontId="2" type="noConversion"/>
  </si>
  <si>
    <t>PAD delay 얼마인 지 모르겠는데, 총 합 5ns delay</t>
    <phoneticPr fontId="2" type="noConversion"/>
  </si>
  <si>
    <r>
      <t xml:space="preserve">delay : 현재 svo 출력 delay 13ns 및 gate delay 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ns
target은 pad delay(얼마인지 모르겠는데)까지 포함해서 5ns</t>
    </r>
    <phoneticPr fontId="2" type="noConversion"/>
  </si>
  <si>
    <t>svo delay</t>
    <phoneticPr fontId="2" type="noConversion"/>
  </si>
  <si>
    <t>PAD delay 얼마인 지 모르겠는데, 총 합 5ns delay (채널 skew 포함)</t>
    <phoneticPr fontId="2" type="noConversion"/>
  </si>
  <si>
    <t>RGB mode</t>
    <phoneticPr fontId="2" type="noConversion"/>
  </si>
  <si>
    <t>R/GB mode</t>
    <phoneticPr fontId="2" type="noConversion"/>
  </si>
  <si>
    <t>dac1_ofs[7:0]</t>
    <phoneticPr fontId="2" type="noConversion"/>
  </si>
  <si>
    <t>dac3_ofs[7:0]</t>
    <phoneticPr fontId="2" type="noConversion"/>
  </si>
  <si>
    <t>dac2_ofs[7:0]</t>
    <phoneticPr fontId="2" type="noConversion"/>
  </si>
  <si>
    <t>version [1:0]</t>
    <phoneticPr fontId="2" type="noConversion"/>
  </si>
  <si>
    <t>전원오프시 순간번쩍임</t>
    <phoneticPr fontId="2" type="noConversion"/>
  </si>
  <si>
    <t>5V Drop 감지. 4V에서 PWM Off</t>
    <phoneticPr fontId="2" type="noConversion"/>
  </si>
  <si>
    <t>serializer/de-serializer reset bits</t>
    <phoneticPr fontId="2" type="noConversion"/>
  </si>
  <si>
    <t>데이지 중간 xd가 응답 못하는 경우 복구 필요</t>
    <phoneticPr fontId="2" type="noConversion"/>
  </si>
  <si>
    <t>1 step t</t>
    <phoneticPr fontId="2" type="noConversion"/>
  </si>
  <si>
    <t>err</t>
    <phoneticPr fontId="2" type="noConversion"/>
  </si>
  <si>
    <t>ref. gb_mclk #</t>
    <phoneticPr fontId="2" type="noConversion"/>
  </si>
  <si>
    <t>room</t>
    <phoneticPr fontId="2" type="noConversion"/>
  </si>
  <si>
    <t>g_mclk#</t>
    <phoneticPr fontId="2" type="noConversion"/>
  </si>
  <si>
    <t>b_mclk#</t>
    <phoneticPr fontId="2" type="noConversion"/>
  </si>
  <si>
    <t>g sv period</t>
    <phoneticPr fontId="2" type="noConversion"/>
  </si>
  <si>
    <t>b sv period</t>
    <phoneticPr fontId="2" type="noConversion"/>
  </si>
  <si>
    <t>vo_delay @ vsync, not cmd</t>
    <phoneticPr fontId="2" type="noConversion"/>
  </si>
  <si>
    <t>xc 내부 vsync assertion 에서 바로 시작 without vo_delay</t>
    <phoneticPr fontId="2" type="noConversion"/>
  </si>
  <si>
    <t>comp</t>
    <phoneticPr fontId="2" type="noConversion"/>
  </si>
  <si>
    <t>g, b sv_on</t>
    <phoneticPr fontId="2" type="noConversion"/>
  </si>
  <si>
    <t>b sv_off</t>
    <phoneticPr fontId="2" type="noConversion"/>
  </si>
  <si>
    <t>g sv_off</t>
    <phoneticPr fontId="2" type="noConversion"/>
  </si>
  <si>
    <t>g current</t>
    <phoneticPr fontId="2" type="noConversion"/>
  </si>
  <si>
    <t>b current</t>
    <phoneticPr fontId="2" type="noConversion"/>
  </si>
  <si>
    <t>ref. r_mclk</t>
    <phoneticPr fontId="2" type="noConversion"/>
  </si>
  <si>
    <t>vs</t>
    <phoneticPr fontId="2" type="noConversion"/>
  </si>
  <si>
    <t>전원 오프시 vdd-vled sequence</t>
    <phoneticPr fontId="2" type="noConversion"/>
  </si>
  <si>
    <t>vdd off상태에서 vled걸린 경우 파손, ch on/off시 파손</t>
    <phoneticPr fontId="2" type="noConversion"/>
  </si>
  <si>
    <t>기능 추가</t>
    <phoneticPr fontId="2" type="noConversion"/>
  </si>
  <si>
    <t>no svsync로 동작 + 두 채널 병합 + dac 3개 맵핑</t>
    <phoneticPr fontId="2" type="noConversion"/>
  </si>
  <si>
    <t>timeout [16:1]</t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</si>
  <si>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r period</t>
    </r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</si>
  <si>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gb period</t>
    </r>
    <phoneticPr fontId="2" type="noConversion"/>
  </si>
  <si>
    <t>gb sv period</t>
    <phoneticPr fontId="2" type="noConversion"/>
  </si>
  <si>
    <t>adc 3-ch</t>
    <phoneticPr fontId="2" type="noConversion"/>
  </si>
  <si>
    <t>fll</t>
    <phoneticPr fontId="2" type="noConversion"/>
  </si>
  <si>
    <t>decimal</t>
    <phoneticPr fontId="2" type="noConversion"/>
  </si>
  <si>
    <t>d_rate</t>
    <phoneticPr fontId="2" type="noConversion"/>
  </si>
  <si>
    <t>s_latency</t>
    <phoneticPr fontId="2" type="noConversion"/>
  </si>
  <si>
    <t>xc serializing</t>
    <phoneticPr fontId="2" type="noConversion"/>
  </si>
  <si>
    <t>xd deserializing</t>
    <phoneticPr fontId="2" type="noConversion"/>
  </si>
  <si>
    <t>xc to xd</t>
    <phoneticPr fontId="2" type="noConversion"/>
  </si>
  <si>
    <t>xd to xc</t>
    <phoneticPr fontId="2" type="noConversion"/>
  </si>
  <si>
    <t>xd serializing</t>
    <phoneticPr fontId="2" type="noConversion"/>
  </si>
  <si>
    <t>c_latency</t>
    <phoneticPr fontId="2" type="noConversion"/>
  </si>
  <si>
    <t>xc deserializing</t>
    <phoneticPr fontId="2" type="noConversion"/>
  </si>
  <si>
    <t>final</t>
    <phoneticPr fontId="2" type="noConversion"/>
  </si>
  <si>
    <t>svo -&gt; reset pulse 기능 추가</t>
    <phoneticPr fontId="2" type="noConversion"/>
  </si>
  <si>
    <t>xd 통신 복구용, 카운터로 인식</t>
    <phoneticPr fontId="2" type="noConversion"/>
  </si>
  <si>
    <t>xd 통신 복구용 ; reg 변경</t>
    <phoneticPr fontId="2" type="noConversion"/>
  </si>
  <si>
    <t>the value updated at a next vsync ; sync_cmd에서는 미작동</t>
    <phoneticPr fontId="2" type="noConversion"/>
  </si>
  <si>
    <r>
      <rPr>
        <b/>
        <sz val="10"/>
        <color theme="1"/>
        <rFont val="Aptos Narrow"/>
        <family val="2"/>
      </rPr>
      <t>vsync filter</t>
    </r>
    <r>
      <rPr>
        <sz val="10"/>
        <color theme="1"/>
        <rFont val="Aptos Narrow"/>
        <family val="2"/>
      </rPr>
      <t xml:space="preserve"> : 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</si>
  <si>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</si>
  <si>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</si>
  <si>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</si>
  <si>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ld_type=01</t>
    </r>
    <phoneticPr fontId="2" type="noConversion"/>
  </si>
  <si>
    <r>
      <t>dimming sequence : ld_mode=0, ld_type=11 (LED2+LED3),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</si>
  <si>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ld_type=10 (LED1, 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</si>
  <si>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ld_type=01 (LED1+LED2+LED3),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SVO)</t>
    </r>
    <phoneticPr fontId="2" type="noConversion"/>
  </si>
  <si>
    <t>(xc) SVO=RSO</t>
    <phoneticPr fontId="2" type="noConversion"/>
  </si>
  <si>
    <r>
      <t>syncmode=</t>
    </r>
    <r>
      <rPr>
        <sz val="10"/>
        <color rgb="FFFF0000"/>
        <rFont val="Aptos Narrow"/>
        <family val="2"/>
      </rPr>
      <t>11</t>
    </r>
    <r>
      <rPr>
        <sz val="10"/>
        <color theme="1"/>
        <rFont val="Aptos Narrow"/>
        <family val="2"/>
      </rPr>
      <t xml:space="preserve"> (RSO+cmd) : xdd </t>
    </r>
    <r>
      <rPr>
        <sz val="10"/>
        <color theme="1"/>
        <rFont val="맑은 고딕"/>
        <family val="2"/>
        <charset val="129"/>
      </rPr>
      <t>복구기능</t>
    </r>
    <phoneticPr fontId="2" type="noConversion"/>
  </si>
  <si>
    <t>(xdd) vsync</t>
    <phoneticPr fontId="2" type="noConversion"/>
  </si>
  <si>
    <t>(xdd) RSI</t>
    <phoneticPr fontId="2" type="noConversion"/>
  </si>
  <si>
    <t>a</t>
    <phoneticPr fontId="2" type="noConversion"/>
  </si>
  <si>
    <t>b.c</t>
    <phoneticPr fontId="2" type="noConversion"/>
  </si>
  <si>
    <t>a', b, c</t>
    <phoneticPr fontId="2" type="noConversion"/>
  </si>
  <si>
    <t xml:space="preserve">syncmode [1:0]
    00 = nop         01 = (cmd + svo)
10 = (vo + svo)    11 = (rso + cmd)      </t>
    <phoneticPr fontId="2" type="noConversion"/>
  </si>
  <si>
    <t>전류오차범위</t>
    <phoneticPr fontId="2" type="noConversion"/>
  </si>
  <si>
    <t>보증최소전류</t>
    <phoneticPr fontId="2" type="noConversion"/>
  </si>
  <si>
    <t xml:space="preserve"> 20:1</t>
    <phoneticPr fontId="2" type="noConversion"/>
  </si>
  <si>
    <t>LD_RES</t>
    <phoneticPr fontId="2" type="noConversion"/>
  </si>
  <si>
    <t>counted by a mclk, the value updated at every vsync</t>
    <phoneticPr fontId="2" type="noConversion"/>
  </si>
  <si>
    <t>sv_no_type [1:0]</t>
    <phoneticPr fontId="2" type="noConversion"/>
  </si>
  <si>
    <t>ld_type [2:0]</t>
    <phoneticPr fontId="2" type="noConversion"/>
  </si>
  <si>
    <t>1/2/3/4/6</t>
    <phoneticPr fontId="2" type="noConversion"/>
  </si>
  <si>
    <t>'001'</t>
    <phoneticPr fontId="2" type="noConversion"/>
  </si>
  <si>
    <t>'000'</t>
    <phoneticPr fontId="2" type="noConversion"/>
  </si>
  <si>
    <t>'010'</t>
    <phoneticPr fontId="2" type="noConversion"/>
  </si>
  <si>
    <t>'011'</t>
    <phoneticPr fontId="2" type="noConversion"/>
  </si>
  <si>
    <t>'100'</t>
    <phoneticPr fontId="2" type="noConversion"/>
  </si>
  <si>
    <t>'110'</t>
    <phoneticPr fontId="2" type="noConversion"/>
  </si>
  <si>
    <t>ld_type[2:0]</t>
    <phoneticPr fontId="2" type="noConversion"/>
  </si>
  <si>
    <t>1 LD/block (Block_size counting unit = 1 LD) ; 현재 모노</t>
    <phoneticPr fontId="2" type="noConversion"/>
  </si>
  <si>
    <t>3 LD/block (Block_size counting unit = 3 LD) ; rgb (xd 1-ch), r (xd 1-ch) / gb (xd 1-ch)</t>
    <phoneticPr fontId="2" type="noConversion"/>
  </si>
  <si>
    <t>2 LD/block (Block_size counting unit = 2 LD) ; gb (xd 1-ch)</t>
    <phoneticPr fontId="2" type="noConversion"/>
  </si>
  <si>
    <r>
      <t>ld transfer cmd 4bit은 (daisied_dev_ch_size*</t>
    </r>
    <r>
      <rPr>
        <b/>
        <u/>
        <sz val="11"/>
        <color rgb="FFFF00FF"/>
        <rFont val="맑은 고딕"/>
        <family val="3"/>
        <charset val="129"/>
        <scheme val="minor"/>
      </rPr>
      <t>k</t>
    </r>
    <r>
      <rPr>
        <sz val="11"/>
        <color theme="1"/>
        <rFont val="맑은 고딕"/>
        <family val="3"/>
        <charset val="129"/>
        <scheme val="minor"/>
      </rPr>
      <t>) 마다 insert하고, daisy_size만큼 반복, ld=12bits</t>
    </r>
    <phoneticPr fontId="2" type="noConversion"/>
  </si>
  <si>
    <t>k = ld_type value</t>
  </si>
  <si>
    <t>6 LD/block (Block_size counting unit = 6 LD) ; r (xd 1-ch) / r (xd 1-ch) / gb (xd 1-ch) / gb (xd 1-ch)</t>
    <phoneticPr fontId="2" type="noConversion"/>
  </si>
  <si>
    <t>4 LD/block (Block_size counting unit = 4 LD) ; r (xd 1-ch) / r (xd 1-ch ) / gb (xd 1-ch)</t>
    <phoneticPr fontId="2" type="noConversion"/>
  </si>
  <si>
    <t>R</t>
    <phoneticPr fontId="2" type="noConversion"/>
  </si>
  <si>
    <t>MAX</t>
    <phoneticPr fontId="2" type="noConversion"/>
  </si>
  <si>
    <t>MIN</t>
    <phoneticPr fontId="2" type="noConversion"/>
  </si>
  <si>
    <r>
      <rPr>
        <u/>
        <sz val="11"/>
        <color theme="1"/>
        <rFont val="맑은 고딕"/>
        <family val="3"/>
        <charset val="129"/>
        <scheme val="minor"/>
      </rPr>
      <t>G</t>
    </r>
    <r>
      <rPr>
        <sz val="11"/>
        <color theme="1"/>
        <rFont val="맑은 고딕"/>
        <family val="2"/>
        <charset val="129"/>
        <scheme val="minor"/>
      </rPr>
      <t>B</t>
    </r>
    <phoneticPr fontId="2" type="noConversion"/>
  </si>
  <si>
    <r>
      <t>G</t>
    </r>
    <r>
      <rPr>
        <u/>
        <sz val="11"/>
        <color theme="1"/>
        <rFont val="맑은 고딕"/>
        <family val="3"/>
        <charset val="129"/>
        <scheme val="minor"/>
      </rPr>
      <t>B</t>
    </r>
    <phoneticPr fontId="2" type="noConversion"/>
  </si>
  <si>
    <t>O_FB_E</t>
    <phoneticPr fontId="2" type="noConversion"/>
  </si>
  <si>
    <t>the value updated at every vsync</t>
    <phoneticPr fontId="2" type="noConversion"/>
  </si>
  <si>
    <t>SYNCMODE [1:0]</t>
    <phoneticPr fontId="2" type="noConversion"/>
  </si>
  <si>
    <t>SV_NO [4:0]</t>
    <phoneticPr fontId="2" type="noConversion"/>
  </si>
  <si>
    <t xml:space="preserve">sv_type : </t>
    <phoneticPr fontId="2" type="noConversion"/>
  </si>
  <si>
    <t>LKG_E</t>
    <phoneticPr fontId="2" type="noConversion"/>
  </si>
  <si>
    <t>0x100</t>
    <phoneticPr fontId="2" type="noConversion"/>
  </si>
  <si>
    <t>LD_SIZE [4:0]</t>
    <phoneticPr fontId="2" type="noConversion"/>
  </si>
  <si>
    <t>LD_SIZE : the number of LD data to be transmitted</t>
    <phoneticPr fontId="2" type="noConversion"/>
  </si>
  <si>
    <t>LD_SIZE</t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</si>
  <si>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mclk/2 @ serializer</t>
    </r>
    <r>
      <rPr>
        <sz val="11"/>
        <color theme="1"/>
        <rFont val="맑은 고딕"/>
        <family val="3"/>
        <charset val="129"/>
        <scheme val="minor"/>
      </rPr>
      <t xml:space="preserve"> ; </t>
    </r>
    <r>
      <rPr>
        <sz val="11"/>
        <color rgb="FFFF0000"/>
        <rFont val="맑은 고딕"/>
        <family val="3"/>
        <charset val="129"/>
        <scheme val="minor"/>
      </rPr>
      <t>deserializer operated at a mclk/1</t>
    </r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</si>
  <si>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</t>
    </r>
    <r>
      <rPr>
        <b/>
        <u/>
        <sz val="14"/>
        <color rgb="FFFF0000"/>
        <rFont val="맑은 고딕"/>
        <family val="3"/>
        <charset val="129"/>
        <scheme val="minor"/>
      </rPr>
      <t>2</t>
    </r>
    <phoneticPr fontId="2" type="noConversion"/>
  </si>
  <si>
    <r>
      <t xml:space="preserve">FLL_EN : '0 disable,  </t>
    </r>
    <r>
      <rPr>
        <sz val="11"/>
        <color rgb="FFFF0000"/>
        <rFont val="맑은 고딕"/>
        <family val="3"/>
        <charset val="129"/>
        <scheme val="minor"/>
      </rPr>
      <t>'1' enable</t>
    </r>
    <r>
      <rPr>
        <sz val="11"/>
        <color theme="1"/>
        <rFont val="맑은 고딕"/>
        <family val="3"/>
        <charset val="129"/>
        <scheme val="minor"/>
      </rPr>
      <t xml:space="preserve"> (polarity changed)
</t>
    </r>
    <r>
      <rPr>
        <sz val="11"/>
        <color rgb="FFFF00FF"/>
        <rFont val="맑은 고딕"/>
        <family val="3"/>
        <charset val="129"/>
        <scheme val="minor"/>
      </rPr>
      <t>the value updated at every vsync, not svsync</t>
    </r>
    <phoneticPr fontId="2" type="noConversion"/>
  </si>
  <si>
    <t>FLLCNT [11:0]</t>
    <phoneticPr fontId="2" type="noConversion"/>
  </si>
  <si>
    <t>FLLCNT [19:12]</t>
    <phoneticPr fontId="2" type="noConversion"/>
  </si>
  <si>
    <t>1. 0xAAA : MAX_CURR_VREF1/2/3 만 writable
2. 0xCCC : LD_CONTROL, FLLCNT1/2, PWMCLK_DIV1/2/3, MAX_CURR_VREF1/2/3 만 writable
3. 0x555 : all reg writable
4. others : un-writable
5. WR_PROTECT reg always writable</t>
    <phoneticPr fontId="2" type="noConversion"/>
  </si>
  <si>
    <r>
      <t>TIMEOUT [</t>
    </r>
    <r>
      <rPr>
        <b/>
        <sz val="14"/>
        <color rgb="FFFF0000"/>
        <rFont val="맑은 고딕"/>
        <family val="3"/>
        <charset val="129"/>
        <scheme val="minor"/>
      </rPr>
      <t>10</t>
    </r>
    <r>
      <rPr>
        <sz val="11"/>
        <color theme="1"/>
        <rFont val="맑은 고딕"/>
        <family val="3"/>
        <charset val="129"/>
        <scheme val="minor"/>
      </rPr>
      <t>:0]</t>
    </r>
    <phoneticPr fontId="2" type="noConversion"/>
  </si>
  <si>
    <t>PARITY_E</t>
    <phoneticPr fontId="2" type="noConversion"/>
  </si>
  <si>
    <t>CHx_LD_TYPE</t>
    <phoneticPr fontId="2" type="noConversion"/>
  </si>
  <si>
    <t>CH</t>
    <phoneticPr fontId="2" type="noConversion"/>
  </si>
  <si>
    <t>LD transmit sequence</t>
    <phoneticPr fontId="2" type="noConversion"/>
  </si>
  <si>
    <t>LD_SIZE = 18</t>
    <phoneticPr fontId="2" type="noConversion"/>
  </si>
  <si>
    <t>LD_SIZE = 12</t>
    <phoneticPr fontId="2" type="noConversion"/>
  </si>
  <si>
    <t>LD_SIZE = 14</t>
    <phoneticPr fontId="2" type="noConversion"/>
  </si>
  <si>
    <t>LD_SIZE = 15</t>
    <phoneticPr fontId="2" type="noConversion"/>
  </si>
  <si>
    <t>LD_SIZE = 16</t>
    <phoneticPr fontId="2" type="noConversion"/>
  </si>
  <si>
    <t>LD_SIZE = 24</t>
    <phoneticPr fontId="2" type="noConversion"/>
  </si>
  <si>
    <t>LD_SIZE = 20</t>
    <phoneticPr fontId="2" type="noConversion"/>
  </si>
  <si>
    <t>LD_SIZE = 10</t>
    <phoneticPr fontId="2" type="noConversion"/>
  </si>
  <si>
    <t>LD
Buffer1</t>
    <phoneticPr fontId="2" type="noConversion"/>
  </si>
  <si>
    <t>LD
Buffer2</t>
    <phoneticPr fontId="2" type="noConversion"/>
  </si>
  <si>
    <t>SV_NO_TYPE</t>
    <phoneticPr fontId="2" type="noConversion"/>
  </si>
  <si>
    <t>CH1_LD_TYPE</t>
    <phoneticPr fontId="2" type="noConversion"/>
  </si>
  <si>
    <t>CH2_LD_TYPE</t>
    <phoneticPr fontId="2" type="noConversion"/>
  </si>
  <si>
    <t>CH12_LD_TYPE</t>
  </si>
  <si>
    <t>CH11_LD_TYPE</t>
  </si>
  <si>
    <t>CH10_LD_TYPE</t>
  </si>
  <si>
    <t>CH9_LD_TYPE</t>
  </si>
  <si>
    <t>CH8_LD_TYPE</t>
  </si>
  <si>
    <t>CH7_LD_TYPE</t>
  </si>
  <si>
    <t>CH6_LD_TYPE</t>
  </si>
  <si>
    <t>CH5_LD_TYPE</t>
  </si>
  <si>
    <t>CH4_LD_TYPE</t>
  </si>
  <si>
    <t>CH3_LD_TYPE</t>
  </si>
  <si>
    <t>LD_SIZE = 22</t>
    <phoneticPr fontId="2" type="noConversion"/>
  </si>
  <si>
    <t>LD_SIZE = 11</t>
    <phoneticPr fontId="2" type="noConversion"/>
  </si>
  <si>
    <t>'0'  DELAY_CHx [11:0] ; counted by pwmclk1</t>
    <phoneticPr fontId="2" type="noConversion"/>
  </si>
  <si>
    <t>'1'  DELAY_CHx [4:0] ; counted by svi signal</t>
    <phoneticPr fontId="2" type="noConversion"/>
  </si>
  <si>
    <t>CHx_EN</t>
    <phoneticPr fontId="2" type="noConversion"/>
  </si>
  <si>
    <t>counted by a mclk, the value updated at every vsync
sv_no_type :
'0'  PWMCLK_DIV1 used
'1'  PWMCLK_DIV1/2/3 used</t>
    <phoneticPr fontId="2" type="noConversion"/>
  </si>
  <si>
    <t>PARITY_ERR</t>
    <phoneticPr fontId="2" type="noConversion"/>
  </si>
  <si>
    <t>0' 1LD,  '1' 2LD (the number of the LD to be transmitted)
classify the FAULT1/2/3, MAX_CURR_LEVEL1/2/3 and VREF1/2/3</t>
    <phoneticPr fontId="2" type="noConversion"/>
  </si>
  <si>
    <t>x means the CHx_EN=0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</si>
  <si>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</si>
  <si>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</si>
  <si>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</si>
  <si>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</si>
  <si>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</si>
  <si>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t>counted by a PWMCLK1</t>
    <phoneticPr fontId="2" type="noConversion"/>
  </si>
  <si>
    <t>2/3</t>
  </si>
  <si>
    <t>2/3</t>
    <phoneticPr fontId="2" type="noConversion"/>
  </si>
  <si>
    <t>counted by a svi</t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</si>
  <si>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[11:0]</t>
    </r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</si>
  <si>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[4:0]</t>
    </r>
    <phoneticPr fontId="2" type="noConversion"/>
  </si>
  <si>
    <t>3'</t>
    <phoneticPr fontId="2" type="noConversion"/>
  </si>
  <si>
    <t>14b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</si>
  <si>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rgb="FFFF0000"/>
        <rFont val="맑은 고딕"/>
        <family val="3"/>
        <charset val="129"/>
        <scheme val="minor"/>
      </rPr>
      <t>=1,2,3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</si>
  <si>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</si>
  <si>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</si>
  <si>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</si>
  <si>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</si>
  <si>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FB</t>
    </r>
    <r>
      <rPr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1/2/3, </t>
    </r>
    <r>
      <rPr>
        <sz val="11"/>
        <color rgb="FFFF0000"/>
        <rFont val="맑은 고딕"/>
        <family val="3"/>
        <charset val="129"/>
        <scheme val="minor"/>
      </rPr>
      <t>x=ch#</t>
    </r>
    <phoneticPr fontId="2" type="noConversion"/>
  </si>
  <si>
    <r>
      <t>OPEN</t>
    </r>
    <r>
      <rPr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x=ch#</t>
    </r>
    <phoneticPr fontId="2" type="noConversion"/>
  </si>
  <si>
    <r>
      <t>SHORT</t>
    </r>
    <r>
      <rPr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1/2/3, </t>
    </r>
    <r>
      <rPr>
        <sz val="11"/>
        <color rgb="FFFF0000"/>
        <rFont val="맑은 고딕"/>
        <family val="3"/>
        <charset val="129"/>
        <scheme val="minor"/>
      </rPr>
      <t>x=ch#</t>
    </r>
    <phoneticPr fontId="2" type="noConversion"/>
  </si>
  <si>
    <t>FB2</t>
  </si>
  <si>
    <t>FB3</t>
  </si>
  <si>
    <t>FB4</t>
  </si>
  <si>
    <t>FB5</t>
  </si>
  <si>
    <t>FB6</t>
  </si>
  <si>
    <t>FB7</t>
  </si>
  <si>
    <t>FB8</t>
  </si>
  <si>
    <t>FB9</t>
  </si>
  <si>
    <t>FB10</t>
  </si>
  <si>
    <t>FB11</t>
  </si>
  <si>
    <t>FB12</t>
  </si>
  <si>
    <t>FB21</t>
    <phoneticPr fontId="2" type="noConversion"/>
  </si>
  <si>
    <t>FB22</t>
    <phoneticPr fontId="2" type="noConversion"/>
  </si>
  <si>
    <t>FB23</t>
    <phoneticPr fontId="2" type="noConversion"/>
  </si>
  <si>
    <t>FB11=0</t>
    <phoneticPr fontId="2" type="noConversion"/>
  </si>
  <si>
    <t>FB12=?</t>
    <phoneticPr fontId="2" type="noConversion"/>
  </si>
  <si>
    <t>FB13=?</t>
    <phoneticPr fontId="2" type="noConversion"/>
  </si>
  <si>
    <t>FB1 = FB11 || FB12 || FB13</t>
    <phoneticPr fontId="2" type="noConversion"/>
  </si>
  <si>
    <t>FBALL = FB1 || FB2 || ….</t>
    <phoneticPr fontId="2" type="noConversion"/>
  </si>
  <si>
    <t xml:space="preserve">CHx_EN </t>
    <phoneticPr fontId="2" type="noConversion"/>
  </si>
  <si>
    <r>
      <t xml:space="preserve">LD_MODE : '0' normal,  '1' x8 (repeat 8 times the dimming pattern)
LD_DIR : '0' Head Lighting, '1' Tail Lighting
LD_RES : '0' 12-bit LD, '1' 14-bit LD
SYNCMODE : '00' cmd(wo svi),  '01' cmd+svi,  '10' vo+svi
                  </t>
    </r>
    <r>
      <rPr>
        <sz val="11"/>
        <color rgb="FFFF0000"/>
        <rFont val="맑은 고딕"/>
        <family val="3"/>
        <charset val="129"/>
        <scheme val="minor"/>
      </rPr>
      <t>'11' rsi/ cmd -&gt; rsi daisy out (max 31 mclk duration, comm state reset)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SV_NO_TYPE : '0' no_time_sharing,  '1' 2-time_sharing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</si>
  <si>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O_OFF_E/ S_OFF_E : only a corresponding ch Offed (@ CHx_EN=1)</t>
    </r>
    <r>
      <rPr>
        <sz val="11"/>
        <color theme="1"/>
        <rFont val="맑은 고딕"/>
        <family val="3"/>
        <charset val="129"/>
        <scheme val="minor"/>
      </rPr>
      <t xml:space="preserve">
T_OFF_E : all ch Offed (@ CHx_EN=1)
O_DET_E/ S_DET_E : detection enabled (@ CHx_EN=1)
</t>
    </r>
    <r>
      <rPr>
        <sz val="11"/>
        <color rgb="FFFF0000"/>
        <rFont val="맑은 고딕"/>
        <family val="3"/>
        <charset val="129"/>
        <scheme val="minor"/>
      </rPr>
      <t>O_FB_E : valid FBx = FBx &amp;&amp; (~O_FB_E || (O_FB_E &amp;&amp; ~OPENx)) (@ CHx_EN=1)</t>
    </r>
    <r>
      <rPr>
        <sz val="11"/>
        <color theme="1"/>
        <rFont val="맑은 고딕"/>
        <family val="3"/>
        <charset val="129"/>
        <scheme val="minor"/>
      </rPr>
      <t xml:space="preserve">
FB_MODE '0' FB1, FB2, FB3 : vled1, vled2, vled3 different from each other
              '1' FB1, (FB2 || FB3) : </t>
    </r>
    <r>
      <rPr>
        <sz val="11"/>
        <color rgb="FFFF0000"/>
        <rFont val="맑은 고딕"/>
        <family val="3"/>
        <charset val="129"/>
        <scheme val="minor"/>
      </rPr>
      <t>vled2 and vled3 using a same vled</t>
    </r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</si>
  <si>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mclk/64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b/>
        <sz val="14"/>
        <color rgb="FFFF0000"/>
        <rFont val="맑은 고딕"/>
        <family val="3"/>
        <charset val="129"/>
        <scheme val="minor"/>
      </rPr>
      <t>when the timeout is stopped @ reg readout ?</t>
    </r>
    <phoneticPr fontId="2" type="noConversion"/>
  </si>
  <si>
    <r>
      <t>DGRJT_EN1 : '1' 1 mclk data glitch rejection enable
DGRJT_EN2 : '1' 2 mclk data glitch rejection enable
BBKN_EN : '1' bit broken detection enable</t>
    </r>
    <r>
      <rPr>
        <sz val="11"/>
        <color rgb="FFFF00FF"/>
        <rFont val="맑은 고딕"/>
        <family val="3"/>
        <charset val="129"/>
        <scheme val="minor"/>
      </rPr>
      <t xml:space="preserve">
              </t>
    </r>
    <r>
      <rPr>
        <sz val="11"/>
        <color rgb="FFFF0000"/>
        <rFont val="맑은 고딕"/>
        <family val="3"/>
        <charset val="129"/>
        <scheme val="minor"/>
      </rPr>
      <t xml:space="preserve"> --&gt; DIO/ DDIO 신호 모두 적용 ?</t>
    </r>
    <r>
      <rPr>
        <sz val="11"/>
        <color theme="1"/>
        <rFont val="맑은 고딕"/>
        <family val="3"/>
        <charset val="129"/>
        <scheme val="minor"/>
      </rPr>
      <t xml:space="preserve">
SGRJT_EN1 : '1' 3 mclk svi glitch rejection enable
SGRJT_EN2 : '1' 4 mclk svi glitch rejection enable</t>
    </r>
    <phoneticPr fontId="2" type="noConversion"/>
  </si>
  <si>
    <t>fll mclk spread en 여부 ???</t>
    <phoneticPr fontId="2" type="noConversion"/>
  </si>
  <si>
    <t>version</t>
    <phoneticPr fontId="2" type="noConversion"/>
  </si>
  <si>
    <t>1 or 0</t>
    <phoneticPr fontId="2" type="noConversion"/>
  </si>
  <si>
    <t>x = 1 or 2 or 3</t>
    <phoneticPr fontId="2" type="noConversion"/>
  </si>
  <si>
    <t>4/8/12/16/20/24/28/32/36/40/44/48/52/56/60/64/ max 80</t>
    <phoneticPr fontId="2" type="noConversion"/>
  </si>
  <si>
    <r>
      <t xml:space="preserve">ID[4:0] : not writable from a host, ID auto-write #1~#31 ('0' invalid)
</t>
    </r>
    <r>
      <rPr>
        <sz val="11"/>
        <color rgb="FFFF0000"/>
        <rFont val="맑은 고딕"/>
        <family val="3"/>
        <charset val="129"/>
        <scheme val="minor"/>
      </rPr>
      <t>LKG_E : ch leakage mode en (default = enabled ; typ 100nA)</t>
    </r>
    <r>
      <rPr>
        <sz val="11"/>
        <color theme="1"/>
        <rFont val="맑은 고딕"/>
        <family val="3"/>
        <charset val="129"/>
        <scheme val="minor"/>
      </rPr>
      <t xml:space="preserve">
E_RST : SER/DESER reset @ last svsync and rstcnt expired
VS_RST : both cmd and svi(=vsnyc) signal ; SER/DESER reset @ vsync
RST : all logics reset, auto-cleared, </t>
    </r>
    <r>
      <rPr>
        <sz val="11"/>
        <color rgb="FFFF0000"/>
        <rFont val="맑은 고딕"/>
        <family val="3"/>
        <charset val="129"/>
        <scheme val="minor"/>
      </rPr>
      <t>but the otp value is not downloaded</t>
    </r>
    <phoneticPr fontId="2" type="noConversion"/>
  </si>
  <si>
    <t>H_G3</t>
    <phoneticPr fontId="2" type="noConversion"/>
  </si>
  <si>
    <t>L_G2</t>
    <phoneticPr fontId="2" type="noConversion"/>
  </si>
  <si>
    <t>H_G1</t>
    <phoneticPr fontId="2" type="noConversion"/>
  </si>
  <si>
    <t>L_G1</t>
    <phoneticPr fontId="2" type="noConversion"/>
  </si>
  <si>
    <t>H_G2</t>
    <phoneticPr fontId="2" type="noConversion"/>
  </si>
  <si>
    <t>L_G3</t>
    <phoneticPr fontId="2" type="noConversion"/>
  </si>
  <si>
    <t>package layout 변경</t>
    <phoneticPr fontId="2" type="noConversion"/>
  </si>
  <si>
    <t>pin # 변경</t>
    <phoneticPr fontId="2" type="noConversion"/>
  </si>
  <si>
    <t>SVO9</t>
    <phoneticPr fontId="2" type="noConversion"/>
  </si>
  <si>
    <t>SVO8</t>
    <phoneticPr fontId="2" type="noConversion"/>
  </si>
  <si>
    <t>SVO7</t>
    <phoneticPr fontId="2" type="noConversion"/>
  </si>
  <si>
    <t>gate signal for half-bridge</t>
    <phoneticPr fontId="2" type="noConversion"/>
  </si>
  <si>
    <t>svo spread</t>
    <phoneticPr fontId="2" type="noConversion"/>
  </si>
  <si>
    <t>vo_on [7:0] ; max 7.28us</t>
    <phoneticPr fontId="2" type="noConversion"/>
  </si>
  <si>
    <t>vo_off [7:0] ; max 7.28us</t>
    <phoneticPr fontId="2" type="noConversion"/>
  </si>
  <si>
    <t>(xc) H_G1</t>
    <phoneticPr fontId="2" type="noConversion"/>
  </si>
  <si>
    <t>(xc) L_G1</t>
    <phoneticPr fontId="2" type="noConversion"/>
  </si>
  <si>
    <t>(xc) H_G2</t>
    <phoneticPr fontId="2" type="noConversion"/>
  </si>
  <si>
    <t>(xc) L_G2</t>
    <phoneticPr fontId="2" type="noConversion"/>
  </si>
  <si>
    <t>(xc) H_G3</t>
    <phoneticPr fontId="2" type="noConversion"/>
  </si>
  <si>
    <t>(xc) L_G3</t>
    <phoneticPr fontId="2" type="noConversion"/>
  </si>
  <si>
    <t>(xd) mux</t>
    <phoneticPr fontId="2" type="noConversion"/>
  </si>
  <si>
    <t>3-3</t>
    <phoneticPr fontId="2" type="noConversion"/>
  </si>
  <si>
    <t>4-2</t>
    <phoneticPr fontId="2" type="noConversion"/>
  </si>
  <si>
    <t>gate : syncmode=01,  sv_no_type=11,   gate1/2/3_en=1</t>
    <phoneticPr fontId="2" type="noConversion"/>
  </si>
  <si>
    <t>gate : syncmode=10,  sv_no_type=10,  gate1_en=0,  gate2/3_en=1</t>
    <phoneticPr fontId="2" type="noConversion"/>
  </si>
  <si>
    <t>4-3</t>
    <phoneticPr fontId="2" type="noConversion"/>
  </si>
  <si>
    <t>5-1</t>
    <phoneticPr fontId="2" type="noConversion"/>
  </si>
  <si>
    <t>5-2</t>
    <phoneticPr fontId="2" type="noConversion"/>
  </si>
  <si>
    <t>sv_no [5:0]</t>
    <phoneticPr fontId="2" type="noConversion"/>
  </si>
  <si>
    <t>svo variation : syncmode=01,  sv_no_type=11,  sv_var_size1=x, sv_var_size2=y, sv_var_size3=z,  sv_var_no=2</t>
    <phoneticPr fontId="2" type="noConversion"/>
  </si>
  <si>
    <t>6-1</t>
    <phoneticPr fontId="2" type="noConversion"/>
  </si>
  <si>
    <t>6-2</t>
    <phoneticPr fontId="2" type="noConversion"/>
  </si>
  <si>
    <t>7-1</t>
    <phoneticPr fontId="2" type="noConversion"/>
  </si>
  <si>
    <t>svo variation : syncmode=01,  sv_no_type=10,  sv_var_size1=0, sv_var_size2=y, sv_var_size3=z,  sv_var_no=4</t>
    <phoneticPr fontId="2" type="noConversion"/>
  </si>
  <si>
    <t>GATE CONTROL</t>
    <phoneticPr fontId="2" type="noConversion"/>
  </si>
  <si>
    <t>GATE1 OFFSET</t>
    <phoneticPr fontId="2" type="noConversion"/>
  </si>
  <si>
    <t>GATE2 OFFSET</t>
  </si>
  <si>
    <t>GATE3 OFFSET</t>
  </si>
  <si>
    <t>sv_var_size1 [7:0]</t>
    <phoneticPr fontId="2" type="noConversion"/>
  </si>
  <si>
    <t>sv_var_size3 [7:0]</t>
    <phoneticPr fontId="2" type="noConversion"/>
  </si>
  <si>
    <t>sv_var_size2 [7:0]</t>
    <phoneticPr fontId="2" type="noConversion"/>
  </si>
  <si>
    <t>gate3_offset1 [7:0]</t>
    <phoneticPr fontId="2" type="noConversion"/>
  </si>
  <si>
    <t>gate2_offset1 [7:0]</t>
    <phoneticPr fontId="2" type="noConversion"/>
  </si>
  <si>
    <t>gate1_offset1 [7:0]</t>
    <phoneticPr fontId="2" type="noConversion"/>
  </si>
  <si>
    <t>gate3_offset2 [7:0]</t>
    <phoneticPr fontId="2" type="noConversion"/>
  </si>
  <si>
    <t>gate2_offset2 [7:0]</t>
    <phoneticPr fontId="2" type="noConversion"/>
  </si>
  <si>
    <t>gate1_offset2 [7:0]</t>
    <phoneticPr fontId="2" type="noConversion"/>
  </si>
  <si>
    <t>SV VAR CONTROL1</t>
    <phoneticPr fontId="2" type="noConversion"/>
  </si>
  <si>
    <t>SV VAR CONTROL2</t>
  </si>
  <si>
    <t>ar the change 1 to 0, H_Gx/L_Gx all go to the 0 level simultaneously</t>
    <phoneticPr fontId="2" type="noConversion"/>
  </si>
  <si>
    <t>TOP VIEW : XD12D QFN3030</t>
    <phoneticPr fontId="2" type="noConversion"/>
  </si>
  <si>
    <t>TOP VIEW : XD12R QFN3030</t>
    <phoneticPr fontId="2" type="noConversion"/>
  </si>
  <si>
    <t>sv_var_size1 or 2 or 3 = 0 : no variation</t>
    <phoneticPr fontId="2" type="noConversion"/>
  </si>
  <si>
    <t>sv_var_no = 0 : no operation</t>
    <phoneticPr fontId="2" type="noConversion"/>
  </si>
  <si>
    <t>0xFB</t>
    <phoneticPr fontId="2" type="noConversion"/>
  </si>
  <si>
    <t>0xFC</t>
    <phoneticPr fontId="2" type="noConversion"/>
  </si>
  <si>
    <t>0xFD</t>
    <phoneticPr fontId="2" type="noConversion"/>
  </si>
  <si>
    <t>0xFE</t>
    <phoneticPr fontId="2" type="noConversion"/>
  </si>
  <si>
    <t>0xFF</t>
    <phoneticPr fontId="2" type="noConversion"/>
  </si>
  <si>
    <r>
      <t xml:space="preserve">LD_MODE : '0' normal,  '1' x8 </t>
    </r>
    <r>
      <rPr>
        <sz val="11"/>
        <color rgb="FFFF0000"/>
        <rFont val="맑은 고딕"/>
        <family val="3"/>
        <charset val="129"/>
        <scheme val="minor"/>
      </rPr>
      <t>(repeat 8 times the same dimming pattern, SV_NO=8)</t>
    </r>
    <r>
      <rPr>
        <sz val="11"/>
        <color theme="1"/>
        <rFont val="맑은 고딕"/>
        <family val="3"/>
        <charset val="129"/>
        <scheme val="minor"/>
      </rPr>
      <t xml:space="preserve">
LD_DIR : '0' Head Lighting, '1' Tail Lighting
LD_RES : '0' 12-bit LD, '1' 14-bit LD
SYNCMODE : '0' cmd+svi,  '1' vo+svi
SV_NO : </t>
    </r>
    <r>
      <rPr>
        <sz val="11"/>
        <color rgb="FFFF0000"/>
        <rFont val="맑은 고딕"/>
        <family val="3"/>
        <charset val="129"/>
        <scheme val="minor"/>
      </rPr>
      <t>'8' means total 16 times, (g=8, b=8)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rgb="FF0000FF"/>
        <rFont val="맑은 고딕"/>
        <family val="3"/>
        <charset val="129"/>
        <scheme val="minor"/>
      </rPr>
      <t>*** 디밍 중에 LD_MODE/SV_NO 값 변경하면 다음 vsync에서 반영 여부 ???</t>
    </r>
    <phoneticPr fontId="2" type="noConversion"/>
  </si>
  <si>
    <t>ft_mode [1:0]</t>
    <phoneticPr fontId="2" type="noConversion"/>
  </si>
  <si>
    <t>ft_mode</t>
    <phoneticPr fontId="2" type="noConversion"/>
  </si>
  <si>
    <t>fault data = {thermal, short, open, fb1} 현재 버전</t>
    <phoneticPr fontId="2" type="noConversion"/>
  </si>
  <si>
    <t>int_fault_source = int_thermal_source || int_short_source</t>
    <phoneticPr fontId="2" type="noConversion"/>
  </si>
  <si>
    <r>
      <t>if (</t>
    </r>
    <r>
      <rPr>
        <b/>
        <sz val="11"/>
        <color rgb="FF0000FF"/>
        <rFont val="맑은 고딕"/>
        <family val="3"/>
        <charset val="129"/>
        <scheme val="minor"/>
      </rPr>
      <t>ft_mode==00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</si>
  <si>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else if (</t>
    </r>
    <r>
      <rPr>
        <b/>
        <sz val="11"/>
        <color rgb="FF0000FF"/>
        <rFont val="맑은 고딕"/>
        <family val="3"/>
        <charset val="129"/>
        <scheme val="minor"/>
      </rPr>
      <t>ft_mode==01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</si>
  <si>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g, b, r</t>
    <phoneticPr fontId="2" type="noConversion"/>
  </si>
  <si>
    <t>아래 순서는 xd에서 uploading pattern</t>
    <phoneticPr fontId="2" type="noConversion"/>
  </si>
  <si>
    <t>m  /  gbr  /  gb</t>
    <phoneticPr fontId="2" type="noConversion"/>
  </si>
  <si>
    <t>gb, r  /  g, b</t>
    <phoneticPr fontId="2" type="noConversion"/>
  </si>
  <si>
    <t>fault data = {fault, open, fb2, fb1}, wherein fault= thermal || short</t>
    <phoneticPr fontId="2" type="noConversion"/>
  </si>
  <si>
    <t>reg readout 처리 : bit [5:2] 를 ft_mode 에 따라 정의된 int source값을 출력</t>
    <phoneticPr fontId="2" type="noConversion"/>
  </si>
  <si>
    <r>
      <t>NINIT_FT = INTERRUPT STATUS REGISTER</t>
    </r>
    <r>
      <rPr>
        <sz val="12"/>
        <color theme="1"/>
        <rFont val="맑은 고딕"/>
        <family val="2"/>
        <charset val="129"/>
      </rPr>
      <t xml:space="preserve">의 </t>
    </r>
    <r>
      <rPr>
        <sz val="12"/>
        <color theme="1"/>
        <rFont val="Aptos Narrow"/>
        <family val="2"/>
      </rPr>
      <t xml:space="preserve">all bits </t>
    </r>
    <r>
      <rPr>
        <sz val="12"/>
        <color theme="1"/>
        <rFont val="맑은 고딕"/>
        <family val="2"/>
        <charset val="129"/>
      </rPr>
      <t xml:space="preserve">을 </t>
    </r>
    <r>
      <rPr>
        <sz val="12"/>
        <color theme="1"/>
        <rFont val="Aptos Narrow"/>
        <family val="2"/>
      </rPr>
      <t xml:space="preserve">Oring </t>
    </r>
    <r>
      <rPr>
        <sz val="12"/>
        <color rgb="FF0000FF"/>
        <rFont val="Aptos Narrow"/>
        <family val="2"/>
      </rPr>
      <t>(</t>
    </r>
    <r>
      <rPr>
        <sz val="12"/>
        <color rgb="FF0000FF"/>
        <rFont val="맑은 고딕"/>
        <family val="2"/>
        <charset val="129"/>
      </rPr>
      <t xml:space="preserve">이때, </t>
    </r>
    <r>
      <rPr>
        <sz val="12"/>
        <color rgb="FF0000FF"/>
        <rFont val="Aptos Narrow"/>
        <family val="2"/>
      </rPr>
      <t xml:space="preserve">int enable bit </t>
    </r>
    <r>
      <rPr>
        <sz val="12"/>
        <color rgb="FF0000FF"/>
        <rFont val="맑은 고딕"/>
        <family val="2"/>
        <charset val="129"/>
      </rPr>
      <t>설정된 정보들만)</t>
    </r>
    <phoneticPr fontId="2" type="noConversion"/>
  </si>
  <si>
    <r>
      <t>else if (</t>
    </r>
    <r>
      <rPr>
        <b/>
        <strike/>
        <sz val="11"/>
        <color rgb="FF0000FF"/>
        <rFont val="맑은 고딕"/>
        <family val="3"/>
        <charset val="129"/>
        <scheme val="minor"/>
      </rPr>
      <t>ft_mode==11</t>
    </r>
    <r>
      <rPr>
        <b/>
        <strike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</si>
  <si>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int_</t>
    </r>
    <r>
      <rPr>
        <strike/>
        <sz val="11"/>
        <color rgb="FFFF0000"/>
        <rFont val="맑은 고딕"/>
        <family val="3"/>
        <charset val="129"/>
        <scheme val="minor"/>
      </rPr>
      <t>so</t>
    </r>
    <r>
      <rPr>
        <strike/>
        <sz val="11"/>
        <color theme="1"/>
        <rFont val="맑은 고딕"/>
        <family val="3"/>
        <charset val="129"/>
        <scheme val="minor"/>
      </rPr>
      <t>_source = (fault_ch1 [2] &amp;&amp; ch1_en) || (fault_ch2 [2] &amp;&amp; ch2_en) || … || (fault_ch24 [2] &amp;&amp; ch24_en)</t>
    </r>
    <phoneticPr fontId="2" type="noConversion"/>
  </si>
  <si>
    <t>int_so_source</t>
    <phoneticPr fontId="2" type="noConversion"/>
  </si>
  <si>
    <t>else if (ft_mode==10)</t>
    <phoneticPr fontId="2" type="noConversion"/>
  </si>
  <si>
    <t>int_open_source = ( fault_ch1 [2] &amp;&amp; ch1_en) || (fault_ch2 [2] &amp;&amp; ch2_en) || … || (fault_ch24 [2] &amp;&amp; ch24_en)</t>
    <phoneticPr fontId="2" type="noConversion"/>
  </si>
  <si>
    <r>
      <rPr>
        <strike/>
        <sz val="11"/>
        <color theme="1"/>
        <rFont val="맑은 고딕"/>
        <family val="3"/>
        <charset val="129"/>
        <scheme val="minor"/>
      </rPr>
      <t>sv_var_no [7:0</t>
    </r>
    <r>
      <rPr>
        <sz val="11"/>
        <color theme="1"/>
        <rFont val="맑은 고딕"/>
        <family val="3"/>
        <charset val="129"/>
        <scheme val="minor"/>
      </rPr>
      <t>]</t>
    </r>
    <phoneticPr fontId="2" type="noConversion"/>
  </si>
  <si>
    <t>gate3H_en</t>
    <phoneticPr fontId="2" type="noConversion"/>
  </si>
  <si>
    <t>gate2H_en</t>
    <phoneticPr fontId="2" type="noConversion"/>
  </si>
  <si>
    <t>gate1H_en</t>
    <phoneticPr fontId="2" type="noConversion"/>
  </si>
  <si>
    <t>gate3L_en</t>
    <phoneticPr fontId="2" type="noConversion"/>
  </si>
  <si>
    <t>gate2L_en</t>
    <phoneticPr fontId="2" type="noConversion"/>
  </si>
  <si>
    <t>gate1L_en</t>
    <phoneticPr fontId="2" type="noConversion"/>
  </si>
  <si>
    <t>svo_clk_sel
'0' osc2
'1' Ext. clk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</si>
</sst>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176" formatCode="#,##0_ "/>
    <numFmt numFmtId="177" formatCode="0.000000000000000_ "/>
    <numFmt numFmtId="178" formatCode="0.000%"/>
    <numFmt numFmtId="179" formatCode="#,##0.000_ ;[Red]\-#,##0.000\ "/>
    <numFmt numFmtId="180" formatCode="#,##0_ ;[Red]\-#,##0\ "/>
    <numFmt numFmtId="181" formatCode="#,##0.000000_ ;[Red]\-#,##0.000000\ "/>
    <numFmt numFmtId="182" formatCode="#,##0.0_ ;[Red]\-#,##0.0\ "/>
    <numFmt numFmtId="183" formatCode="0.0%"/>
    <numFmt numFmtId="184" formatCode="0.000_ ;[Red]\-0.000\ "/>
    <numFmt numFmtId="185" formatCode="#,##0.00000_ ;[Red]\-#,##0.00000\ "/>
    <numFmt numFmtId="186" formatCode="0_ ;[Red]\-0\ "/>
    <numFmt numFmtId="187" formatCode="#,##0.0000_ ;[Red]\-#,##0.0000\ "/>
    <numFmt numFmtId="188" formatCode="#,##0.00_ ;[Red]\-#,##0.00\ "/>
    <numFmt numFmtId="189" formatCode="0.000_ "/>
    <numFmt numFmtId="190" formatCode="mm&quot;월&quot;\ dd&quot;일&quot;"/>
    <numFmt numFmtId="191" formatCode="0.00_ ;[Red]\-0.00\ "/>
    <numFmt numFmtId="192" formatCode="#,##0.000_ "/>
    <numFmt numFmtId="193" formatCode="0_ "/>
    <numFmt numFmtId="194" formatCode="0.00_ "/>
    <numFmt numFmtId="195" formatCode="0.000_);[Red]\(0.000\)"/>
    <numFmt numFmtId="196" formatCode="0.00000_ "/>
    <numFmt numFmtId="197" formatCode="0.00000_ ;[Red]\-0.00000\ "/>
    <numFmt numFmtId="198" formatCode="0.0_ "/>
    <numFmt numFmtId="199" formatCode="0.0_ ;[Red]\-0.0\ "/>
  </numFmts>
  <fonts count="132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u/>
      <sz val="11"/>
      <color theme="5" tint="-0.249977111117893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FF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0"/>
      <color rgb="FFFF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  <font>
      <strike/>
      <sz val="11"/>
      <color theme="0" tint="-0.249977111117893"/>
      <name val="맑은 고딕"/>
      <family val="3"/>
      <charset val="129"/>
      <scheme val="minor"/>
    </font>
    <font>
      <sz val="11"/>
      <color rgb="FF0033CC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i/>
      <sz val="11"/>
      <color theme="1"/>
      <name val="Aptos Narrow"/>
      <family val="2"/>
    </font>
    <font>
      <i/>
      <sz val="9"/>
      <color rgb="FFFF0000"/>
      <name val="Aptos Narrow"/>
      <family val="2"/>
    </font>
    <font>
      <sz val="6"/>
      <color theme="1"/>
      <name val="Aptos Narrow"/>
      <family val="2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0" tint="-0.249977111117893"/>
      <name val="Aptos Narrow"/>
      <family val="2"/>
    </font>
    <font>
      <sz val="11"/>
      <color rgb="FF0000FF"/>
      <name val="Aptos Narrow"/>
      <family val="2"/>
    </font>
    <font>
      <sz val="11"/>
      <color theme="0"/>
      <name val="Aptos Narrow"/>
      <family val="2"/>
    </font>
    <font>
      <sz val="10"/>
      <color theme="1"/>
      <name val="Aptos Narrow"/>
      <family val="2"/>
    </font>
    <font>
      <sz val="7"/>
      <color theme="1"/>
      <name val="Aptos Narrow"/>
      <family val="2"/>
    </font>
    <font>
      <sz val="10"/>
      <color theme="1"/>
      <name val="맑은 고딕"/>
      <family val="3"/>
      <charset val="129"/>
    </font>
    <font>
      <sz val="10"/>
      <color theme="1"/>
      <name val="Malgun Gothic Semilight"/>
      <family val="3"/>
      <charset val="129"/>
    </font>
    <font>
      <sz val="11"/>
      <color rgb="FFFF00FF"/>
      <name val="Aptos Narrow"/>
      <family val="2"/>
    </font>
    <font>
      <i/>
      <sz val="10"/>
      <color theme="1"/>
      <name val="Aptos Narrow"/>
      <family val="2"/>
    </font>
    <font>
      <vertAlign val="subscript"/>
      <sz val="10"/>
      <color theme="1"/>
      <name val="Aptos Narrow"/>
      <family val="2"/>
    </font>
    <font>
      <sz val="10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Malgun Gothic Semilight"/>
      <family val="3"/>
      <charset val="129"/>
    </font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b/>
      <u/>
      <sz val="11"/>
      <color theme="1"/>
      <name val="맑은 고딕"/>
      <family val="3"/>
      <charset val="129"/>
      <scheme val="minor"/>
    </font>
    <font>
      <sz val="12.1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2.1"/>
      <color theme="1"/>
      <name val="맑은 고딕"/>
      <family val="3"/>
      <charset val="129"/>
    </font>
    <font>
      <b/>
      <u/>
      <sz val="11"/>
      <color indexed="81"/>
      <name val="돋움"/>
      <family val="3"/>
      <charset val="129"/>
    </font>
    <font>
      <b/>
      <u/>
      <sz val="11"/>
      <color indexed="81"/>
      <name val="Tahoma"/>
      <family val="2"/>
    </font>
    <font>
      <sz val="10"/>
      <color rgb="FFFF00FF"/>
      <name val="Aptos Narrow"/>
      <family val="2"/>
    </font>
    <font>
      <sz val="10"/>
      <color rgb="FFFF00FF"/>
      <name val="맑은 고딕"/>
      <family val="3"/>
      <charset val="129"/>
    </font>
    <font>
      <sz val="10"/>
      <color theme="0"/>
      <name val="Aptos Narrow"/>
      <family val="2"/>
    </font>
    <font>
      <sz val="10"/>
      <color rgb="FF0000FF"/>
      <name val="Aptos Narrow"/>
      <family val="2"/>
    </font>
    <font>
      <b/>
      <i/>
      <u/>
      <sz val="10"/>
      <color theme="1"/>
      <name val="Aptos Narrow"/>
      <family val="2"/>
    </font>
    <font>
      <b/>
      <i/>
      <u/>
      <vertAlign val="subscript"/>
      <sz val="10"/>
      <color theme="1"/>
      <name val="Aptos Narrow"/>
      <family val="2"/>
    </font>
    <font>
      <u/>
      <sz val="11"/>
      <color rgb="FFFF0000"/>
      <name val="맑은 고딕"/>
      <family val="3"/>
      <charset val="129"/>
      <scheme val="minor"/>
    </font>
    <font>
      <b/>
      <sz val="10"/>
      <color theme="1"/>
      <name val="Aptos Narrow"/>
      <family val="2"/>
    </font>
    <font>
      <i/>
      <sz val="9"/>
      <color theme="1"/>
      <name val="Aptos Narrow"/>
      <family val="2"/>
    </font>
    <font>
      <sz val="11"/>
      <color theme="0" tint="-0.499984740745262"/>
      <name val="Aptos Narrow"/>
      <family val="2"/>
    </font>
    <font>
      <b/>
      <u/>
      <sz val="10"/>
      <color theme="1"/>
      <name val="Aptos Narrow"/>
      <family val="2"/>
    </font>
    <font>
      <sz val="10"/>
      <color rgb="FFFF0000"/>
      <name val="Aptos Narrow"/>
      <family val="2"/>
    </font>
    <font>
      <sz val="10"/>
      <color rgb="FFFF0000"/>
      <name val="맑은 고딕"/>
      <family val="2"/>
      <charset val="129"/>
    </font>
    <font>
      <sz val="9"/>
      <color theme="0" tint="-0.24997711111789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</font>
    <font>
      <sz val="11"/>
      <color rgb="FF00CC00"/>
      <name val="맑은 고딕"/>
      <family val="2"/>
      <charset val="129"/>
      <scheme val="minor"/>
    </font>
    <font>
      <sz val="11"/>
      <color rgb="FF00CC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2"/>
      <color theme="1"/>
      <name val="Aptos Narrow"/>
      <family val="2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</font>
    <font>
      <b/>
      <sz val="12"/>
      <color theme="1"/>
      <name val="Aptos Narrow"/>
      <family val="2"/>
    </font>
    <font>
      <sz val="11"/>
      <color theme="1"/>
      <name val="맑은 고딕"/>
      <family val="2"/>
      <scheme val="minor"/>
    </font>
    <font>
      <sz val="11"/>
      <color rgb="FFC00000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</font>
    <font>
      <b/>
      <sz val="12.1"/>
      <color rgb="FF0000FF"/>
      <name val="맑은 고딕"/>
      <family val="3"/>
      <charset val="129"/>
    </font>
    <font>
      <b/>
      <i/>
      <sz val="11"/>
      <color theme="1"/>
      <name val="Aptos Narrow"/>
      <family val="2"/>
    </font>
    <font>
      <i/>
      <sz val="11"/>
      <color theme="1"/>
      <name val="맑은 고딕"/>
      <family val="3"/>
      <charset val="129"/>
      <scheme val="minor"/>
    </font>
    <font>
      <b/>
      <i/>
      <sz val="11"/>
      <color rgb="FFFF00FF"/>
      <name val="맑은 고딕"/>
      <family val="3"/>
      <charset val="129"/>
      <scheme val="minor"/>
    </font>
    <font>
      <b/>
      <u/>
      <sz val="14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8"/>
      <color rgb="FFFF0000"/>
      <name val="Aptos Narrow"/>
      <family val="2"/>
    </font>
    <font>
      <sz val="8"/>
      <color rgb="FF00B050"/>
      <name val="Aptos Narrow"/>
      <family val="2"/>
    </font>
    <font>
      <sz val="8"/>
      <color rgb="FF0000FF"/>
      <name val="Aptos Narrow"/>
      <family val="2"/>
    </font>
    <font>
      <sz val="6"/>
      <color rgb="FFFF0000"/>
      <name val="Aptos Narrow"/>
      <family val="2"/>
    </font>
    <font>
      <sz val="6"/>
      <color rgb="FF00B050"/>
      <name val="Aptos Narrow"/>
      <family val="2"/>
    </font>
    <font>
      <sz val="6"/>
      <color rgb="FF0000FF"/>
      <name val="Aptos Narrow"/>
      <family val="2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2"/>
      <color rgb="FF0000FF"/>
      <name val="맑은 고딕"/>
      <family val="2"/>
      <charset val="129"/>
    </font>
    <font>
      <sz val="12"/>
      <color rgb="FF0000FF"/>
      <name val="Aptos Narrow"/>
      <family val="2"/>
    </font>
    <font>
      <strike/>
      <sz val="11"/>
      <color rgb="FF0000FF"/>
      <name val="맑은 고딕"/>
      <family val="3"/>
      <charset val="129"/>
      <scheme val="minor"/>
    </font>
    <font>
      <b/>
      <strike/>
      <sz val="10"/>
      <color rgb="FF0000FF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b/>
      <strike/>
      <sz val="11"/>
      <color rgb="FF0000FF"/>
      <name val="맑은 고딕"/>
      <family val="3"/>
      <charset val="129"/>
      <scheme val="minor"/>
    </font>
    <font>
      <strike/>
      <sz val="10"/>
      <color rgb="FF0000FF"/>
      <name val="맑은 고딕"/>
      <family val="3"/>
      <charset val="129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6DEF4"/>
        <bgColor indexed="64"/>
      </patternFill>
    </fill>
    <fill>
      <patternFill patternType="solid">
        <fgColor rgb="FFE7F7E1"/>
        <bgColor indexed="64"/>
      </patternFill>
    </fill>
    <fill>
      <patternFill patternType="solid">
        <fgColor rgb="FFD8F2FC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9BFF9B"/>
        <bgColor indexed="64"/>
      </patternFill>
    </fill>
    <fill>
      <patternFill patternType="solid">
        <fgColor rgb="FFA7A7FF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B3FFB3"/>
        <bgColor indexed="64"/>
      </patternFill>
    </fill>
    <fill>
      <patternFill patternType="solid">
        <fgColor rgb="FFBDD8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1EDFF"/>
        <bgColor indexed="64"/>
      </patternFill>
    </fill>
    <fill>
      <patternFill patternType="solid">
        <fgColor rgb="FFFEF7F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rgb="FFF3F3FF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AFFFAF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FBE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theme="2"/>
        <bgColor indexed="64"/>
      </patternFill>
    </fill>
  </fills>
  <borders count="27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thin">
        <color rgb="FF00CC00"/>
      </left>
      <right/>
      <top style="thin">
        <color rgb="FF00CC00"/>
      </top>
      <bottom style="thin">
        <color rgb="FF00CC00"/>
      </bottom>
      <diagonal/>
    </border>
    <border>
      <left/>
      <right/>
      <top style="thin">
        <color rgb="FF00CC00"/>
      </top>
      <bottom style="thin">
        <color rgb="FF00CC00"/>
      </bottom>
      <diagonal/>
    </border>
    <border>
      <left/>
      <right style="thin">
        <color rgb="FF00CC00"/>
      </right>
      <top style="thin">
        <color rgb="FF00CC00"/>
      </top>
      <bottom style="thin">
        <color rgb="FF00CC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dotted">
        <color theme="0" tint="-0.499984740745262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dotted">
        <color theme="0" tint="-0.499984740745262"/>
      </right>
      <top/>
      <bottom style="thick">
        <color rgb="FFFF0000"/>
      </bottom>
      <diagonal/>
    </border>
    <border>
      <left style="dotted">
        <color theme="0" tint="-0.499984740745262"/>
      </left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00CC00"/>
      </bottom>
      <diagonal/>
    </border>
    <border>
      <left/>
      <right/>
      <top/>
      <bottom style="thick">
        <color rgb="FF00CC00"/>
      </bottom>
      <diagonal/>
    </border>
    <border>
      <left/>
      <right style="dotted">
        <color theme="0" tint="-0.499984740745262"/>
      </right>
      <top/>
      <bottom style="thick">
        <color rgb="FF00CC00"/>
      </bottom>
      <diagonal/>
    </border>
    <border>
      <left style="dotted">
        <color theme="0" tint="-0.499984740745262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dotted">
        <color theme="0" tint="-0.499984740745262"/>
      </right>
      <top/>
      <bottom style="thick">
        <color rgb="FF0000FF"/>
      </bottom>
      <diagonal/>
    </border>
    <border>
      <left style="dotted">
        <color theme="0" tint="-0.499984740745262"/>
      </left>
      <right/>
      <top style="thick">
        <color rgb="FF00CC00"/>
      </top>
      <bottom/>
      <diagonal/>
    </border>
    <border>
      <left/>
      <right/>
      <top style="thick">
        <color rgb="FF00CC00"/>
      </top>
      <bottom/>
      <diagonal/>
    </border>
    <border>
      <left style="dotted">
        <color theme="0" tint="-0.499984740745262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 diagonalUp="1" diagonalDown="1">
      <left/>
      <right/>
      <top/>
      <bottom/>
      <diagonal style="dotted">
        <color theme="0" tint="-0.499984740745262"/>
      </diagonal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00CC00"/>
      </left>
      <right/>
      <top style="thick">
        <color rgb="FF00CC00"/>
      </top>
      <bottom/>
      <diagonal/>
    </border>
    <border>
      <left/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dotted">
        <color auto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00CC00"/>
      </left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 diagonalUp="1" diagonalDown="1">
      <left/>
      <right/>
      <top/>
      <bottom/>
      <diagonal style="dotted">
        <color auto="1"/>
      </diagonal>
    </border>
    <border diagonalUp="1" diagonalDown="1">
      <left/>
      <right style="thin">
        <color auto="1"/>
      </right>
      <top/>
      <bottom/>
      <diagonal style="dotted">
        <color auto="1"/>
      </diagonal>
    </border>
    <border>
      <left style="thick">
        <color theme="1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/>
      <top/>
      <bottom style="medium">
        <color rgb="FF00CC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rgb="FFFF0000"/>
      </left>
      <right/>
      <top/>
      <bottom style="thin">
        <color theme="1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 style="medium">
        <color rgb="FF00CC00"/>
      </bottom>
      <diagonal/>
    </border>
    <border>
      <left/>
      <right/>
      <top style="medium">
        <color rgb="FF00CC00"/>
      </top>
      <bottom style="medium">
        <color rgb="FF00CC00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/>
      <top/>
      <bottom style="thin">
        <color rgb="FF00CC00"/>
      </bottom>
      <diagonal/>
    </border>
    <border>
      <left style="thin">
        <color rgb="FF00CC00"/>
      </left>
      <right/>
      <top style="thin">
        <color rgb="FF00CC00"/>
      </top>
      <bottom/>
      <diagonal/>
    </border>
    <border>
      <left/>
      <right style="thin">
        <color rgb="FF00CC00"/>
      </right>
      <top style="thin">
        <color rgb="FF00CC00"/>
      </top>
      <bottom/>
      <diagonal/>
    </border>
    <border>
      <left/>
      <right/>
      <top style="thin">
        <color rgb="FF00CC00"/>
      </top>
      <bottom/>
      <diagonal/>
    </border>
    <border>
      <left/>
      <right/>
      <top style="thin">
        <color rgb="FF0000FF"/>
      </top>
      <bottom/>
      <diagonal/>
    </border>
    <border>
      <left style="thin">
        <color rgb="FF0000FF"/>
      </left>
      <right/>
      <top style="thin">
        <color rgb="FFFF0000"/>
      </top>
      <bottom style="thin">
        <color rgb="FFFF0000"/>
      </bottom>
      <diagonal/>
    </border>
    <border diagonalUp="1" diagonalDown="1">
      <left/>
      <right/>
      <top/>
      <bottom/>
      <diagonal style="thin">
        <color rgb="FFFF0000"/>
      </diagonal>
    </border>
    <border>
      <left/>
      <right/>
      <top style="thin">
        <color theme="6" tint="0.39994506668294322"/>
      </top>
      <bottom style="thin">
        <color theme="6" tint="0.39994506668294322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 style="dotted">
        <color theme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/>
      <bottom style="thin">
        <color theme="1"/>
      </bottom>
      <diagonal/>
    </border>
    <border>
      <left style="dotted">
        <color rgb="FFFF0000"/>
      </left>
      <right/>
      <top/>
      <bottom style="thick">
        <color rgb="FFFF0000"/>
      </bottom>
      <diagonal/>
    </border>
    <border>
      <left style="dotted">
        <color rgb="FF0000FF"/>
      </left>
      <right/>
      <top/>
      <bottom style="thick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 diagonalUp="1" diagonalDown="1">
      <left/>
      <right/>
      <top/>
      <bottom/>
      <diagonal style="thin">
        <color rgb="FF00B050"/>
      </diagonal>
    </border>
    <border diagonalUp="1" diagonalDown="1">
      <left/>
      <right/>
      <top/>
      <bottom/>
      <diagonal style="thin">
        <color rgb="FF0000FF"/>
      </diagonal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 diagonalUp="1" diagonalDown="1">
      <left/>
      <right/>
      <top/>
      <bottom/>
      <diagonal style="thin">
        <color theme="1"/>
      </diagonal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/>
      <right style="thin">
        <color theme="1"/>
      </right>
      <top style="thick">
        <color theme="1"/>
      </top>
      <bottom style="thick">
        <color theme="1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 style="thick">
        <color rgb="FF00CC00"/>
      </left>
      <right/>
      <top/>
      <bottom style="thick">
        <color rgb="FF00CC00"/>
      </bottom>
      <diagonal/>
    </border>
    <border>
      <left/>
      <right style="thick">
        <color rgb="FF00CC00"/>
      </right>
      <top/>
      <bottom style="thick">
        <color rgb="FF00CC00"/>
      </bottom>
      <diagonal/>
    </border>
    <border>
      <left/>
      <right/>
      <top/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FF0000"/>
      </left>
      <right/>
      <top/>
      <bottom style="thin">
        <color auto="1"/>
      </bottom>
      <diagonal/>
    </border>
    <border>
      <left style="dotted">
        <color rgb="FFFF0000"/>
      </left>
      <right/>
      <top style="thick">
        <color rgb="FFFF0000"/>
      </top>
      <bottom/>
      <diagonal/>
    </border>
    <border>
      <left/>
      <right style="dotted">
        <color rgb="FFFF0000"/>
      </right>
      <top style="thick">
        <color rgb="FFFF0000"/>
      </top>
      <bottom/>
      <diagonal/>
    </border>
    <border>
      <left style="dotted">
        <color rgb="FF00B050"/>
      </left>
      <right/>
      <top/>
      <bottom style="thick">
        <color rgb="FF00B050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rgb="FF00B050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dotted">
        <color theme="1"/>
      </left>
      <right/>
      <top/>
      <bottom style="thin">
        <color theme="1"/>
      </bottom>
      <diagonal/>
    </border>
    <border>
      <left style="medium">
        <color theme="6" tint="0.39994506668294322"/>
      </left>
      <right/>
      <top/>
      <bottom style="medium">
        <color theme="6" tint="0.39991454817346722"/>
      </bottom>
      <diagonal/>
    </border>
    <border>
      <left/>
      <right/>
      <top/>
      <bottom style="medium">
        <color theme="6" tint="0.39991454817346722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 diagonalUp="1" diagonalDown="1">
      <left/>
      <right/>
      <top style="thin">
        <color auto="1"/>
      </top>
      <bottom style="thin">
        <color auto="1"/>
      </bottom>
      <diagonal style="thin">
        <color theme="1"/>
      </diagonal>
    </border>
    <border>
      <left style="dotted">
        <color rgb="FF00CC00"/>
      </left>
      <right/>
      <top/>
      <bottom style="thick">
        <color rgb="FF00CC0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00"/>
      </top>
      <bottom/>
      <diagonal/>
    </border>
    <border>
      <left/>
      <right style="medium">
        <color theme="6" tint="0.39991454817346722"/>
      </right>
      <top/>
      <bottom style="medium">
        <color theme="6" tint="0.39991454817346722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thin">
        <color auto="1"/>
      </right>
      <top/>
      <bottom style="medium">
        <color rgb="FF0000FF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00FF"/>
      </right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/>
      <diagonal/>
    </border>
    <border>
      <left style="medium">
        <color theme="6" tint="0.39991454817346722"/>
      </left>
      <right/>
      <top/>
      <bottom style="medium">
        <color theme="6" tint="0.39991454817346722"/>
      </bottom>
      <diagonal/>
    </border>
    <border>
      <left/>
      <right style="medium">
        <color theme="6" tint="0.39994506668294322"/>
      </right>
      <top/>
      <bottom style="medium">
        <color rgb="FF00B050"/>
      </bottom>
      <diagonal/>
    </border>
  </borders>
  <cellStyleXfs count="4">
    <xf numFmtId="0" fontId="0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103" fillId="0" borderId="0"/>
    <xf numFmtId="0" fontId="45" fillId="0" borderId="0">
      <alignment vertical="center"/>
    </xf>
  </cellStyleXfs>
  <cellXfs count="148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0" xfId="0" applyFill="1">
      <alignment vertical="center"/>
    </xf>
    <xf numFmtId="181" fontId="0" fillId="0" borderId="0" xfId="0" applyNumberFormat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9" borderId="0" xfId="0" applyFont="1" applyFill="1">
      <alignment vertical="center"/>
    </xf>
    <xf numFmtId="0" fontId="8" fillId="9" borderId="0" xfId="0" applyFont="1" applyFill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2" borderId="27" xfId="0" applyFill="1" applyBorder="1" applyAlignment="1">
      <alignment horizontal="left" vertical="center"/>
    </xf>
    <xf numFmtId="0" fontId="13" fillId="0" borderId="0" xfId="0" applyFont="1">
      <alignment vertical="center"/>
    </xf>
    <xf numFmtId="180" fontId="0" fillId="0" borderId="0" xfId="0" applyNumberFormat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21" fillId="2" borderId="0" xfId="0" applyFont="1" applyFill="1" applyAlignment="1">
      <alignment horizontal="right" vertical="center"/>
    </xf>
    <xf numFmtId="0" fontId="9" fillId="10" borderId="34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8" fillId="0" borderId="27" xfId="0" applyFont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79" fontId="0" fillId="2" borderId="0" xfId="0" applyNumberFormat="1" applyFill="1">
      <alignment vertical="center"/>
    </xf>
    <xf numFmtId="0" fontId="3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8" fillId="0" borderId="0" xfId="0" quotePrefix="1" applyFont="1">
      <alignment vertical="center"/>
    </xf>
    <xf numFmtId="0" fontId="32" fillId="12" borderId="0" xfId="0" applyFont="1" applyFill="1">
      <alignment vertical="center"/>
    </xf>
    <xf numFmtId="0" fontId="10" fillId="0" borderId="0" xfId="0" quotePrefix="1" applyFont="1">
      <alignment vertical="center"/>
    </xf>
    <xf numFmtId="179" fontId="0" fillId="2" borderId="0" xfId="0" applyNumberFormat="1" applyFill="1" applyAlignment="1">
      <alignment horizontal="right" vertical="center"/>
    </xf>
    <xf numFmtId="0" fontId="0" fillId="4" borderId="27" xfId="0" applyFill="1" applyBorder="1" applyAlignment="1">
      <alignment horizontal="right" vertical="center"/>
    </xf>
    <xf numFmtId="0" fontId="0" fillId="4" borderId="27" xfId="0" quotePrefix="1" applyFill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35" fillId="0" borderId="0" xfId="0" applyFont="1" applyAlignment="1">
      <alignment horizontal="left" vertical="center"/>
    </xf>
    <xf numFmtId="186" fontId="0" fillId="2" borderId="0" xfId="0" applyNumberFormat="1" applyFill="1">
      <alignment vertical="center"/>
    </xf>
    <xf numFmtId="180" fontId="0" fillId="8" borderId="0" xfId="0" applyNumberFormat="1" applyFill="1">
      <alignment vertical="center"/>
    </xf>
    <xf numFmtId="187" fontId="0" fillId="0" borderId="0" xfId="0" applyNumberFormat="1">
      <alignment vertical="center"/>
    </xf>
    <xf numFmtId="0" fontId="3" fillId="0" borderId="2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4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4" borderId="27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vertical="top"/>
    </xf>
    <xf numFmtId="0" fontId="0" fillId="2" borderId="2" xfId="0" applyFill="1" applyBorder="1" applyAlignment="1">
      <alignment horizontal="right" vertical="center"/>
    </xf>
    <xf numFmtId="0" fontId="0" fillId="0" borderId="2" xfId="0" quotePrefix="1" applyBorder="1">
      <alignment vertical="center"/>
    </xf>
    <xf numFmtId="0" fontId="0" fillId="2" borderId="3" xfId="0" applyFill="1" applyBorder="1" applyAlignment="1">
      <alignment horizontal="right" vertical="center"/>
    </xf>
    <xf numFmtId="0" fontId="0" fillId="0" borderId="3" xfId="0" applyBorder="1">
      <alignment vertical="center"/>
    </xf>
    <xf numFmtId="0" fontId="1" fillId="0" borderId="3" xfId="0" applyFont="1" applyBorder="1">
      <alignment vertical="center"/>
    </xf>
    <xf numFmtId="0" fontId="0" fillId="0" borderId="2" xfId="0" applyBorder="1">
      <alignment vertical="center"/>
    </xf>
    <xf numFmtId="0" fontId="0" fillId="2" borderId="51" xfId="0" applyFill="1" applyBorder="1" applyAlignment="1">
      <alignment horizontal="right" vertical="center"/>
    </xf>
    <xf numFmtId="0" fontId="0" fillId="3" borderId="51" xfId="0" applyFill="1" applyBorder="1">
      <alignment vertical="center"/>
    </xf>
    <xf numFmtId="0" fontId="0" fillId="0" borderId="51" xfId="0" applyBorder="1">
      <alignment vertical="center"/>
    </xf>
    <xf numFmtId="0" fontId="0" fillId="3" borderId="3" xfId="0" applyFill="1" applyBorder="1">
      <alignment vertical="center"/>
    </xf>
    <xf numFmtId="0" fontId="0" fillId="3" borderId="16" xfId="0" quotePrefix="1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3" borderId="16" xfId="0" applyFill="1" applyBorder="1">
      <alignment vertical="center"/>
    </xf>
    <xf numFmtId="0" fontId="37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0" fillId="8" borderId="0" xfId="0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79" fontId="44" fillId="0" borderId="0" xfId="0" applyNumberFormat="1" applyFont="1" applyAlignment="1">
      <alignment horizontal="center"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180" fontId="20" fillId="0" borderId="0" xfId="0" applyNumberFormat="1" applyFont="1" applyAlignment="1">
      <alignment horizontal="right" vertical="center"/>
    </xf>
    <xf numFmtId="180" fontId="20" fillId="4" borderId="0" xfId="0" applyNumberFormat="1" applyFont="1" applyFill="1" applyAlignment="1">
      <alignment horizontal="right" vertical="center"/>
    </xf>
    <xf numFmtId="180" fontId="13" fillId="2" borderId="0" xfId="0" applyNumberFormat="1" applyFont="1" applyFill="1" applyAlignment="1">
      <alignment horizontal="right" vertical="center"/>
    </xf>
    <xf numFmtId="180" fontId="20" fillId="4" borderId="0" xfId="0" applyNumberFormat="1" applyFont="1" applyFill="1" applyAlignment="1">
      <alignment horizontal="left" vertical="center"/>
    </xf>
    <xf numFmtId="0" fontId="20" fillId="9" borderId="0" xfId="0" applyFont="1" applyFill="1">
      <alignment vertical="center"/>
    </xf>
    <xf numFmtId="0" fontId="24" fillId="9" borderId="0" xfId="0" applyFont="1" applyFill="1">
      <alignment vertical="center"/>
    </xf>
    <xf numFmtId="0" fontId="0" fillId="9" borderId="0" xfId="0" applyFill="1" applyAlignment="1">
      <alignment horizontal="right" vertical="center"/>
    </xf>
    <xf numFmtId="0" fontId="14" fillId="9" borderId="0" xfId="0" applyFont="1" applyFill="1">
      <alignment vertical="center"/>
    </xf>
    <xf numFmtId="0" fontId="13" fillId="9" borderId="0" xfId="0" applyFont="1" applyFill="1">
      <alignment vertical="center"/>
    </xf>
    <xf numFmtId="0" fontId="0" fillId="9" borderId="0" xfId="0" applyFill="1">
      <alignment vertical="center"/>
    </xf>
    <xf numFmtId="0" fontId="13" fillId="9" borderId="0" xfId="0" applyFont="1" applyFill="1" applyAlignment="1">
      <alignment horizontal="right" vertical="center"/>
    </xf>
    <xf numFmtId="180" fontId="13" fillId="2" borderId="0" xfId="0" applyNumberFormat="1" applyFont="1" applyFill="1">
      <alignment vertical="center"/>
    </xf>
    <xf numFmtId="0" fontId="20" fillId="5" borderId="0" xfId="0" applyFont="1" applyFill="1" applyAlignment="1">
      <alignment horizontal="right" vertical="center"/>
    </xf>
    <xf numFmtId="0" fontId="20" fillId="13" borderId="0" xfId="0" applyFont="1" applyFill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182" fontId="4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7" xfId="0" applyFont="1" applyBorder="1">
      <alignment vertical="center"/>
    </xf>
    <xf numFmtId="0" fontId="13" fillId="0" borderId="0" xfId="0" applyFont="1" applyAlignment="1">
      <alignment horizontal="left" vertical="center"/>
    </xf>
    <xf numFmtId="10" fontId="37" fillId="0" borderId="0" xfId="0" applyNumberFormat="1" applyFont="1">
      <alignment vertical="center"/>
    </xf>
    <xf numFmtId="0" fontId="10" fillId="9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2" borderId="55" xfId="0" applyFill="1" applyBorder="1" applyAlignment="1">
      <alignment horizontal="right" vertical="center"/>
    </xf>
    <xf numFmtId="0" fontId="0" fillId="2" borderId="56" xfId="0" applyFill="1" applyBorder="1" applyAlignment="1">
      <alignment horizontal="right" vertical="center"/>
    </xf>
    <xf numFmtId="0" fontId="0" fillId="2" borderId="57" xfId="0" applyFill="1" applyBorder="1" applyAlignment="1">
      <alignment horizontal="right" vertical="center"/>
    </xf>
    <xf numFmtId="0" fontId="0" fillId="2" borderId="58" xfId="0" applyFill="1" applyBorder="1" applyAlignment="1">
      <alignment horizontal="right" vertical="center"/>
    </xf>
    <xf numFmtId="0" fontId="0" fillId="2" borderId="59" xfId="0" applyFill="1" applyBorder="1" applyAlignment="1">
      <alignment horizontal="right" vertical="center"/>
    </xf>
    <xf numFmtId="176" fontId="0" fillId="2" borderId="60" xfId="0" applyNumberFormat="1" applyFill="1" applyBorder="1" applyAlignment="1">
      <alignment horizontal="right" vertical="center"/>
    </xf>
    <xf numFmtId="177" fontId="0" fillId="2" borderId="58" xfId="0" applyNumberFormat="1" applyFill="1" applyBorder="1" applyAlignment="1">
      <alignment horizontal="right" vertical="center"/>
    </xf>
    <xf numFmtId="0" fontId="0" fillId="2" borderId="60" xfId="0" applyFill="1" applyBorder="1" applyAlignment="1">
      <alignment horizontal="right" vertical="center"/>
    </xf>
    <xf numFmtId="178" fontId="0" fillId="2" borderId="60" xfId="0" applyNumberFormat="1" applyFill="1" applyBorder="1" applyAlignment="1">
      <alignment horizontal="right" vertical="center"/>
    </xf>
    <xf numFmtId="0" fontId="18" fillId="9" borderId="23" xfId="0" applyFont="1" applyFill="1" applyBorder="1" applyAlignment="1">
      <alignment horizontal="left" vertical="center"/>
    </xf>
    <xf numFmtId="0" fontId="0" fillId="9" borderId="21" xfId="0" applyFill="1" applyBorder="1" applyAlignment="1">
      <alignment horizontal="right" vertical="center"/>
    </xf>
    <xf numFmtId="0" fontId="0" fillId="9" borderId="21" xfId="0" applyFill="1" applyBorder="1">
      <alignment vertical="center"/>
    </xf>
    <xf numFmtId="180" fontId="37" fillId="0" borderId="0" xfId="0" applyNumberFormat="1" applyFont="1">
      <alignment vertical="center"/>
    </xf>
    <xf numFmtId="41" fontId="0" fillId="9" borderId="21" xfId="1" applyFont="1" applyFill="1" applyBorder="1" applyAlignment="1">
      <alignment horizontal="right" vertical="center"/>
    </xf>
    <xf numFmtId="184" fontId="0" fillId="8" borderId="0" xfId="0" applyNumberFormat="1" applyFill="1">
      <alignment vertical="center"/>
    </xf>
    <xf numFmtId="184" fontId="0" fillId="11" borderId="0" xfId="0" applyNumberFormat="1" applyFill="1">
      <alignment vertical="center"/>
    </xf>
    <xf numFmtId="184" fontId="0" fillId="7" borderId="0" xfId="0" applyNumberFormat="1" applyFill="1">
      <alignment vertical="center"/>
    </xf>
    <xf numFmtId="180" fontId="0" fillId="11" borderId="0" xfId="0" applyNumberFormat="1" applyFill="1">
      <alignment vertical="center"/>
    </xf>
    <xf numFmtId="0" fontId="13" fillId="2" borderId="57" xfId="0" applyFont="1" applyFill="1" applyBorder="1" applyAlignment="1">
      <alignment horizontal="right" vertical="center"/>
    </xf>
    <xf numFmtId="0" fontId="13" fillId="2" borderId="58" xfId="0" applyFont="1" applyFill="1" applyBorder="1" applyAlignment="1">
      <alignment horizontal="right" vertical="center"/>
    </xf>
    <xf numFmtId="10" fontId="13" fillId="0" borderId="0" xfId="0" applyNumberFormat="1" applyFont="1">
      <alignment vertical="center"/>
    </xf>
    <xf numFmtId="0" fontId="13" fillId="2" borderId="62" xfId="0" applyFont="1" applyFill="1" applyBorder="1" applyAlignment="1">
      <alignment horizontal="right" vertical="center"/>
    </xf>
    <xf numFmtId="0" fontId="13" fillId="2" borderId="61" xfId="0" applyFont="1" applyFill="1" applyBorder="1" applyAlignment="1">
      <alignment horizontal="right" vertical="center"/>
    </xf>
    <xf numFmtId="0" fontId="13" fillId="2" borderId="56" xfId="0" applyFont="1" applyFill="1" applyBorder="1" applyAlignment="1">
      <alignment horizontal="right" vertical="center"/>
    </xf>
    <xf numFmtId="180" fontId="13" fillId="0" borderId="0" xfId="0" applyNumberFormat="1" applyFont="1">
      <alignment vertical="center"/>
    </xf>
    <xf numFmtId="0" fontId="13" fillId="2" borderId="25" xfId="0" applyFont="1" applyFill="1" applyBorder="1" applyAlignment="1">
      <alignment horizontal="right" vertical="center"/>
    </xf>
    <xf numFmtId="0" fontId="13" fillId="2" borderId="60" xfId="0" applyFont="1" applyFill="1" applyBorder="1" applyAlignment="1">
      <alignment horizontal="right" vertical="center"/>
    </xf>
    <xf numFmtId="176" fontId="13" fillId="2" borderId="60" xfId="0" applyNumberFormat="1" applyFont="1" applyFill="1" applyBorder="1" applyAlignment="1">
      <alignment horizontal="right" vertical="center"/>
    </xf>
    <xf numFmtId="177" fontId="13" fillId="2" borderId="58" xfId="0" applyNumberFormat="1" applyFont="1" applyFill="1" applyBorder="1" applyAlignment="1">
      <alignment horizontal="right" vertical="center"/>
    </xf>
    <xf numFmtId="41" fontId="13" fillId="15" borderId="0" xfId="1" applyFont="1" applyFill="1" applyBorder="1">
      <alignment vertical="center"/>
    </xf>
    <xf numFmtId="180" fontId="13" fillId="8" borderId="0" xfId="0" applyNumberFormat="1" applyFont="1" applyFill="1">
      <alignment vertical="center"/>
    </xf>
    <xf numFmtId="186" fontId="13" fillId="8" borderId="0" xfId="0" applyNumberFormat="1" applyFont="1" applyFill="1">
      <alignment vertical="center"/>
    </xf>
    <xf numFmtId="186" fontId="13" fillId="11" borderId="0" xfId="0" applyNumberFormat="1" applyFont="1" applyFill="1">
      <alignment vertical="center"/>
    </xf>
    <xf numFmtId="186" fontId="13" fillId="7" borderId="0" xfId="0" applyNumberFormat="1" applyFont="1" applyFill="1">
      <alignment vertical="center"/>
    </xf>
    <xf numFmtId="178" fontId="13" fillId="2" borderId="60" xfId="0" applyNumberFormat="1" applyFont="1" applyFill="1" applyBorder="1" applyAlignment="1">
      <alignment horizontal="right" vertical="center"/>
    </xf>
    <xf numFmtId="41" fontId="13" fillId="11" borderId="0" xfId="1" applyFont="1" applyFill="1" applyBorder="1">
      <alignment vertical="center"/>
    </xf>
    <xf numFmtId="0" fontId="13" fillId="7" borderId="0" xfId="0" applyFont="1" applyFill="1" applyAlignment="1">
      <alignment horizontal="right" vertical="center"/>
    </xf>
    <xf numFmtId="0" fontId="13" fillId="7" borderId="0" xfId="0" applyFont="1" applyFill="1">
      <alignment vertical="center"/>
    </xf>
    <xf numFmtId="0" fontId="13" fillId="2" borderId="18" xfId="0" applyFont="1" applyFill="1" applyBorder="1" applyAlignment="1">
      <alignment horizontal="right" vertical="center"/>
    </xf>
    <xf numFmtId="0" fontId="13" fillId="2" borderId="63" xfId="0" applyFont="1" applyFill="1" applyBorder="1" applyAlignment="1">
      <alignment horizontal="right" vertical="center"/>
    </xf>
    <xf numFmtId="0" fontId="13" fillId="0" borderId="17" xfId="0" applyFont="1" applyBorder="1">
      <alignment vertical="center"/>
    </xf>
    <xf numFmtId="184" fontId="0" fillId="2" borderId="0" xfId="0" applyNumberFormat="1" applyFill="1">
      <alignment vertical="center"/>
    </xf>
    <xf numFmtId="10" fontId="0" fillId="2" borderId="0" xfId="0" applyNumberFormat="1" applyFill="1" applyAlignment="1">
      <alignment horizontal="right" vertical="center"/>
    </xf>
    <xf numFmtId="177" fontId="13" fillId="2" borderId="0" xfId="0" applyNumberFormat="1" applyFont="1" applyFill="1" applyAlignment="1">
      <alignment horizontal="right" vertical="center"/>
    </xf>
    <xf numFmtId="0" fontId="10" fillId="2" borderId="64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41" fontId="0" fillId="0" borderId="0" xfId="1" applyFont="1" applyFill="1" applyBorder="1" applyAlignment="1">
      <alignment horizontal="right" vertical="center"/>
    </xf>
    <xf numFmtId="187" fontId="13" fillId="0" borderId="0" xfId="0" applyNumberFormat="1" applyFont="1">
      <alignment vertical="center"/>
    </xf>
    <xf numFmtId="184" fontId="13" fillId="2" borderId="0" xfId="0" applyNumberFormat="1" applyFont="1" applyFill="1">
      <alignment vertical="center"/>
    </xf>
    <xf numFmtId="186" fontId="13" fillId="2" borderId="0" xfId="0" applyNumberFormat="1" applyFont="1" applyFill="1">
      <alignment vertical="center"/>
    </xf>
    <xf numFmtId="0" fontId="13" fillId="9" borderId="21" xfId="0" applyFont="1" applyFill="1" applyBorder="1" applyAlignment="1">
      <alignment horizontal="right" vertical="center"/>
    </xf>
    <xf numFmtId="41" fontId="13" fillId="9" borderId="21" xfId="1" applyFont="1" applyFill="1" applyBorder="1" applyAlignment="1">
      <alignment horizontal="right" vertical="center"/>
    </xf>
    <xf numFmtId="0" fontId="13" fillId="9" borderId="21" xfId="0" applyFont="1" applyFill="1" applyBorder="1">
      <alignment vertical="center"/>
    </xf>
    <xf numFmtId="179" fontId="13" fillId="2" borderId="0" xfId="0" applyNumberFormat="1" applyFont="1" applyFill="1" applyAlignment="1">
      <alignment horizontal="right" vertical="center"/>
    </xf>
    <xf numFmtId="10" fontId="13" fillId="2" borderId="0" xfId="0" applyNumberFormat="1" applyFont="1" applyFill="1" applyAlignment="1">
      <alignment horizontal="right" vertical="center"/>
    </xf>
    <xf numFmtId="0" fontId="0" fillId="9" borderId="0" xfId="0" applyFill="1" applyAlignment="1">
      <alignment horizontal="left" vertical="center"/>
    </xf>
    <xf numFmtId="0" fontId="0" fillId="9" borderId="21" xfId="0" applyFill="1" applyBorder="1" applyAlignment="1">
      <alignment horizontal="left" vertical="center"/>
    </xf>
    <xf numFmtId="0" fontId="36" fillId="16" borderId="0" xfId="0" applyFont="1" applyFill="1" applyAlignment="1">
      <alignment horizontal="right" vertical="center"/>
    </xf>
    <xf numFmtId="41" fontId="0" fillId="0" borderId="0" xfId="1" applyFont="1" applyFill="1" applyBorder="1" applyAlignment="1">
      <alignment vertical="center"/>
    </xf>
    <xf numFmtId="0" fontId="0" fillId="16" borderId="0" xfId="0" applyFill="1" applyAlignment="1">
      <alignment horizontal="right" vertical="center"/>
    </xf>
    <xf numFmtId="180" fontId="13" fillId="0" borderId="0" xfId="0" applyNumberFormat="1" applyFont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180" fontId="13" fillId="19" borderId="0" xfId="0" applyNumberFormat="1" applyFont="1" applyFill="1" applyAlignment="1">
      <alignment horizontal="left" vertical="center"/>
    </xf>
    <xf numFmtId="0" fontId="0" fillId="20" borderId="2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top"/>
    </xf>
    <xf numFmtId="0" fontId="13" fillId="0" borderId="30" xfId="0" applyFont="1" applyBorder="1" applyAlignment="1">
      <alignment horizontal="left" vertical="top" wrapText="1"/>
    </xf>
    <xf numFmtId="0" fontId="13" fillId="0" borderId="30" xfId="0" applyFont="1" applyBorder="1" applyAlignment="1">
      <alignment vertical="top"/>
    </xf>
    <xf numFmtId="0" fontId="22" fillId="4" borderId="27" xfId="0" applyFont="1" applyFill="1" applyBorder="1" applyAlignment="1">
      <alignment horizontal="center" vertical="center" shrinkToFit="1"/>
    </xf>
    <xf numFmtId="0" fontId="13" fillId="0" borderId="30" xfId="0" quotePrefix="1" applyFont="1" applyBorder="1" applyAlignment="1">
      <alignment horizontal="left" vertical="top"/>
    </xf>
    <xf numFmtId="0" fontId="13" fillId="10" borderId="27" xfId="0" applyFont="1" applyFill="1" applyBorder="1" applyAlignment="1">
      <alignment horizontal="center" vertical="center"/>
    </xf>
    <xf numFmtId="0" fontId="13" fillId="0" borderId="30" xfId="0" quotePrefix="1" applyFont="1" applyBorder="1" applyAlignment="1">
      <alignment horizontal="left" vertical="top" wrapText="1"/>
    </xf>
    <xf numFmtId="0" fontId="13" fillId="0" borderId="30" xfId="0" applyFont="1" applyBorder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3" fillId="0" borderId="30" xfId="0" applyFont="1" applyBorder="1" applyAlignment="1">
      <alignment horizontal="left" vertical="top"/>
    </xf>
    <xf numFmtId="0" fontId="13" fillId="0" borderId="27" xfId="0" applyFont="1" applyBorder="1" applyAlignment="1">
      <alignment horizontal="center" vertical="center" shrinkToFit="1"/>
    </xf>
    <xf numFmtId="0" fontId="13" fillId="5" borderId="0" xfId="0" applyFont="1" applyFill="1" applyAlignment="1">
      <alignment horizontal="center" vertical="center"/>
    </xf>
    <xf numFmtId="180" fontId="13" fillId="0" borderId="30" xfId="0" applyNumberFormat="1" applyFont="1" applyBorder="1" applyAlignment="1">
      <alignment horizontal="left" vertical="top"/>
    </xf>
    <xf numFmtId="176" fontId="13" fillId="0" borderId="0" xfId="0" applyNumberFormat="1" applyFont="1" applyAlignment="1">
      <alignment horizontal="center" vertical="center"/>
    </xf>
    <xf numFmtId="0" fontId="13" fillId="4" borderId="27" xfId="0" applyFont="1" applyFill="1" applyBorder="1">
      <alignment vertical="center"/>
    </xf>
    <xf numFmtId="0" fontId="13" fillId="8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/>
    </xf>
    <xf numFmtId="0" fontId="14" fillId="21" borderId="27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left" vertical="center"/>
    </xf>
    <xf numFmtId="0" fontId="49" fillId="2" borderId="0" xfId="0" applyFont="1" applyFill="1" applyAlignment="1">
      <alignment horizontal="right" vertical="center"/>
    </xf>
    <xf numFmtId="0" fontId="50" fillId="0" borderId="0" xfId="0" applyFont="1">
      <alignment vertical="center"/>
    </xf>
    <xf numFmtId="0" fontId="50" fillId="0" borderId="0" xfId="0" applyFont="1" applyAlignment="1">
      <alignment horizontal="right" vertical="center"/>
    </xf>
    <xf numFmtId="0" fontId="50" fillId="2" borderId="0" xfId="0" applyFont="1" applyFill="1" applyAlignment="1">
      <alignment horizontal="right" vertical="center"/>
    </xf>
    <xf numFmtId="178" fontId="50" fillId="0" borderId="0" xfId="0" applyNumberFormat="1" applyFont="1">
      <alignment vertical="center"/>
    </xf>
    <xf numFmtId="0" fontId="51" fillId="2" borderId="0" xfId="0" applyFont="1" applyFill="1" applyAlignment="1">
      <alignment horizontal="left" vertical="center"/>
    </xf>
    <xf numFmtId="0" fontId="52" fillId="0" borderId="0" xfId="0" applyFont="1">
      <alignment vertical="center"/>
    </xf>
    <xf numFmtId="179" fontId="50" fillId="0" borderId="0" xfId="0" applyNumberFormat="1" applyFont="1">
      <alignment vertical="center"/>
    </xf>
    <xf numFmtId="0" fontId="50" fillId="0" borderId="66" xfId="0" applyFont="1" applyBorder="1">
      <alignment vertical="center"/>
    </xf>
    <xf numFmtId="185" fontId="50" fillId="0" borderId="0" xfId="0" applyNumberFormat="1" applyFont="1">
      <alignment vertical="center"/>
    </xf>
    <xf numFmtId="180" fontId="50" fillId="0" borderId="0" xfId="0" applyNumberFormat="1" applyFont="1">
      <alignment vertical="center"/>
    </xf>
    <xf numFmtId="183" fontId="50" fillId="2" borderId="0" xfId="0" applyNumberFormat="1" applyFont="1" applyFill="1" applyAlignment="1">
      <alignment horizontal="right" vertical="center"/>
    </xf>
    <xf numFmtId="0" fontId="50" fillId="2" borderId="0" xfId="0" quotePrefix="1" applyFont="1" applyFill="1" applyAlignment="1">
      <alignment horizontal="right" vertical="center"/>
    </xf>
    <xf numFmtId="0" fontId="50" fillId="0" borderId="0" xfId="0" applyFont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66" xfId="0" applyFont="1" applyBorder="1" applyAlignment="1">
      <alignment horizontal="center" vertical="center"/>
    </xf>
    <xf numFmtId="0" fontId="50" fillId="0" borderId="67" xfId="0" applyFont="1" applyBorder="1" applyAlignment="1">
      <alignment horizontal="center" vertical="center"/>
    </xf>
    <xf numFmtId="188" fontId="50" fillId="0" borderId="0" xfId="0" applyNumberFormat="1" applyFont="1">
      <alignment vertical="center"/>
    </xf>
    <xf numFmtId="0" fontId="55" fillId="2" borderId="0" xfId="0" applyFont="1" applyFill="1" applyAlignment="1">
      <alignment horizontal="right" vertical="center"/>
    </xf>
    <xf numFmtId="0" fontId="50" fillId="8" borderId="0" xfId="0" applyFont="1" applyFill="1" applyAlignment="1">
      <alignment horizontal="right" vertical="center"/>
    </xf>
    <xf numFmtId="0" fontId="56" fillId="0" borderId="4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0" fillId="14" borderId="4" xfId="0" applyFont="1" applyFill="1" applyBorder="1">
      <alignment vertical="center"/>
    </xf>
    <xf numFmtId="0" fontId="50" fillId="0" borderId="4" xfId="0" applyFont="1" applyBorder="1">
      <alignment vertical="center"/>
    </xf>
    <xf numFmtId="0" fontId="50" fillId="0" borderId="67" xfId="0" applyFont="1" applyBorder="1">
      <alignment vertical="center"/>
    </xf>
    <xf numFmtId="0" fontId="50" fillId="0" borderId="66" xfId="0" applyFont="1" applyBorder="1" applyAlignment="1">
      <alignment horizontal="right" vertical="center"/>
    </xf>
    <xf numFmtId="0" fontId="50" fillId="0" borderId="67" xfId="0" applyFont="1" applyBorder="1" applyAlignment="1">
      <alignment horizontal="right" vertical="center"/>
    </xf>
    <xf numFmtId="0" fontId="56" fillId="23" borderId="69" xfId="0" applyFont="1" applyFill="1" applyBorder="1" applyAlignment="1">
      <alignment horizontal="center" vertical="center"/>
    </xf>
    <xf numFmtId="0" fontId="56" fillId="23" borderId="70" xfId="0" applyFont="1" applyFill="1" applyBorder="1" applyAlignment="1">
      <alignment horizontal="center" vertical="center"/>
    </xf>
    <xf numFmtId="0" fontId="56" fillId="12" borderId="72" xfId="0" applyFont="1" applyFill="1" applyBorder="1" applyAlignment="1">
      <alignment horizontal="center" vertical="center"/>
    </xf>
    <xf numFmtId="0" fontId="56" fillId="12" borderId="73" xfId="0" applyFont="1" applyFill="1" applyBorder="1" applyAlignment="1">
      <alignment horizontal="center" vertical="center"/>
    </xf>
    <xf numFmtId="0" fontId="50" fillId="14" borderId="74" xfId="0" applyFont="1" applyFill="1" applyBorder="1">
      <alignment vertical="center"/>
    </xf>
    <xf numFmtId="0" fontId="50" fillId="14" borderId="75" xfId="0" applyFont="1" applyFill="1" applyBorder="1">
      <alignment vertical="center"/>
    </xf>
    <xf numFmtId="0" fontId="56" fillId="14" borderId="75" xfId="0" applyFont="1" applyFill="1" applyBorder="1" applyAlignment="1">
      <alignment horizontal="center" vertical="center"/>
    </xf>
    <xf numFmtId="0" fontId="56" fillId="14" borderId="76" xfId="0" applyFont="1" applyFill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0" fontId="56" fillId="0" borderId="69" xfId="0" applyFont="1" applyBorder="1" applyAlignment="1">
      <alignment horizontal="center" vertical="center"/>
    </xf>
    <xf numFmtId="0" fontId="56" fillId="0" borderId="71" xfId="0" applyFont="1" applyBorder="1" applyAlignment="1">
      <alignment horizontal="center" vertical="center"/>
    </xf>
    <xf numFmtId="0" fontId="56" fillId="0" borderId="72" xfId="0" applyFont="1" applyBorder="1" applyAlignment="1">
      <alignment horizontal="center" vertical="center"/>
    </xf>
    <xf numFmtId="0" fontId="50" fillId="0" borderId="78" xfId="0" applyFont="1" applyBorder="1" applyAlignment="1">
      <alignment horizontal="right" vertical="center"/>
    </xf>
    <xf numFmtId="0" fontId="50" fillId="0" borderId="78" xfId="0" applyFont="1" applyBorder="1" applyAlignment="1">
      <alignment horizontal="center" vertical="center"/>
    </xf>
    <xf numFmtId="0" fontId="50" fillId="0" borderId="77" xfId="0" applyFont="1" applyBorder="1" applyAlignment="1">
      <alignment horizontal="center" vertical="center"/>
    </xf>
    <xf numFmtId="0" fontId="50" fillId="0" borderId="79" xfId="0" applyFont="1" applyBorder="1" applyAlignment="1">
      <alignment horizontal="center" vertical="center"/>
    </xf>
    <xf numFmtId="0" fontId="50" fillId="0" borderId="80" xfId="0" applyFont="1" applyBorder="1" applyAlignment="1">
      <alignment horizontal="center" vertical="center"/>
    </xf>
    <xf numFmtId="0" fontId="50" fillId="0" borderId="81" xfId="0" applyFont="1" applyBorder="1" applyAlignment="1">
      <alignment horizontal="center" vertical="center"/>
    </xf>
    <xf numFmtId="0" fontId="50" fillId="0" borderId="80" xfId="0" applyFont="1" applyBorder="1">
      <alignment vertical="center"/>
    </xf>
    <xf numFmtId="0" fontId="50" fillId="0" borderId="82" xfId="0" applyFont="1" applyBorder="1">
      <alignment vertical="center"/>
    </xf>
    <xf numFmtId="0" fontId="50" fillId="0" borderId="78" xfId="0" applyFont="1" applyBorder="1">
      <alignment vertical="center"/>
    </xf>
    <xf numFmtId="0" fontId="50" fillId="0" borderId="83" xfId="0" applyFont="1" applyBorder="1">
      <alignment vertical="center"/>
    </xf>
    <xf numFmtId="0" fontId="50" fillId="0" borderId="84" xfId="0" applyFont="1" applyBorder="1">
      <alignment vertical="center"/>
    </xf>
    <xf numFmtId="0" fontId="50" fillId="0" borderId="85" xfId="0" applyFont="1" applyBorder="1">
      <alignment vertical="center"/>
    </xf>
    <xf numFmtId="0" fontId="50" fillId="0" borderId="86" xfId="0" applyFont="1" applyBorder="1">
      <alignment vertical="center"/>
    </xf>
    <xf numFmtId="0" fontId="50" fillId="0" borderId="87" xfId="0" applyFont="1" applyBorder="1">
      <alignment vertical="center"/>
    </xf>
    <xf numFmtId="0" fontId="50" fillId="0" borderId="87" xfId="0" applyFont="1" applyBorder="1" applyAlignment="1">
      <alignment horizontal="center" vertical="center"/>
    </xf>
    <xf numFmtId="0" fontId="50" fillId="0" borderId="86" xfId="0" applyFont="1" applyBorder="1" applyAlignment="1">
      <alignment horizontal="center" vertical="center"/>
    </xf>
    <xf numFmtId="0" fontId="50" fillId="0" borderId="88" xfId="0" applyFont="1" applyBorder="1" applyAlignment="1">
      <alignment horizontal="center" vertical="center"/>
    </xf>
    <xf numFmtId="0" fontId="50" fillId="0" borderId="84" xfId="0" applyFont="1" applyBorder="1" applyAlignment="1">
      <alignment horizontal="right" vertical="center"/>
    </xf>
    <xf numFmtId="0" fontId="50" fillId="0" borderId="84" xfId="0" applyFont="1" applyBorder="1" applyAlignment="1">
      <alignment horizontal="center" vertical="center"/>
    </xf>
    <xf numFmtId="0" fontId="50" fillId="0" borderId="89" xfId="0" applyFont="1" applyBorder="1" applyAlignment="1">
      <alignment horizontal="center" vertical="center"/>
    </xf>
    <xf numFmtId="0" fontId="50" fillId="0" borderId="90" xfId="0" applyFont="1" applyBorder="1" applyAlignment="1">
      <alignment horizontal="center" vertical="center"/>
    </xf>
    <xf numFmtId="0" fontId="50" fillId="0" borderId="91" xfId="0" applyFont="1" applyBorder="1" applyAlignment="1">
      <alignment horizontal="center" vertical="center"/>
    </xf>
    <xf numFmtId="0" fontId="50" fillId="0" borderId="92" xfId="0" applyFont="1" applyBorder="1" applyAlignment="1">
      <alignment horizontal="center" vertical="center"/>
    </xf>
    <xf numFmtId="0" fontId="50" fillId="0" borderId="93" xfId="0" applyFont="1" applyBorder="1">
      <alignment vertical="center"/>
    </xf>
    <xf numFmtId="0" fontId="50" fillId="0" borderId="94" xfId="0" applyFont="1" applyBorder="1">
      <alignment vertical="center"/>
    </xf>
    <xf numFmtId="0" fontId="50" fillId="0" borderId="81" xfId="0" applyFont="1" applyBorder="1">
      <alignment vertical="center"/>
    </xf>
    <xf numFmtId="0" fontId="50" fillId="0" borderId="95" xfId="0" applyFont="1" applyBorder="1" applyAlignment="1">
      <alignment horizontal="center" vertical="center"/>
    </xf>
    <xf numFmtId="0" fontId="50" fillId="0" borderId="96" xfId="0" applyFont="1" applyBorder="1" applyAlignment="1">
      <alignment horizontal="center" vertical="center"/>
    </xf>
    <xf numFmtId="0" fontId="50" fillId="0" borderId="97" xfId="0" applyFont="1" applyBorder="1" applyAlignment="1">
      <alignment horizontal="center" vertical="center"/>
    </xf>
    <xf numFmtId="0" fontId="50" fillId="0" borderId="98" xfId="0" applyFont="1" applyBorder="1" applyAlignment="1">
      <alignment horizontal="center" vertical="center"/>
    </xf>
    <xf numFmtId="0" fontId="50" fillId="0" borderId="99" xfId="0" applyFont="1" applyBorder="1" applyAlignment="1">
      <alignment horizontal="center" vertical="center"/>
    </xf>
    <xf numFmtId="179" fontId="50" fillId="2" borderId="0" xfId="0" applyNumberFormat="1" applyFont="1" applyFill="1" applyAlignment="1">
      <alignment horizontal="right" vertical="center"/>
    </xf>
    <xf numFmtId="0" fontId="50" fillId="0" borderId="28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2" borderId="0" xfId="0" applyFont="1" applyFill="1">
      <alignment vertical="center"/>
    </xf>
    <xf numFmtId="0" fontId="50" fillId="0" borderId="0" xfId="0" applyFont="1" applyAlignment="1">
      <alignment horizontal="left" vertical="center"/>
    </xf>
    <xf numFmtId="0" fontId="50" fillId="0" borderId="2" xfId="0" applyFont="1" applyBorder="1" applyAlignment="1">
      <alignment horizontal="center" vertical="center"/>
    </xf>
    <xf numFmtId="0" fontId="50" fillId="0" borderId="74" xfId="0" applyFont="1" applyBorder="1" applyAlignment="1">
      <alignment horizontal="center" vertical="center"/>
    </xf>
    <xf numFmtId="0" fontId="50" fillId="0" borderId="75" xfId="0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/>
    </xf>
    <xf numFmtId="0" fontId="50" fillId="0" borderId="72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53" fillId="0" borderId="4" xfId="0" applyFont="1" applyBorder="1">
      <alignment vertical="center"/>
    </xf>
    <xf numFmtId="0" fontId="53" fillId="0" borderId="7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104" xfId="0" applyFont="1" applyBorder="1" applyAlignment="1">
      <alignment horizontal="center" vertical="center"/>
    </xf>
    <xf numFmtId="0" fontId="50" fillId="0" borderId="104" xfId="0" applyFont="1" applyBorder="1">
      <alignment vertical="center"/>
    </xf>
    <xf numFmtId="0" fontId="50" fillId="0" borderId="103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50" fillId="0" borderId="105" xfId="0" applyFont="1" applyBorder="1" applyAlignment="1">
      <alignment horizontal="center" vertical="center"/>
    </xf>
    <xf numFmtId="0" fontId="50" fillId="0" borderId="23" xfId="0" applyFont="1" applyBorder="1">
      <alignment vertical="center"/>
    </xf>
    <xf numFmtId="0" fontId="50" fillId="0" borderId="21" xfId="0" applyFont="1" applyBorder="1">
      <alignment vertical="center"/>
    </xf>
    <xf numFmtId="0" fontId="50" fillId="0" borderId="24" xfId="0" applyFont="1" applyBorder="1" applyAlignment="1">
      <alignment horizontal="center" vertical="center"/>
    </xf>
    <xf numFmtId="0" fontId="50" fillId="0" borderId="18" xfId="0" applyFont="1" applyBorder="1">
      <alignment vertical="center"/>
    </xf>
    <xf numFmtId="0" fontId="50" fillId="0" borderId="17" xfId="0" applyFont="1" applyBorder="1">
      <alignment vertical="center"/>
    </xf>
    <xf numFmtId="0" fontId="50" fillId="0" borderId="18" xfId="0" applyFont="1" applyBorder="1" applyAlignment="1">
      <alignment horizontal="center" vertical="center"/>
    </xf>
    <xf numFmtId="0" fontId="50" fillId="0" borderId="68" xfId="0" applyFont="1" applyBorder="1" applyAlignment="1">
      <alignment horizontal="center" vertical="center"/>
    </xf>
    <xf numFmtId="0" fontId="50" fillId="0" borderId="69" xfId="0" applyFont="1" applyBorder="1" applyAlignment="1">
      <alignment horizontal="center" vertical="center"/>
    </xf>
    <xf numFmtId="0" fontId="50" fillId="27" borderId="75" xfId="0" applyFont="1" applyFill="1" applyBorder="1" applyAlignment="1">
      <alignment horizontal="center" vertical="center"/>
    </xf>
    <xf numFmtId="0" fontId="50" fillId="27" borderId="76" xfId="0" applyFont="1" applyFill="1" applyBorder="1" applyAlignment="1">
      <alignment horizontal="center" vertical="center"/>
    </xf>
    <xf numFmtId="0" fontId="50" fillId="28" borderId="69" xfId="0" applyFont="1" applyFill="1" applyBorder="1" applyAlignment="1">
      <alignment horizontal="center" vertical="center"/>
    </xf>
    <xf numFmtId="0" fontId="50" fillId="28" borderId="70" xfId="0" applyFont="1" applyFill="1" applyBorder="1" applyAlignment="1">
      <alignment horizontal="center" vertical="center"/>
    </xf>
    <xf numFmtId="0" fontId="50" fillId="29" borderId="72" xfId="0" applyFont="1" applyFill="1" applyBorder="1" applyAlignment="1">
      <alignment horizontal="center" vertical="center"/>
    </xf>
    <xf numFmtId="0" fontId="50" fillId="29" borderId="73" xfId="0" applyFont="1" applyFill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10" fontId="50" fillId="0" borderId="0" xfId="0" applyNumberFormat="1" applyFont="1">
      <alignment vertical="center"/>
    </xf>
    <xf numFmtId="9" fontId="50" fillId="8" borderId="0" xfId="0" applyNumberFormat="1" applyFont="1" applyFill="1">
      <alignment vertical="center"/>
    </xf>
    <xf numFmtId="191" fontId="50" fillId="0" borderId="0" xfId="0" applyNumberFormat="1" applyFont="1" applyAlignment="1">
      <alignment horizontal="right" vertical="center"/>
    </xf>
    <xf numFmtId="0" fontId="54" fillId="8" borderId="0" xfId="0" applyFont="1" applyFill="1" applyAlignment="1">
      <alignment horizontal="right" vertical="center"/>
    </xf>
    <xf numFmtId="0" fontId="59" fillId="2" borderId="0" xfId="0" applyFont="1" applyFill="1" applyAlignment="1">
      <alignment horizontal="right" vertical="center"/>
    </xf>
    <xf numFmtId="10" fontId="50" fillId="2" borderId="0" xfId="0" applyNumberFormat="1" applyFont="1" applyFill="1" applyAlignment="1">
      <alignment horizontal="right" vertical="center"/>
    </xf>
    <xf numFmtId="10" fontId="50" fillId="3" borderId="0" xfId="0" applyNumberFormat="1" applyFont="1" applyFill="1">
      <alignment vertical="center"/>
    </xf>
    <xf numFmtId="0" fontId="60" fillId="31" borderId="0" xfId="0" applyFont="1" applyFill="1">
      <alignment vertical="center"/>
    </xf>
    <xf numFmtId="0" fontId="50" fillId="0" borderId="106" xfId="0" applyFont="1" applyBorder="1" applyAlignment="1">
      <alignment horizontal="center" vertical="center"/>
    </xf>
    <xf numFmtId="0" fontId="50" fillId="0" borderId="107" xfId="0" applyFont="1" applyBorder="1" applyAlignment="1">
      <alignment horizontal="center" vertical="center"/>
    </xf>
    <xf numFmtId="0" fontId="50" fillId="0" borderId="108" xfId="0" applyFont="1" applyBorder="1" applyAlignment="1">
      <alignment horizontal="center" vertical="center"/>
    </xf>
    <xf numFmtId="0" fontId="50" fillId="27" borderId="74" xfId="0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50" fillId="32" borderId="7" xfId="0" applyFont="1" applyFill="1" applyBorder="1">
      <alignment vertical="center"/>
    </xf>
    <xf numFmtId="0" fontId="50" fillId="32" borderId="5" xfId="0" applyFont="1" applyFill="1" applyBorder="1">
      <alignment vertical="center"/>
    </xf>
    <xf numFmtId="0" fontId="50" fillId="32" borderId="8" xfId="0" applyFont="1" applyFill="1" applyBorder="1">
      <alignment vertical="center"/>
    </xf>
    <xf numFmtId="0" fontId="50" fillId="32" borderId="28" xfId="0" applyFont="1" applyFill="1" applyBorder="1">
      <alignment vertical="center"/>
    </xf>
    <xf numFmtId="0" fontId="50" fillId="32" borderId="9" xfId="0" applyFont="1" applyFill="1" applyBorder="1">
      <alignment vertical="center"/>
    </xf>
    <xf numFmtId="0" fontId="50" fillId="32" borderId="29" xfId="0" applyFont="1" applyFill="1" applyBorder="1">
      <alignment vertical="center"/>
    </xf>
    <xf numFmtId="0" fontId="50" fillId="2" borderId="109" xfId="0" applyFont="1" applyFill="1" applyBorder="1" applyAlignment="1">
      <alignment horizontal="right" vertical="center"/>
    </xf>
    <xf numFmtId="0" fontId="50" fillId="2" borderId="110" xfId="0" applyFont="1" applyFill="1" applyBorder="1" applyAlignment="1">
      <alignment horizontal="right" vertical="center"/>
    </xf>
    <xf numFmtId="0" fontId="50" fillId="2" borderId="111" xfId="0" applyFont="1" applyFill="1" applyBorder="1" applyAlignment="1">
      <alignment horizontal="right" vertical="center"/>
    </xf>
    <xf numFmtId="0" fontId="50" fillId="2" borderId="2" xfId="0" applyFont="1" applyFill="1" applyBorder="1" applyAlignment="1">
      <alignment horizontal="right" vertical="center"/>
    </xf>
    <xf numFmtId="0" fontId="50" fillId="2" borderId="51" xfId="0" applyFont="1" applyFill="1" applyBorder="1" applyAlignment="1">
      <alignment horizontal="right" vertical="center"/>
    </xf>
    <xf numFmtId="0" fontId="50" fillId="2" borderId="3" xfId="0" applyFont="1" applyFill="1" applyBorder="1" applyAlignment="1">
      <alignment horizontal="right" vertical="center"/>
    </xf>
    <xf numFmtId="179" fontId="50" fillId="4" borderId="0" xfId="0" applyNumberFormat="1" applyFont="1" applyFill="1">
      <alignment vertical="center"/>
    </xf>
    <xf numFmtId="0" fontId="50" fillId="2" borderId="7" xfId="0" applyFont="1" applyFill="1" applyBorder="1" applyAlignment="1">
      <alignment horizontal="right" vertical="center"/>
    </xf>
    <xf numFmtId="0" fontId="50" fillId="2" borderId="8" xfId="0" applyFont="1" applyFill="1" applyBorder="1" applyAlignment="1">
      <alignment horizontal="right" vertical="center"/>
    </xf>
    <xf numFmtId="0" fontId="50" fillId="2" borderId="16" xfId="0" applyFont="1" applyFill="1" applyBorder="1" applyAlignment="1">
      <alignment horizontal="right" vertical="center"/>
    </xf>
    <xf numFmtId="0" fontId="50" fillId="2" borderId="15" xfId="0" applyFont="1" applyFill="1" applyBorder="1" applyAlignment="1">
      <alignment horizontal="right" vertical="center"/>
    </xf>
    <xf numFmtId="0" fontId="50" fillId="2" borderId="6" xfId="0" applyFont="1" applyFill="1" applyBorder="1" applyAlignment="1">
      <alignment horizontal="right" vertical="center"/>
    </xf>
    <xf numFmtId="0" fontId="50" fillId="2" borderId="1" xfId="0" applyFont="1" applyFill="1" applyBorder="1" applyAlignment="1">
      <alignment horizontal="right" vertical="center"/>
    </xf>
    <xf numFmtId="179" fontId="50" fillId="6" borderId="0" xfId="0" applyNumberFormat="1" applyFont="1" applyFill="1">
      <alignment vertical="center"/>
    </xf>
    <xf numFmtId="0" fontId="58" fillId="8" borderId="0" xfId="0" applyFont="1" applyFill="1">
      <alignment vertical="center"/>
    </xf>
    <xf numFmtId="0" fontId="58" fillId="0" borderId="0" xfId="0" applyFont="1">
      <alignment vertical="center"/>
    </xf>
    <xf numFmtId="179" fontId="50" fillId="3" borderId="0" xfId="0" applyNumberFormat="1" applyFont="1" applyFill="1">
      <alignment vertical="center"/>
    </xf>
    <xf numFmtId="0" fontId="50" fillId="2" borderId="5" xfId="0" applyFont="1" applyFill="1" applyBorder="1" applyAlignment="1">
      <alignment horizontal="right" vertical="center"/>
    </xf>
    <xf numFmtId="0" fontId="50" fillId="0" borderId="27" xfId="0" applyFont="1" applyBorder="1" applyAlignment="1">
      <alignment horizontal="center" vertical="center"/>
    </xf>
    <xf numFmtId="0" fontId="50" fillId="30" borderId="27" xfId="0" applyFont="1" applyFill="1" applyBorder="1" applyAlignment="1">
      <alignment horizontal="center" vertical="center"/>
    </xf>
    <xf numFmtId="0" fontId="50" fillId="30" borderId="9" xfId="0" applyFont="1" applyFill="1" applyBorder="1" applyAlignment="1">
      <alignment horizontal="center" vertical="center"/>
    </xf>
    <xf numFmtId="0" fontId="50" fillId="6" borderId="27" xfId="0" applyFont="1" applyFill="1" applyBorder="1" applyAlignment="1">
      <alignment horizontal="center" vertical="center"/>
    </xf>
    <xf numFmtId="0" fontId="50" fillId="6" borderId="9" xfId="0" applyFont="1" applyFill="1" applyBorder="1" applyAlignment="1">
      <alignment horizontal="center" vertical="center"/>
    </xf>
    <xf numFmtId="9" fontId="50" fillId="2" borderId="51" xfId="0" applyNumberFormat="1" applyFont="1" applyFill="1" applyBorder="1" applyAlignment="1">
      <alignment horizontal="right" vertical="center"/>
    </xf>
    <xf numFmtId="0" fontId="50" fillId="30" borderId="27" xfId="0" applyFont="1" applyFill="1" applyBorder="1">
      <alignment vertical="center"/>
    </xf>
    <xf numFmtId="0" fontId="50" fillId="2" borderId="27" xfId="0" applyFont="1" applyFill="1" applyBorder="1" applyAlignment="1">
      <alignment horizontal="center" vertical="center"/>
    </xf>
    <xf numFmtId="0" fontId="50" fillId="2" borderId="109" xfId="0" applyFont="1" applyFill="1" applyBorder="1" applyAlignment="1">
      <alignment horizontal="center" vertical="center"/>
    </xf>
    <xf numFmtId="0" fontId="50" fillId="2" borderId="111" xfId="0" applyFont="1" applyFill="1" applyBorder="1" applyAlignment="1">
      <alignment horizontal="center" vertical="center"/>
    </xf>
    <xf numFmtId="0" fontId="50" fillId="2" borderId="110" xfId="0" applyFont="1" applyFill="1" applyBorder="1" applyAlignment="1">
      <alignment horizontal="center" vertical="center"/>
    </xf>
    <xf numFmtId="0" fontId="65" fillId="8" borderId="112" xfId="0" applyFont="1" applyFill="1" applyBorder="1" applyAlignment="1">
      <alignment horizontal="right" vertical="center"/>
    </xf>
    <xf numFmtId="0" fontId="65" fillId="2" borderId="112" xfId="0" applyFont="1" applyFill="1" applyBorder="1" applyAlignment="1">
      <alignment horizontal="right" vertical="center"/>
    </xf>
    <xf numFmtId="180" fontId="50" fillId="33" borderId="0" xfId="0" applyNumberFormat="1" applyFont="1" applyFill="1">
      <alignment vertical="center"/>
    </xf>
    <xf numFmtId="0" fontId="0" fillId="23" borderId="26" xfId="0" applyFill="1" applyBorder="1" applyAlignment="1">
      <alignment horizontal="center" vertical="center"/>
    </xf>
    <xf numFmtId="0" fontId="0" fillId="23" borderId="19" xfId="0" applyFill="1" applyBorder="1" applyAlignment="1">
      <alignment horizontal="center" vertical="center"/>
    </xf>
    <xf numFmtId="0" fontId="36" fillId="14" borderId="26" xfId="0" applyFont="1" applyFill="1" applyBorder="1" applyAlignment="1">
      <alignment horizontal="center" vertical="center"/>
    </xf>
    <xf numFmtId="0" fontId="36" fillId="14" borderId="19" xfId="0" applyFont="1" applyFill="1" applyBorder="1" applyAlignment="1">
      <alignment horizontal="center" vertical="center"/>
    </xf>
    <xf numFmtId="0" fontId="0" fillId="22" borderId="26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34" fillId="34" borderId="19" xfId="0" applyFont="1" applyFill="1" applyBorder="1" applyAlignment="1">
      <alignment horizontal="center" vertical="center"/>
    </xf>
    <xf numFmtId="0" fontId="13" fillId="34" borderId="26" xfId="0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13" fillId="21" borderId="27" xfId="0" applyFont="1" applyFill="1" applyBorder="1" applyAlignment="1">
      <alignment horizontal="center" vertical="top"/>
    </xf>
    <xf numFmtId="0" fontId="0" fillId="6" borderId="0" xfId="0" applyFill="1">
      <alignment vertical="center"/>
    </xf>
    <xf numFmtId="0" fontId="0" fillId="3" borderId="0" xfId="0" quotePrefix="1" applyFill="1" applyAlignment="1">
      <alignment horizontal="right" vertical="center"/>
    </xf>
    <xf numFmtId="0" fontId="14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right" vertical="center"/>
    </xf>
    <xf numFmtId="188" fontId="0" fillId="0" borderId="0" xfId="0" applyNumberFormat="1" applyAlignment="1">
      <alignment horizontal="left" vertical="center"/>
    </xf>
    <xf numFmtId="188" fontId="0" fillId="6" borderId="0" xfId="0" applyNumberFormat="1" applyFill="1" applyAlignment="1">
      <alignment horizontal="center" vertical="center"/>
    </xf>
    <xf numFmtId="188" fontId="0" fillId="6" borderId="0" xfId="0" applyNumberForma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188" fontId="44" fillId="0" borderId="0" xfId="0" applyNumberFormat="1" applyFont="1" applyAlignment="1">
      <alignment horizontal="center" vertical="center"/>
    </xf>
    <xf numFmtId="17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182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left" vertical="center"/>
    </xf>
    <xf numFmtId="179" fontId="9" fillId="0" borderId="0" xfId="0" applyNumberFormat="1" applyFont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28" xfId="0" applyFont="1" applyBorder="1" applyAlignment="1">
      <alignment horizontal="right" vertical="center"/>
    </xf>
    <xf numFmtId="0" fontId="20" fillId="0" borderId="29" xfId="0" applyFont="1" applyBorder="1" applyAlignment="1">
      <alignment horizontal="right" vertical="center"/>
    </xf>
    <xf numFmtId="0" fontId="20" fillId="0" borderId="9" xfId="0" applyFont="1" applyBorder="1" applyAlignment="1">
      <alignment horizontal="right" vertical="center"/>
    </xf>
    <xf numFmtId="0" fontId="20" fillId="0" borderId="28" xfId="0" applyFont="1" applyBorder="1" applyAlignment="1">
      <alignment horizontal="left" vertical="center"/>
    </xf>
    <xf numFmtId="0" fontId="20" fillId="0" borderId="8" xfId="0" applyFont="1" applyBorder="1" applyAlignment="1">
      <alignment horizontal="right" vertical="center"/>
    </xf>
    <xf numFmtId="0" fontId="20" fillId="0" borderId="7" xfId="0" applyFont="1" applyBorder="1" applyAlignment="1">
      <alignment horizontal="right" vertical="center"/>
    </xf>
    <xf numFmtId="0" fontId="0" fillId="0" borderId="113" xfId="0" applyBorder="1" applyAlignment="1">
      <alignment horizontal="right" vertical="center"/>
    </xf>
    <xf numFmtId="0" fontId="20" fillId="0" borderId="113" xfId="0" applyFont="1" applyBorder="1" applyAlignment="1">
      <alignment horizontal="right" vertical="center"/>
    </xf>
    <xf numFmtId="0" fontId="20" fillId="0" borderId="114" xfId="0" applyFont="1" applyBorder="1" applyAlignment="1">
      <alignment horizontal="right" vertical="center"/>
    </xf>
    <xf numFmtId="0" fontId="13" fillId="9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50" fillId="36" borderId="27" xfId="0" applyFont="1" applyFill="1" applyBorder="1">
      <alignment vertical="center"/>
    </xf>
    <xf numFmtId="0" fontId="3" fillId="35" borderId="0" xfId="0" applyFont="1" applyFill="1">
      <alignment vertical="center"/>
    </xf>
    <xf numFmtId="0" fontId="30" fillId="2" borderId="0" xfId="0" applyFont="1" applyFill="1" applyAlignment="1">
      <alignment horizontal="right" vertical="center"/>
    </xf>
    <xf numFmtId="0" fontId="13" fillId="24" borderId="100" xfId="0" applyFont="1" applyFill="1" applyBorder="1" applyAlignment="1">
      <alignment horizontal="center" vertical="center"/>
    </xf>
    <xf numFmtId="0" fontId="13" fillId="25" borderId="101" xfId="0" applyFont="1" applyFill="1" applyBorder="1" applyAlignment="1">
      <alignment horizontal="center" vertical="center"/>
    </xf>
    <xf numFmtId="0" fontId="13" fillId="26" borderId="102" xfId="0" applyFont="1" applyFill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116" xfId="0" applyFont="1" applyBorder="1">
      <alignment vertical="center"/>
    </xf>
    <xf numFmtId="10" fontId="50" fillId="3" borderId="16" xfId="0" applyNumberFormat="1" applyFont="1" applyFill="1" applyBorder="1">
      <alignment vertical="center"/>
    </xf>
    <xf numFmtId="10" fontId="50" fillId="3" borderId="15" xfId="0" applyNumberFormat="1" applyFont="1" applyFill="1" applyBorder="1">
      <alignment vertical="center"/>
    </xf>
    <xf numFmtId="10" fontId="50" fillId="3" borderId="1" xfId="0" applyNumberFormat="1" applyFont="1" applyFill="1" applyBorder="1">
      <alignment vertical="center"/>
    </xf>
    <xf numFmtId="10" fontId="50" fillId="0" borderId="16" xfId="0" applyNumberFormat="1" applyFont="1" applyBorder="1">
      <alignment vertical="center"/>
    </xf>
    <xf numFmtId="10" fontId="50" fillId="0" borderId="15" xfId="0" applyNumberFormat="1" applyFont="1" applyBorder="1">
      <alignment vertical="center"/>
    </xf>
    <xf numFmtId="10" fontId="50" fillId="0" borderId="6" xfId="0" applyNumberFormat="1" applyFont="1" applyBorder="1">
      <alignment vertical="center"/>
    </xf>
    <xf numFmtId="0" fontId="50" fillId="2" borderId="9" xfId="0" applyFont="1" applyFill="1" applyBorder="1" applyAlignment="1">
      <alignment horizontal="right" vertical="center"/>
    </xf>
    <xf numFmtId="0" fontId="50" fillId="2" borderId="28" xfId="0" applyFont="1" applyFill="1" applyBorder="1" applyAlignment="1">
      <alignment horizontal="right" vertical="center"/>
    </xf>
    <xf numFmtId="0" fontId="50" fillId="2" borderId="29" xfId="0" applyFont="1" applyFill="1" applyBorder="1" applyAlignment="1">
      <alignment horizontal="right" vertical="center"/>
    </xf>
    <xf numFmtId="0" fontId="50" fillId="2" borderId="29" xfId="0" applyFont="1" applyFill="1" applyBorder="1">
      <alignment vertical="center"/>
    </xf>
    <xf numFmtId="0" fontId="50" fillId="2" borderId="9" xfId="0" applyFont="1" applyFill="1" applyBorder="1">
      <alignment vertical="center"/>
    </xf>
    <xf numFmtId="0" fontId="50" fillId="2" borderId="28" xfId="0" applyFont="1" applyFill="1" applyBorder="1" applyAlignment="1">
      <alignment horizontal="center" vertical="center"/>
    </xf>
    <xf numFmtId="0" fontId="50" fillId="0" borderId="7" xfId="0" applyFont="1" applyBorder="1">
      <alignment vertical="center"/>
    </xf>
    <xf numFmtId="0" fontId="50" fillId="0" borderId="5" xfId="0" applyFont="1" applyBorder="1">
      <alignment vertical="center"/>
    </xf>
    <xf numFmtId="0" fontId="50" fillId="0" borderId="8" xfId="0" applyFont="1" applyBorder="1">
      <alignment vertical="center"/>
    </xf>
    <xf numFmtId="10" fontId="50" fillId="0" borderId="16" xfId="0" applyNumberFormat="1" applyFont="1" applyBorder="1" applyAlignment="1">
      <alignment horizontal="right" vertical="center"/>
    </xf>
    <xf numFmtId="10" fontId="50" fillId="0" borderId="0" xfId="0" applyNumberFormat="1" applyFont="1" applyAlignment="1">
      <alignment horizontal="right" vertical="center"/>
    </xf>
    <xf numFmtId="0" fontId="50" fillId="0" borderId="16" xfId="0" applyFont="1" applyBorder="1" applyAlignment="1">
      <alignment horizontal="right" vertical="center"/>
    </xf>
    <xf numFmtId="0" fontId="50" fillId="0" borderId="15" xfId="0" applyFont="1" applyBorder="1" applyAlignment="1">
      <alignment horizontal="right" vertical="center"/>
    </xf>
    <xf numFmtId="0" fontId="50" fillId="0" borderId="15" xfId="0" applyFont="1" applyBorder="1">
      <alignment vertical="center"/>
    </xf>
    <xf numFmtId="0" fontId="50" fillId="30" borderId="16" xfId="0" applyFont="1" applyFill="1" applyBorder="1">
      <alignment vertical="center"/>
    </xf>
    <xf numFmtId="0" fontId="50" fillId="0" borderId="16" xfId="0" applyFont="1" applyBorder="1">
      <alignment vertical="center"/>
    </xf>
    <xf numFmtId="179" fontId="50" fillId="0" borderId="16" xfId="0" applyNumberFormat="1" applyFont="1" applyBorder="1" applyAlignment="1">
      <alignment horizontal="right" vertical="center"/>
    </xf>
    <xf numFmtId="179" fontId="50" fillId="0" borderId="15" xfId="0" applyNumberFormat="1" applyFont="1" applyBorder="1">
      <alignment vertical="center"/>
    </xf>
    <xf numFmtId="179" fontId="50" fillId="0" borderId="16" xfId="0" applyNumberFormat="1" applyFont="1" applyBorder="1">
      <alignment vertical="center"/>
    </xf>
    <xf numFmtId="10" fontId="50" fillId="0" borderId="15" xfId="0" applyNumberFormat="1" applyFont="1" applyBorder="1" applyAlignment="1">
      <alignment horizontal="right" vertical="center"/>
    </xf>
    <xf numFmtId="0" fontId="50" fillId="2" borderId="27" xfId="0" applyFont="1" applyFill="1" applyBorder="1" applyAlignment="1">
      <alignment horizontal="right" vertical="center"/>
    </xf>
    <xf numFmtId="189" fontId="50" fillId="0" borderId="16" xfId="0" applyNumberFormat="1" applyFont="1" applyBorder="1" applyAlignment="1">
      <alignment horizontal="right" vertical="center"/>
    </xf>
    <xf numFmtId="0" fontId="50" fillId="0" borderId="16" xfId="0" quotePrefix="1" applyFont="1" applyBorder="1" applyAlignment="1">
      <alignment horizontal="right" vertical="center"/>
    </xf>
    <xf numFmtId="0" fontId="50" fillId="0" borderId="15" xfId="0" quotePrefix="1" applyFont="1" applyBorder="1" applyAlignment="1">
      <alignment horizontal="right" vertical="center"/>
    </xf>
    <xf numFmtId="10" fontId="50" fillId="3" borderId="16" xfId="0" applyNumberFormat="1" applyFont="1" applyFill="1" applyBorder="1" applyAlignment="1">
      <alignment horizontal="right" vertical="center"/>
    </xf>
    <xf numFmtId="10" fontId="50" fillId="3" borderId="0" xfId="0" applyNumberFormat="1" applyFont="1" applyFill="1" applyAlignment="1">
      <alignment horizontal="right" vertical="center"/>
    </xf>
    <xf numFmtId="10" fontId="50" fillId="0" borderId="6" xfId="0" applyNumberFormat="1" applyFont="1" applyBorder="1" applyAlignment="1">
      <alignment horizontal="right" vertical="center"/>
    </xf>
    <xf numFmtId="10" fontId="50" fillId="0" borderId="4" xfId="0" applyNumberFormat="1" applyFont="1" applyBorder="1" applyAlignment="1">
      <alignment horizontal="right" vertical="center"/>
    </xf>
    <xf numFmtId="10" fontId="50" fillId="0" borderId="1" xfId="0" applyNumberFormat="1" applyFont="1" applyBorder="1" applyAlignment="1">
      <alignment horizontal="right" vertical="center"/>
    </xf>
    <xf numFmtId="10" fontId="50" fillId="0" borderId="1" xfId="0" applyNumberFormat="1" applyFont="1" applyBorder="1">
      <alignment vertical="center"/>
    </xf>
    <xf numFmtId="10" fontId="50" fillId="3" borderId="4" xfId="0" applyNumberFormat="1" applyFont="1" applyFill="1" applyBorder="1" applyAlignment="1">
      <alignment horizontal="right" vertical="center"/>
    </xf>
    <xf numFmtId="10" fontId="50" fillId="3" borderId="4" xfId="0" applyNumberFormat="1" applyFont="1" applyFill="1" applyBorder="1">
      <alignment vertical="center"/>
    </xf>
    <xf numFmtId="179" fontId="50" fillId="3" borderId="16" xfId="0" applyNumberFormat="1" applyFont="1" applyFill="1" applyBorder="1" applyAlignment="1">
      <alignment horizontal="right" vertical="center"/>
    </xf>
    <xf numFmtId="179" fontId="50" fillId="0" borderId="0" xfId="0" applyNumberFormat="1" applyFont="1" applyAlignment="1">
      <alignment horizontal="right" vertical="center"/>
    </xf>
    <xf numFmtId="179" fontId="50" fillId="0" borderId="15" xfId="0" applyNumberFormat="1" applyFont="1" applyBorder="1" applyAlignment="1">
      <alignment horizontal="right" vertical="center"/>
    </xf>
    <xf numFmtId="179" fontId="50" fillId="30" borderId="16" xfId="0" applyNumberFormat="1" applyFont="1" applyFill="1" applyBorder="1">
      <alignment vertical="center"/>
    </xf>
    <xf numFmtId="0" fontId="50" fillId="0" borderId="121" xfId="0" applyFont="1" applyBorder="1" applyAlignment="1">
      <alignment horizontal="center" vertical="center"/>
    </xf>
    <xf numFmtId="0" fontId="50" fillId="0" borderId="122" xfId="0" applyFont="1" applyBorder="1" applyAlignment="1">
      <alignment horizontal="center" vertical="center"/>
    </xf>
    <xf numFmtId="0" fontId="50" fillId="0" borderId="117" xfId="0" applyFont="1" applyBorder="1" applyAlignment="1">
      <alignment horizontal="center" vertical="center"/>
    </xf>
    <xf numFmtId="0" fontId="50" fillId="0" borderId="118" xfId="0" applyFont="1" applyBorder="1" applyAlignment="1">
      <alignment horizontal="center" vertical="center"/>
    </xf>
    <xf numFmtId="0" fontId="50" fillId="0" borderId="118" xfId="0" applyFont="1" applyBorder="1">
      <alignment vertical="center"/>
    </xf>
    <xf numFmtId="0" fontId="50" fillId="0" borderId="119" xfId="0" applyFont="1" applyBorder="1" applyAlignment="1">
      <alignment horizontal="center" vertical="center"/>
    </xf>
    <xf numFmtId="0" fontId="50" fillId="0" borderId="120" xfId="0" applyFont="1" applyBorder="1" applyAlignment="1">
      <alignment horizontal="center" vertical="center"/>
    </xf>
    <xf numFmtId="0" fontId="50" fillId="0" borderId="123" xfId="0" applyFont="1" applyBorder="1" applyAlignment="1">
      <alignment horizontal="center" vertical="center"/>
    </xf>
    <xf numFmtId="0" fontId="50" fillId="0" borderId="124" xfId="0" applyFont="1" applyBorder="1" applyAlignment="1">
      <alignment horizontal="center" vertical="center"/>
    </xf>
    <xf numFmtId="0" fontId="50" fillId="0" borderId="125" xfId="0" applyFont="1" applyBorder="1" applyAlignment="1">
      <alignment horizontal="center" vertical="center"/>
    </xf>
    <xf numFmtId="0" fontId="50" fillId="0" borderId="126" xfId="0" applyFont="1" applyBorder="1" applyAlignment="1">
      <alignment horizontal="center" vertical="center"/>
    </xf>
    <xf numFmtId="0" fontId="50" fillId="0" borderId="127" xfId="0" applyFont="1" applyBorder="1" applyAlignment="1">
      <alignment horizontal="center" vertical="center"/>
    </xf>
    <xf numFmtId="0" fontId="50" fillId="0" borderId="128" xfId="0" applyFont="1" applyBorder="1" applyAlignment="1">
      <alignment horizontal="center" vertical="center"/>
    </xf>
    <xf numFmtId="0" fontId="50" fillId="0" borderId="129" xfId="0" applyFont="1" applyBorder="1" applyAlignment="1">
      <alignment horizontal="center" vertical="center"/>
    </xf>
    <xf numFmtId="0" fontId="50" fillId="0" borderId="130" xfId="0" applyFont="1" applyBorder="1" applyAlignment="1">
      <alignment horizontal="center" vertical="center"/>
    </xf>
    <xf numFmtId="0" fontId="50" fillId="27" borderId="74" xfId="0" applyFont="1" applyFill="1" applyBorder="1">
      <alignment vertical="center"/>
    </xf>
    <xf numFmtId="0" fontId="50" fillId="27" borderId="75" xfId="0" applyFont="1" applyFill="1" applyBorder="1">
      <alignment vertical="center"/>
    </xf>
    <xf numFmtId="0" fontId="50" fillId="28" borderId="68" xfId="0" applyFont="1" applyFill="1" applyBorder="1" applyAlignment="1">
      <alignment horizontal="center" vertical="center"/>
    </xf>
    <xf numFmtId="0" fontId="50" fillId="29" borderId="71" xfId="0" applyFont="1" applyFill="1" applyBorder="1" applyAlignment="1">
      <alignment horizontal="center" vertical="center"/>
    </xf>
    <xf numFmtId="0" fontId="50" fillId="0" borderId="74" xfId="0" applyFont="1" applyBorder="1">
      <alignment vertical="center"/>
    </xf>
    <xf numFmtId="0" fontId="50" fillId="0" borderId="75" xfId="0" applyFont="1" applyBorder="1">
      <alignment vertical="center"/>
    </xf>
    <xf numFmtId="0" fontId="50" fillId="0" borderId="133" xfId="0" applyFont="1" applyBorder="1">
      <alignment vertical="center"/>
    </xf>
    <xf numFmtId="0" fontId="50" fillId="0" borderId="133" xfId="0" applyFont="1" applyBorder="1" applyAlignment="1">
      <alignment horizontal="center" vertical="center"/>
    </xf>
    <xf numFmtId="0" fontId="50" fillId="0" borderId="132" xfId="0" applyFont="1" applyBorder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50" fillId="0" borderId="134" xfId="0" applyFont="1" applyBorder="1" applyAlignment="1">
      <alignment horizontal="center" vertical="center"/>
    </xf>
    <xf numFmtId="0" fontId="50" fillId="0" borderId="134" xfId="0" applyFont="1" applyBorder="1">
      <alignment vertical="center"/>
    </xf>
    <xf numFmtId="0" fontId="50" fillId="0" borderId="135" xfId="0" applyFont="1" applyBorder="1" applyAlignment="1">
      <alignment horizontal="center" vertical="center"/>
    </xf>
    <xf numFmtId="0" fontId="50" fillId="37" borderId="28" xfId="0" applyFont="1" applyFill="1" applyBorder="1" applyAlignment="1">
      <alignment horizontal="center" vertical="center"/>
    </xf>
    <xf numFmtId="0" fontId="50" fillId="37" borderId="9" xfId="0" applyFont="1" applyFill="1" applyBorder="1" applyAlignment="1">
      <alignment horizontal="center" vertical="center"/>
    </xf>
    <xf numFmtId="0" fontId="50" fillId="37" borderId="52" xfId="0" applyFont="1" applyFill="1" applyBorder="1" applyAlignment="1">
      <alignment horizontal="center" vertical="center"/>
    </xf>
    <xf numFmtId="0" fontId="50" fillId="37" borderId="53" xfId="0" applyFont="1" applyFill="1" applyBorder="1" applyAlignment="1">
      <alignment horizontal="center" vertical="center"/>
    </xf>
    <xf numFmtId="0" fontId="50" fillId="37" borderId="54" xfId="0" applyFont="1" applyFill="1" applyBorder="1" applyAlignment="1">
      <alignment horizontal="center" vertical="center"/>
    </xf>
    <xf numFmtId="0" fontId="50" fillId="37" borderId="28" xfId="0" applyFont="1" applyFill="1" applyBorder="1">
      <alignment vertical="center"/>
    </xf>
    <xf numFmtId="0" fontId="50" fillId="37" borderId="9" xfId="0" applyFont="1" applyFill="1" applyBorder="1">
      <alignment vertical="center"/>
    </xf>
    <xf numFmtId="0" fontId="50" fillId="37" borderId="29" xfId="0" applyFont="1" applyFill="1" applyBorder="1">
      <alignment vertical="center"/>
    </xf>
    <xf numFmtId="0" fontId="50" fillId="37" borderId="29" xfId="0" applyFont="1" applyFill="1" applyBorder="1" applyAlignment="1">
      <alignment horizontal="center" vertical="center"/>
    </xf>
    <xf numFmtId="0" fontId="62" fillId="0" borderId="136" xfId="0" applyFont="1" applyBorder="1" applyAlignment="1">
      <alignment horizontal="center" vertical="center"/>
    </xf>
    <xf numFmtId="0" fontId="50" fillId="0" borderId="136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0" fillId="0" borderId="137" xfId="0" applyFont="1" applyBorder="1">
      <alignment vertical="center"/>
    </xf>
    <xf numFmtId="0" fontId="62" fillId="0" borderId="2" xfId="0" applyFont="1" applyBorder="1" applyAlignment="1">
      <alignment horizontal="center" vertical="center"/>
    </xf>
    <xf numFmtId="0" fontId="56" fillId="0" borderId="138" xfId="0" applyFont="1" applyBorder="1" applyAlignment="1">
      <alignment horizontal="center" vertical="center"/>
    </xf>
    <xf numFmtId="0" fontId="50" fillId="27" borderId="139" xfId="0" applyFont="1" applyFill="1" applyBorder="1">
      <alignment vertical="center"/>
    </xf>
    <xf numFmtId="0" fontId="50" fillId="27" borderId="140" xfId="0" applyFont="1" applyFill="1" applyBorder="1" applyAlignment="1">
      <alignment horizontal="center" vertical="center"/>
    </xf>
    <xf numFmtId="0" fontId="50" fillId="27" borderId="140" xfId="0" applyFont="1" applyFill="1" applyBorder="1">
      <alignment vertical="center"/>
    </xf>
    <xf numFmtId="0" fontId="50" fillId="28" borderId="141" xfId="0" applyFont="1" applyFill="1" applyBorder="1" applyAlignment="1">
      <alignment horizontal="center" vertical="center"/>
    </xf>
    <xf numFmtId="0" fontId="50" fillId="28" borderId="142" xfId="0" applyFont="1" applyFill="1" applyBorder="1" applyAlignment="1">
      <alignment horizontal="center" vertical="center"/>
    </xf>
    <xf numFmtId="0" fontId="50" fillId="29" borderId="143" xfId="0" applyFont="1" applyFill="1" applyBorder="1" applyAlignment="1">
      <alignment horizontal="center" vertical="center"/>
    </xf>
    <xf numFmtId="0" fontId="50" fillId="29" borderId="144" xfId="0" applyFont="1" applyFill="1" applyBorder="1" applyAlignment="1">
      <alignment horizontal="center" vertical="center"/>
    </xf>
    <xf numFmtId="0" fontId="50" fillId="0" borderId="141" xfId="0" applyFont="1" applyBorder="1" applyAlignment="1">
      <alignment horizontal="center" vertical="center"/>
    </xf>
    <xf numFmtId="0" fontId="50" fillId="0" borderId="142" xfId="0" applyFont="1" applyBorder="1" applyAlignment="1">
      <alignment horizontal="center" vertical="center"/>
    </xf>
    <xf numFmtId="0" fontId="50" fillId="0" borderId="143" xfId="0" applyFont="1" applyBorder="1" applyAlignment="1">
      <alignment horizontal="center" vertical="center"/>
    </xf>
    <xf numFmtId="0" fontId="50" fillId="0" borderId="144" xfId="0" applyFont="1" applyBorder="1" applyAlignment="1">
      <alignment horizontal="center" vertical="center"/>
    </xf>
    <xf numFmtId="0" fontId="50" fillId="0" borderId="139" xfId="0" applyFont="1" applyBorder="1">
      <alignment vertical="center"/>
    </xf>
    <xf numFmtId="0" fontId="50" fillId="0" borderId="140" xfId="0" applyFont="1" applyBorder="1" applyAlignment="1">
      <alignment horizontal="center" vertical="center"/>
    </xf>
    <xf numFmtId="0" fontId="50" fillId="0" borderId="140" xfId="0" applyFont="1" applyBorder="1">
      <alignment vertical="center"/>
    </xf>
    <xf numFmtId="0" fontId="61" fillId="0" borderId="0" xfId="0" applyFont="1">
      <alignment vertical="center"/>
    </xf>
    <xf numFmtId="0" fontId="53" fillId="0" borderId="0" xfId="0" applyFont="1" applyAlignment="1">
      <alignment horizontal="right" vertical="center"/>
    </xf>
    <xf numFmtId="0" fontId="50" fillId="0" borderId="6" xfId="0" applyFont="1" applyBorder="1" applyAlignment="1">
      <alignment horizontal="center" vertical="center"/>
    </xf>
    <xf numFmtId="0" fontId="50" fillId="0" borderId="145" xfId="0" applyFont="1" applyBorder="1" applyAlignment="1">
      <alignment horizontal="center" vertical="center"/>
    </xf>
    <xf numFmtId="0" fontId="50" fillId="0" borderId="147" xfId="0" applyFont="1" applyBorder="1" applyAlignment="1">
      <alignment horizontal="center" vertical="center"/>
    </xf>
    <xf numFmtId="0" fontId="50" fillId="0" borderId="148" xfId="0" applyFont="1" applyBorder="1" applyAlignment="1">
      <alignment horizontal="center" vertical="center"/>
    </xf>
    <xf numFmtId="0" fontId="50" fillId="0" borderId="149" xfId="0" applyFont="1" applyBorder="1" applyAlignment="1">
      <alignment horizontal="center" vertical="center"/>
    </xf>
    <xf numFmtId="0" fontId="50" fillId="0" borderId="146" xfId="0" applyFont="1" applyBorder="1" applyAlignment="1">
      <alignment horizontal="center" vertical="center"/>
    </xf>
    <xf numFmtId="0" fontId="50" fillId="0" borderId="151" xfId="0" applyFont="1" applyBorder="1" applyAlignment="1">
      <alignment horizontal="center" vertical="center"/>
    </xf>
    <xf numFmtId="0" fontId="50" fillId="0" borderId="152" xfId="0" applyFont="1" applyBorder="1" applyAlignment="1">
      <alignment horizontal="center" vertical="center"/>
    </xf>
    <xf numFmtId="0" fontId="50" fillId="0" borderId="154" xfId="0" applyFont="1" applyBorder="1" applyAlignment="1">
      <alignment horizontal="center" vertical="center"/>
    </xf>
    <xf numFmtId="0" fontId="50" fillId="0" borderId="153" xfId="0" applyFont="1" applyBorder="1" applyAlignment="1">
      <alignment horizontal="center" vertical="center"/>
    </xf>
    <xf numFmtId="0" fontId="50" fillId="0" borderId="155" xfId="0" applyFont="1" applyBorder="1" applyAlignment="1">
      <alignment horizontal="center" vertical="center"/>
    </xf>
    <xf numFmtId="0" fontId="50" fillId="0" borderId="156" xfId="0" applyFont="1" applyBorder="1" applyAlignment="1">
      <alignment horizontal="center" vertical="center"/>
    </xf>
    <xf numFmtId="0" fontId="50" fillId="0" borderId="157" xfId="0" applyFont="1" applyBorder="1" applyAlignment="1">
      <alignment horizontal="center" vertical="center"/>
    </xf>
    <xf numFmtId="0" fontId="50" fillId="0" borderId="158" xfId="0" applyFont="1" applyBorder="1" applyAlignment="1">
      <alignment horizontal="center" vertical="center"/>
    </xf>
    <xf numFmtId="0" fontId="50" fillId="0" borderId="150" xfId="0" applyFont="1" applyBorder="1" applyAlignment="1">
      <alignment horizontal="center" vertical="center"/>
    </xf>
    <xf numFmtId="0" fontId="50" fillId="0" borderId="159" xfId="0" applyFont="1" applyBorder="1" applyAlignment="1">
      <alignment horizontal="center" vertical="center"/>
    </xf>
    <xf numFmtId="0" fontId="50" fillId="38" borderId="74" xfId="0" applyFont="1" applyFill="1" applyBorder="1" applyAlignment="1">
      <alignment horizontal="center" vertical="center"/>
    </xf>
    <xf numFmtId="0" fontId="50" fillId="38" borderId="75" xfId="0" applyFont="1" applyFill="1" applyBorder="1" applyAlignment="1">
      <alignment horizontal="center" vertical="center"/>
    </xf>
    <xf numFmtId="0" fontId="50" fillId="39" borderId="71" xfId="0" applyFont="1" applyFill="1" applyBorder="1" applyAlignment="1">
      <alignment horizontal="center" vertical="center"/>
    </xf>
    <xf numFmtId="0" fontId="50" fillId="39" borderId="73" xfId="0" applyFont="1" applyFill="1" applyBorder="1" applyAlignment="1">
      <alignment horizontal="center" vertical="center"/>
    </xf>
    <xf numFmtId="0" fontId="50" fillId="40" borderId="68" xfId="0" applyFont="1" applyFill="1" applyBorder="1" applyAlignment="1">
      <alignment horizontal="center" vertical="center"/>
    </xf>
    <xf numFmtId="0" fontId="50" fillId="40" borderId="69" xfId="0" applyFont="1" applyFill="1" applyBorder="1" applyAlignment="1">
      <alignment horizontal="center" vertical="center"/>
    </xf>
    <xf numFmtId="0" fontId="50" fillId="41" borderId="160" xfId="0" applyFont="1" applyFill="1" applyBorder="1" applyAlignment="1">
      <alignment horizontal="center" vertical="center"/>
    </xf>
    <xf numFmtId="0" fontId="50" fillId="41" borderId="75" xfId="0" applyFont="1" applyFill="1" applyBorder="1" applyAlignment="1">
      <alignment horizontal="center" vertical="center"/>
    </xf>
    <xf numFmtId="0" fontId="50" fillId="42" borderId="68" xfId="0" applyFont="1" applyFill="1" applyBorder="1" applyAlignment="1">
      <alignment horizontal="center" vertical="center"/>
    </xf>
    <xf numFmtId="0" fontId="50" fillId="42" borderId="69" xfId="0" applyFont="1" applyFill="1" applyBorder="1" applyAlignment="1">
      <alignment horizontal="center" vertical="center"/>
    </xf>
    <xf numFmtId="0" fontId="50" fillId="43" borderId="131" xfId="0" applyFont="1" applyFill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161" xfId="0" applyFont="1" applyBorder="1" applyAlignment="1">
      <alignment horizontal="center" vertical="center"/>
    </xf>
    <xf numFmtId="0" fontId="50" fillId="0" borderId="162" xfId="0" applyFont="1" applyBorder="1" applyAlignment="1">
      <alignment horizontal="center" vertical="center"/>
    </xf>
    <xf numFmtId="0" fontId="50" fillId="27" borderId="139" xfId="0" applyFont="1" applyFill="1" applyBorder="1" applyAlignment="1">
      <alignment horizontal="center" vertical="center"/>
    </xf>
    <xf numFmtId="0" fontId="50" fillId="27" borderId="163" xfId="0" applyFont="1" applyFill="1" applyBorder="1" applyAlignment="1">
      <alignment horizontal="center" vertical="center"/>
    </xf>
    <xf numFmtId="0" fontId="50" fillId="27" borderId="164" xfId="0" applyFont="1" applyFill="1" applyBorder="1" applyAlignment="1">
      <alignment horizontal="center" vertical="center"/>
    </xf>
    <xf numFmtId="0" fontId="50" fillId="27" borderId="165" xfId="0" applyFont="1" applyFill="1" applyBorder="1" applyAlignment="1">
      <alignment horizontal="center" vertical="center"/>
    </xf>
    <xf numFmtId="0" fontId="50" fillId="0" borderId="165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50" fillId="0" borderId="166" xfId="0" applyFont="1" applyBorder="1">
      <alignment vertical="center"/>
    </xf>
    <xf numFmtId="0" fontId="50" fillId="0" borderId="167" xfId="0" applyFont="1" applyBorder="1" applyAlignment="1">
      <alignment horizontal="center" vertical="center"/>
    </xf>
    <xf numFmtId="0" fontId="50" fillId="0" borderId="167" xfId="0" applyFont="1" applyBorder="1">
      <alignment vertical="center"/>
    </xf>
    <xf numFmtId="0" fontId="50" fillId="0" borderId="168" xfId="0" applyFont="1" applyBorder="1" applyAlignment="1">
      <alignment horizontal="center" vertical="center"/>
    </xf>
    <xf numFmtId="0" fontId="50" fillId="0" borderId="169" xfId="0" applyFont="1" applyBorder="1">
      <alignment vertical="center"/>
    </xf>
    <xf numFmtId="0" fontId="50" fillId="0" borderId="169" xfId="0" applyFont="1" applyBorder="1" applyAlignment="1">
      <alignment horizontal="center" vertical="center"/>
    </xf>
    <xf numFmtId="0" fontId="50" fillId="0" borderId="170" xfId="0" applyFont="1" applyBorder="1">
      <alignment vertical="center"/>
    </xf>
    <xf numFmtId="0" fontId="50" fillId="0" borderId="170" xfId="0" applyFont="1" applyBorder="1" applyAlignment="1">
      <alignment horizontal="center" vertical="center"/>
    </xf>
    <xf numFmtId="0" fontId="53" fillId="0" borderId="0" xfId="0" applyFont="1">
      <alignment vertical="center"/>
    </xf>
    <xf numFmtId="0" fontId="53" fillId="0" borderId="118" xfId="0" applyFont="1" applyBorder="1" applyAlignment="1">
      <alignment horizontal="center" vertical="center"/>
    </xf>
    <xf numFmtId="0" fontId="53" fillId="0" borderId="118" xfId="0" applyFont="1" applyBorder="1">
      <alignment vertical="center"/>
    </xf>
    <xf numFmtId="0" fontId="50" fillId="0" borderId="171" xfId="0" applyFont="1" applyBorder="1">
      <alignment vertical="center"/>
    </xf>
    <xf numFmtId="0" fontId="50" fillId="0" borderId="172" xfId="0" applyFont="1" applyBorder="1" applyAlignment="1">
      <alignment horizontal="center" vertical="center"/>
    </xf>
    <xf numFmtId="0" fontId="58" fillId="0" borderId="0" xfId="0" applyFont="1" applyAlignment="1">
      <alignment horizontal="right" vertical="center"/>
    </xf>
    <xf numFmtId="0" fontId="50" fillId="6" borderId="28" xfId="0" applyFont="1" applyFill="1" applyBorder="1" applyAlignment="1">
      <alignment horizontal="center" vertical="center"/>
    </xf>
    <xf numFmtId="0" fontId="61" fillId="3" borderId="0" xfId="0" applyFont="1" applyFill="1">
      <alignment vertical="center"/>
    </xf>
    <xf numFmtId="0" fontId="50" fillId="0" borderId="163" xfId="0" applyFont="1" applyBorder="1" applyAlignment="1">
      <alignment horizontal="center" vertical="center"/>
    </xf>
    <xf numFmtId="0" fontId="50" fillId="0" borderId="173" xfId="0" applyFont="1" applyBorder="1" applyAlignment="1">
      <alignment horizontal="center" vertical="center"/>
    </xf>
    <xf numFmtId="0" fontId="50" fillId="0" borderId="174" xfId="0" applyFont="1" applyBorder="1" applyAlignment="1">
      <alignment horizontal="center" vertical="center"/>
    </xf>
    <xf numFmtId="0" fontId="50" fillId="0" borderId="175" xfId="0" applyFont="1" applyBorder="1" applyAlignment="1">
      <alignment horizontal="center" vertical="center"/>
    </xf>
    <xf numFmtId="0" fontId="50" fillId="0" borderId="139" xfId="0" applyFont="1" applyBorder="1" applyAlignment="1">
      <alignment horizontal="center" vertical="center"/>
    </xf>
    <xf numFmtId="0" fontId="50" fillId="3" borderId="0" xfId="0" applyFont="1" applyFill="1">
      <alignment vertical="center"/>
    </xf>
    <xf numFmtId="0" fontId="61" fillId="3" borderId="0" xfId="0" applyFont="1" applyFill="1" applyAlignment="1">
      <alignment horizontal="right" vertical="center"/>
    </xf>
    <xf numFmtId="0" fontId="50" fillId="3" borderId="0" xfId="0" applyFont="1" applyFill="1" applyAlignment="1">
      <alignment horizontal="center" vertical="center"/>
    </xf>
    <xf numFmtId="0" fontId="50" fillId="0" borderId="176" xfId="0" applyFont="1" applyBorder="1">
      <alignment vertical="center"/>
    </xf>
    <xf numFmtId="0" fontId="50" fillId="0" borderId="177" xfId="0" applyFont="1" applyBorder="1" applyAlignment="1">
      <alignment horizontal="center" vertical="center"/>
    </xf>
    <xf numFmtId="0" fontId="50" fillId="0" borderId="177" xfId="0" applyFont="1" applyBorder="1">
      <alignment vertical="center"/>
    </xf>
    <xf numFmtId="0" fontId="50" fillId="27" borderId="177" xfId="0" applyFont="1" applyFill="1" applyBorder="1" applyAlignment="1">
      <alignment horizontal="center" vertical="center"/>
    </xf>
    <xf numFmtId="0" fontId="50" fillId="27" borderId="177" xfId="0" applyFont="1" applyFill="1" applyBorder="1">
      <alignment vertical="center"/>
    </xf>
    <xf numFmtId="0" fontId="50" fillId="29" borderId="178" xfId="0" applyFont="1" applyFill="1" applyBorder="1" applyAlignment="1">
      <alignment horizontal="center" vertical="center"/>
    </xf>
    <xf numFmtId="0" fontId="61" fillId="3" borderId="0" xfId="0" applyFont="1" applyFill="1" applyAlignment="1">
      <alignment horizontal="left" vertical="center"/>
    </xf>
    <xf numFmtId="0" fontId="50" fillId="30" borderId="16" xfId="0" applyFont="1" applyFill="1" applyBorder="1" applyAlignment="1">
      <alignment horizontal="right" vertical="center"/>
    </xf>
    <xf numFmtId="0" fontId="0" fillId="2" borderId="27" xfId="0" applyFill="1" applyBorder="1" applyAlignment="1">
      <alignment horizontal="right" vertical="center"/>
    </xf>
    <xf numFmtId="0" fontId="13" fillId="35" borderId="0" xfId="0" applyFont="1" applyFill="1">
      <alignment vertical="center"/>
    </xf>
    <xf numFmtId="0" fontId="13" fillId="35" borderId="0" xfId="0" quotePrefix="1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0" fillId="35" borderId="0" xfId="0" applyFont="1" applyFill="1">
      <alignment vertical="center"/>
    </xf>
    <xf numFmtId="0" fontId="13" fillId="35" borderId="27" xfId="0" applyFont="1" applyFill="1" applyBorder="1">
      <alignment vertical="center"/>
    </xf>
    <xf numFmtId="0" fontId="13" fillId="35" borderId="27" xfId="0" applyFont="1" applyFill="1" applyBorder="1" applyAlignment="1">
      <alignment horizontal="right" vertical="center"/>
    </xf>
    <xf numFmtId="0" fontId="1" fillId="0" borderId="0" xfId="0" applyFont="1">
      <alignment vertical="center"/>
    </xf>
    <xf numFmtId="0" fontId="22" fillId="2" borderId="0" xfId="0" applyFont="1" applyFill="1" applyAlignment="1">
      <alignment horizontal="right" vertical="center"/>
    </xf>
    <xf numFmtId="0" fontId="3" fillId="44" borderId="0" xfId="0" applyFont="1" applyFill="1">
      <alignment vertical="center"/>
    </xf>
    <xf numFmtId="0" fontId="0" fillId="44" borderId="32" xfId="0" applyFill="1" applyBorder="1" applyAlignment="1">
      <alignment horizontal="center" vertical="center"/>
    </xf>
    <xf numFmtId="0" fontId="0" fillId="44" borderId="33" xfId="0" applyFill="1" applyBorder="1" applyAlignment="1">
      <alignment horizontal="center" vertical="center"/>
    </xf>
    <xf numFmtId="0" fontId="9" fillId="44" borderId="34" xfId="0" applyFont="1" applyFill="1" applyBorder="1" applyAlignment="1">
      <alignment horizontal="center" vertical="center"/>
    </xf>
    <xf numFmtId="0" fontId="8" fillId="44" borderId="0" xfId="0" applyFont="1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4" borderId="0" xfId="0" applyFill="1">
      <alignment vertical="center"/>
    </xf>
    <xf numFmtId="0" fontId="13" fillId="44" borderId="31" xfId="0" applyFont="1" applyFill="1" applyBorder="1" applyAlignment="1">
      <alignment horizontal="center" vertical="center"/>
    </xf>
    <xf numFmtId="0" fontId="13" fillId="44" borderId="32" xfId="0" applyFont="1" applyFill="1" applyBorder="1" applyAlignment="1">
      <alignment horizontal="center" vertical="center"/>
    </xf>
    <xf numFmtId="0" fontId="13" fillId="44" borderId="33" xfId="0" applyFont="1" applyFill="1" applyBorder="1" applyAlignment="1">
      <alignment horizontal="center" vertical="center"/>
    </xf>
    <xf numFmtId="0" fontId="13" fillId="44" borderId="34" xfId="0" applyFont="1" applyFill="1" applyBorder="1" applyAlignment="1">
      <alignment horizontal="center" vertical="center"/>
    </xf>
    <xf numFmtId="0" fontId="13" fillId="44" borderId="40" xfId="0" applyFont="1" applyFill="1" applyBorder="1">
      <alignment vertical="center"/>
    </xf>
    <xf numFmtId="0" fontId="13" fillId="44" borderId="41" xfId="0" applyFont="1" applyFill="1" applyBorder="1">
      <alignment vertical="center"/>
    </xf>
    <xf numFmtId="0" fontId="0" fillId="44" borderId="44" xfId="0" applyFill="1" applyBorder="1" applyAlignment="1">
      <alignment horizontal="center" vertical="center"/>
    </xf>
    <xf numFmtId="0" fontId="0" fillId="44" borderId="45" xfId="0" applyFill="1" applyBorder="1" applyAlignment="1">
      <alignment horizontal="center" vertical="center"/>
    </xf>
    <xf numFmtId="0" fontId="0" fillId="44" borderId="46" xfId="0" applyFill="1" applyBorder="1" applyAlignment="1">
      <alignment horizontal="center" vertical="center"/>
    </xf>
    <xf numFmtId="0" fontId="0" fillId="44" borderId="47" xfId="0" applyFill="1" applyBorder="1" applyAlignment="1">
      <alignment horizontal="center" vertical="center"/>
    </xf>
    <xf numFmtId="0" fontId="9" fillId="44" borderId="48" xfId="0" applyFont="1" applyFill="1" applyBorder="1" applyAlignment="1">
      <alignment horizontal="center" vertical="center"/>
    </xf>
    <xf numFmtId="0" fontId="8" fillId="44" borderId="49" xfId="0" applyFont="1" applyFill="1" applyBorder="1">
      <alignment vertical="center"/>
    </xf>
    <xf numFmtId="0" fontId="8" fillId="44" borderId="50" xfId="0" applyFont="1" applyFill="1" applyBorder="1">
      <alignment vertical="center"/>
    </xf>
    <xf numFmtId="0" fontId="8" fillId="44" borderId="31" xfId="0" applyFont="1" applyFill="1" applyBorder="1" applyAlignment="1">
      <alignment horizontal="center" vertical="center"/>
    </xf>
    <xf numFmtId="0" fontId="8" fillId="44" borderId="32" xfId="0" applyFont="1" applyFill="1" applyBorder="1" applyAlignment="1">
      <alignment horizontal="center" vertical="center"/>
    </xf>
    <xf numFmtId="0" fontId="8" fillId="44" borderId="33" xfId="0" applyFont="1" applyFill="1" applyBorder="1" applyAlignment="1">
      <alignment horizontal="center" vertical="center"/>
    </xf>
    <xf numFmtId="0" fontId="0" fillId="44" borderId="40" xfId="0" applyFill="1" applyBorder="1" applyAlignment="1">
      <alignment horizontal="center" vertical="center"/>
    </xf>
    <xf numFmtId="0" fontId="0" fillId="44" borderId="41" xfId="0" applyFill="1" applyBorder="1" applyAlignment="1">
      <alignment horizontal="center" vertical="center"/>
    </xf>
    <xf numFmtId="0" fontId="13" fillId="44" borderId="0" xfId="0" applyFont="1" applyFill="1" applyAlignment="1">
      <alignment horizontal="center" vertical="center"/>
    </xf>
    <xf numFmtId="0" fontId="13" fillId="44" borderId="0" xfId="0" applyFont="1" applyFill="1">
      <alignment vertical="center"/>
    </xf>
    <xf numFmtId="0" fontId="10" fillId="35" borderId="0" xfId="0" quotePrefix="1" applyFont="1" applyFill="1">
      <alignment vertical="center"/>
    </xf>
    <xf numFmtId="0" fontId="13" fillId="35" borderId="27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>
      <alignment vertical="center"/>
    </xf>
    <xf numFmtId="0" fontId="68" fillId="0" borderId="0" xfId="0" applyFont="1">
      <alignment vertical="center"/>
    </xf>
    <xf numFmtId="179" fontId="68" fillId="0" borderId="0" xfId="0" applyNumberFormat="1" applyFont="1">
      <alignment vertical="center"/>
    </xf>
    <xf numFmtId="0" fontId="68" fillId="3" borderId="0" xfId="0" applyFont="1" applyFill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50" fillId="0" borderId="4" xfId="0" applyFont="1" applyBorder="1" applyAlignment="1">
      <alignment horizontal="left" vertical="center"/>
    </xf>
    <xf numFmtId="0" fontId="50" fillId="0" borderId="27" xfId="0" applyFont="1" applyBorder="1">
      <alignment vertical="center"/>
    </xf>
    <xf numFmtId="0" fontId="61" fillId="0" borderId="0" xfId="0" applyFont="1" applyAlignment="1">
      <alignment horizontal="left" vertical="center"/>
    </xf>
    <xf numFmtId="0" fontId="52" fillId="3" borderId="0" xfId="0" applyFont="1" applyFill="1" applyAlignment="1">
      <alignment horizontal="left" vertical="center"/>
    </xf>
    <xf numFmtId="0" fontId="50" fillId="0" borderId="2" xfId="0" applyFont="1" applyBorder="1">
      <alignment vertical="center"/>
    </xf>
    <xf numFmtId="0" fontId="50" fillId="29" borderId="186" xfId="0" applyFont="1" applyFill="1" applyBorder="1" applyAlignment="1">
      <alignment horizontal="center" vertical="center"/>
    </xf>
    <xf numFmtId="0" fontId="50" fillId="0" borderId="194" xfId="0" applyFont="1" applyBorder="1" applyAlignment="1">
      <alignment horizontal="right" vertical="center"/>
    </xf>
    <xf numFmtId="0" fontId="50" fillId="0" borderId="72" xfId="0" applyFont="1" applyBorder="1" applyAlignment="1">
      <alignment horizontal="right" vertical="center"/>
    </xf>
    <xf numFmtId="0" fontId="50" fillId="0" borderId="75" xfId="0" applyFont="1" applyBorder="1" applyAlignment="1">
      <alignment horizontal="right" vertical="center"/>
    </xf>
    <xf numFmtId="0" fontId="50" fillId="0" borderId="195" xfId="0" applyFont="1" applyBorder="1" applyAlignment="1">
      <alignment horizontal="center" vertical="center"/>
    </xf>
    <xf numFmtId="0" fontId="50" fillId="0" borderId="19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3" fillId="4" borderId="27" xfId="0" applyFont="1" applyFill="1" applyBorder="1" applyAlignment="1">
      <alignment horizontal="center" vertical="top" wrapText="1"/>
    </xf>
    <xf numFmtId="0" fontId="13" fillId="45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3" fillId="4" borderId="27" xfId="0" applyFont="1" applyFill="1" applyBorder="1" applyAlignment="1">
      <alignment horizontal="center" vertical="center" shrinkToFit="1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0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0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3" fillId="30" borderId="27" xfId="0" applyFont="1" applyFill="1" applyBorder="1" applyAlignment="1">
      <alignment horizontal="center" vertical="center" wrapText="1"/>
    </xf>
    <xf numFmtId="0" fontId="50" fillId="2" borderId="0" xfId="0" applyFont="1" applyFill="1" applyAlignment="1">
      <alignment horizontal="left" vertical="center"/>
    </xf>
    <xf numFmtId="0" fontId="50" fillId="4" borderId="0" xfId="0" applyFont="1" applyFill="1" applyAlignment="1">
      <alignment horizontal="right" vertical="center"/>
    </xf>
    <xf numFmtId="179" fontId="50" fillId="4" borderId="0" xfId="0" applyNumberFormat="1" applyFont="1" applyFill="1" applyAlignment="1">
      <alignment horizontal="right" vertical="center"/>
    </xf>
    <xf numFmtId="192" fontId="50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9" borderId="0" xfId="0" applyFont="1" applyFill="1">
      <alignment vertical="center"/>
    </xf>
    <xf numFmtId="184" fontId="0" fillId="0" borderId="0" xfId="0" applyNumberFormat="1">
      <alignment vertical="center"/>
    </xf>
    <xf numFmtId="186" fontId="13" fillId="0" borderId="0" xfId="0" applyNumberFormat="1" applyFont="1">
      <alignment vertical="center"/>
    </xf>
    <xf numFmtId="184" fontId="13" fillId="0" borderId="0" xfId="0" applyNumberFormat="1" applyFont="1">
      <alignment vertical="center"/>
    </xf>
    <xf numFmtId="179" fontId="13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179" fontId="0" fillId="3" borderId="0" xfId="0" applyNumberFormat="1" applyFill="1">
      <alignment vertical="center"/>
    </xf>
    <xf numFmtId="179" fontId="13" fillId="0" borderId="0" xfId="0" applyNumberFormat="1" applyFont="1">
      <alignment vertical="center"/>
    </xf>
    <xf numFmtId="179" fontId="9" fillId="0" borderId="0" xfId="0" applyNumberFormat="1" applyFont="1" applyAlignment="1">
      <alignment horizontal="right" vertical="center"/>
    </xf>
    <xf numFmtId="179" fontId="0" fillId="0" borderId="21" xfId="0" applyNumberFormat="1" applyBorder="1">
      <alignment vertical="center"/>
    </xf>
    <xf numFmtId="179" fontId="13" fillId="0" borderId="0" xfId="1" applyNumberFormat="1" applyFont="1" applyFill="1" applyBorder="1">
      <alignment vertical="center"/>
    </xf>
    <xf numFmtId="179" fontId="37" fillId="0" borderId="0" xfId="0" applyNumberFormat="1" applyFont="1">
      <alignment vertical="center"/>
    </xf>
    <xf numFmtId="179" fontId="13" fillId="0" borderId="17" xfId="0" applyNumberFormat="1" applyFont="1" applyBorder="1">
      <alignment vertical="center"/>
    </xf>
    <xf numFmtId="179" fontId="13" fillId="0" borderId="21" xfId="0" applyNumberFormat="1" applyFont="1" applyBorder="1">
      <alignment vertical="center"/>
    </xf>
    <xf numFmtId="10" fontId="0" fillId="3" borderId="0" xfId="0" applyNumberFormat="1" applyFill="1">
      <alignment vertical="center"/>
    </xf>
    <xf numFmtId="0" fontId="13" fillId="0" borderId="116" xfId="0" applyFont="1" applyBorder="1" applyAlignment="1">
      <alignment horizontal="center" vertical="center"/>
    </xf>
    <xf numFmtId="0" fontId="13" fillId="44" borderId="8" xfId="0" quotePrefix="1" applyFont="1" applyFill="1" applyBorder="1" applyAlignment="1">
      <alignment horizontal="center" vertical="center"/>
    </xf>
    <xf numFmtId="0" fontId="10" fillId="44" borderId="0" xfId="0" applyFont="1" applyFill="1" applyAlignment="1">
      <alignment horizontal="center" vertical="center"/>
    </xf>
    <xf numFmtId="0" fontId="13" fillId="44" borderId="29" xfId="0" quotePrefix="1" applyFont="1" applyFill="1" applyBorder="1" applyAlignment="1">
      <alignment horizontal="center" vertical="center"/>
    </xf>
    <xf numFmtId="0" fontId="13" fillId="44" borderId="0" xfId="0" applyFont="1" applyFill="1" applyAlignment="1">
      <alignment horizontal="left" vertical="center"/>
    </xf>
    <xf numFmtId="0" fontId="13" fillId="44" borderId="7" xfId="0" applyFont="1" applyFill="1" applyBorder="1" applyAlignment="1">
      <alignment horizontal="center" vertical="center"/>
    </xf>
    <xf numFmtId="0" fontId="13" fillId="44" borderId="6" xfId="0" applyFont="1" applyFill="1" applyBorder="1" applyAlignment="1">
      <alignment horizontal="center" vertical="center"/>
    </xf>
    <xf numFmtId="0" fontId="13" fillId="44" borderId="1" xfId="0" applyFont="1" applyFill="1" applyBorder="1" applyAlignment="1">
      <alignment horizontal="center" vertical="center"/>
    </xf>
    <xf numFmtId="0" fontId="13" fillId="44" borderId="28" xfId="0" applyFont="1" applyFill="1" applyBorder="1" applyAlignment="1">
      <alignment horizontal="center" vertical="center"/>
    </xf>
    <xf numFmtId="193" fontId="50" fillId="8" borderId="0" xfId="0" applyNumberFormat="1" applyFont="1" applyFill="1" applyAlignment="1">
      <alignment horizontal="right" vertical="center"/>
    </xf>
    <xf numFmtId="193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right" vertical="center"/>
    </xf>
    <xf numFmtId="179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left" vertical="center"/>
    </xf>
    <xf numFmtId="0" fontId="50" fillId="0" borderId="2" xfId="0" applyFont="1" applyBorder="1" applyAlignment="1">
      <alignment horizontal="right" vertical="center"/>
    </xf>
    <xf numFmtId="0" fontId="50" fillId="0" borderId="3" xfId="0" applyFont="1" applyBorder="1" applyAlignment="1">
      <alignment horizontal="right" vertical="center"/>
    </xf>
    <xf numFmtId="0" fontId="50" fillId="0" borderId="27" xfId="0" applyFont="1" applyBorder="1" applyAlignment="1">
      <alignment horizontal="right" vertical="center"/>
    </xf>
    <xf numFmtId="0" fontId="50" fillId="4" borderId="0" xfId="0" applyFont="1" applyFill="1" applyAlignment="1">
      <alignment horizontal="left" vertical="center"/>
    </xf>
    <xf numFmtId="182" fontId="50" fillId="0" borderId="0" xfId="0" applyNumberFormat="1" applyFont="1" applyAlignment="1">
      <alignment horizontal="right" vertical="center"/>
    </xf>
    <xf numFmtId="180" fontId="50" fillId="0" borderId="0" xfId="0" applyNumberFormat="1" applyFont="1" applyAlignment="1">
      <alignment horizontal="right" vertical="center"/>
    </xf>
    <xf numFmtId="0" fontId="60" fillId="12" borderId="0" xfId="0" applyFont="1" applyFill="1" applyAlignment="1">
      <alignment horizontal="right" vertical="center"/>
    </xf>
    <xf numFmtId="182" fontId="60" fillId="12" borderId="0" xfId="0" applyNumberFormat="1" applyFont="1" applyFill="1" applyAlignment="1">
      <alignment horizontal="right" vertical="center"/>
    </xf>
    <xf numFmtId="0" fontId="73" fillId="12" borderId="0" xfId="0" applyFont="1" applyFill="1" applyAlignment="1">
      <alignment horizontal="left" vertical="center"/>
    </xf>
    <xf numFmtId="0" fontId="60" fillId="12" borderId="0" xfId="0" applyFont="1" applyFill="1" applyAlignment="1">
      <alignment horizontal="left" vertical="center"/>
    </xf>
    <xf numFmtId="182" fontId="60" fillId="12" borderId="0" xfId="0" applyNumberFormat="1" applyFont="1" applyFill="1" applyAlignment="1">
      <alignment horizontal="left" vertical="center"/>
    </xf>
    <xf numFmtId="0" fontId="60" fillId="12" borderId="0" xfId="0" applyFont="1" applyFill="1">
      <alignment vertical="center"/>
    </xf>
    <xf numFmtId="0" fontId="13" fillId="35" borderId="0" xfId="0" quotePrefix="1" applyFont="1" applyFill="1">
      <alignment vertical="center"/>
    </xf>
    <xf numFmtId="0" fontId="76" fillId="44" borderId="0" xfId="0" applyFont="1" applyFill="1">
      <alignment vertical="center"/>
    </xf>
    <xf numFmtId="0" fontId="13" fillId="2" borderId="27" xfId="0" applyFont="1" applyFill="1" applyBorder="1" applyAlignment="1">
      <alignment horizontal="right" vertical="center"/>
    </xf>
    <xf numFmtId="0" fontId="13" fillId="44" borderId="0" xfId="0" quotePrefix="1" applyFont="1" applyFill="1">
      <alignment vertical="center"/>
    </xf>
    <xf numFmtId="0" fontId="13" fillId="35" borderId="31" xfId="0" applyFont="1" applyFill="1" applyBorder="1" applyAlignment="1">
      <alignment horizontal="center" vertical="center"/>
    </xf>
    <xf numFmtId="0" fontId="13" fillId="35" borderId="32" xfId="0" applyFont="1" applyFill="1" applyBorder="1" applyAlignment="1">
      <alignment horizontal="center" vertical="center"/>
    </xf>
    <xf numFmtId="0" fontId="13" fillId="35" borderId="33" xfId="0" applyFont="1" applyFill="1" applyBorder="1" applyAlignment="1">
      <alignment horizontal="center" vertical="center"/>
    </xf>
    <xf numFmtId="0" fontId="13" fillId="35" borderId="34" xfId="0" applyFont="1" applyFill="1" applyBorder="1" applyAlignment="1">
      <alignment horizontal="center" vertical="center"/>
    </xf>
    <xf numFmtId="0" fontId="10" fillId="35" borderId="0" xfId="0" applyFont="1" applyFill="1" applyAlignment="1">
      <alignment horizontal="left" vertical="center"/>
    </xf>
    <xf numFmtId="0" fontId="10" fillId="44" borderId="0" xfId="0" applyFont="1" applyFill="1" applyAlignment="1">
      <alignment horizontal="left" vertical="center"/>
    </xf>
    <xf numFmtId="0" fontId="13" fillId="35" borderId="28" xfId="0" applyFont="1" applyFill="1" applyBorder="1" applyAlignment="1">
      <alignment horizontal="center" vertical="center"/>
    </xf>
    <xf numFmtId="0" fontId="13" fillId="35" borderId="29" xfId="0" applyFont="1" applyFill="1" applyBorder="1" applyAlignment="1">
      <alignment horizontal="right" vertical="center"/>
    </xf>
    <xf numFmtId="0" fontId="13" fillId="35" borderId="0" xfId="0" quotePrefix="1" applyFont="1" applyFill="1" applyAlignment="1">
      <alignment horizontal="left" vertical="center"/>
    </xf>
    <xf numFmtId="0" fontId="13" fillId="44" borderId="27" xfId="0" applyFont="1" applyFill="1" applyBorder="1">
      <alignment vertical="center"/>
    </xf>
    <xf numFmtId="0" fontId="13" fillId="44" borderId="197" xfId="0" applyFont="1" applyFill="1" applyBorder="1">
      <alignment vertical="center"/>
    </xf>
    <xf numFmtId="0" fontId="13" fillId="44" borderId="0" xfId="0" quotePrefix="1" applyFont="1" applyFill="1" applyAlignment="1">
      <alignment horizontal="center" vertical="center"/>
    </xf>
    <xf numFmtId="0" fontId="13" fillId="44" borderId="201" xfId="0" applyFont="1" applyFill="1" applyBorder="1">
      <alignment vertical="center"/>
    </xf>
    <xf numFmtId="0" fontId="13" fillId="44" borderId="199" xfId="0" applyFont="1" applyFill="1" applyBorder="1">
      <alignment vertical="center"/>
    </xf>
    <xf numFmtId="0" fontId="13" fillId="44" borderId="198" xfId="0" applyFont="1" applyFill="1" applyBorder="1">
      <alignment vertical="center"/>
    </xf>
    <xf numFmtId="0" fontId="13" fillId="44" borderId="200" xfId="0" applyFont="1" applyFill="1" applyBorder="1">
      <alignment vertical="center"/>
    </xf>
    <xf numFmtId="0" fontId="13" fillId="44" borderId="212" xfId="0" applyFont="1" applyFill="1" applyBorder="1">
      <alignment vertical="center"/>
    </xf>
    <xf numFmtId="0" fontId="13" fillId="35" borderId="40" xfId="0" applyFont="1" applyFill="1" applyBorder="1" applyAlignment="1">
      <alignment horizontal="center" vertical="center"/>
    </xf>
    <xf numFmtId="0" fontId="13" fillId="35" borderId="41" xfId="0" applyFont="1" applyFill="1" applyBorder="1" applyAlignment="1">
      <alignment horizontal="center" vertical="center"/>
    </xf>
    <xf numFmtId="0" fontId="13" fillId="45" borderId="0" xfId="0" applyFont="1" applyFill="1">
      <alignment vertical="center"/>
    </xf>
    <xf numFmtId="0" fontId="0" fillId="35" borderId="0" xfId="0" applyFill="1">
      <alignment vertical="center"/>
    </xf>
    <xf numFmtId="0" fontId="0" fillId="10" borderId="34" xfId="0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0" fillId="44" borderId="0" xfId="0" quotePrefix="1" applyFill="1" applyAlignment="1">
      <alignment horizontal="right" vertical="center"/>
    </xf>
    <xf numFmtId="0" fontId="0" fillId="44" borderId="0" xfId="0" applyFill="1" applyAlignment="1">
      <alignment horizontal="right" vertical="center"/>
    </xf>
    <xf numFmtId="0" fontId="0" fillId="44" borderId="31" xfId="0" applyFill="1" applyBorder="1" applyAlignment="1">
      <alignment horizontal="center" vertical="center"/>
    </xf>
    <xf numFmtId="0" fontId="0" fillId="44" borderId="39" xfId="0" applyFill="1" applyBorder="1" applyAlignment="1">
      <alignment horizontal="center" vertical="center"/>
    </xf>
    <xf numFmtId="0" fontId="0" fillId="44" borderId="43" xfId="0" applyFill="1" applyBorder="1" applyAlignment="1">
      <alignment horizontal="center" vertical="center"/>
    </xf>
    <xf numFmtId="0" fontId="0" fillId="44" borderId="34" xfId="0" applyFill="1" applyBorder="1" applyAlignment="1">
      <alignment horizontal="center" vertical="center"/>
    </xf>
    <xf numFmtId="0" fontId="0" fillId="44" borderId="48" xfId="0" applyFill="1" applyBorder="1" applyAlignment="1">
      <alignment horizontal="center" vertical="center"/>
    </xf>
    <xf numFmtId="0" fontId="13" fillId="44" borderId="49" xfId="0" applyFont="1" applyFill="1" applyBorder="1">
      <alignment vertical="center"/>
    </xf>
    <xf numFmtId="0" fontId="13" fillId="44" borderId="50" xfId="0" applyFont="1" applyFill="1" applyBorder="1">
      <alignment vertical="center"/>
    </xf>
    <xf numFmtId="0" fontId="13" fillId="44" borderId="44" xfId="0" applyFont="1" applyFill="1" applyBorder="1" applyAlignment="1">
      <alignment horizontal="center" vertical="center"/>
    </xf>
    <xf numFmtId="0" fontId="13" fillId="44" borderId="45" xfId="0" applyFont="1" applyFill="1" applyBorder="1" applyAlignment="1">
      <alignment horizontal="center" vertical="center"/>
    </xf>
    <xf numFmtId="0" fontId="13" fillId="44" borderId="46" xfId="0" applyFont="1" applyFill="1" applyBorder="1" applyAlignment="1">
      <alignment horizontal="center" vertical="center"/>
    </xf>
    <xf numFmtId="0" fontId="13" fillId="44" borderId="47" xfId="0" applyFont="1" applyFill="1" applyBorder="1" applyAlignment="1">
      <alignment horizontal="center" vertical="center"/>
    </xf>
    <xf numFmtId="0" fontId="13" fillId="44" borderId="48" xfId="0" applyFont="1" applyFill="1" applyBorder="1" applyAlignment="1">
      <alignment horizontal="center" vertical="center"/>
    </xf>
    <xf numFmtId="0" fontId="13" fillId="44" borderId="0" xfId="0" quotePrefix="1" applyFont="1" applyFill="1" applyAlignment="1">
      <alignment horizontal="right" vertical="center"/>
    </xf>
    <xf numFmtId="0" fontId="0" fillId="44" borderId="0" xfId="0" applyFill="1" applyAlignment="1">
      <alignment horizontal="left" vertical="center"/>
    </xf>
    <xf numFmtId="0" fontId="47" fillId="44" borderId="0" xfId="0" applyFont="1" applyFill="1" applyAlignment="1">
      <alignment horizontal="left" vertical="center"/>
    </xf>
    <xf numFmtId="9" fontId="0" fillId="0" borderId="0" xfId="0" applyNumberFormat="1">
      <alignment vertical="center"/>
    </xf>
    <xf numFmtId="0" fontId="50" fillId="0" borderId="53" xfId="0" applyFont="1" applyBorder="1" applyAlignment="1">
      <alignment horizontal="center" vertical="center"/>
    </xf>
    <xf numFmtId="0" fontId="50" fillId="0" borderId="216" xfId="0" applyFont="1" applyBorder="1" applyAlignment="1">
      <alignment horizontal="center" vertical="center"/>
    </xf>
    <xf numFmtId="0" fontId="50" fillId="0" borderId="217" xfId="0" applyFont="1" applyBorder="1" applyAlignment="1">
      <alignment horizontal="center" vertical="center"/>
    </xf>
    <xf numFmtId="193" fontId="50" fillId="0" borderId="0" xfId="0" applyNumberFormat="1" applyFont="1" applyAlignment="1">
      <alignment horizontal="right" vertical="center"/>
    </xf>
    <xf numFmtId="0" fontId="50" fillId="3" borderId="0" xfId="0" quotePrefix="1" applyFont="1" applyFill="1">
      <alignment vertical="center"/>
    </xf>
    <xf numFmtId="0" fontId="50" fillId="29" borderId="177" xfId="0" applyFont="1" applyFill="1" applyBorder="1" applyAlignment="1">
      <alignment horizontal="center" vertical="center"/>
    </xf>
    <xf numFmtId="0" fontId="50" fillId="28" borderId="218" xfId="0" applyFont="1" applyFill="1" applyBorder="1" applyAlignment="1">
      <alignment horizontal="center" vertical="center"/>
    </xf>
    <xf numFmtId="0" fontId="50" fillId="28" borderId="219" xfId="0" applyFont="1" applyFill="1" applyBorder="1" applyAlignment="1">
      <alignment horizontal="center" vertical="center"/>
    </xf>
    <xf numFmtId="0" fontId="50" fillId="0" borderId="218" xfId="0" applyFont="1" applyBorder="1" applyAlignment="1">
      <alignment horizontal="center" vertical="center"/>
    </xf>
    <xf numFmtId="0" fontId="50" fillId="0" borderId="220" xfId="0" applyFont="1" applyBorder="1" applyAlignment="1">
      <alignment horizontal="center" vertical="center"/>
    </xf>
    <xf numFmtId="0" fontId="50" fillId="0" borderId="182" xfId="0" applyFont="1" applyBorder="1" applyAlignment="1">
      <alignment horizontal="center" vertical="center"/>
    </xf>
    <xf numFmtId="0" fontId="50" fillId="0" borderId="221" xfId="0" applyFont="1" applyBorder="1" applyAlignment="1">
      <alignment horizontal="center" vertical="center"/>
    </xf>
    <xf numFmtId="0" fontId="50" fillId="0" borderId="222" xfId="0" applyFont="1" applyBorder="1" applyAlignment="1">
      <alignment horizontal="center" vertical="center"/>
    </xf>
    <xf numFmtId="0" fontId="50" fillId="0" borderId="94" xfId="0" applyFont="1" applyBorder="1" applyAlignment="1">
      <alignment horizontal="center" vertical="center"/>
    </xf>
    <xf numFmtId="0" fontId="50" fillId="0" borderId="181" xfId="0" applyFont="1" applyBorder="1" applyAlignment="1">
      <alignment horizontal="center" vertical="center"/>
    </xf>
    <xf numFmtId="0" fontId="65" fillId="0" borderId="0" xfId="0" applyFont="1">
      <alignment vertical="center"/>
    </xf>
    <xf numFmtId="184" fontId="65" fillId="0" borderId="0" xfId="0" applyNumberFormat="1" applyFont="1">
      <alignment vertical="center"/>
    </xf>
    <xf numFmtId="10" fontId="65" fillId="0" borderId="0" xfId="0" applyNumberFormat="1" applyFont="1" applyAlignment="1">
      <alignment horizontal="right" vertical="center"/>
    </xf>
    <xf numFmtId="180" fontId="0" fillId="3" borderId="0" xfId="0" applyNumberFormat="1" applyFill="1">
      <alignment vertical="center"/>
    </xf>
    <xf numFmtId="180" fontId="68" fillId="3" borderId="0" xfId="0" applyNumberFormat="1" applyFont="1" applyFill="1" applyAlignment="1">
      <alignment horizontal="center" vertical="center"/>
    </xf>
    <xf numFmtId="0" fontId="0" fillId="8" borderId="0" xfId="0" applyFill="1">
      <alignment vertical="center"/>
    </xf>
    <xf numFmtId="0" fontId="83" fillId="12" borderId="3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27" xfId="0" applyFont="1" applyBorder="1" applyAlignment="1">
      <alignment horizontal="center" vertical="center"/>
    </xf>
    <xf numFmtId="0" fontId="83" fillId="12" borderId="0" xfId="0" applyFont="1" applyFill="1" applyAlignment="1">
      <alignment horizontal="center" vertical="center"/>
    </xf>
    <xf numFmtId="0" fontId="61" fillId="0" borderId="187" xfId="0" applyFont="1" applyBorder="1" applyAlignment="1">
      <alignment horizontal="center" vertical="center"/>
    </xf>
    <xf numFmtId="0" fontId="61" fillId="0" borderId="188" xfId="0" applyFont="1" applyBorder="1" applyAlignment="1">
      <alignment horizontal="center" vertical="center"/>
    </xf>
    <xf numFmtId="0" fontId="61" fillId="0" borderId="189" xfId="0" applyFont="1" applyBorder="1" applyAlignment="1">
      <alignment horizontal="center" vertical="center"/>
    </xf>
    <xf numFmtId="0" fontId="61" fillId="0" borderId="190" xfId="0" applyFont="1" applyBorder="1" applyAlignment="1">
      <alignment horizontal="center" vertical="center"/>
    </xf>
    <xf numFmtId="0" fontId="61" fillId="0" borderId="191" xfId="0" applyFont="1" applyBorder="1" applyAlignment="1">
      <alignment horizontal="center" vertical="center"/>
    </xf>
    <xf numFmtId="0" fontId="61" fillId="0" borderId="192" xfId="0" applyFont="1" applyBorder="1" applyAlignment="1">
      <alignment horizontal="center" vertical="center"/>
    </xf>
    <xf numFmtId="0" fontId="61" fillId="0" borderId="193" xfId="0" applyFont="1" applyBorder="1" applyAlignment="1">
      <alignment horizontal="center" vertical="center"/>
    </xf>
    <xf numFmtId="0" fontId="83" fillId="12" borderId="0" xfId="0" applyFont="1" applyFill="1" applyAlignment="1">
      <alignment horizontal="right" vertical="center"/>
    </xf>
    <xf numFmtId="0" fontId="61" fillId="0" borderId="204" xfId="0" applyFont="1" applyBorder="1" applyAlignment="1">
      <alignment horizontal="center" vertical="center"/>
    </xf>
    <xf numFmtId="0" fontId="61" fillId="0" borderId="205" xfId="0" applyFont="1" applyBorder="1" applyAlignment="1">
      <alignment horizontal="center" vertical="center"/>
    </xf>
    <xf numFmtId="0" fontId="61" fillId="0" borderId="206" xfId="0" applyFont="1" applyBorder="1" applyAlignment="1">
      <alignment horizontal="center" vertical="center"/>
    </xf>
    <xf numFmtId="0" fontId="61" fillId="0" borderId="207" xfId="0" applyFont="1" applyBorder="1" applyAlignment="1">
      <alignment horizontal="center" vertical="center"/>
    </xf>
    <xf numFmtId="0" fontId="61" fillId="0" borderId="208" xfId="0" applyFont="1" applyBorder="1" applyAlignment="1">
      <alignment horizontal="center" vertical="center"/>
    </xf>
    <xf numFmtId="0" fontId="61" fillId="0" borderId="209" xfId="0" applyFont="1" applyBorder="1" applyAlignment="1">
      <alignment horizontal="center" vertical="center"/>
    </xf>
    <xf numFmtId="0" fontId="61" fillId="0" borderId="210" xfId="0" applyFont="1" applyBorder="1" applyAlignment="1">
      <alignment horizontal="center" vertical="center"/>
    </xf>
    <xf numFmtId="0" fontId="61" fillId="0" borderId="211" xfId="0" applyFont="1" applyBorder="1" applyAlignment="1">
      <alignment horizontal="center" vertical="center"/>
    </xf>
    <xf numFmtId="0" fontId="61" fillId="12" borderId="0" xfId="0" applyFont="1" applyFill="1" applyAlignment="1">
      <alignment horizontal="center" vertical="center"/>
    </xf>
    <xf numFmtId="0" fontId="61" fillId="12" borderId="0" xfId="0" applyFont="1" applyFill="1" applyAlignment="1">
      <alignment horizontal="right" vertical="center"/>
    </xf>
    <xf numFmtId="0" fontId="83" fillId="12" borderId="2" xfId="0" applyFont="1" applyFill="1" applyBorder="1" applyAlignment="1">
      <alignment horizontal="center" vertical="center"/>
    </xf>
    <xf numFmtId="0" fontId="83" fillId="12" borderId="51" xfId="0" applyFont="1" applyFill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4" fillId="0" borderId="0" xfId="0" applyFont="1">
      <alignment vertical="center"/>
    </xf>
    <xf numFmtId="0" fontId="50" fillId="0" borderId="99" xfId="0" applyFont="1" applyBorder="1">
      <alignment vertical="center"/>
    </xf>
    <xf numFmtId="0" fontId="50" fillId="0" borderId="180" xfId="0" applyFont="1" applyBorder="1" applyAlignment="1">
      <alignment horizontal="center" vertical="center"/>
    </xf>
    <xf numFmtId="0" fontId="50" fillId="0" borderId="223" xfId="0" applyFont="1" applyBorder="1" applyAlignment="1">
      <alignment horizontal="center" vertical="center"/>
    </xf>
    <xf numFmtId="0" fontId="50" fillId="0" borderId="224" xfId="0" applyFont="1" applyBorder="1" applyAlignment="1">
      <alignment horizontal="center" vertical="center"/>
    </xf>
    <xf numFmtId="0" fontId="50" fillId="0" borderId="225" xfId="0" applyFont="1" applyBorder="1" applyAlignment="1">
      <alignment horizontal="center" vertical="center"/>
    </xf>
    <xf numFmtId="0" fontId="50" fillId="0" borderId="226" xfId="0" applyFont="1" applyBorder="1" applyAlignment="1">
      <alignment horizontal="center" vertical="center"/>
    </xf>
    <xf numFmtId="0" fontId="50" fillId="0" borderId="161" xfId="0" applyFont="1" applyBorder="1">
      <alignment vertical="center"/>
    </xf>
    <xf numFmtId="0" fontId="50" fillId="0" borderId="194" xfId="0" applyFont="1" applyBorder="1" applyAlignment="1">
      <alignment horizontal="center" vertical="center"/>
    </xf>
    <xf numFmtId="0" fontId="50" fillId="0" borderId="194" xfId="0" applyFont="1" applyBorder="1">
      <alignment vertical="center"/>
    </xf>
    <xf numFmtId="0" fontId="50" fillId="0" borderId="184" xfId="0" applyFont="1" applyBorder="1">
      <alignment vertical="center"/>
    </xf>
    <xf numFmtId="0" fontId="50" fillId="0" borderId="227" xfId="0" applyFont="1" applyBorder="1">
      <alignment vertical="center"/>
    </xf>
    <xf numFmtId="0" fontId="50" fillId="0" borderId="228" xfId="0" applyFont="1" applyBorder="1" applyAlignment="1">
      <alignment horizontal="center" vertical="center"/>
    </xf>
    <xf numFmtId="0" fontId="50" fillId="0" borderId="229" xfId="0" applyFont="1" applyBorder="1" applyAlignment="1">
      <alignment horizontal="center" vertical="center"/>
    </xf>
    <xf numFmtId="0" fontId="50" fillId="0" borderId="230" xfId="0" applyFont="1" applyBorder="1" applyAlignment="1">
      <alignment horizontal="center" vertical="center"/>
    </xf>
    <xf numFmtId="0" fontId="50" fillId="0" borderId="185" xfId="0" applyFont="1" applyBorder="1" applyAlignment="1">
      <alignment horizontal="center" vertical="center"/>
    </xf>
    <xf numFmtId="0" fontId="50" fillId="0" borderId="202" xfId="0" applyFont="1" applyBorder="1" applyAlignment="1">
      <alignment horizontal="center" vertical="center"/>
    </xf>
    <xf numFmtId="0" fontId="50" fillId="0" borderId="203" xfId="0" applyFont="1" applyBorder="1" applyAlignment="1">
      <alignment horizontal="center" vertical="center"/>
    </xf>
    <xf numFmtId="0" fontId="50" fillId="0" borderId="231" xfId="0" applyFont="1" applyBorder="1" applyAlignment="1">
      <alignment horizontal="center" vertical="center"/>
    </xf>
    <xf numFmtId="0" fontId="50" fillId="0" borderId="232" xfId="0" applyFont="1" applyBorder="1" applyAlignment="1">
      <alignment horizontal="center" vertical="center"/>
    </xf>
    <xf numFmtId="0" fontId="50" fillId="0" borderId="183" xfId="0" applyFont="1" applyBorder="1" applyAlignment="1">
      <alignment horizontal="center" vertical="center"/>
    </xf>
    <xf numFmtId="0" fontId="50" fillId="0" borderId="215" xfId="0" applyFont="1" applyBorder="1" applyAlignment="1">
      <alignment horizontal="center" vertical="center"/>
    </xf>
    <xf numFmtId="0" fontId="50" fillId="0" borderId="233" xfId="0" applyFont="1" applyBorder="1" applyAlignment="1">
      <alignment horizontal="center" vertical="center"/>
    </xf>
    <xf numFmtId="0" fontId="50" fillId="0" borderId="214" xfId="0" applyFont="1" applyBorder="1" applyAlignment="1">
      <alignment horizontal="center" vertical="center"/>
    </xf>
    <xf numFmtId="0" fontId="50" fillId="0" borderId="234" xfId="0" applyFont="1" applyBorder="1" applyAlignment="1">
      <alignment horizontal="center" vertical="center"/>
    </xf>
    <xf numFmtId="0" fontId="50" fillId="0" borderId="235" xfId="0" applyFont="1" applyBorder="1" applyAlignment="1">
      <alignment horizontal="center" vertical="center"/>
    </xf>
    <xf numFmtId="0" fontId="50" fillId="27" borderId="146" xfId="0" applyFont="1" applyFill="1" applyBorder="1">
      <alignment vertical="center"/>
    </xf>
    <xf numFmtId="0" fontId="50" fillId="0" borderId="233" xfId="0" applyFont="1" applyBorder="1">
      <alignment vertical="center"/>
    </xf>
    <xf numFmtId="0" fontId="50" fillId="0" borderId="214" xfId="0" applyFont="1" applyBorder="1">
      <alignment vertical="center"/>
    </xf>
    <xf numFmtId="0" fontId="36" fillId="12" borderId="27" xfId="0" applyFont="1" applyFill="1" applyBorder="1" applyAlignment="1">
      <alignment horizontal="center" vertical="center"/>
    </xf>
    <xf numFmtId="0" fontId="10" fillId="44" borderId="0" xfId="0" applyFont="1" applyFill="1">
      <alignment vertical="center"/>
    </xf>
    <xf numFmtId="0" fontId="3" fillId="0" borderId="30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0" fillId="45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45" borderId="2" xfId="0" applyFill="1" applyBorder="1">
      <alignment vertical="center"/>
    </xf>
    <xf numFmtId="0" fontId="0" fillId="45" borderId="1" xfId="0" applyFill="1" applyBorder="1">
      <alignment vertical="center"/>
    </xf>
    <xf numFmtId="0" fontId="53" fillId="0" borderId="27" xfId="0" applyFont="1" applyBorder="1" applyAlignment="1">
      <alignment horizontal="center" vertical="center"/>
    </xf>
    <xf numFmtId="0" fontId="56" fillId="0" borderId="27" xfId="0" applyFont="1" applyBorder="1" applyAlignment="1">
      <alignment horizontal="center" vertical="center"/>
    </xf>
    <xf numFmtId="190" fontId="53" fillId="0" borderId="7" xfId="0" quotePrefix="1" applyNumberFormat="1" applyFont="1" applyBorder="1" applyAlignment="1">
      <alignment horizontal="left" vertical="center"/>
    </xf>
    <xf numFmtId="0" fontId="50" fillId="0" borderId="236" xfId="0" applyFont="1" applyBorder="1" applyAlignment="1">
      <alignment horizontal="center" vertical="center"/>
    </xf>
    <xf numFmtId="0" fontId="50" fillId="0" borderId="237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0" fillId="0" borderId="238" xfId="0" applyFont="1" applyBorder="1" applyAlignment="1">
      <alignment horizontal="center" vertical="center"/>
    </xf>
    <xf numFmtId="0" fontId="53" fillId="0" borderId="5" xfId="0" quotePrefix="1" applyFont="1" applyBorder="1" applyAlignment="1">
      <alignment horizontal="center" vertical="center"/>
    </xf>
    <xf numFmtId="190" fontId="53" fillId="0" borderId="5" xfId="0" quotePrefix="1" applyNumberFormat="1" applyFont="1" applyBorder="1" applyAlignment="1">
      <alignment horizontal="center" vertical="center"/>
    </xf>
    <xf numFmtId="0" fontId="56" fillId="0" borderId="2" xfId="0" quotePrefix="1" applyFont="1" applyBorder="1" applyAlignment="1">
      <alignment horizontal="center" vertical="center"/>
    </xf>
    <xf numFmtId="0" fontId="56" fillId="0" borderId="239" xfId="0" applyFont="1" applyBorder="1" applyAlignment="1">
      <alignment horizontal="center" vertical="center"/>
    </xf>
    <xf numFmtId="0" fontId="56" fillId="0" borderId="240" xfId="0" applyFont="1" applyBorder="1" applyAlignment="1">
      <alignment horizontal="center" vertical="center"/>
    </xf>
    <xf numFmtId="0" fontId="53" fillId="0" borderId="65" xfId="0" applyFont="1" applyBorder="1" applyAlignment="1">
      <alignment horizontal="center" vertical="center"/>
    </xf>
    <xf numFmtId="0" fontId="53" fillId="0" borderId="241" xfId="0" applyFont="1" applyBorder="1" applyAlignment="1">
      <alignment horizontal="center" vertical="center"/>
    </xf>
    <xf numFmtId="0" fontId="53" fillId="0" borderId="202" xfId="0" applyFont="1" applyBorder="1" applyAlignment="1">
      <alignment horizontal="center" vertical="center"/>
    </xf>
    <xf numFmtId="0" fontId="61" fillId="0" borderId="4" xfId="0" applyFont="1" applyBorder="1" applyAlignment="1">
      <alignment horizontal="right" vertical="center"/>
    </xf>
    <xf numFmtId="0" fontId="50" fillId="0" borderId="239" xfId="0" applyFont="1" applyBorder="1" applyAlignment="1">
      <alignment horizontal="center" vertical="center"/>
    </xf>
    <xf numFmtId="0" fontId="50" fillId="0" borderId="240" xfId="0" applyFont="1" applyBorder="1" applyAlignment="1">
      <alignment horizontal="center" vertical="center"/>
    </xf>
    <xf numFmtId="0" fontId="50" fillId="0" borderId="242" xfId="0" applyFont="1" applyBorder="1" applyAlignment="1">
      <alignment horizontal="center" vertical="center"/>
    </xf>
    <xf numFmtId="0" fontId="53" fillId="0" borderId="7" xfId="0" quotePrefix="1" applyFont="1" applyBorder="1" applyAlignment="1">
      <alignment horizontal="left" vertical="center"/>
    </xf>
    <xf numFmtId="0" fontId="53" fillId="0" borderId="5" xfId="0" applyFont="1" applyBorder="1" applyAlignment="1">
      <alignment horizontal="left" vertical="center"/>
    </xf>
    <xf numFmtId="0" fontId="53" fillId="0" borderId="8" xfId="0" applyFont="1" applyBorder="1" applyAlignment="1">
      <alignment horizontal="left" vertical="center"/>
    </xf>
    <xf numFmtId="0" fontId="53" fillId="0" borderId="4" xfId="0" applyFont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0" fillId="0" borderId="243" xfId="0" applyFont="1" applyBorder="1" applyAlignment="1">
      <alignment horizontal="center" vertical="center"/>
    </xf>
    <xf numFmtId="183" fontId="50" fillId="8" borderId="0" xfId="0" quotePrefix="1" applyNumberFormat="1" applyFont="1" applyFill="1" applyAlignment="1">
      <alignment horizontal="right" vertical="center"/>
    </xf>
    <xf numFmtId="194" fontId="50" fillId="0" borderId="0" xfId="0" applyNumberFormat="1" applyFont="1" applyAlignment="1">
      <alignment horizontal="right" vertical="center"/>
    </xf>
    <xf numFmtId="195" fontId="50" fillId="8" borderId="0" xfId="0" applyNumberFormat="1" applyFont="1" applyFill="1" applyAlignment="1">
      <alignment horizontal="right" vertical="center"/>
    </xf>
    <xf numFmtId="195" fontId="50" fillId="0" borderId="0" xfId="0" applyNumberFormat="1" applyFont="1" applyAlignment="1">
      <alignment horizontal="right" vertical="center"/>
    </xf>
    <xf numFmtId="10" fontId="13" fillId="3" borderId="0" xfId="0" applyNumberFormat="1" applyFont="1" applyFill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89" fillId="2" borderId="0" xfId="0" applyFont="1" applyFill="1" applyAlignment="1">
      <alignment horizontal="right" vertical="center"/>
    </xf>
    <xf numFmtId="189" fontId="50" fillId="2" borderId="0" xfId="0" applyNumberFormat="1" applyFont="1" applyFill="1" applyAlignment="1">
      <alignment horizontal="right" vertical="center"/>
    </xf>
    <xf numFmtId="0" fontId="90" fillId="2" borderId="0" xfId="0" applyFont="1" applyFill="1">
      <alignment vertical="center"/>
    </xf>
    <xf numFmtId="185" fontId="50" fillId="2" borderId="0" xfId="0" applyNumberFormat="1" applyFont="1" applyFill="1" applyAlignment="1">
      <alignment horizontal="right" vertical="center"/>
    </xf>
    <xf numFmtId="178" fontId="50" fillId="0" borderId="0" xfId="0" applyNumberFormat="1" applyFont="1" applyAlignment="1">
      <alignment horizontal="right" vertical="center"/>
    </xf>
    <xf numFmtId="0" fontId="56" fillId="0" borderId="51" xfId="0" applyFont="1" applyBorder="1" applyAlignment="1">
      <alignment horizontal="center" vertical="center"/>
    </xf>
    <xf numFmtId="0" fontId="61" fillId="3" borderId="246" xfId="0" applyFont="1" applyFill="1" applyBorder="1">
      <alignment vertical="center"/>
    </xf>
    <xf numFmtId="0" fontId="61" fillId="3" borderId="247" xfId="0" applyFont="1" applyFill="1" applyBorder="1" applyAlignment="1">
      <alignment horizontal="right" vertical="center"/>
    </xf>
    <xf numFmtId="0" fontId="50" fillId="3" borderId="247" xfId="0" applyFont="1" applyFill="1" applyBorder="1" applyAlignment="1">
      <alignment horizontal="center" vertical="center"/>
    </xf>
    <xf numFmtId="0" fontId="50" fillId="3" borderId="247" xfId="0" applyFont="1" applyFill="1" applyBorder="1">
      <alignment vertical="center"/>
    </xf>
    <xf numFmtId="0" fontId="50" fillId="3" borderId="248" xfId="0" applyFont="1" applyFill="1" applyBorder="1">
      <alignment vertical="center"/>
    </xf>
    <xf numFmtId="0" fontId="50" fillId="0" borderId="184" xfId="0" applyFont="1" applyBorder="1" applyAlignment="1">
      <alignment horizontal="center" vertical="center"/>
    </xf>
    <xf numFmtId="0" fontId="50" fillId="0" borderId="249" xfId="0" applyFont="1" applyBorder="1" applyAlignment="1">
      <alignment horizontal="center" vertical="center"/>
    </xf>
    <xf numFmtId="0" fontId="50" fillId="0" borderId="250" xfId="0" applyFont="1" applyBorder="1">
      <alignment vertical="center"/>
    </xf>
    <xf numFmtId="0" fontId="50" fillId="0" borderId="249" xfId="0" applyFont="1" applyBorder="1">
      <alignment vertical="center"/>
    </xf>
    <xf numFmtId="0" fontId="50" fillId="30" borderId="0" xfId="0" applyFont="1" applyFill="1" applyAlignment="1">
      <alignment horizontal="right" vertical="center"/>
    </xf>
    <xf numFmtId="0" fontId="11" fillId="35" borderId="0" xfId="0" applyFont="1" applyFill="1">
      <alignment vertical="center"/>
    </xf>
    <xf numFmtId="17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80" fontId="13" fillId="3" borderId="0" xfId="0" applyNumberFormat="1" applyFont="1" applyFill="1" applyAlignment="1">
      <alignment horizontal="right" vertical="center"/>
    </xf>
    <xf numFmtId="0" fontId="0" fillId="21" borderId="0" xfId="0" applyFill="1" applyAlignment="1">
      <alignment horizontal="center" vertical="center"/>
    </xf>
    <xf numFmtId="10" fontId="69" fillId="48" borderId="0" xfId="0" applyNumberFormat="1" applyFont="1" applyFill="1" applyAlignment="1">
      <alignment horizontal="center" vertical="center"/>
    </xf>
    <xf numFmtId="0" fontId="94" fillId="9" borderId="0" xfId="0" applyFont="1" applyFill="1">
      <alignment vertical="center"/>
    </xf>
    <xf numFmtId="0" fontId="14" fillId="8" borderId="0" xfId="0" applyFont="1" applyFill="1" applyAlignment="1">
      <alignment horizontal="right" vertical="center"/>
    </xf>
    <xf numFmtId="180" fontId="13" fillId="0" borderId="0" xfId="0" applyNumberFormat="1" applyFont="1" applyAlignment="1">
      <alignment horizontal="right" vertical="center"/>
    </xf>
    <xf numFmtId="180" fontId="94" fillId="4" borderId="0" xfId="0" applyNumberFormat="1" applyFont="1" applyFill="1" applyAlignment="1">
      <alignment horizontal="left" vertical="center"/>
    </xf>
    <xf numFmtId="180" fontId="94" fillId="4" borderId="0" xfId="0" applyNumberFormat="1" applyFont="1" applyFill="1" applyAlignment="1">
      <alignment horizontal="right" vertical="center"/>
    </xf>
    <xf numFmtId="0" fontId="0" fillId="8" borderId="0" xfId="0" quotePrefix="1" applyFill="1" applyAlignment="1">
      <alignment horizontal="center" vertical="center"/>
    </xf>
    <xf numFmtId="0" fontId="36" fillId="46" borderId="0" xfId="0" applyFont="1" applyFill="1" applyAlignment="1">
      <alignment horizontal="center" vertical="center"/>
    </xf>
    <xf numFmtId="0" fontId="36" fillId="46" borderId="0" xfId="0" applyFont="1" applyFill="1" applyAlignment="1">
      <alignment horizontal="left" vertical="center"/>
    </xf>
    <xf numFmtId="0" fontId="36" fillId="46" borderId="0" xfId="0" applyFont="1" applyFill="1">
      <alignment vertical="center"/>
    </xf>
    <xf numFmtId="0" fontId="36" fillId="46" borderId="0" xfId="0" applyFont="1" applyFill="1" applyAlignment="1">
      <alignment horizontal="right" vertical="center"/>
    </xf>
    <xf numFmtId="0" fontId="10" fillId="8" borderId="0" xfId="0" applyFont="1" applyFill="1" applyAlignment="1">
      <alignment horizontal="center" vertical="center"/>
    </xf>
    <xf numFmtId="0" fontId="0" fillId="49" borderId="0" xfId="0" applyFill="1">
      <alignment vertical="center"/>
    </xf>
    <xf numFmtId="188" fontId="0" fillId="49" borderId="0" xfId="0" applyNumberFormat="1" applyFill="1" applyAlignment="1">
      <alignment horizontal="center" vertical="center"/>
    </xf>
    <xf numFmtId="188" fontId="0" fillId="49" borderId="0" xfId="0" applyNumberFormat="1" applyFill="1" applyAlignment="1">
      <alignment horizontal="left" vertical="center"/>
    </xf>
    <xf numFmtId="179" fontId="0" fillId="49" borderId="0" xfId="0" applyNumberFormat="1" applyFill="1" applyAlignment="1">
      <alignment horizontal="center" vertical="center"/>
    </xf>
    <xf numFmtId="0" fontId="0" fillId="49" borderId="0" xfId="0" applyFill="1" applyAlignment="1">
      <alignment horizontal="left" vertical="center"/>
    </xf>
    <xf numFmtId="0" fontId="10" fillId="49" borderId="0" xfId="0" applyFont="1" applyFill="1">
      <alignment vertical="center"/>
    </xf>
    <xf numFmtId="179" fontId="10" fillId="49" borderId="0" xfId="0" applyNumberFormat="1" applyFont="1" applyFill="1" applyAlignment="1">
      <alignment horizontal="center" vertical="center"/>
    </xf>
    <xf numFmtId="188" fontId="10" fillId="49" borderId="0" xfId="0" applyNumberFormat="1" applyFont="1" applyFill="1" applyAlignment="1">
      <alignment horizontal="center" vertical="center"/>
    </xf>
    <xf numFmtId="0" fontId="10" fillId="49" borderId="0" xfId="0" applyFont="1" applyFill="1" applyAlignment="1">
      <alignment horizontal="left" vertical="center"/>
    </xf>
    <xf numFmtId="193" fontId="50" fillId="3" borderId="0" xfId="0" applyNumberFormat="1" applyFont="1" applyFill="1">
      <alignment vertical="center"/>
    </xf>
    <xf numFmtId="0" fontId="51" fillId="3" borderId="0" xfId="0" applyFont="1" applyFill="1" applyAlignment="1">
      <alignment horizontal="right" vertical="center"/>
    </xf>
    <xf numFmtId="0" fontId="51" fillId="3" borderId="0" xfId="0" applyFont="1" applyFill="1" applyAlignment="1">
      <alignment horizontal="left" vertical="center"/>
    </xf>
    <xf numFmtId="193" fontId="51" fillId="3" borderId="0" xfId="0" applyNumberFormat="1" applyFont="1" applyFill="1">
      <alignment vertical="center"/>
    </xf>
    <xf numFmtId="0" fontId="50" fillId="0" borderId="53" xfId="0" applyFont="1" applyBorder="1">
      <alignment vertical="center"/>
    </xf>
    <xf numFmtId="0" fontId="50" fillId="0" borderId="9" xfId="0" applyFont="1" applyBorder="1">
      <alignment vertical="center"/>
    </xf>
    <xf numFmtId="0" fontId="50" fillId="0" borderId="251" xfId="0" applyFont="1" applyBorder="1" applyAlignment="1">
      <alignment horizontal="center" vertical="center"/>
    </xf>
    <xf numFmtId="0" fontId="50" fillId="0" borderId="252" xfId="0" applyFont="1" applyBorder="1">
      <alignment vertical="center"/>
    </xf>
    <xf numFmtId="0" fontId="50" fillId="0" borderId="222" xfId="0" applyFont="1" applyBorder="1">
      <alignment vertical="center"/>
    </xf>
    <xf numFmtId="0" fontId="50" fillId="0" borderId="90" xfId="0" applyFont="1" applyBorder="1">
      <alignment vertical="center"/>
    </xf>
    <xf numFmtId="0" fontId="50" fillId="0" borderId="95" xfId="0" applyFont="1" applyBorder="1">
      <alignment vertical="center"/>
    </xf>
    <xf numFmtId="0" fontId="50" fillId="0" borderId="96" xfId="0" applyFont="1" applyBorder="1">
      <alignment vertical="center"/>
    </xf>
    <xf numFmtId="0" fontId="14" fillId="44" borderId="0" xfId="0" applyFont="1" applyFill="1" applyAlignment="1">
      <alignment horizontal="center" vertical="center"/>
    </xf>
    <xf numFmtId="189" fontId="50" fillId="3" borderId="0" xfId="0" applyNumberFormat="1" applyFont="1" applyFill="1" applyAlignment="1">
      <alignment horizontal="right" vertical="center"/>
    </xf>
    <xf numFmtId="0" fontId="13" fillId="0" borderId="2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left" vertical="top" wrapText="1"/>
    </xf>
    <xf numFmtId="0" fontId="13" fillId="4" borderId="28" xfId="0" applyFont="1" applyFill="1" applyBorder="1" applyAlignment="1">
      <alignment horizontal="center" vertical="center" wrapText="1" shrinkToFit="1"/>
    </xf>
    <xf numFmtId="0" fontId="13" fillId="8" borderId="27" xfId="0" applyFont="1" applyFill="1" applyBorder="1" applyAlignment="1">
      <alignment horizontal="center" vertical="center" shrinkToFit="1"/>
    </xf>
    <xf numFmtId="0" fontId="13" fillId="0" borderId="213" xfId="0" applyFont="1" applyBorder="1" applyAlignment="1">
      <alignment horizontal="left" vertical="top"/>
    </xf>
    <xf numFmtId="0" fontId="15" fillId="0" borderId="213" xfId="0" applyFont="1" applyBorder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" fillId="2" borderId="27" xfId="0" applyFont="1" applyFill="1" applyBorder="1" applyAlignment="1">
      <alignment horizontal="right" vertical="center"/>
    </xf>
    <xf numFmtId="0" fontId="98" fillId="35" borderId="0" xfId="0" applyFont="1" applyFill="1">
      <alignment vertical="center"/>
    </xf>
    <xf numFmtId="0" fontId="30" fillId="35" borderId="0" xfId="0" applyFont="1" applyFill="1">
      <alignment vertical="center"/>
    </xf>
    <xf numFmtId="0" fontId="13" fillId="44" borderId="28" xfId="0" applyFont="1" applyFill="1" applyBorder="1" applyAlignment="1">
      <alignment horizontal="left" vertical="center"/>
    </xf>
    <xf numFmtId="0" fontId="13" fillId="44" borderId="29" xfId="0" applyFont="1" applyFill="1" applyBorder="1" applyAlignment="1">
      <alignment horizontal="left" vertical="center"/>
    </xf>
    <xf numFmtId="0" fontId="13" fillId="44" borderId="7" xfId="0" applyFont="1" applyFill="1" applyBorder="1">
      <alignment vertical="center"/>
    </xf>
    <xf numFmtId="0" fontId="13" fillId="44" borderId="16" xfId="0" applyFont="1" applyFill="1" applyBorder="1" applyAlignment="1">
      <alignment horizontal="center" vertical="center"/>
    </xf>
    <xf numFmtId="0" fontId="13" fillId="44" borderId="15" xfId="0" applyFont="1" applyFill="1" applyBorder="1" applyAlignment="1">
      <alignment horizontal="center" vertical="center"/>
    </xf>
    <xf numFmtId="0" fontId="13" fillId="44" borderId="16" xfId="0" applyFont="1" applyFill="1" applyBorder="1">
      <alignment vertical="center"/>
    </xf>
    <xf numFmtId="0" fontId="13" fillId="44" borderId="15" xfId="0" quotePrefix="1" applyFont="1" applyFill="1" applyBorder="1" applyAlignment="1">
      <alignment horizontal="center" vertical="center"/>
    </xf>
    <xf numFmtId="0" fontId="13" fillId="44" borderId="16" xfId="0" applyFont="1" applyFill="1" applyBorder="1" applyAlignment="1">
      <alignment horizontal="left" vertical="center"/>
    </xf>
    <xf numFmtId="0" fontId="13" fillId="44" borderId="15" xfId="0" applyFont="1" applyFill="1" applyBorder="1" applyAlignment="1">
      <alignment horizontal="right" vertical="center"/>
    </xf>
    <xf numFmtId="0" fontId="13" fillId="44" borderId="6" xfId="0" applyFont="1" applyFill="1" applyBorder="1">
      <alignment vertical="center"/>
    </xf>
    <xf numFmtId="0" fontId="13" fillId="44" borderId="1" xfId="0" quotePrefix="1" applyFont="1" applyFill="1" applyBorder="1" applyAlignment="1">
      <alignment horizontal="center" vertical="center"/>
    </xf>
    <xf numFmtId="0" fontId="13" fillId="44" borderId="253" xfId="0" quotePrefix="1" applyFont="1" applyFill="1" applyBorder="1" applyAlignment="1">
      <alignment horizontal="left" vertical="center"/>
    </xf>
    <xf numFmtId="0" fontId="13" fillId="44" borderId="254" xfId="0" applyFont="1" applyFill="1" applyBorder="1" applyAlignment="1">
      <alignment horizontal="right" vertical="center"/>
    </xf>
    <xf numFmtId="0" fontId="13" fillId="44" borderId="255" xfId="0" quotePrefix="1" applyFont="1" applyFill="1" applyBorder="1" applyAlignment="1">
      <alignment horizontal="right" vertical="center"/>
    </xf>
    <xf numFmtId="0" fontId="0" fillId="44" borderId="52" xfId="0" applyFill="1" applyBorder="1">
      <alignment vertical="center"/>
    </xf>
    <xf numFmtId="0" fontId="13" fillId="0" borderId="0" xfId="0" quotePrefix="1" applyFont="1" applyAlignment="1">
      <alignment horizontal="right" vertical="center"/>
    </xf>
    <xf numFmtId="0" fontId="87" fillId="35" borderId="0" xfId="0" applyFont="1" applyFill="1">
      <alignment vertical="center"/>
    </xf>
    <xf numFmtId="0" fontId="10" fillId="44" borderId="0" xfId="0" applyFont="1" applyFill="1" applyAlignment="1">
      <alignment horizontal="left" vertical="center" readingOrder="1"/>
    </xf>
    <xf numFmtId="0" fontId="99" fillId="44" borderId="0" xfId="0" applyFont="1" applyFill="1">
      <alignment vertical="center"/>
    </xf>
    <xf numFmtId="0" fontId="101" fillId="44" borderId="0" xfId="0" applyFont="1" applyFill="1">
      <alignment vertical="center"/>
    </xf>
    <xf numFmtId="0" fontId="101" fillId="44" borderId="0" xfId="0" applyFont="1" applyFill="1" applyAlignment="1">
      <alignment horizontal="right" vertical="center"/>
    </xf>
    <xf numFmtId="0" fontId="13" fillId="44" borderId="0" xfId="0" applyFont="1" applyFill="1" applyAlignment="1">
      <alignment horizontal="right" vertical="center"/>
    </xf>
    <xf numFmtId="0" fontId="13" fillId="4" borderId="0" xfId="0" quotePrefix="1" applyFont="1" applyFill="1" applyAlignment="1">
      <alignment horizontal="center" vertical="center"/>
    </xf>
    <xf numFmtId="0" fontId="13" fillId="4" borderId="0" xfId="0" quotePrefix="1" applyFont="1" applyFill="1">
      <alignment vertical="center"/>
    </xf>
    <xf numFmtId="0" fontId="13" fillId="47" borderId="0" xfId="0" applyFont="1" applyFill="1">
      <alignment vertical="center"/>
    </xf>
    <xf numFmtId="0" fontId="69" fillId="0" borderId="0" xfId="0" applyFont="1" applyAlignment="1">
      <alignment horizontal="right" vertical="center"/>
    </xf>
    <xf numFmtId="0" fontId="0" fillId="45" borderId="0" xfId="0" quotePrefix="1" applyFill="1">
      <alignment vertical="center"/>
    </xf>
    <xf numFmtId="0" fontId="13" fillId="9" borderId="27" xfId="0" applyFont="1" applyFill="1" applyBorder="1" applyAlignment="1">
      <alignment horizontal="center" vertical="center"/>
    </xf>
    <xf numFmtId="0" fontId="68" fillId="2" borderId="0" xfId="0" quotePrefix="1" applyFont="1" applyFill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03" fillId="0" borderId="0" xfId="2" applyAlignment="1">
      <alignment horizontal="center" vertical="center"/>
    </xf>
    <xf numFmtId="0" fontId="103" fillId="0" borderId="2" xfId="2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96" fillId="0" borderId="2" xfId="2" applyFont="1" applyBorder="1" applyAlignment="1">
      <alignment horizontal="center" vertical="center"/>
    </xf>
    <xf numFmtId="0" fontId="45" fillId="0" borderId="0" xfId="3" applyAlignment="1">
      <alignment horizontal="center" vertical="center"/>
    </xf>
    <xf numFmtId="0" fontId="45" fillId="2" borderId="0" xfId="3" applyFill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0" fontId="45" fillId="2" borderId="0" xfId="3" applyFill="1" applyAlignment="1">
      <alignment horizontal="left" vertical="center"/>
    </xf>
    <xf numFmtId="0" fontId="13" fillId="4" borderId="7" xfId="2" applyFont="1" applyFill="1" applyBorder="1" applyAlignment="1">
      <alignment horizontal="center" vertical="center"/>
    </xf>
    <xf numFmtId="0" fontId="13" fillId="4" borderId="27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0" fillId="2" borderId="0" xfId="3" applyFont="1" applyFill="1" applyAlignment="1">
      <alignment horizontal="left" vertical="center"/>
    </xf>
    <xf numFmtId="0" fontId="103" fillId="0" borderId="28" xfId="2" applyBorder="1" applyAlignment="1">
      <alignment horizontal="center" vertical="center"/>
    </xf>
    <xf numFmtId="0" fontId="13" fillId="4" borderId="0" xfId="2" applyFont="1" applyFill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45" fillId="0" borderId="0" xfId="3" applyAlignment="1">
      <alignment horizontal="left" vertical="center"/>
    </xf>
    <xf numFmtId="0" fontId="104" fillId="0" borderId="0" xfId="3" applyFont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45" fillId="8" borderId="0" xfId="3" applyFill="1" applyAlignment="1">
      <alignment horizontal="center" vertical="center"/>
    </xf>
    <xf numFmtId="0" fontId="103" fillId="0" borderId="29" xfId="2" applyBorder="1" applyAlignment="1">
      <alignment horizontal="center" vertical="center"/>
    </xf>
    <xf numFmtId="0" fontId="96" fillId="0" borderId="28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 vertical="center"/>
    </xf>
    <xf numFmtId="0" fontId="14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1" fillId="0" borderId="28" xfId="2" applyFont="1" applyBorder="1" applyAlignment="1">
      <alignment horizontal="center" vertical="center"/>
    </xf>
    <xf numFmtId="0" fontId="97" fillId="0" borderId="29" xfId="2" applyFont="1" applyBorder="1" applyAlignment="1">
      <alignment horizontal="center" vertical="center"/>
    </xf>
    <xf numFmtId="0" fontId="103" fillId="3" borderId="28" xfId="2" applyFill="1" applyBorder="1" applyAlignment="1">
      <alignment horizontal="center" vertical="center"/>
    </xf>
    <xf numFmtId="0" fontId="103" fillId="3" borderId="27" xfId="2" applyFill="1" applyBorder="1" applyAlignment="1">
      <alignment horizontal="center" vertical="center"/>
    </xf>
    <xf numFmtId="0" fontId="103" fillId="3" borderId="29" xfId="2" applyFill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/>
    </xf>
    <xf numFmtId="0" fontId="96" fillId="3" borderId="3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3" fillId="3" borderId="27" xfId="2" applyFont="1" applyFill="1" applyBorder="1" applyAlignment="1">
      <alignment horizontal="center" vertical="center"/>
    </xf>
    <xf numFmtId="0" fontId="45" fillId="0" borderId="0" xfId="3">
      <alignment vertical="center"/>
    </xf>
    <xf numFmtId="0" fontId="14" fillId="0" borderId="0" xfId="0" applyFont="1" applyAlignment="1">
      <alignment horizontal="center" vertical="center"/>
    </xf>
    <xf numFmtId="0" fontId="3" fillId="44" borderId="0" xfId="0" applyFont="1" applyFill="1" applyAlignment="1">
      <alignment horizontal="left" vertical="center"/>
    </xf>
    <xf numFmtId="0" fontId="13" fillId="0" borderId="9" xfId="0" applyFont="1" applyBorder="1">
      <alignment vertical="center"/>
    </xf>
    <xf numFmtId="0" fontId="13" fillId="0" borderId="27" xfId="0" applyFont="1" applyBorder="1" applyAlignment="1">
      <alignment vertical="top" wrapText="1"/>
    </xf>
    <xf numFmtId="0" fontId="0" fillId="6" borderId="27" xfId="0" applyFill="1" applyBorder="1" applyAlignment="1">
      <alignment horizontal="center" vertical="center"/>
    </xf>
    <xf numFmtId="0" fontId="0" fillId="6" borderId="27" xfId="0" applyFill="1" applyBorder="1" applyAlignment="1">
      <alignment horizontal="left" vertical="center"/>
    </xf>
    <xf numFmtId="0" fontId="0" fillId="6" borderId="27" xfId="0" quotePrefix="1" applyFill="1" applyBorder="1">
      <alignment vertical="center"/>
    </xf>
    <xf numFmtId="0" fontId="0" fillId="6" borderId="27" xfId="0" applyFill="1" applyBorder="1">
      <alignment vertical="center"/>
    </xf>
    <xf numFmtId="0" fontId="13" fillId="6" borderId="27" xfId="0" applyFont="1" applyFill="1" applyBorder="1" applyAlignment="1">
      <alignment horizontal="left" vertical="center"/>
    </xf>
    <xf numFmtId="0" fontId="13" fillId="6" borderId="27" xfId="0" applyFont="1" applyFill="1" applyBorder="1">
      <alignment vertical="center"/>
    </xf>
    <xf numFmtId="196" fontId="0" fillId="0" borderId="0" xfId="0" applyNumberFormat="1" applyAlignment="1">
      <alignment horizontal="center" vertical="center"/>
    </xf>
    <xf numFmtId="0" fontId="105" fillId="15" borderId="27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 wrapText="1"/>
    </xf>
    <xf numFmtId="179" fontId="5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8" fillId="35" borderId="0" xfId="0" applyFont="1" applyFill="1">
      <alignment vertical="center"/>
    </xf>
    <xf numFmtId="190" fontId="50" fillId="0" borderId="0" xfId="0" applyNumberFormat="1" applyFont="1">
      <alignment vertical="center"/>
    </xf>
    <xf numFmtId="0" fontId="36" fillId="31" borderId="27" xfId="0" applyFont="1" applyFill="1" applyBorder="1" applyAlignment="1">
      <alignment horizontal="center" vertical="top" wrapText="1"/>
    </xf>
    <xf numFmtId="0" fontId="69" fillId="14" borderId="27" xfId="0" applyFont="1" applyFill="1" applyBorder="1" applyAlignment="1">
      <alignment horizontal="right" vertical="center"/>
    </xf>
    <xf numFmtId="0" fontId="14" fillId="44" borderId="0" xfId="0" applyFont="1" applyFill="1">
      <alignment vertical="center"/>
    </xf>
    <xf numFmtId="0" fontId="14" fillId="0" borderId="0" xfId="0" applyFont="1">
      <alignment vertical="center"/>
    </xf>
    <xf numFmtId="0" fontId="0" fillId="44" borderId="7" xfId="0" applyFill="1" applyBorder="1">
      <alignment vertical="center"/>
    </xf>
    <xf numFmtId="0" fontId="0" fillId="44" borderId="8" xfId="0" applyFill="1" applyBorder="1">
      <alignment vertical="center"/>
    </xf>
    <xf numFmtId="0" fontId="0" fillId="44" borderId="16" xfId="0" applyFill="1" applyBorder="1">
      <alignment vertical="center"/>
    </xf>
    <xf numFmtId="0" fontId="0" fillId="44" borderId="15" xfId="0" applyFill="1" applyBorder="1">
      <alignment vertical="center"/>
    </xf>
    <xf numFmtId="0" fontId="0" fillId="44" borderId="6" xfId="0" applyFill="1" applyBorder="1">
      <alignment vertical="center"/>
    </xf>
    <xf numFmtId="0" fontId="0" fillId="44" borderId="1" xfId="0" applyFill="1" applyBorder="1">
      <alignment vertical="center"/>
    </xf>
    <xf numFmtId="0" fontId="106" fillId="44" borderId="0" xfId="0" applyFont="1" applyFill="1" applyAlignment="1">
      <alignment horizontal="left" vertical="center"/>
    </xf>
    <xf numFmtId="0" fontId="0" fillId="44" borderId="8" xfId="0" quotePrefix="1" applyFill="1" applyBorder="1">
      <alignment vertical="center"/>
    </xf>
    <xf numFmtId="0" fontId="0" fillId="44" borderId="15" xfId="0" quotePrefix="1" applyFill="1" applyBorder="1">
      <alignment vertical="center"/>
    </xf>
    <xf numFmtId="0" fontId="0" fillId="44" borderId="1" xfId="0" quotePrefix="1" applyFill="1" applyBorder="1">
      <alignment vertical="center"/>
    </xf>
    <xf numFmtId="0" fontId="0" fillId="6" borderId="27" xfId="0" applyFill="1" applyBorder="1" applyAlignment="1">
      <alignment vertical="center" wrapText="1"/>
    </xf>
    <xf numFmtId="179" fontId="50" fillId="8" borderId="0" xfId="0" applyNumberFormat="1" applyFont="1" applyFill="1" applyAlignment="1">
      <alignment horizontal="center" vertical="center"/>
    </xf>
    <xf numFmtId="0" fontId="50" fillId="21" borderId="0" xfId="0" applyFont="1" applyFill="1" applyAlignment="1">
      <alignment horizontal="right" vertical="center"/>
    </xf>
    <xf numFmtId="179" fontId="50" fillId="21" borderId="0" xfId="0" applyNumberFormat="1" applyFont="1" applyFill="1" applyAlignment="1">
      <alignment horizontal="center" vertical="center"/>
    </xf>
    <xf numFmtId="10" fontId="0" fillId="0" borderId="0" xfId="0" applyNumberFormat="1">
      <alignment vertical="center"/>
    </xf>
    <xf numFmtId="9" fontId="0" fillId="2" borderId="0" xfId="0" applyNumberFormat="1" applyFill="1" applyAlignment="1">
      <alignment horizontal="right" vertical="center"/>
    </xf>
    <xf numFmtId="194" fontId="0" fillId="0" borderId="0" xfId="0" applyNumberFormat="1">
      <alignment vertical="center"/>
    </xf>
    <xf numFmtId="194" fontId="0" fillId="3" borderId="0" xfId="0" applyNumberFormat="1" applyFill="1">
      <alignment vertical="center"/>
    </xf>
    <xf numFmtId="0" fontId="65" fillId="8" borderId="256" xfId="0" applyFont="1" applyFill="1" applyBorder="1" applyAlignment="1">
      <alignment horizontal="right" vertical="center"/>
    </xf>
    <xf numFmtId="185" fontId="54" fillId="2" borderId="0" xfId="0" applyNumberFormat="1" applyFont="1" applyFill="1" applyAlignment="1">
      <alignment horizontal="right" vertical="center"/>
    </xf>
    <xf numFmtId="0" fontId="54" fillId="2" borderId="0" xfId="0" applyFont="1" applyFill="1" applyAlignment="1">
      <alignment horizontal="right" vertical="center"/>
    </xf>
    <xf numFmtId="0" fontId="54" fillId="0" borderId="0" xfId="0" applyFont="1">
      <alignment vertical="center"/>
    </xf>
    <xf numFmtId="179" fontId="54" fillId="2" borderId="0" xfId="0" applyNumberFormat="1" applyFont="1" applyFill="1" applyAlignment="1">
      <alignment horizontal="right" vertical="center"/>
    </xf>
    <xf numFmtId="185" fontId="54" fillId="0" borderId="0" xfId="0" applyNumberFormat="1" applyFont="1">
      <alignment vertical="center"/>
    </xf>
    <xf numFmtId="0" fontId="54" fillId="0" borderId="0" xfId="0" applyFont="1" applyAlignment="1">
      <alignment horizontal="right" vertical="center"/>
    </xf>
    <xf numFmtId="185" fontId="50" fillId="2" borderId="0" xfId="0" applyNumberFormat="1" applyFont="1" applyFill="1">
      <alignment vertical="center"/>
    </xf>
    <xf numFmtId="189" fontId="50" fillId="0" borderId="0" xfId="0" applyNumberFormat="1" applyFont="1" applyAlignment="1">
      <alignment horizontal="right" vertical="center"/>
    </xf>
    <xf numFmtId="184" fontId="50" fillId="0" borderId="0" xfId="0" applyNumberFormat="1" applyFont="1" applyAlignment="1">
      <alignment horizontal="right" vertical="center"/>
    </xf>
    <xf numFmtId="188" fontId="54" fillId="0" borderId="0" xfId="0" applyNumberFormat="1" applyFont="1">
      <alignment vertical="center"/>
    </xf>
    <xf numFmtId="189" fontId="54" fillId="0" borderId="0" xfId="0" applyNumberFormat="1" applyFont="1" applyAlignment="1">
      <alignment horizontal="right" vertical="center"/>
    </xf>
    <xf numFmtId="178" fontId="54" fillId="0" borderId="0" xfId="0" applyNumberFormat="1" applyFont="1" applyAlignment="1">
      <alignment horizontal="right" vertical="center"/>
    </xf>
    <xf numFmtId="184" fontId="54" fillId="50" borderId="0" xfId="0" applyNumberFormat="1" applyFont="1" applyFill="1">
      <alignment vertical="center"/>
    </xf>
    <xf numFmtId="180" fontId="54" fillId="0" borderId="0" xfId="0" applyNumberFormat="1" applyFont="1">
      <alignment vertical="center"/>
    </xf>
    <xf numFmtId="186" fontId="54" fillId="0" borderId="0" xfId="0" applyNumberFormat="1" applyFont="1" applyAlignment="1">
      <alignment horizontal="right" vertical="center"/>
    </xf>
    <xf numFmtId="0" fontId="50" fillId="8" borderId="0" xfId="0" applyFont="1" applyFill="1">
      <alignment vertical="center"/>
    </xf>
    <xf numFmtId="0" fontId="50" fillId="8" borderId="256" xfId="0" applyFont="1" applyFill="1" applyBorder="1">
      <alignment vertical="center"/>
    </xf>
    <xf numFmtId="178" fontId="49" fillId="0" borderId="0" xfId="0" applyNumberFormat="1" applyFont="1" applyAlignment="1">
      <alignment horizontal="right" vertical="center"/>
    </xf>
    <xf numFmtId="184" fontId="54" fillId="30" borderId="0" xfId="0" applyNumberFormat="1" applyFont="1" applyFill="1" applyAlignment="1">
      <alignment horizontal="right" vertical="center"/>
    </xf>
    <xf numFmtId="197" fontId="108" fillId="30" borderId="0" xfId="0" applyNumberFormat="1" applyFont="1" applyFill="1" applyAlignment="1">
      <alignment horizontal="right" vertical="center"/>
    </xf>
    <xf numFmtId="197" fontId="54" fillId="30" borderId="0" xfId="0" applyNumberFormat="1" applyFont="1" applyFill="1" applyAlignment="1">
      <alignment horizontal="right" vertical="center"/>
    </xf>
    <xf numFmtId="178" fontId="108" fillId="30" borderId="0" xfId="0" applyNumberFormat="1" applyFont="1" applyFill="1" applyAlignment="1">
      <alignment horizontal="right" vertical="center"/>
    </xf>
    <xf numFmtId="178" fontId="54" fillId="30" borderId="0" xfId="0" applyNumberFormat="1" applyFont="1" applyFill="1" applyAlignment="1">
      <alignment horizontal="right" vertical="center"/>
    </xf>
    <xf numFmtId="184" fontId="54" fillId="0" borderId="0" xfId="0" applyNumberFormat="1" applyFont="1">
      <alignment vertical="center"/>
    </xf>
    <xf numFmtId="184" fontId="54" fillId="0" borderId="0" xfId="0" applyNumberFormat="1" applyFont="1" applyAlignment="1">
      <alignment horizontal="right" vertical="center"/>
    </xf>
    <xf numFmtId="179" fontId="54" fillId="0" borderId="0" xfId="0" applyNumberFormat="1" applyFont="1">
      <alignment vertical="center"/>
    </xf>
    <xf numFmtId="0" fontId="53" fillId="0" borderId="7" xfId="0" applyFont="1" applyBorder="1" applyAlignment="1">
      <alignment horizontal="left" vertical="center"/>
    </xf>
    <xf numFmtId="0" fontId="0" fillId="3" borderId="27" xfId="0" applyFill="1" applyBorder="1">
      <alignment vertical="center"/>
    </xf>
    <xf numFmtId="184" fontId="50" fillId="0" borderId="0" xfId="0" applyNumberFormat="1" applyFont="1">
      <alignment vertical="center"/>
    </xf>
    <xf numFmtId="0" fontId="54" fillId="2" borderId="0" xfId="0" applyFont="1" applyFill="1">
      <alignment vertical="center"/>
    </xf>
    <xf numFmtId="197" fontId="50" fillId="2" borderId="0" xfId="0" applyNumberFormat="1" applyFont="1" applyFill="1">
      <alignment vertical="center"/>
    </xf>
    <xf numFmtId="178" fontId="54" fillId="2" borderId="0" xfId="0" applyNumberFormat="1" applyFont="1" applyFill="1" applyAlignment="1">
      <alignment horizontal="right" vertical="center"/>
    </xf>
    <xf numFmtId="178" fontId="54" fillId="8" borderId="0" xfId="0" applyNumberFormat="1" applyFont="1" applyFill="1" applyAlignment="1">
      <alignment horizontal="right" vertical="center"/>
    </xf>
    <xf numFmtId="178" fontId="54" fillId="8" borderId="0" xfId="0" applyNumberFormat="1" applyFont="1" applyFill="1">
      <alignment vertical="center"/>
    </xf>
    <xf numFmtId="178" fontId="54" fillId="0" borderId="0" xfId="0" applyNumberFormat="1" applyFont="1">
      <alignment vertical="center"/>
    </xf>
    <xf numFmtId="198" fontId="50" fillId="0" borderId="0" xfId="0" applyNumberFormat="1" applyFont="1" applyAlignment="1">
      <alignment horizontal="right" vertical="center"/>
    </xf>
    <xf numFmtId="197" fontId="50" fillId="0" borderId="0" xfId="0" applyNumberFormat="1" applyFont="1">
      <alignment vertical="center"/>
    </xf>
    <xf numFmtId="199" fontId="50" fillId="0" borderId="0" xfId="0" applyNumberFormat="1" applyFont="1">
      <alignment vertical="center"/>
    </xf>
    <xf numFmtId="199" fontId="50" fillId="2" borderId="0" xfId="0" applyNumberFormat="1" applyFont="1" applyFill="1" applyAlignment="1">
      <alignment horizontal="right" vertical="center"/>
    </xf>
    <xf numFmtId="184" fontId="49" fillId="2" borderId="0" xfId="0" applyNumberFormat="1" applyFont="1" applyFill="1" applyAlignment="1">
      <alignment horizontal="right" vertical="center"/>
    </xf>
    <xf numFmtId="184" fontId="49" fillId="0" borderId="0" xfId="0" applyNumberFormat="1" applyFont="1">
      <alignment vertical="center"/>
    </xf>
    <xf numFmtId="189" fontId="50" fillId="0" borderId="0" xfId="0" applyNumberFormat="1" applyFont="1">
      <alignment vertical="center"/>
    </xf>
    <xf numFmtId="191" fontId="49" fillId="30" borderId="0" xfId="0" applyNumberFormat="1" applyFont="1" applyFill="1">
      <alignment vertical="center"/>
    </xf>
    <xf numFmtId="184" fontId="49" fillId="30" borderId="0" xfId="0" applyNumberFormat="1" applyFont="1" applyFill="1" applyAlignment="1">
      <alignment horizontal="right" vertical="center"/>
    </xf>
    <xf numFmtId="0" fontId="0" fillId="3" borderId="27" xfId="0" applyFill="1" applyBorder="1" applyAlignment="1">
      <alignment horizontal="left" vertical="center"/>
    </xf>
    <xf numFmtId="184" fontId="50" fillId="8" borderId="0" xfId="0" applyNumberFormat="1" applyFont="1" applyFill="1" applyAlignment="1">
      <alignment horizontal="right" vertical="center"/>
    </xf>
    <xf numFmtId="0" fontId="53" fillId="51" borderId="7" xfId="0" applyFont="1" applyFill="1" applyBorder="1" applyAlignment="1">
      <alignment horizontal="center" vertical="center"/>
    </xf>
    <xf numFmtId="0" fontId="53" fillId="51" borderId="5" xfId="0" applyFont="1" applyFill="1" applyBorder="1" applyAlignment="1">
      <alignment horizontal="center" vertical="center"/>
    </xf>
    <xf numFmtId="0" fontId="50" fillId="14" borderId="0" xfId="0" applyFont="1" applyFill="1">
      <alignment vertical="center"/>
    </xf>
    <xf numFmtId="0" fontId="50" fillId="51" borderId="0" xfId="0" applyFont="1" applyFill="1">
      <alignment vertical="center"/>
    </xf>
    <xf numFmtId="0" fontId="50" fillId="52" borderId="0" xfId="0" applyFont="1" applyFill="1">
      <alignment vertical="center"/>
    </xf>
    <xf numFmtId="183" fontId="0" fillId="0" borderId="0" xfId="0" applyNumberFormat="1">
      <alignment vertical="center"/>
    </xf>
    <xf numFmtId="183" fontId="0" fillId="2" borderId="0" xfId="0" applyNumberFormat="1" applyFill="1">
      <alignment vertical="center"/>
    </xf>
    <xf numFmtId="0" fontId="110" fillId="44" borderId="0" xfId="0" applyFont="1" applyFill="1" applyAlignment="1">
      <alignment horizontal="left" vertical="center"/>
    </xf>
    <xf numFmtId="0" fontId="0" fillId="4" borderId="0" xfId="0" applyFill="1" applyAlignment="1">
      <alignment horizontal="right" vertical="center"/>
    </xf>
    <xf numFmtId="0" fontId="13" fillId="4" borderId="0" xfId="0" applyFont="1" applyFill="1" applyAlignment="1">
      <alignment horizontal="right" vertical="center"/>
    </xf>
    <xf numFmtId="0" fontId="3" fillId="0" borderId="30" xfId="0" applyFont="1" applyBorder="1" applyAlignment="1">
      <alignment horizontal="left" vertical="top"/>
    </xf>
    <xf numFmtId="0" fontId="3" fillId="0" borderId="30" xfId="0" quotePrefix="1" applyFont="1" applyBorder="1" applyAlignment="1">
      <alignment horizontal="left" vertical="top"/>
    </xf>
    <xf numFmtId="0" fontId="3" fillId="0" borderId="30" xfId="0" quotePrefix="1" applyFont="1" applyBorder="1" applyAlignment="1">
      <alignment horizontal="left" vertical="top" wrapText="1"/>
    </xf>
    <xf numFmtId="0" fontId="13" fillId="53" borderId="0" xfId="0" applyFont="1" applyFill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8" xfId="0" applyFill="1" applyBorder="1">
      <alignment vertical="center"/>
    </xf>
    <xf numFmtId="0" fontId="0" fillId="2" borderId="29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09" xfId="0" applyFill="1" applyBorder="1" applyAlignment="1">
      <alignment horizontal="center" vertical="center"/>
    </xf>
    <xf numFmtId="0" fontId="0" fillId="2" borderId="111" xfId="0" applyFill="1" applyBorder="1" applyAlignment="1">
      <alignment horizontal="center" vertical="center"/>
    </xf>
    <xf numFmtId="0" fontId="0" fillId="2" borderId="110" xfId="0" applyFill="1" applyBorder="1" applyAlignment="1">
      <alignment horizontal="center" vertical="center"/>
    </xf>
    <xf numFmtId="0" fontId="0" fillId="2" borderId="257" xfId="0" applyFill="1" applyBorder="1" applyAlignment="1">
      <alignment horizontal="center" vertical="center"/>
    </xf>
    <xf numFmtId="0" fontId="0" fillId="3" borderId="25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5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29" xfId="0" applyFont="1" applyBorder="1" applyAlignment="1">
      <alignment vertical="center" shrinkToFit="1"/>
    </xf>
    <xf numFmtId="0" fontId="13" fillId="3" borderId="27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109" fillId="0" borderId="16" xfId="0" applyFont="1" applyBorder="1" applyAlignment="1">
      <alignment horizontal="left" vertical="center"/>
    </xf>
    <xf numFmtId="0" fontId="0" fillId="0" borderId="0" xfId="0" quotePrefix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50" fillId="0" borderId="261" xfId="0" applyFont="1" applyBorder="1" applyAlignment="1">
      <alignment horizontal="center" vertical="center"/>
    </xf>
    <xf numFmtId="0" fontId="50" fillId="0" borderId="262" xfId="0" applyFont="1" applyBorder="1" applyAlignment="1">
      <alignment horizontal="center" vertical="center"/>
    </xf>
    <xf numFmtId="0" fontId="53" fillId="0" borderId="117" xfId="0" applyFont="1" applyBorder="1" applyAlignment="1">
      <alignment horizontal="center" vertical="center"/>
    </xf>
    <xf numFmtId="0" fontId="53" fillId="0" borderId="119" xfId="0" applyFont="1" applyBorder="1" applyAlignment="1">
      <alignment horizontal="center" vertical="center"/>
    </xf>
    <xf numFmtId="0" fontId="53" fillId="0" borderId="263" xfId="0" applyFont="1" applyBorder="1" applyAlignment="1">
      <alignment horizontal="center" vertical="center"/>
    </xf>
    <xf numFmtId="0" fontId="53" fillId="0" borderId="264" xfId="0" applyFont="1" applyBorder="1" applyAlignment="1">
      <alignment horizontal="center" vertical="center"/>
    </xf>
    <xf numFmtId="0" fontId="53" fillId="0" borderId="265" xfId="0" applyFont="1" applyBorder="1" applyAlignment="1">
      <alignment horizontal="center" vertical="center"/>
    </xf>
    <xf numFmtId="0" fontId="53" fillId="0" borderId="127" xfId="0" applyFont="1" applyBorder="1" applyAlignment="1">
      <alignment horizontal="center" vertical="center"/>
    </xf>
    <xf numFmtId="0" fontId="53" fillId="0" borderId="128" xfId="0" applyFont="1" applyBorder="1" applyAlignment="1">
      <alignment horizontal="center" vertical="center"/>
    </xf>
    <xf numFmtId="0" fontId="53" fillId="0" borderId="129" xfId="0" applyFont="1" applyBorder="1" applyAlignment="1">
      <alignment horizontal="center" vertical="center"/>
    </xf>
    <xf numFmtId="0" fontId="53" fillId="0" borderId="238" xfId="0" applyFont="1" applyBorder="1" applyAlignment="1">
      <alignment horizontal="center" vertical="center"/>
    </xf>
    <xf numFmtId="0" fontId="53" fillId="0" borderId="126" xfId="0" applyFont="1" applyBorder="1" applyAlignment="1">
      <alignment horizontal="center" vertical="center"/>
    </xf>
    <xf numFmtId="0" fontId="53" fillId="0" borderId="266" xfId="0" applyFont="1" applyBorder="1" applyAlignment="1">
      <alignment horizontal="center" vertical="center"/>
    </xf>
    <xf numFmtId="0" fontId="53" fillId="0" borderId="267" xfId="0" applyFont="1" applyBorder="1" applyAlignment="1">
      <alignment horizontal="center" vertical="center"/>
    </xf>
    <xf numFmtId="0" fontId="53" fillId="0" borderId="268" xfId="0" applyFont="1" applyBorder="1" applyAlignment="1">
      <alignment horizontal="center" vertical="center"/>
    </xf>
    <xf numFmtId="0" fontId="53" fillId="0" borderId="269" xfId="0" applyFont="1" applyBorder="1" applyAlignment="1">
      <alignment horizontal="center" vertical="center"/>
    </xf>
    <xf numFmtId="0" fontId="53" fillId="0" borderId="120" xfId="0" applyFont="1" applyBorder="1" applyAlignment="1">
      <alignment horizontal="center" vertical="center"/>
    </xf>
    <xf numFmtId="0" fontId="53" fillId="0" borderId="121" xfId="0" applyFont="1" applyBorder="1" applyAlignment="1">
      <alignment horizontal="center" vertical="center"/>
    </xf>
    <xf numFmtId="0" fontId="53" fillId="0" borderId="121" xfId="0" applyFont="1" applyBorder="1">
      <alignment vertical="center"/>
    </xf>
    <xf numFmtId="0" fontId="53" fillId="0" borderId="270" xfId="0" applyFont="1" applyBorder="1" applyAlignment="1">
      <alignment horizontal="center" vertical="center"/>
    </xf>
    <xf numFmtId="0" fontId="113" fillId="0" borderId="118" xfId="0" quotePrefix="1" applyFont="1" applyBorder="1" applyAlignment="1">
      <alignment horizontal="center" vertical="center"/>
    </xf>
    <xf numFmtId="0" fontId="114" fillId="0" borderId="264" xfId="0" quotePrefix="1" applyFont="1" applyBorder="1" applyAlignment="1">
      <alignment horizontal="center" vertical="center"/>
    </xf>
    <xf numFmtId="0" fontId="115" fillId="0" borderId="128" xfId="0" quotePrefix="1" applyFont="1" applyBorder="1" applyAlignment="1">
      <alignment horizontal="center" vertical="center"/>
    </xf>
    <xf numFmtId="0" fontId="50" fillId="0" borderId="271" xfId="0" applyFont="1" applyBorder="1" applyAlignment="1">
      <alignment horizontal="center" vertical="center"/>
    </xf>
    <xf numFmtId="0" fontId="50" fillId="0" borderId="267" xfId="0" applyFont="1" applyBorder="1" applyAlignment="1">
      <alignment horizontal="center" vertical="center"/>
    </xf>
    <xf numFmtId="0" fontId="50" fillId="0" borderId="268" xfId="0" applyFont="1" applyBorder="1" applyAlignment="1">
      <alignment horizontal="center" vertical="center"/>
    </xf>
    <xf numFmtId="0" fontId="50" fillId="0" borderId="272" xfId="0" applyFont="1" applyBorder="1" applyAlignment="1">
      <alignment horizontal="center" vertical="center"/>
    </xf>
    <xf numFmtId="190" fontId="114" fillId="0" borderId="263" xfId="0" quotePrefix="1" applyNumberFormat="1" applyFont="1" applyBorder="1" applyAlignment="1">
      <alignment horizontal="left" vertical="center"/>
    </xf>
    <xf numFmtId="0" fontId="114" fillId="0" borderId="264" xfId="0" applyFont="1" applyBorder="1" applyAlignment="1">
      <alignment horizontal="center" vertical="center"/>
    </xf>
    <xf numFmtId="0" fontId="114" fillId="0" borderId="265" xfId="0" applyFont="1" applyBorder="1" applyAlignment="1">
      <alignment horizontal="center" vertical="center"/>
    </xf>
    <xf numFmtId="190" fontId="115" fillId="0" borderId="127" xfId="0" quotePrefix="1" applyNumberFormat="1" applyFont="1" applyBorder="1" applyAlignment="1">
      <alignment horizontal="left" vertical="center"/>
    </xf>
    <xf numFmtId="0" fontId="115" fillId="0" borderId="128" xfId="0" applyFont="1" applyBorder="1" applyAlignment="1">
      <alignment horizontal="center" vertical="center"/>
    </xf>
    <xf numFmtId="0" fontId="115" fillId="0" borderId="129" xfId="0" applyFont="1" applyBorder="1" applyAlignment="1">
      <alignment horizontal="center" vertical="center"/>
    </xf>
    <xf numFmtId="0" fontId="50" fillId="0" borderId="273" xfId="0" applyFont="1" applyBorder="1" applyAlignment="1">
      <alignment horizontal="center" vertical="center"/>
    </xf>
    <xf numFmtId="0" fontId="50" fillId="0" borderId="263" xfId="0" applyFont="1" applyBorder="1" applyAlignment="1">
      <alignment horizontal="center" vertical="center"/>
    </xf>
    <xf numFmtId="0" fontId="50" fillId="0" borderId="264" xfId="0" applyFont="1" applyBorder="1" applyAlignment="1">
      <alignment horizontal="center" vertical="center"/>
    </xf>
    <xf numFmtId="0" fontId="50" fillId="0" borderId="265" xfId="0" applyFont="1" applyBorder="1" applyAlignment="1">
      <alignment horizontal="center" vertical="center"/>
    </xf>
    <xf numFmtId="0" fontId="50" fillId="0" borderId="166" xfId="0" applyFont="1" applyBorder="1" applyAlignment="1">
      <alignment horizontal="center" vertical="center"/>
    </xf>
    <xf numFmtId="0" fontId="116" fillId="0" borderId="117" xfId="0" quotePrefix="1" applyFont="1" applyBorder="1" applyAlignment="1">
      <alignment horizontal="left" vertical="center"/>
    </xf>
    <xf numFmtId="0" fontId="56" fillId="0" borderId="119" xfId="0" applyFont="1" applyBorder="1" applyAlignment="1">
      <alignment horizontal="left" vertical="center"/>
    </xf>
    <xf numFmtId="0" fontId="56" fillId="0" borderId="121" xfId="0" applyFont="1" applyBorder="1" applyAlignment="1">
      <alignment horizontal="left" vertical="center"/>
    </xf>
    <xf numFmtId="0" fontId="117" fillId="0" borderId="263" xfId="0" quotePrefix="1" applyFont="1" applyBorder="1" applyAlignment="1">
      <alignment horizontal="left" vertical="center"/>
    </xf>
    <xf numFmtId="0" fontId="50" fillId="0" borderId="265" xfId="0" applyFont="1" applyBorder="1" applyAlignment="1">
      <alignment horizontal="left" vertical="center"/>
    </xf>
    <xf numFmtId="0" fontId="56" fillId="0" borderId="268" xfId="0" applyFont="1" applyBorder="1" applyAlignment="1">
      <alignment horizontal="left" vertical="center"/>
    </xf>
    <xf numFmtId="0" fontId="118" fillId="0" borderId="127" xfId="0" quotePrefix="1" applyFont="1" applyBorder="1" applyAlignment="1">
      <alignment horizontal="left" vertical="center"/>
    </xf>
    <xf numFmtId="0" fontId="50" fillId="0" borderId="129" xfId="0" applyFont="1" applyBorder="1" applyAlignment="1">
      <alignment horizontal="left" vertical="center"/>
    </xf>
    <xf numFmtId="0" fontId="56" fillId="0" borderId="126" xfId="0" applyFont="1" applyBorder="1" applyAlignment="1">
      <alignment horizontal="left" vertical="center"/>
    </xf>
    <xf numFmtId="0" fontId="56" fillId="0" borderId="265" xfId="0" applyFont="1" applyBorder="1" applyAlignment="1">
      <alignment horizontal="left" vertical="center"/>
    </xf>
    <xf numFmtId="0" fontId="56" fillId="0" borderId="267" xfId="0" applyFont="1" applyBorder="1" applyAlignment="1">
      <alignment horizontal="left" vertical="center"/>
    </xf>
    <xf numFmtId="0" fontId="50" fillId="0" borderId="267" xfId="0" applyFont="1" applyBorder="1">
      <alignment vertical="center"/>
    </xf>
    <xf numFmtId="0" fontId="61" fillId="30" borderId="0" xfId="0" applyFont="1" applyFill="1">
      <alignment vertical="center"/>
    </xf>
    <xf numFmtId="0" fontId="61" fillId="30" borderId="0" xfId="0" applyFont="1" applyFill="1" applyAlignment="1">
      <alignment horizontal="right" vertical="center"/>
    </xf>
    <xf numFmtId="0" fontId="50" fillId="30" borderId="0" xfId="0" applyFont="1" applyFill="1" applyAlignment="1">
      <alignment horizontal="center" vertical="center"/>
    </xf>
    <xf numFmtId="0" fontId="13" fillId="52" borderId="27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left" vertical="center"/>
    </xf>
    <xf numFmtId="0" fontId="119" fillId="0" borderId="0" xfId="0" applyFont="1">
      <alignment vertical="center"/>
    </xf>
    <xf numFmtId="0" fontId="119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3" fillId="4" borderId="28" xfId="0" applyFont="1" applyFill="1" applyBorder="1" applyAlignment="1">
      <alignment vertical="center" wrapText="1"/>
    </xf>
    <xf numFmtId="0" fontId="13" fillId="0" borderId="27" xfId="0" applyFont="1" applyBorder="1" applyAlignment="1">
      <alignment vertical="center" shrinkToFit="1"/>
    </xf>
    <xf numFmtId="0" fontId="14" fillId="44" borderId="0" xfId="0" applyFont="1" applyFill="1" applyAlignment="1">
      <alignment horizontal="left" vertical="center"/>
    </xf>
    <xf numFmtId="0" fontId="122" fillId="44" borderId="27" xfId="0" quotePrefix="1" applyFont="1" applyFill="1" applyBorder="1" applyAlignment="1">
      <alignment horizontal="center" vertical="center"/>
    </xf>
    <xf numFmtId="0" fontId="18" fillId="44" borderId="0" xfId="0" applyFont="1" applyFill="1" applyAlignment="1">
      <alignment horizontal="left" vertical="center"/>
    </xf>
    <xf numFmtId="0" fontId="18" fillId="44" borderId="0" xfId="0" applyFont="1" applyFill="1" applyAlignment="1">
      <alignment horizontal="center" vertical="center"/>
    </xf>
    <xf numFmtId="0" fontId="18" fillId="44" borderId="0" xfId="0" quotePrefix="1" applyFont="1" applyFill="1" applyAlignment="1">
      <alignment horizontal="center" vertical="center"/>
    </xf>
    <xf numFmtId="0" fontId="123" fillId="44" borderId="0" xfId="0" applyFont="1" applyFill="1" applyAlignment="1">
      <alignment horizontal="left" vertical="center"/>
    </xf>
    <xf numFmtId="0" fontId="124" fillId="44" borderId="0" xfId="0" applyFont="1" applyFill="1" applyAlignment="1">
      <alignment horizontal="center" vertical="center"/>
    </xf>
    <xf numFmtId="0" fontId="24" fillId="44" borderId="0" xfId="0" applyFont="1" applyFill="1" applyAlignment="1">
      <alignment horizontal="right" vertical="center"/>
    </xf>
    <xf numFmtId="0" fontId="125" fillId="44" borderId="0" xfId="0" applyFont="1" applyFill="1">
      <alignment vertical="center"/>
    </xf>
    <xf numFmtId="0" fontId="127" fillId="44" borderId="0" xfId="0" applyFont="1" applyFill="1" applyAlignment="1">
      <alignment horizontal="center" vertical="center"/>
    </xf>
    <xf numFmtId="0" fontId="128" fillId="44" borderId="27" xfId="0" quotePrefix="1" applyFont="1" applyFill="1" applyBorder="1" applyAlignment="1">
      <alignment horizontal="center" vertical="center"/>
    </xf>
    <xf numFmtId="0" fontId="129" fillId="44" borderId="0" xfId="0" applyFont="1" applyFill="1" applyAlignment="1">
      <alignment horizontal="left" vertical="center"/>
    </xf>
    <xf numFmtId="0" fontId="129" fillId="44" borderId="0" xfId="0" applyFont="1" applyFill="1" applyAlignment="1">
      <alignment horizontal="center" vertical="center"/>
    </xf>
    <xf numFmtId="0" fontId="124" fillId="44" borderId="0" xfId="0" applyFont="1" applyFill="1" applyAlignment="1">
      <alignment horizontal="left" vertical="center"/>
    </xf>
    <xf numFmtId="0" fontId="121" fillId="44" borderId="27" xfId="0" applyFont="1" applyFill="1" applyBorder="1" applyAlignment="1">
      <alignment horizontal="center" vertical="center" wrapText="1"/>
    </xf>
    <xf numFmtId="0" fontId="121" fillId="44" borderId="27" xfId="0" applyFont="1" applyFill="1" applyBorder="1" applyAlignment="1">
      <alignment horizontal="center" vertical="center"/>
    </xf>
    <xf numFmtId="0" fontId="131" fillId="44" borderId="27" xfId="0" applyFont="1" applyFill="1" applyBorder="1" applyAlignment="1">
      <alignment horizontal="center" vertical="center" wrapText="1"/>
    </xf>
    <xf numFmtId="0" fontId="131" fillId="44" borderId="27" xfId="0" applyFont="1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3" fillId="35" borderId="28" xfId="0" applyFont="1" applyFill="1" applyBorder="1" applyAlignment="1">
      <alignment horizontal="center" vertical="center"/>
    </xf>
    <xf numFmtId="0" fontId="13" fillId="35" borderId="9" xfId="0" applyFont="1" applyFill="1" applyBorder="1" applyAlignment="1">
      <alignment horizontal="center" vertical="center"/>
    </xf>
    <xf numFmtId="0" fontId="13" fillId="35" borderId="29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10" borderId="35" xfId="0" applyFont="1" applyFill="1" applyBorder="1" applyAlignment="1">
      <alignment horizontal="center" vertical="center"/>
    </xf>
    <xf numFmtId="0" fontId="13" fillId="10" borderId="36" xfId="0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/>
    </xf>
    <xf numFmtId="0" fontId="13" fillId="10" borderId="40" xfId="0" applyFont="1" applyFill="1" applyBorder="1" applyAlignment="1">
      <alignment horizontal="center" vertical="center"/>
    </xf>
    <xf numFmtId="0" fontId="13" fillId="10" borderId="41" xfId="0" applyFont="1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0" fontId="13" fillId="44" borderId="35" xfId="0" applyFont="1" applyFill="1" applyBorder="1" applyAlignment="1">
      <alignment horizontal="center" vertical="center"/>
    </xf>
    <xf numFmtId="0" fontId="13" fillId="44" borderId="36" xfId="0" applyFont="1" applyFill="1" applyBorder="1" applyAlignment="1">
      <alignment horizontal="center" vertical="center"/>
    </xf>
    <xf numFmtId="0" fontId="13" fillId="44" borderId="37" xfId="0" applyFont="1" applyFill="1" applyBorder="1" applyAlignment="1">
      <alignment horizontal="center" vertical="center"/>
    </xf>
    <xf numFmtId="0" fontId="13" fillId="44" borderId="38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13" fillId="44" borderId="13" xfId="0" applyFont="1" applyFill="1" applyBorder="1" applyAlignment="1">
      <alignment horizontal="center" vertical="center"/>
    </xf>
    <xf numFmtId="0" fontId="13" fillId="44" borderId="14" xfId="0" applyFont="1" applyFill="1" applyBorder="1" applyAlignment="1">
      <alignment horizontal="center" vertical="center"/>
    </xf>
    <xf numFmtId="0" fontId="13" fillId="35" borderId="35" xfId="0" applyFont="1" applyFill="1" applyBorder="1" applyAlignment="1">
      <alignment horizontal="center" vertical="center"/>
    </xf>
    <xf numFmtId="0" fontId="13" fillId="35" borderId="36" xfId="0" applyFont="1" applyFill="1" applyBorder="1" applyAlignment="1">
      <alignment horizontal="center" vertical="center"/>
    </xf>
    <xf numFmtId="0" fontId="13" fillId="35" borderId="37" xfId="0" applyFont="1" applyFill="1" applyBorder="1" applyAlignment="1">
      <alignment horizontal="center" vertical="center"/>
    </xf>
    <xf numFmtId="0" fontId="13" fillId="0" borderId="244" xfId="0" applyFont="1" applyBorder="1" applyAlignment="1">
      <alignment horizontal="center" vertical="center"/>
    </xf>
    <xf numFmtId="0" fontId="13" fillId="0" borderId="245" xfId="0" applyFont="1" applyBorder="1" applyAlignment="1">
      <alignment horizontal="center" vertical="center"/>
    </xf>
    <xf numFmtId="0" fontId="13" fillId="44" borderId="179" xfId="0" applyFont="1" applyFill="1" applyBorder="1" applyAlignment="1">
      <alignment horizontal="center" vertical="center"/>
    </xf>
    <xf numFmtId="0" fontId="8" fillId="44" borderId="35" xfId="0" applyFont="1" applyFill="1" applyBorder="1" applyAlignment="1">
      <alignment horizontal="center" vertical="center"/>
    </xf>
    <xf numFmtId="0" fontId="8" fillId="44" borderId="36" xfId="0" applyFont="1" applyFill="1" applyBorder="1" applyAlignment="1">
      <alignment horizontal="center" vertical="center"/>
    </xf>
    <xf numFmtId="0" fontId="8" fillId="44" borderId="37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/>
    </xf>
    <xf numFmtId="0" fontId="8" fillId="10" borderId="37" xfId="0" applyFont="1" applyFill="1" applyBorder="1" applyAlignment="1">
      <alignment horizontal="center" vertical="center"/>
    </xf>
    <xf numFmtId="0" fontId="8" fillId="10" borderId="40" xfId="0" applyFont="1" applyFill="1" applyBorder="1" applyAlignment="1">
      <alignment horizontal="center" vertical="center"/>
    </xf>
    <xf numFmtId="0" fontId="8" fillId="10" borderId="41" xfId="0" applyFont="1" applyFill="1" applyBorder="1" applyAlignment="1">
      <alignment horizontal="center" vertical="center"/>
    </xf>
    <xf numFmtId="0" fontId="8" fillId="44" borderId="13" xfId="0" applyFont="1" applyFill="1" applyBorder="1" applyAlignment="1">
      <alignment horizontal="center" vertical="center"/>
    </xf>
    <xf numFmtId="0" fontId="8" fillId="44" borderId="14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top" wrapText="1"/>
    </xf>
    <xf numFmtId="0" fontId="13" fillId="4" borderId="9" xfId="0" applyFont="1" applyFill="1" applyBorder="1" applyAlignment="1">
      <alignment horizontal="center" vertical="top" wrapText="1"/>
    </xf>
    <xf numFmtId="0" fontId="13" fillId="4" borderId="29" xfId="0" applyFont="1" applyFill="1" applyBorder="1" applyAlignment="1">
      <alignment horizontal="center" vertical="top" wrapText="1"/>
    </xf>
    <xf numFmtId="0" fontId="13" fillId="4" borderId="28" xfId="0" applyFont="1" applyFill="1" applyBorder="1" applyAlignment="1">
      <alignment horizontal="center" vertical="top"/>
    </xf>
    <xf numFmtId="0" fontId="13" fillId="4" borderId="9" xfId="0" applyFont="1" applyFill="1" applyBorder="1" applyAlignment="1">
      <alignment horizontal="center" vertical="top"/>
    </xf>
    <xf numFmtId="0" fontId="13" fillId="4" borderId="29" xfId="0" applyFont="1" applyFill="1" applyBorder="1" applyAlignment="1">
      <alignment horizontal="center" vertical="top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/>
    </xf>
    <xf numFmtId="0" fontId="10" fillId="52" borderId="28" xfId="0" applyFont="1" applyFill="1" applyBorder="1" applyAlignment="1">
      <alignment horizontal="center" vertical="center"/>
    </xf>
    <xf numFmtId="0" fontId="10" fillId="52" borderId="29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3" fillId="52" borderId="28" xfId="0" applyFont="1" applyFill="1" applyBorder="1" applyAlignment="1">
      <alignment horizontal="center" vertical="center"/>
    </xf>
    <xf numFmtId="0" fontId="13" fillId="52" borderId="9" xfId="0" applyFont="1" applyFill="1" applyBorder="1" applyAlignment="1">
      <alignment horizontal="center" vertical="center"/>
    </xf>
    <xf numFmtId="0" fontId="13" fillId="52" borderId="29" xfId="0" applyFont="1" applyFill="1" applyBorder="1" applyAlignment="1">
      <alignment horizontal="center" vertical="center"/>
    </xf>
    <xf numFmtId="0" fontId="13" fillId="54" borderId="28" xfId="0" applyFont="1" applyFill="1" applyBorder="1" applyAlignment="1">
      <alignment horizontal="center" vertical="center"/>
    </xf>
    <xf numFmtId="0" fontId="13" fillId="54" borderId="9" xfId="0" applyFont="1" applyFill="1" applyBorder="1" applyAlignment="1">
      <alignment horizontal="center" vertical="center"/>
    </xf>
    <xf numFmtId="0" fontId="13" fillId="54" borderId="29" xfId="0" applyFont="1" applyFill="1" applyBorder="1" applyAlignment="1">
      <alignment horizontal="center" vertical="center"/>
    </xf>
    <xf numFmtId="0" fontId="105" fillId="15" borderId="28" xfId="0" applyFont="1" applyFill="1" applyBorder="1" applyAlignment="1">
      <alignment horizontal="center" vertical="center"/>
    </xf>
    <xf numFmtId="0" fontId="105" fillId="15" borderId="9" xfId="0" applyFont="1" applyFill="1" applyBorder="1" applyAlignment="1">
      <alignment horizontal="center" vertical="center"/>
    </xf>
    <xf numFmtId="0" fontId="105" fillId="15" borderId="29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8" borderId="2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29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13" fillId="10" borderId="28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29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 shrinkToFit="1"/>
    </xf>
    <xf numFmtId="0" fontId="13" fillId="4" borderId="9" xfId="0" applyFont="1" applyFill="1" applyBorder="1" applyAlignment="1">
      <alignment horizontal="center" vertical="center" shrinkToFit="1"/>
    </xf>
    <xf numFmtId="0" fontId="13" fillId="4" borderId="29" xfId="0" applyFont="1" applyFill="1" applyBorder="1" applyAlignment="1">
      <alignment horizontal="center" vertical="center" shrinkToFit="1"/>
    </xf>
    <xf numFmtId="0" fontId="13" fillId="10" borderId="28" xfId="0" applyFont="1" applyFill="1" applyBorder="1" applyAlignment="1">
      <alignment horizontal="center" vertical="top" wrapText="1"/>
    </xf>
    <xf numFmtId="0" fontId="13" fillId="10" borderId="9" xfId="0" applyFont="1" applyFill="1" applyBorder="1" applyAlignment="1">
      <alignment horizontal="center" vertical="top" wrapText="1"/>
    </xf>
    <xf numFmtId="0" fontId="13" fillId="10" borderId="29" xfId="0" applyFont="1" applyFill="1" applyBorder="1" applyAlignment="1">
      <alignment horizontal="center" vertical="top" wrapText="1"/>
    </xf>
    <xf numFmtId="0" fontId="13" fillId="3" borderId="28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/>
    </xf>
    <xf numFmtId="0" fontId="13" fillId="8" borderId="28" xfId="0" applyFont="1" applyFill="1" applyBorder="1" applyAlignment="1">
      <alignment horizontal="center" vertical="center" shrinkToFit="1"/>
    </xf>
    <xf numFmtId="0" fontId="13" fillId="8" borderId="9" xfId="0" applyFont="1" applyFill="1" applyBorder="1" applyAlignment="1">
      <alignment horizontal="center" vertical="center" shrinkToFit="1"/>
    </xf>
    <xf numFmtId="0" fontId="13" fillId="8" borderId="29" xfId="0" applyFont="1" applyFill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13" fillId="8" borderId="27" xfId="0" applyFont="1" applyFill="1" applyBorder="1" applyAlignment="1">
      <alignment horizontal="center" vertical="center" shrinkToFit="1"/>
    </xf>
    <xf numFmtId="0" fontId="13" fillId="8" borderId="7" xfId="0" applyFont="1" applyFill="1" applyBorder="1" applyAlignment="1">
      <alignment horizontal="center" vertical="center" shrinkToFit="1"/>
    </xf>
    <xf numFmtId="0" fontId="13" fillId="8" borderId="5" xfId="0" applyFont="1" applyFill="1" applyBorder="1" applyAlignment="1">
      <alignment horizontal="center" vertical="center" shrinkToFit="1"/>
    </xf>
    <xf numFmtId="0" fontId="13" fillId="8" borderId="8" xfId="0" applyFont="1" applyFill="1" applyBorder="1" applyAlignment="1">
      <alignment horizontal="center" vertical="center" shrinkToFit="1"/>
    </xf>
    <xf numFmtId="0" fontId="10" fillId="2" borderId="28" xfId="0" applyFont="1" applyFill="1" applyBorder="1" applyAlignment="1">
      <alignment horizontal="right" vertical="center"/>
    </xf>
    <xf numFmtId="0" fontId="10" fillId="2" borderId="260" xfId="0" applyFont="1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2" borderId="15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0" fillId="2" borderId="27" xfId="0" applyFont="1" applyFill="1" applyBorder="1" applyAlignment="1">
      <alignment horizontal="right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right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1" fillId="2" borderId="27" xfId="0" applyFont="1" applyFill="1" applyBorder="1" applyAlignment="1">
      <alignment horizontal="right" vertical="center"/>
    </xf>
    <xf numFmtId="0" fontId="8" fillId="19" borderId="65" xfId="0" applyFont="1" applyFill="1" applyBorder="1" applyAlignment="1">
      <alignment horizontal="left" vertical="center"/>
    </xf>
    <xf numFmtId="0" fontId="8" fillId="19" borderId="10" xfId="0" applyFont="1" applyFill="1" applyBorder="1" applyAlignment="1">
      <alignment horizontal="left" vertical="center"/>
    </xf>
    <xf numFmtId="0" fontId="15" fillId="20" borderId="65" xfId="0" applyFont="1" applyFill="1" applyBorder="1" applyAlignment="1">
      <alignment horizontal="left" vertical="center"/>
    </xf>
    <xf numFmtId="0" fontId="15" fillId="20" borderId="10" xfId="0" applyFont="1" applyFill="1" applyBorder="1" applyAlignment="1">
      <alignment horizontal="left" vertical="center"/>
    </xf>
    <xf numFmtId="0" fontId="37" fillId="18" borderId="65" xfId="0" applyFont="1" applyFill="1" applyBorder="1" applyAlignment="1">
      <alignment horizontal="left" vertical="center"/>
    </xf>
    <xf numFmtId="0" fontId="0" fillId="19" borderId="65" xfId="0" applyFill="1" applyBorder="1" applyAlignment="1">
      <alignment horizontal="left" vertical="center"/>
    </xf>
    <xf numFmtId="0" fontId="0" fillId="20" borderId="65" xfId="0" applyFill="1" applyBorder="1" applyAlignment="1">
      <alignment horizontal="left" vertical="center"/>
    </xf>
    <xf numFmtId="0" fontId="0" fillId="20" borderId="10" xfId="0" applyFill="1" applyBorder="1" applyAlignment="1">
      <alignment horizontal="left" vertical="center"/>
    </xf>
    <xf numFmtId="0" fontId="15" fillId="17" borderId="65" xfId="0" applyFont="1" applyFill="1" applyBorder="1" applyAlignment="1">
      <alignment horizontal="left" vertical="center"/>
    </xf>
    <xf numFmtId="0" fontId="8" fillId="17" borderId="65" xfId="0" applyFont="1" applyFill="1" applyBorder="1" applyAlignment="1">
      <alignment horizontal="left" vertical="center"/>
    </xf>
    <xf numFmtId="0" fontId="0" fillId="17" borderId="65" xfId="0" applyFill="1" applyBorder="1" applyAlignment="1">
      <alignment horizontal="left" vertical="center"/>
    </xf>
    <xf numFmtId="0" fontId="13" fillId="17" borderId="65" xfId="0" applyFont="1" applyFill="1" applyBorder="1" applyAlignment="1">
      <alignment horizontal="left" vertical="center"/>
    </xf>
    <xf numFmtId="0" fontId="13" fillId="19" borderId="65" xfId="0" applyFont="1" applyFill="1" applyBorder="1" applyAlignment="1">
      <alignment horizontal="left" vertical="center"/>
    </xf>
    <xf numFmtId="0" fontId="13" fillId="19" borderId="10" xfId="0" applyFont="1" applyFill="1" applyBorder="1" applyAlignment="1">
      <alignment horizontal="left" vertical="center"/>
    </xf>
    <xf numFmtId="0" fontId="13" fillId="20" borderId="65" xfId="0" applyFont="1" applyFill="1" applyBorder="1" applyAlignment="1">
      <alignment horizontal="left" vertical="center"/>
    </xf>
    <xf numFmtId="0" fontId="13" fillId="20" borderId="10" xfId="0" applyFont="1" applyFill="1" applyBorder="1" applyAlignment="1">
      <alignment horizontal="left" vertical="center"/>
    </xf>
    <xf numFmtId="176" fontId="13" fillId="19" borderId="65" xfId="1" applyNumberFormat="1" applyFont="1" applyFill="1" applyBorder="1" applyAlignment="1">
      <alignment horizontal="left" vertical="center"/>
    </xf>
    <xf numFmtId="176" fontId="13" fillId="19" borderId="10" xfId="1" applyNumberFormat="1" applyFont="1" applyFill="1" applyBorder="1" applyAlignment="1">
      <alignment horizontal="left" vertical="center"/>
    </xf>
    <xf numFmtId="176" fontId="13" fillId="20" borderId="65" xfId="1" applyNumberFormat="1" applyFont="1" applyFill="1" applyBorder="1" applyAlignment="1">
      <alignment horizontal="left" vertical="center"/>
    </xf>
    <xf numFmtId="176" fontId="13" fillId="20" borderId="10" xfId="1" applyNumberFormat="1" applyFont="1" applyFill="1" applyBorder="1" applyAlignment="1">
      <alignment horizontal="left" vertical="center"/>
    </xf>
    <xf numFmtId="176" fontId="37" fillId="18" borderId="65" xfId="1" applyNumberFormat="1" applyFont="1" applyFill="1" applyBorder="1" applyAlignment="1">
      <alignment horizontal="left" vertical="center"/>
    </xf>
    <xf numFmtId="176" fontId="13" fillId="17" borderId="65" xfId="1" applyNumberFormat="1" applyFont="1" applyFill="1" applyBorder="1" applyAlignment="1">
      <alignment horizontal="left" vertical="center"/>
    </xf>
    <xf numFmtId="180" fontId="13" fillId="19" borderId="65" xfId="0" applyNumberFormat="1" applyFont="1" applyFill="1" applyBorder="1" applyAlignment="1">
      <alignment horizontal="left" vertical="center"/>
    </xf>
    <xf numFmtId="180" fontId="13" fillId="20" borderId="65" xfId="0" applyNumberFormat="1" applyFont="1" applyFill="1" applyBorder="1" applyAlignment="1">
      <alignment horizontal="left" vertical="center"/>
    </xf>
    <xf numFmtId="180" fontId="37" fillId="18" borderId="65" xfId="0" applyNumberFormat="1" applyFont="1" applyFill="1" applyBorder="1" applyAlignment="1">
      <alignment horizontal="left" vertical="center"/>
    </xf>
    <xf numFmtId="180" fontId="13" fillId="17" borderId="65" xfId="0" applyNumberFormat="1" applyFont="1" applyFill="1" applyBorder="1" applyAlignment="1">
      <alignment horizontal="left" vertical="center"/>
    </xf>
    <xf numFmtId="186" fontId="15" fillId="19" borderId="65" xfId="0" applyNumberFormat="1" applyFont="1" applyFill="1" applyBorder="1" applyAlignment="1">
      <alignment horizontal="left" vertical="center"/>
    </xf>
    <xf numFmtId="186" fontId="15" fillId="19" borderId="10" xfId="0" applyNumberFormat="1" applyFont="1" applyFill="1" applyBorder="1" applyAlignment="1">
      <alignment horizontal="left" vertical="center"/>
    </xf>
    <xf numFmtId="186" fontId="37" fillId="20" borderId="65" xfId="0" applyNumberFormat="1" applyFont="1" applyFill="1" applyBorder="1" applyAlignment="1">
      <alignment horizontal="left" vertical="center"/>
    </xf>
    <xf numFmtId="186" fontId="37" fillId="20" borderId="10" xfId="0" applyNumberFormat="1" applyFont="1" applyFill="1" applyBorder="1" applyAlignment="1">
      <alignment horizontal="left" vertical="center"/>
    </xf>
    <xf numFmtId="186" fontId="37" fillId="18" borderId="65" xfId="0" applyNumberFormat="1" applyFont="1" applyFill="1" applyBorder="1" applyAlignment="1">
      <alignment horizontal="left" vertical="center"/>
    </xf>
    <xf numFmtId="176" fontId="22" fillId="19" borderId="65" xfId="1" applyNumberFormat="1" applyFont="1" applyFill="1" applyBorder="1" applyAlignment="1">
      <alignment horizontal="left" vertical="center"/>
    </xf>
    <xf numFmtId="176" fontId="22" fillId="20" borderId="65" xfId="1" applyNumberFormat="1" applyFont="1" applyFill="1" applyBorder="1" applyAlignment="1">
      <alignment horizontal="left" vertical="center"/>
    </xf>
    <xf numFmtId="176" fontId="46" fillId="18" borderId="65" xfId="1" applyNumberFormat="1" applyFont="1" applyFill="1" applyBorder="1" applyAlignment="1">
      <alignment horizontal="left" vertical="center"/>
    </xf>
    <xf numFmtId="186" fontId="37" fillId="17" borderId="65" xfId="0" applyNumberFormat="1" applyFont="1" applyFill="1" applyBorder="1" applyAlignment="1">
      <alignment horizontal="left" vertical="center"/>
    </xf>
    <xf numFmtId="176" fontId="22" fillId="17" borderId="65" xfId="1" applyNumberFormat="1" applyFont="1" applyFill="1" applyBorder="1" applyAlignment="1">
      <alignment horizontal="left" vertical="center"/>
    </xf>
    <xf numFmtId="41" fontId="0" fillId="20" borderId="0" xfId="1" applyFont="1" applyFill="1" applyBorder="1" applyAlignment="1">
      <alignment horizontal="left" vertical="center"/>
    </xf>
    <xf numFmtId="41" fontId="0" fillId="18" borderId="0" xfId="1" applyFont="1" applyFill="1" applyBorder="1" applyAlignment="1">
      <alignment horizontal="left" vertical="center"/>
    </xf>
    <xf numFmtId="180" fontId="13" fillId="19" borderId="10" xfId="0" applyNumberFormat="1" applyFont="1" applyFill="1" applyBorder="1" applyAlignment="1">
      <alignment horizontal="left" vertical="center"/>
    </xf>
    <xf numFmtId="180" fontId="13" fillId="20" borderId="10" xfId="0" applyNumberFormat="1" applyFont="1" applyFill="1" applyBorder="1" applyAlignment="1">
      <alignment horizontal="left" vertical="center"/>
    </xf>
    <xf numFmtId="180" fontId="13" fillId="18" borderId="65" xfId="0" applyNumberFormat="1" applyFont="1" applyFill="1" applyBorder="1" applyAlignment="1">
      <alignment horizontal="left" vertical="center"/>
    </xf>
    <xf numFmtId="41" fontId="0" fillId="17" borderId="0" xfId="1" applyFont="1" applyFill="1" applyBorder="1" applyAlignment="1">
      <alignment horizontal="left" vertical="center"/>
    </xf>
    <xf numFmtId="41" fontId="0" fillId="19" borderId="0" xfId="1" applyFont="1" applyFill="1" applyBorder="1" applyAlignment="1">
      <alignment horizontal="left" vertical="center"/>
    </xf>
    <xf numFmtId="0" fontId="0" fillId="20" borderId="65" xfId="1" applyNumberFormat="1" applyFont="1" applyFill="1" applyBorder="1" applyAlignment="1">
      <alignment horizontal="left" vertical="center"/>
    </xf>
    <xf numFmtId="0" fontId="0" fillId="20" borderId="10" xfId="1" applyNumberFormat="1" applyFont="1" applyFill="1" applyBorder="1" applyAlignment="1">
      <alignment horizontal="left" vertical="center"/>
    </xf>
    <xf numFmtId="0" fontId="0" fillId="18" borderId="65" xfId="1" applyNumberFormat="1" applyFont="1" applyFill="1" applyBorder="1" applyAlignment="1">
      <alignment horizontal="left" vertical="center"/>
    </xf>
    <xf numFmtId="0" fontId="0" fillId="17" borderId="65" xfId="1" applyNumberFormat="1" applyFont="1" applyFill="1" applyBorder="1" applyAlignment="1">
      <alignment horizontal="left" vertical="center"/>
    </xf>
    <xf numFmtId="0" fontId="0" fillId="19" borderId="65" xfId="1" applyNumberFormat="1" applyFont="1" applyFill="1" applyBorder="1" applyAlignment="1">
      <alignment horizontal="left" vertical="center"/>
    </xf>
    <xf numFmtId="0" fontId="0" fillId="19" borderId="10" xfId="1" applyNumberFormat="1" applyFont="1" applyFill="1" applyBorder="1" applyAlignment="1">
      <alignment horizontal="left" vertical="center"/>
    </xf>
    <xf numFmtId="41" fontId="0" fillId="18" borderId="2" xfId="1" applyFont="1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29" xfId="0" applyFill="1" applyBorder="1" applyAlignment="1">
      <alignment horizontal="center" vertical="center"/>
    </xf>
    <xf numFmtId="41" fontId="0" fillId="18" borderId="3" xfId="1" applyFont="1" applyFill="1" applyBorder="1" applyAlignment="1">
      <alignment horizontal="center" vertical="center"/>
    </xf>
    <xf numFmtId="0" fontId="36" fillId="16" borderId="0" xfId="0" applyFont="1" applyFill="1" applyAlignment="1">
      <alignment horizontal="center" vertical="center"/>
    </xf>
    <xf numFmtId="41" fontId="36" fillId="16" borderId="0" xfId="1" applyFont="1" applyFill="1" applyBorder="1" applyAlignment="1">
      <alignment horizontal="center" vertical="center"/>
    </xf>
    <xf numFmtId="0" fontId="36" fillId="16" borderId="0" xfId="1" applyNumberFormat="1" applyFont="1" applyFill="1" applyBorder="1" applyAlignment="1">
      <alignment horizontal="center" vertical="center"/>
    </xf>
    <xf numFmtId="10" fontId="36" fillId="16" borderId="0" xfId="0" applyNumberFormat="1" applyFont="1" applyFill="1" applyAlignment="1">
      <alignment horizontal="center" vertical="center"/>
    </xf>
    <xf numFmtId="0" fontId="13" fillId="19" borderId="0" xfId="0" applyFont="1" applyFill="1" applyAlignment="1">
      <alignment horizontal="left" vertical="center"/>
    </xf>
    <xf numFmtId="0" fontId="13" fillId="19" borderId="11" xfId="0" applyFont="1" applyFill="1" applyBorder="1" applyAlignment="1">
      <alignment horizontal="left" vertical="center"/>
    </xf>
    <xf numFmtId="0" fontId="0" fillId="19" borderId="10" xfId="0" applyFill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11" xfId="0" applyFill="1" applyBorder="1" applyAlignment="1">
      <alignment horizontal="left" vertical="center"/>
    </xf>
    <xf numFmtId="176" fontId="13" fillId="19" borderId="0" xfId="1" applyNumberFormat="1" applyFont="1" applyFill="1" applyBorder="1" applyAlignment="1">
      <alignment horizontal="left" vertical="center"/>
    </xf>
    <xf numFmtId="176" fontId="13" fillId="19" borderId="11" xfId="1" applyNumberFormat="1" applyFont="1" applyFill="1" applyBorder="1" applyAlignment="1">
      <alignment horizontal="left" vertical="center"/>
    </xf>
    <xf numFmtId="180" fontId="13" fillId="19" borderId="0" xfId="0" applyNumberFormat="1" applyFont="1" applyFill="1" applyAlignment="1">
      <alignment horizontal="left" vertical="center"/>
    </xf>
    <xf numFmtId="180" fontId="13" fillId="19" borderId="11" xfId="0" applyNumberFormat="1" applyFont="1" applyFill="1" applyBorder="1" applyAlignment="1">
      <alignment horizontal="left" vertical="center"/>
    </xf>
    <xf numFmtId="186" fontId="13" fillId="17" borderId="65" xfId="0" applyNumberFormat="1" applyFont="1" applyFill="1" applyBorder="1" applyAlignment="1">
      <alignment horizontal="left" vertical="center"/>
    </xf>
    <xf numFmtId="176" fontId="22" fillId="19" borderId="10" xfId="1" applyNumberFormat="1" applyFont="1" applyFill="1" applyBorder="1" applyAlignment="1">
      <alignment horizontal="left" vertical="center"/>
    </xf>
    <xf numFmtId="176" fontId="22" fillId="20" borderId="10" xfId="1" applyNumberFormat="1" applyFont="1" applyFill="1" applyBorder="1" applyAlignment="1">
      <alignment horizontal="left" vertical="center"/>
    </xf>
    <xf numFmtId="0" fontId="22" fillId="17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43" fillId="4" borderId="28" xfId="0" applyFont="1" applyFill="1" applyBorder="1" applyAlignment="1">
      <alignment horizontal="center" vertical="center"/>
    </xf>
    <xf numFmtId="0" fontId="43" fillId="4" borderId="9" xfId="0" applyFont="1" applyFill="1" applyBorder="1" applyAlignment="1">
      <alignment horizontal="center" vertical="center"/>
    </xf>
    <xf numFmtId="0" fontId="4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4" borderId="29" xfId="0" applyFont="1" applyFill="1" applyBorder="1" applyAlignment="1">
      <alignment horizontal="center" vertical="top" wrapText="1"/>
    </xf>
    <xf numFmtId="0" fontId="37" fillId="4" borderId="28" xfId="0" applyFont="1" applyFill="1" applyBorder="1" applyAlignment="1">
      <alignment horizontal="center" vertical="center"/>
    </xf>
    <xf numFmtId="0" fontId="37" fillId="4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top"/>
    </xf>
    <xf numFmtId="0" fontId="13" fillId="4" borderId="27" xfId="0" applyFont="1" applyFill="1" applyBorder="1" applyAlignment="1">
      <alignment horizontal="center" vertical="center" shrinkToFit="1"/>
    </xf>
    <xf numFmtId="0" fontId="13" fillId="10" borderId="9" xfId="0" applyFont="1" applyFill="1" applyBorder="1" applyAlignment="1">
      <alignment horizontal="center" vertical="top"/>
    </xf>
    <xf numFmtId="0" fontId="13" fillId="10" borderId="29" xfId="0" applyFont="1" applyFill="1" applyBorder="1" applyAlignment="1">
      <alignment horizontal="center" vertical="top"/>
    </xf>
    <xf numFmtId="0" fontId="14" fillId="21" borderId="28" xfId="0" applyFont="1" applyFill="1" applyBorder="1" applyAlignment="1">
      <alignment horizontal="center" vertical="center"/>
    </xf>
    <xf numFmtId="0" fontId="14" fillId="21" borderId="29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shrinkToFit="1"/>
    </xf>
    <xf numFmtId="0" fontId="22" fillId="4" borderId="9" xfId="0" applyFont="1" applyFill="1" applyBorder="1" applyAlignment="1">
      <alignment horizontal="center" vertical="center" shrinkToFit="1"/>
    </xf>
    <xf numFmtId="0" fontId="22" fillId="4" borderId="29" xfId="0" applyFont="1" applyFill="1" applyBorder="1" applyAlignment="1">
      <alignment horizontal="center" vertical="center" shrinkToFit="1"/>
    </xf>
    <xf numFmtId="0" fontId="36" fillId="12" borderId="28" xfId="0" applyFont="1" applyFill="1" applyBorder="1" applyAlignment="1">
      <alignment horizontal="center" vertical="center"/>
    </xf>
    <xf numFmtId="0" fontId="36" fillId="12" borderId="9" xfId="0" applyFont="1" applyFill="1" applyBorder="1" applyAlignment="1">
      <alignment horizontal="center" vertical="center"/>
    </xf>
    <xf numFmtId="0" fontId="36" fillId="12" borderId="29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top" wrapText="1"/>
    </xf>
  </cellXfs>
  <cellStyles count="4">
    <cellStyle name="쉼표 [0]" xfId="1" builtinId="6"/>
    <cellStyle name="표준" xfId="0" builtinId="0"/>
    <cellStyle name="표준 2" xfId="2" xr:uid="{57E538EB-A35B-464C-826E-73B26D6182DB}"/>
    <cellStyle name="표준 2 2" xfId="3" xr:uid="{F9434F0B-863D-47CA-A493-7A8B29FC352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00FF"/>
      <color rgb="FFECF9E7"/>
      <color rgb="FF3333FF"/>
      <color rgb="FF0066FF"/>
      <color rgb="FFECFAEE"/>
      <color rgb="FFF3FBEF"/>
      <color rgb="FFEDF9E7"/>
      <color rgb="FFEAF8E4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9657</xdr:colOff>
      <xdr:row>1</xdr:row>
      <xdr:rowOff>204788</xdr:rowOff>
    </xdr:from>
    <xdr:to>
      <xdr:col>17</xdr:col>
      <xdr:colOff>527781</xdr:colOff>
      <xdr:row>73</xdr:row>
      <xdr:rowOff>2514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C467E97-7F74-4ACE-99F4-751A3B3C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057" y="636588"/>
          <a:ext cx="11084524" cy="15342526"/>
        </a:xfrm>
        <a:prstGeom prst="rect">
          <a:avLst/>
        </a:prstGeom>
      </xdr:spPr>
    </xdr:pic>
    <xdr:clientData/>
  </xdr:twoCellAnchor>
  <xdr:twoCellAnchor>
    <xdr:from>
      <xdr:col>10</xdr:col>
      <xdr:colOff>558801</xdr:colOff>
      <xdr:row>4</xdr:row>
      <xdr:rowOff>188384</xdr:rowOff>
    </xdr:from>
    <xdr:to>
      <xdr:col>12</xdr:col>
      <xdr:colOff>66001</xdr:colOff>
      <xdr:row>8</xdr:row>
      <xdr:rowOff>188784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6EC8FE7-307E-41D3-8D12-20ECAC116D38}"/>
            </a:ext>
          </a:extLst>
        </xdr:cNvPr>
        <xdr:cNvSpPr/>
      </xdr:nvSpPr>
      <xdr:spPr>
        <a:xfrm>
          <a:off x="7162801" y="1267884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554567</xdr:colOff>
      <xdr:row>12</xdr:row>
      <xdr:rowOff>171451</xdr:rowOff>
    </xdr:from>
    <xdr:to>
      <xdr:col>12</xdr:col>
      <xdr:colOff>61767</xdr:colOff>
      <xdr:row>16</xdr:row>
      <xdr:rowOff>171851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4862FA-B4B7-4A9F-8B40-9CA04427C8D6}"/>
            </a:ext>
          </a:extLst>
        </xdr:cNvPr>
        <xdr:cNvSpPr/>
      </xdr:nvSpPr>
      <xdr:spPr>
        <a:xfrm>
          <a:off x="7158567" y="2978151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558801</xdr:colOff>
      <xdr:row>20</xdr:row>
      <xdr:rowOff>179918</xdr:rowOff>
    </xdr:from>
    <xdr:to>
      <xdr:col>12</xdr:col>
      <xdr:colOff>66001</xdr:colOff>
      <xdr:row>24</xdr:row>
      <xdr:rowOff>180318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8AC91F1-B94D-46AA-8241-5ED97A6FF9C9}"/>
            </a:ext>
          </a:extLst>
        </xdr:cNvPr>
        <xdr:cNvSpPr/>
      </xdr:nvSpPr>
      <xdr:spPr>
        <a:xfrm>
          <a:off x="7162801" y="4713818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554567</xdr:colOff>
      <xdr:row>28</xdr:row>
      <xdr:rowOff>171452</xdr:rowOff>
    </xdr:from>
    <xdr:to>
      <xdr:col>12</xdr:col>
      <xdr:colOff>61767</xdr:colOff>
      <xdr:row>32</xdr:row>
      <xdr:rowOff>171852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0399384-F443-4BA8-ABE3-D80615892DC6}"/>
            </a:ext>
          </a:extLst>
        </xdr:cNvPr>
        <xdr:cNvSpPr/>
      </xdr:nvSpPr>
      <xdr:spPr>
        <a:xfrm>
          <a:off x="7158567" y="6432552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575734</xdr:colOff>
      <xdr:row>36</xdr:row>
      <xdr:rowOff>184152</xdr:rowOff>
    </xdr:from>
    <xdr:to>
      <xdr:col>12</xdr:col>
      <xdr:colOff>82934</xdr:colOff>
      <xdr:row>40</xdr:row>
      <xdr:rowOff>184552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3E9BD698-CC5C-4ADC-BAE1-17CC6909CED5}"/>
            </a:ext>
          </a:extLst>
        </xdr:cNvPr>
        <xdr:cNvSpPr/>
      </xdr:nvSpPr>
      <xdr:spPr>
        <a:xfrm>
          <a:off x="7179734" y="8172452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567267</xdr:colOff>
      <xdr:row>44</xdr:row>
      <xdr:rowOff>175686</xdr:rowOff>
    </xdr:from>
    <xdr:to>
      <xdr:col>12</xdr:col>
      <xdr:colOff>74467</xdr:colOff>
      <xdr:row>48</xdr:row>
      <xdr:rowOff>176086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4BB71CD-9553-4351-8E3E-86DF1B044F71}"/>
            </a:ext>
          </a:extLst>
        </xdr:cNvPr>
        <xdr:cNvSpPr/>
      </xdr:nvSpPr>
      <xdr:spPr>
        <a:xfrm>
          <a:off x="7171267" y="9891186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554567</xdr:colOff>
      <xdr:row>52</xdr:row>
      <xdr:rowOff>171452</xdr:rowOff>
    </xdr:from>
    <xdr:to>
      <xdr:col>12</xdr:col>
      <xdr:colOff>61767</xdr:colOff>
      <xdr:row>56</xdr:row>
      <xdr:rowOff>171852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965B01E0-6017-4885-84C5-BF2788560123}"/>
            </a:ext>
          </a:extLst>
        </xdr:cNvPr>
        <xdr:cNvSpPr/>
      </xdr:nvSpPr>
      <xdr:spPr>
        <a:xfrm>
          <a:off x="7158567" y="11614152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563034</xdr:colOff>
      <xdr:row>60</xdr:row>
      <xdr:rowOff>146052</xdr:rowOff>
    </xdr:from>
    <xdr:to>
      <xdr:col>12</xdr:col>
      <xdr:colOff>70234</xdr:colOff>
      <xdr:row>64</xdr:row>
      <xdr:rowOff>146452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5F4E5302-F498-4454-9060-C653BD28ACF8}"/>
            </a:ext>
          </a:extLst>
        </xdr:cNvPr>
        <xdr:cNvSpPr/>
      </xdr:nvSpPr>
      <xdr:spPr>
        <a:xfrm>
          <a:off x="7167034" y="13315952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558800</xdr:colOff>
      <xdr:row>68</xdr:row>
      <xdr:rowOff>137585</xdr:rowOff>
    </xdr:from>
    <xdr:to>
      <xdr:col>12</xdr:col>
      <xdr:colOff>66000</xdr:colOff>
      <xdr:row>72</xdr:row>
      <xdr:rowOff>137985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BEB3F40F-E07A-4F26-91DB-B4BC628263EE}"/>
            </a:ext>
          </a:extLst>
        </xdr:cNvPr>
        <xdr:cNvSpPr/>
      </xdr:nvSpPr>
      <xdr:spPr>
        <a:xfrm>
          <a:off x="7162800" y="15034685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230909</xdr:colOff>
      <xdr:row>147</xdr:row>
      <xdr:rowOff>25156</xdr:rowOff>
    </xdr:from>
    <xdr:ext cx="517706" cy="1565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C53D62-A866-4B8A-8F35-4A0048031EA1}"/>
            </a:ext>
          </a:extLst>
        </xdr:cNvPr>
        <xdr:cNvSpPr txBox="1"/>
      </xdr:nvSpPr>
      <xdr:spPr>
        <a:xfrm>
          <a:off x="5609359" y="289557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147</xdr:row>
      <xdr:rowOff>27463</xdr:rowOff>
    </xdr:from>
    <xdr:ext cx="673005" cy="15651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C4F56-2B93-4BEC-8D6C-1FCE990767CD}"/>
            </a:ext>
          </a:extLst>
        </xdr:cNvPr>
        <xdr:cNvSpPr txBox="1"/>
      </xdr:nvSpPr>
      <xdr:spPr>
        <a:xfrm>
          <a:off x="6418119" y="289580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147</xdr:row>
      <xdr:rowOff>35545</xdr:rowOff>
    </xdr:from>
    <xdr:ext cx="613309" cy="1565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0576CC-D068-44A3-B729-14353F6615E6}"/>
            </a:ext>
          </a:extLst>
        </xdr:cNvPr>
        <xdr:cNvSpPr txBox="1"/>
      </xdr:nvSpPr>
      <xdr:spPr>
        <a:xfrm>
          <a:off x="7921337" y="289661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147</xdr:row>
      <xdr:rowOff>37855</xdr:rowOff>
    </xdr:from>
    <xdr:ext cx="789319" cy="1565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6F63E5-6C91-4144-B651-5C984E007DC0}"/>
            </a:ext>
          </a:extLst>
        </xdr:cNvPr>
        <xdr:cNvSpPr txBox="1"/>
      </xdr:nvSpPr>
      <xdr:spPr>
        <a:xfrm>
          <a:off x="10232736" y="289684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145</xdr:row>
      <xdr:rowOff>80817</xdr:rowOff>
    </xdr:from>
    <xdr:to>
      <xdr:col>19</xdr:col>
      <xdr:colOff>5772</xdr:colOff>
      <xdr:row>146</xdr:row>
      <xdr:rowOff>119226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B10ED449-FE60-41F8-BD6E-34FA8BB2BEBB}"/>
            </a:ext>
          </a:extLst>
        </xdr:cNvPr>
        <xdr:cNvCxnSpPr/>
      </xdr:nvCxnSpPr>
      <xdr:spPr>
        <a:xfrm>
          <a:off x="8857672" y="285796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145</xdr:row>
      <xdr:rowOff>123536</xdr:rowOff>
    </xdr:from>
    <xdr:to>
      <xdr:col>29</xdr:col>
      <xdr:colOff>8079</xdr:colOff>
      <xdr:row>146</xdr:row>
      <xdr:rowOff>161945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6921877F-1F7D-4F97-815E-B8A5D9DE6D74}"/>
            </a:ext>
          </a:extLst>
        </xdr:cNvPr>
        <xdr:cNvCxnSpPr/>
      </xdr:nvCxnSpPr>
      <xdr:spPr>
        <a:xfrm>
          <a:off x="12034979" y="286223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146</xdr:row>
      <xdr:rowOff>28863</xdr:rowOff>
    </xdr:from>
    <xdr:to>
      <xdr:col>29</xdr:col>
      <xdr:colOff>9844</xdr:colOff>
      <xdr:row>146</xdr:row>
      <xdr:rowOff>28863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A912AE3C-7337-4C3E-BC17-F536CFA27FF3}"/>
            </a:ext>
          </a:extLst>
        </xdr:cNvPr>
        <xdr:cNvCxnSpPr/>
      </xdr:nvCxnSpPr>
      <xdr:spPr>
        <a:xfrm flipH="1">
          <a:off x="8850744" y="287435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145</xdr:row>
      <xdr:rowOff>167165</xdr:rowOff>
    </xdr:from>
    <xdr:ext cx="382349" cy="15651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75D9CF-4533-410A-B360-DF2FC6DF073B}"/>
            </a:ext>
          </a:extLst>
        </xdr:cNvPr>
        <xdr:cNvSpPr txBox="1"/>
      </xdr:nvSpPr>
      <xdr:spPr>
        <a:xfrm>
          <a:off x="10298547" y="28665965"/>
          <a:ext cx="38234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2260us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143</xdr:row>
      <xdr:rowOff>60035</xdr:rowOff>
    </xdr:from>
    <xdr:to>
      <xdr:col>7</xdr:col>
      <xdr:colOff>233217</xdr:colOff>
      <xdr:row>146</xdr:row>
      <xdr:rowOff>103262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CF289176-8C43-459F-A7C1-643CACD64FC2}"/>
            </a:ext>
          </a:extLst>
        </xdr:cNvPr>
        <xdr:cNvCxnSpPr/>
      </xdr:nvCxnSpPr>
      <xdr:spPr>
        <a:xfrm>
          <a:off x="5611667" y="281270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145</xdr:row>
      <xdr:rowOff>77356</xdr:rowOff>
    </xdr:from>
    <xdr:to>
      <xdr:col>18</xdr:col>
      <xdr:colOff>8082</xdr:colOff>
      <xdr:row>146</xdr:row>
      <xdr:rowOff>115765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CC7AA80-8A4E-463F-8A09-E6CC4DB3420F}"/>
            </a:ext>
          </a:extLst>
        </xdr:cNvPr>
        <xdr:cNvCxnSpPr/>
      </xdr:nvCxnSpPr>
      <xdr:spPr>
        <a:xfrm>
          <a:off x="8542482" y="285761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146</xdr:row>
      <xdr:rowOff>25401</xdr:rowOff>
    </xdr:from>
    <xdr:to>
      <xdr:col>18</xdr:col>
      <xdr:colOff>9381</xdr:colOff>
      <xdr:row>146</xdr:row>
      <xdr:rowOff>25401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DD988B99-D34D-4AA0-8B20-8ADACD21B1CC}"/>
            </a:ext>
          </a:extLst>
        </xdr:cNvPr>
        <xdr:cNvCxnSpPr/>
      </xdr:nvCxnSpPr>
      <xdr:spPr>
        <a:xfrm flipH="1">
          <a:off x="5610513" y="287401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145</xdr:row>
      <xdr:rowOff>65565</xdr:rowOff>
    </xdr:from>
    <xdr:ext cx="317331" cy="15651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3A4B438-1CEC-42E8-B678-472C7A9FA6DA}"/>
            </a:ext>
          </a:extLst>
        </xdr:cNvPr>
        <xdr:cNvSpPr txBox="1"/>
      </xdr:nvSpPr>
      <xdr:spPr>
        <a:xfrm>
          <a:off x="6877627" y="285643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12</xdr:col>
      <xdr:colOff>19628</xdr:colOff>
      <xdr:row>148</xdr:row>
      <xdr:rowOff>202045</xdr:rowOff>
    </xdr:from>
    <xdr:ext cx="6076372" cy="129309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A6210CD-EB3A-445D-916F-87B375881245}"/>
            </a:ext>
          </a:extLst>
        </xdr:cNvPr>
        <xdr:cNvSpPr txBox="1"/>
      </xdr:nvSpPr>
      <xdr:spPr>
        <a:xfrm>
          <a:off x="6649028" y="29348545"/>
          <a:ext cx="6076372" cy="129309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190us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구간은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xc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로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vsync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가 입력되면</a:t>
          </a:r>
          <a:r>
            <a:rPr lang="en-US" altLang="ko-KR" sz="1000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자동으로 수행됨</a:t>
          </a:r>
          <a:endParaRPr lang="en-US" altLang="ko-KR" sz="1000" i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x1 =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10us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너무 크면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thruput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영향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x2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전송 완료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확인 후 다음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access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하면 되는데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어떻게 할 지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x3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1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frame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총 처리 시간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max </a:t>
          </a:r>
          <a:r>
            <a:rPr lang="en-US" altLang="ko-KR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3.5ms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예상</a:t>
          </a:r>
          <a:endParaRPr lang="ko-KR" altLang="ko-KR" sz="1000">
            <a:effectLst/>
          </a:endParaRPr>
        </a:p>
      </xdr:txBody>
    </xdr:sp>
    <xdr:clientData/>
  </xdr:oneCellAnchor>
  <xdr:twoCellAnchor>
    <xdr:from>
      <xdr:col>18</xdr:col>
      <xdr:colOff>11545</xdr:colOff>
      <xdr:row>146</xdr:row>
      <xdr:rowOff>23090</xdr:rowOff>
    </xdr:from>
    <xdr:to>
      <xdr:col>18</xdr:col>
      <xdr:colOff>311871</xdr:colOff>
      <xdr:row>146</xdr:row>
      <xdr:rowOff>27709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5CC66971-9A26-4714-BBCE-9E59E8705E95}"/>
            </a:ext>
          </a:extLst>
        </xdr:cNvPr>
        <xdr:cNvCxnSpPr/>
      </xdr:nvCxnSpPr>
      <xdr:spPr>
        <a:xfrm flipH="1" flipV="1">
          <a:off x="8545945" y="287377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145</xdr:row>
      <xdr:rowOff>79420</xdr:rowOff>
    </xdr:from>
    <xdr:ext cx="117083" cy="15651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B746DB-4872-4F96-ADE5-CC913A128277}"/>
            </a:ext>
          </a:extLst>
        </xdr:cNvPr>
        <xdr:cNvSpPr txBox="1"/>
      </xdr:nvSpPr>
      <xdr:spPr>
        <a:xfrm>
          <a:off x="8652164" y="285782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95827</xdr:colOff>
      <xdr:row>144</xdr:row>
      <xdr:rowOff>28619</xdr:rowOff>
    </xdr:from>
    <xdr:ext cx="419859" cy="156518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233F526-7B3B-4973-ADC3-E108DEFC4F5C}"/>
            </a:ext>
          </a:extLst>
        </xdr:cNvPr>
        <xdr:cNvSpPr txBox="1"/>
      </xdr:nvSpPr>
      <xdr:spPr>
        <a:xfrm>
          <a:off x="8947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29</xdr:col>
      <xdr:colOff>316343</xdr:colOff>
      <xdr:row>145</xdr:row>
      <xdr:rowOff>114300</xdr:rowOff>
    </xdr:from>
    <xdr:to>
      <xdr:col>29</xdr:col>
      <xdr:colOff>316343</xdr:colOff>
      <xdr:row>149</xdr:row>
      <xdr:rowOff>159937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7504C9BB-36BD-4F87-AE4D-1E60BE399194}"/>
            </a:ext>
          </a:extLst>
        </xdr:cNvPr>
        <xdr:cNvCxnSpPr/>
      </xdr:nvCxnSpPr>
      <xdr:spPr>
        <a:xfrm>
          <a:off x="12343243" y="28613100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1153</xdr:colOff>
      <xdr:row>145</xdr:row>
      <xdr:rowOff>128153</xdr:rowOff>
    </xdr:from>
    <xdr:to>
      <xdr:col>35</xdr:col>
      <xdr:colOff>1153</xdr:colOff>
      <xdr:row>149</xdr:row>
      <xdr:rowOff>173790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9556A370-9202-4127-8D5B-4BE151672690}"/>
            </a:ext>
          </a:extLst>
        </xdr:cNvPr>
        <xdr:cNvCxnSpPr/>
      </xdr:nvCxnSpPr>
      <xdr:spPr>
        <a:xfrm>
          <a:off x="14034653" y="28626953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312880</xdr:colOff>
      <xdr:row>146</xdr:row>
      <xdr:rowOff>28863</xdr:rowOff>
    </xdr:from>
    <xdr:to>
      <xdr:col>35</xdr:col>
      <xdr:colOff>0</xdr:colOff>
      <xdr:row>146</xdr:row>
      <xdr:rowOff>28863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D61C9701-7F47-4358-9890-268A19B08133}"/>
            </a:ext>
          </a:extLst>
        </xdr:cNvPr>
        <xdr:cNvCxnSpPr/>
      </xdr:nvCxnSpPr>
      <xdr:spPr>
        <a:xfrm flipH="1">
          <a:off x="12339780" y="287435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145</xdr:row>
      <xdr:rowOff>99047</xdr:rowOff>
    </xdr:from>
    <xdr:ext cx="117083" cy="156518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226009E-4394-4FEF-A8CF-79C7CDF0F1B6}"/>
            </a:ext>
          </a:extLst>
        </xdr:cNvPr>
        <xdr:cNvSpPr txBox="1"/>
      </xdr:nvSpPr>
      <xdr:spPr>
        <a:xfrm>
          <a:off x="12129652" y="285978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146</xdr:row>
      <xdr:rowOff>25399</xdr:rowOff>
    </xdr:from>
    <xdr:to>
      <xdr:col>29</xdr:col>
      <xdr:colOff>314180</xdr:colOff>
      <xdr:row>146</xdr:row>
      <xdr:rowOff>30018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35D25CB-D812-479E-95B6-98F3E7611692}"/>
            </a:ext>
          </a:extLst>
        </xdr:cNvPr>
        <xdr:cNvCxnSpPr/>
      </xdr:nvCxnSpPr>
      <xdr:spPr>
        <a:xfrm flipH="1" flipV="1">
          <a:off x="12040754" y="287400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145</xdr:row>
      <xdr:rowOff>157928</xdr:rowOff>
    </xdr:from>
    <xdr:ext cx="317331" cy="156518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89AFF63-8A42-485A-B47D-717BF4E66A6B}"/>
            </a:ext>
          </a:extLst>
        </xdr:cNvPr>
        <xdr:cNvSpPr txBox="1"/>
      </xdr:nvSpPr>
      <xdr:spPr>
        <a:xfrm>
          <a:off x="12967857" y="286567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21</xdr:col>
      <xdr:colOff>4617</xdr:colOff>
      <xdr:row>144</xdr:row>
      <xdr:rowOff>114299</xdr:rowOff>
    </xdr:from>
    <xdr:to>
      <xdr:col>21</xdr:col>
      <xdr:colOff>304943</xdr:colOff>
      <xdr:row>144</xdr:row>
      <xdr:rowOff>118918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DABE7899-1A40-475E-A9BB-67476E69D76C}"/>
            </a:ext>
          </a:extLst>
        </xdr:cNvPr>
        <xdr:cNvCxnSpPr/>
      </xdr:nvCxnSpPr>
      <xdr:spPr>
        <a:xfrm flipH="1" flipV="1">
          <a:off x="9491517" y="283971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89803</xdr:colOff>
      <xdr:row>144</xdr:row>
      <xdr:rowOff>129394</xdr:rowOff>
    </xdr:from>
    <xdr:ext cx="117083" cy="156518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484DD59-D78E-4FD6-9E4A-4837ADE8B231}"/>
            </a:ext>
          </a:extLst>
        </xdr:cNvPr>
        <xdr:cNvSpPr txBox="1"/>
      </xdr:nvSpPr>
      <xdr:spPr>
        <a:xfrm>
          <a:off x="9576703" y="2841229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143</xdr:row>
      <xdr:rowOff>131623</xdr:rowOff>
    </xdr:from>
    <xdr:ext cx="247119" cy="313034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9AE4140-8132-406B-BACD-C92E3B505828}"/>
            </a:ext>
          </a:extLst>
        </xdr:cNvPr>
        <xdr:cNvSpPr txBox="1"/>
      </xdr:nvSpPr>
      <xdr:spPr>
        <a:xfrm>
          <a:off x="12384809" y="281986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twoCellAnchor>
    <xdr:from>
      <xdr:col>19</xdr:col>
      <xdr:colOff>312879</xdr:colOff>
      <xdr:row>167</xdr:row>
      <xdr:rowOff>93519</xdr:rowOff>
    </xdr:from>
    <xdr:to>
      <xdr:col>19</xdr:col>
      <xdr:colOff>312879</xdr:colOff>
      <xdr:row>168</xdr:row>
      <xdr:rowOff>131928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CD13CC8C-54DB-4194-A919-64A9C622D694}"/>
            </a:ext>
          </a:extLst>
        </xdr:cNvPr>
        <xdr:cNvCxnSpPr/>
      </xdr:nvCxnSpPr>
      <xdr:spPr>
        <a:xfrm>
          <a:off x="9164779" y="33342119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302489</xdr:colOff>
      <xdr:row>168</xdr:row>
      <xdr:rowOff>5772</xdr:rowOff>
    </xdr:from>
    <xdr:to>
      <xdr:col>23</xdr:col>
      <xdr:colOff>4489</xdr:colOff>
      <xdr:row>168</xdr:row>
      <xdr:rowOff>5772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48138B06-5565-4DCF-B232-1D4E1F01594C}"/>
            </a:ext>
          </a:extLst>
        </xdr:cNvPr>
        <xdr:cNvCxnSpPr/>
      </xdr:nvCxnSpPr>
      <xdr:spPr>
        <a:xfrm flipH="1">
          <a:off x="9154389" y="33470272"/>
          <a:ext cx="972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36945</xdr:colOff>
      <xdr:row>143</xdr:row>
      <xdr:rowOff>122387</xdr:rowOff>
    </xdr:from>
    <xdr:ext cx="247120" cy="313034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F7E6A8F-22FE-48E7-B195-B95D2AA05A1E}"/>
            </a:ext>
          </a:extLst>
        </xdr:cNvPr>
        <xdr:cNvSpPr txBox="1"/>
      </xdr:nvSpPr>
      <xdr:spPr>
        <a:xfrm>
          <a:off x="13016345" y="281893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144</xdr:row>
      <xdr:rowOff>40164</xdr:rowOff>
    </xdr:from>
    <xdr:ext cx="117083" cy="156518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B41DE2C-3BDC-40BF-B352-8994D4CF90C9}"/>
            </a:ext>
          </a:extLst>
        </xdr:cNvPr>
        <xdr:cNvSpPr txBox="1"/>
      </xdr:nvSpPr>
      <xdr:spPr>
        <a:xfrm>
          <a:off x="12763497" y="283230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145</xdr:row>
      <xdr:rowOff>6926</xdr:rowOff>
    </xdr:from>
    <xdr:to>
      <xdr:col>32</xdr:col>
      <xdr:colOff>1299</xdr:colOff>
      <xdr:row>145</xdr:row>
      <xdr:rowOff>11545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4D7F4682-D913-436D-ACD3-5FA1B6AB9758}"/>
            </a:ext>
          </a:extLst>
        </xdr:cNvPr>
        <xdr:cNvCxnSpPr/>
      </xdr:nvCxnSpPr>
      <xdr:spPr>
        <a:xfrm flipH="1" flipV="1">
          <a:off x="12680373" y="285057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168</xdr:row>
      <xdr:rowOff>210127</xdr:rowOff>
    </xdr:from>
    <xdr:to>
      <xdr:col>14</xdr:col>
      <xdr:colOff>199000</xdr:colOff>
      <xdr:row>170</xdr:row>
      <xdr:rowOff>34636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F39B9676-9F31-471F-A390-D31B39A81468}"/>
            </a:ext>
          </a:extLst>
        </xdr:cNvPr>
        <xdr:cNvGrpSpPr/>
      </xdr:nvGrpSpPr>
      <xdr:grpSpPr>
        <a:xfrm>
          <a:off x="7493000" y="36481327"/>
          <a:ext cx="72000" cy="256309"/>
          <a:chOff x="3769591" y="13747173"/>
          <a:chExt cx="117763" cy="251691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170FFFBB-653D-4D13-9BBB-AE0D89AA9196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AB093119-C810-5EF8-AA23-A4D7EC9EF8B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170</xdr:row>
      <xdr:rowOff>200891</xdr:rowOff>
    </xdr:from>
    <xdr:to>
      <xdr:col>14</xdr:col>
      <xdr:colOff>195537</xdr:colOff>
      <xdr:row>172</xdr:row>
      <xdr:rowOff>25400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488D67CA-6CCB-49D2-9598-FE2AF89F18E1}"/>
            </a:ext>
          </a:extLst>
        </xdr:cNvPr>
        <xdr:cNvGrpSpPr/>
      </xdr:nvGrpSpPr>
      <xdr:grpSpPr>
        <a:xfrm>
          <a:off x="7489537" y="36903891"/>
          <a:ext cx="72000" cy="256309"/>
          <a:chOff x="3769591" y="13747173"/>
          <a:chExt cx="117763" cy="251691"/>
        </a:xfrm>
      </xdr:grpSpPr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772EEB57-2603-BB4E-FE22-A7A19D8D75F9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EC234188-50CD-8833-688C-3CACBD13174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315188</xdr:colOff>
      <xdr:row>167</xdr:row>
      <xdr:rowOff>78508</xdr:rowOff>
    </xdr:from>
    <xdr:to>
      <xdr:col>22</xdr:col>
      <xdr:colOff>315188</xdr:colOff>
      <xdr:row>168</xdr:row>
      <xdr:rowOff>116917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8DB1B7E9-B889-498B-AC3B-F1D8B85A11D8}"/>
            </a:ext>
          </a:extLst>
        </xdr:cNvPr>
        <xdr:cNvCxnSpPr/>
      </xdr:nvCxnSpPr>
      <xdr:spPr>
        <a:xfrm>
          <a:off x="10119588" y="33327108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3461</xdr:colOff>
      <xdr:row>167</xdr:row>
      <xdr:rowOff>84281</xdr:rowOff>
    </xdr:from>
    <xdr:to>
      <xdr:col>8</xdr:col>
      <xdr:colOff>3461</xdr:colOff>
      <xdr:row>168</xdr:row>
      <xdr:rowOff>122690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300447B0-0229-4F77-8415-DF6AC4A7CDD6}"/>
            </a:ext>
          </a:extLst>
        </xdr:cNvPr>
        <xdr:cNvCxnSpPr/>
      </xdr:nvCxnSpPr>
      <xdr:spPr>
        <a:xfrm>
          <a:off x="5616861" y="333328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167</xdr:row>
      <xdr:rowOff>210125</xdr:rowOff>
    </xdr:from>
    <xdr:to>
      <xdr:col>8</xdr:col>
      <xdr:colOff>239299</xdr:colOff>
      <xdr:row>167</xdr:row>
      <xdr:rowOff>210125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C080163E-736F-4177-A9ED-1FCE9264BFD9}"/>
            </a:ext>
          </a:extLst>
        </xdr:cNvPr>
        <xdr:cNvCxnSpPr/>
      </xdr:nvCxnSpPr>
      <xdr:spPr>
        <a:xfrm flipH="1">
          <a:off x="5602430" y="334587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167</xdr:row>
      <xdr:rowOff>92362</xdr:rowOff>
    </xdr:from>
    <xdr:to>
      <xdr:col>8</xdr:col>
      <xdr:colOff>236680</xdr:colOff>
      <xdr:row>168</xdr:row>
      <xdr:rowOff>130771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4EBAE40A-0175-4C4C-9446-FC0FFB6EBF93}"/>
            </a:ext>
          </a:extLst>
        </xdr:cNvPr>
        <xdr:cNvCxnSpPr/>
      </xdr:nvCxnSpPr>
      <xdr:spPr>
        <a:xfrm>
          <a:off x="5850080" y="333409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317498</xdr:colOff>
      <xdr:row>167</xdr:row>
      <xdr:rowOff>98133</xdr:rowOff>
    </xdr:from>
    <xdr:to>
      <xdr:col>18</xdr:col>
      <xdr:colOff>317498</xdr:colOff>
      <xdr:row>168</xdr:row>
      <xdr:rowOff>136542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4C7F5A45-420A-48DA-B6FB-736BD63568BE}"/>
            </a:ext>
          </a:extLst>
        </xdr:cNvPr>
        <xdr:cNvCxnSpPr/>
      </xdr:nvCxnSpPr>
      <xdr:spPr>
        <a:xfrm>
          <a:off x="8851898" y="33346733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6926</xdr:colOff>
      <xdr:row>168</xdr:row>
      <xdr:rowOff>4615</xdr:rowOff>
    </xdr:from>
    <xdr:to>
      <xdr:col>19</xdr:col>
      <xdr:colOff>312926</xdr:colOff>
      <xdr:row>168</xdr:row>
      <xdr:rowOff>4615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FB669A69-49C0-41C9-8E18-679C6A04CD39}"/>
            </a:ext>
          </a:extLst>
        </xdr:cNvPr>
        <xdr:cNvCxnSpPr/>
      </xdr:nvCxnSpPr>
      <xdr:spPr>
        <a:xfrm flipH="1">
          <a:off x="8858826" y="33469115"/>
          <a:ext cx="30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167</xdr:row>
      <xdr:rowOff>129066</xdr:rowOff>
    </xdr:from>
    <xdr:ext cx="503984" cy="156518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5AF9BDD-6857-4EBC-B337-73373359E35A}"/>
            </a:ext>
          </a:extLst>
        </xdr:cNvPr>
        <xdr:cNvSpPr txBox="1"/>
      </xdr:nvSpPr>
      <xdr:spPr>
        <a:xfrm>
          <a:off x="5896263" y="333776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106218</xdr:colOff>
      <xdr:row>167</xdr:row>
      <xdr:rowOff>131375</xdr:rowOff>
    </xdr:from>
    <xdr:ext cx="503984" cy="156518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C48C591-70B9-407E-89D8-8BE6FAE39BAF}"/>
            </a:ext>
          </a:extLst>
        </xdr:cNvPr>
        <xdr:cNvSpPr txBox="1"/>
      </xdr:nvSpPr>
      <xdr:spPr>
        <a:xfrm>
          <a:off x="8323118" y="33379975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20</xdr:col>
      <xdr:colOff>252845</xdr:colOff>
      <xdr:row>167</xdr:row>
      <xdr:rowOff>139457</xdr:rowOff>
    </xdr:from>
    <xdr:ext cx="470578" cy="156518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CBC8C52-F133-48E3-BE2B-E53CF592ACC1}"/>
            </a:ext>
          </a:extLst>
        </xdr:cNvPr>
        <xdr:cNvSpPr txBox="1"/>
      </xdr:nvSpPr>
      <xdr:spPr>
        <a:xfrm>
          <a:off x="9422245" y="33388057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9</xdr:col>
      <xdr:colOff>0</xdr:colOff>
      <xdr:row>168</xdr:row>
      <xdr:rowOff>207818</xdr:rowOff>
    </xdr:from>
    <xdr:to>
      <xdr:col>9</xdr:col>
      <xdr:colOff>0</xdr:colOff>
      <xdr:row>169</xdr:row>
      <xdr:rowOff>210227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5CCDA33F-4ABC-4A6E-B2AD-B3AD06E5CC8B}"/>
            </a:ext>
          </a:extLst>
        </xdr:cNvPr>
        <xdr:cNvCxnSpPr/>
      </xdr:nvCxnSpPr>
      <xdr:spPr>
        <a:xfrm flipV="1">
          <a:off x="5867400" y="336723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170</xdr:row>
      <xdr:rowOff>210126</xdr:rowOff>
    </xdr:from>
    <xdr:to>
      <xdr:col>9</xdr:col>
      <xdr:colOff>2309</xdr:colOff>
      <xdr:row>171</xdr:row>
      <xdr:rowOff>212535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1077BDFD-6FDD-4BE0-9DAF-17B9C0B27EF2}"/>
            </a:ext>
          </a:extLst>
        </xdr:cNvPr>
        <xdr:cNvCxnSpPr/>
      </xdr:nvCxnSpPr>
      <xdr:spPr>
        <a:xfrm flipV="1">
          <a:off x="5869709" y="341064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177</xdr:row>
      <xdr:rowOff>210127</xdr:rowOff>
    </xdr:from>
    <xdr:to>
      <xdr:col>14</xdr:col>
      <xdr:colOff>199000</xdr:colOff>
      <xdr:row>179</xdr:row>
      <xdr:rowOff>34636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FDCF712F-6A05-4262-AA86-6424E2F4260D}"/>
            </a:ext>
          </a:extLst>
        </xdr:cNvPr>
        <xdr:cNvGrpSpPr/>
      </xdr:nvGrpSpPr>
      <xdr:grpSpPr>
        <a:xfrm>
          <a:off x="7493000" y="38424427"/>
          <a:ext cx="72000" cy="256309"/>
          <a:chOff x="3769591" y="13747173"/>
          <a:chExt cx="117763" cy="251691"/>
        </a:xfrm>
      </xdr:grpSpPr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E2375969-0065-831B-87EF-92D842CED0C5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" name="자유형: 도형 50">
            <a:extLst>
              <a:ext uri="{FF2B5EF4-FFF2-40B4-BE49-F238E27FC236}">
                <a16:creationId xmlns:a16="http://schemas.microsoft.com/office/drawing/2014/main" id="{452D8C84-6D48-CB9D-2FC5-7FFE408AE076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179</xdr:row>
      <xdr:rowOff>200891</xdr:rowOff>
    </xdr:from>
    <xdr:to>
      <xdr:col>14</xdr:col>
      <xdr:colOff>195537</xdr:colOff>
      <xdr:row>181</xdr:row>
      <xdr:rowOff>25400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897D25F5-A3D4-467E-BD2F-97F27287C7AC}"/>
            </a:ext>
          </a:extLst>
        </xdr:cNvPr>
        <xdr:cNvGrpSpPr/>
      </xdr:nvGrpSpPr>
      <xdr:grpSpPr>
        <a:xfrm>
          <a:off x="7489537" y="38846991"/>
          <a:ext cx="72000" cy="256309"/>
          <a:chOff x="3769591" y="13747173"/>
          <a:chExt cx="117763" cy="251691"/>
        </a:xfrm>
      </xdr:grpSpPr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D99BD56D-9AB1-5607-8491-8F640E20CFB7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자유형: 도형 53">
            <a:extLst>
              <a:ext uri="{FF2B5EF4-FFF2-40B4-BE49-F238E27FC236}">
                <a16:creationId xmlns:a16="http://schemas.microsoft.com/office/drawing/2014/main" id="{B21826AC-7A4B-8F7B-1101-C223E62F7262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3461</xdr:colOff>
      <xdr:row>176</xdr:row>
      <xdr:rowOff>84281</xdr:rowOff>
    </xdr:from>
    <xdr:to>
      <xdr:col>8</xdr:col>
      <xdr:colOff>3461</xdr:colOff>
      <xdr:row>177</xdr:row>
      <xdr:rowOff>122690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551BCFAE-980F-43B7-A9E6-C5432F8A891A}"/>
            </a:ext>
          </a:extLst>
        </xdr:cNvPr>
        <xdr:cNvCxnSpPr/>
      </xdr:nvCxnSpPr>
      <xdr:spPr>
        <a:xfrm>
          <a:off x="5616861" y="352759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176</xdr:row>
      <xdr:rowOff>210125</xdr:rowOff>
    </xdr:from>
    <xdr:to>
      <xdr:col>8</xdr:col>
      <xdr:colOff>239299</xdr:colOff>
      <xdr:row>176</xdr:row>
      <xdr:rowOff>210125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CBF90F86-4872-4319-B5EB-AFD7B3D8D42D}"/>
            </a:ext>
          </a:extLst>
        </xdr:cNvPr>
        <xdr:cNvCxnSpPr/>
      </xdr:nvCxnSpPr>
      <xdr:spPr>
        <a:xfrm flipH="1">
          <a:off x="5602430" y="354018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176</xdr:row>
      <xdr:rowOff>92362</xdr:rowOff>
    </xdr:from>
    <xdr:to>
      <xdr:col>8</xdr:col>
      <xdr:colOff>236680</xdr:colOff>
      <xdr:row>177</xdr:row>
      <xdr:rowOff>130771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872C1BDB-81BB-430E-8E0D-BC86312E3369}"/>
            </a:ext>
          </a:extLst>
        </xdr:cNvPr>
        <xdr:cNvCxnSpPr/>
      </xdr:nvCxnSpPr>
      <xdr:spPr>
        <a:xfrm>
          <a:off x="5850080" y="352840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176</xdr:row>
      <xdr:rowOff>129066</xdr:rowOff>
    </xdr:from>
    <xdr:ext cx="503984" cy="156518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F3AD82B-77BD-4C76-A598-ECB6D5749876}"/>
            </a:ext>
          </a:extLst>
        </xdr:cNvPr>
        <xdr:cNvSpPr txBox="1"/>
      </xdr:nvSpPr>
      <xdr:spPr>
        <a:xfrm>
          <a:off x="5896263" y="353207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9</xdr:col>
      <xdr:colOff>187035</xdr:colOff>
      <xdr:row>184</xdr:row>
      <xdr:rowOff>142919</xdr:rowOff>
    </xdr:from>
    <xdr:ext cx="65" cy="156518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72C47-274F-411B-B4D4-E4E90A330179}"/>
            </a:ext>
          </a:extLst>
        </xdr:cNvPr>
        <xdr:cNvSpPr txBox="1"/>
      </xdr:nvSpPr>
      <xdr:spPr>
        <a:xfrm>
          <a:off x="6054435" y="37061819"/>
          <a:ext cx="65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79664</xdr:colOff>
      <xdr:row>179</xdr:row>
      <xdr:rowOff>208729</xdr:rowOff>
    </xdr:from>
    <xdr:ext cx="511679" cy="156518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BD9B86D-FB6F-4B57-B84F-BE953D0D1C49}"/>
            </a:ext>
          </a:extLst>
        </xdr:cNvPr>
        <xdr:cNvSpPr txBox="1"/>
      </xdr:nvSpPr>
      <xdr:spPr>
        <a:xfrm>
          <a:off x="8296564" y="36048129"/>
          <a:ext cx="51167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1">
              <a:solidFill>
                <a:srgbClr val="FF00FF"/>
              </a:solidFill>
            </a:rPr>
            <a:t>latch time</a:t>
          </a:r>
          <a:endParaRPr lang="ko-KR" altLang="en-US" sz="1000" i="1">
            <a:solidFill>
              <a:srgbClr val="FF00FF"/>
            </a:solidFill>
          </a:endParaRPr>
        </a:p>
      </xdr:txBody>
    </xdr:sp>
    <xdr:clientData/>
  </xdr:oneCellAnchor>
  <xdr:twoCellAnchor>
    <xdr:from>
      <xdr:col>9</xdr:col>
      <xdr:colOff>0</xdr:colOff>
      <xdr:row>177</xdr:row>
      <xdr:rowOff>207818</xdr:rowOff>
    </xdr:from>
    <xdr:to>
      <xdr:col>9</xdr:col>
      <xdr:colOff>0</xdr:colOff>
      <xdr:row>178</xdr:row>
      <xdr:rowOff>210227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71D959C1-4B07-407F-8C45-620152B11524}"/>
            </a:ext>
          </a:extLst>
        </xdr:cNvPr>
        <xdr:cNvCxnSpPr/>
      </xdr:nvCxnSpPr>
      <xdr:spPr>
        <a:xfrm flipV="1">
          <a:off x="5867400" y="356154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179</xdr:row>
      <xdr:rowOff>210126</xdr:rowOff>
    </xdr:from>
    <xdr:to>
      <xdr:col>9</xdr:col>
      <xdr:colOff>2309</xdr:colOff>
      <xdr:row>180</xdr:row>
      <xdr:rowOff>212535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C22C46D6-37F4-42D6-BEA5-D24B05253980}"/>
            </a:ext>
          </a:extLst>
        </xdr:cNvPr>
        <xdr:cNvCxnSpPr/>
      </xdr:nvCxnSpPr>
      <xdr:spPr>
        <a:xfrm flipV="1">
          <a:off x="5869709" y="360495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2309</xdr:colOff>
      <xdr:row>177</xdr:row>
      <xdr:rowOff>210128</xdr:rowOff>
    </xdr:from>
    <xdr:to>
      <xdr:col>17</xdr:col>
      <xdr:colOff>2309</xdr:colOff>
      <xdr:row>178</xdr:row>
      <xdr:rowOff>212537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0439907F-B879-4B63-B8D7-21A1F84AFEE9}"/>
            </a:ext>
          </a:extLst>
        </xdr:cNvPr>
        <xdr:cNvCxnSpPr/>
      </xdr:nvCxnSpPr>
      <xdr:spPr>
        <a:xfrm flipV="1">
          <a:off x="8219209" y="3561772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123537</xdr:colOff>
      <xdr:row>181</xdr:row>
      <xdr:rowOff>200891</xdr:rowOff>
    </xdr:from>
    <xdr:to>
      <xdr:col>14</xdr:col>
      <xdr:colOff>195537</xdr:colOff>
      <xdr:row>183</xdr:row>
      <xdr:rowOff>25400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F1B17481-F203-4FAC-92C5-6E8190F473D3}"/>
            </a:ext>
          </a:extLst>
        </xdr:cNvPr>
        <xdr:cNvGrpSpPr/>
      </xdr:nvGrpSpPr>
      <xdr:grpSpPr>
        <a:xfrm>
          <a:off x="7489537" y="39278791"/>
          <a:ext cx="72000" cy="256309"/>
          <a:chOff x="3769591" y="13747173"/>
          <a:chExt cx="117763" cy="251691"/>
        </a:xfrm>
      </xdr:grpSpPr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147EA2A0-E2FE-65E8-D1C8-984F39A03DB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CCF11B73-087D-B427-2690-CCF95EBFB65A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316346</xdr:colOff>
      <xdr:row>181</xdr:row>
      <xdr:rowOff>206663</xdr:rowOff>
    </xdr:from>
    <xdr:to>
      <xdr:col>16</xdr:col>
      <xdr:colOff>316346</xdr:colOff>
      <xdr:row>182</xdr:row>
      <xdr:rowOff>209072</xdr:rowOff>
    </xdr:to>
    <xdr:cxnSp macro="">
      <xdr:nvCxnSpPr>
        <xdr:cNvPr id="67" name="직선 연결선 66">
          <a:extLst>
            <a:ext uri="{FF2B5EF4-FFF2-40B4-BE49-F238E27FC236}">
              <a16:creationId xmlns:a16="http://schemas.microsoft.com/office/drawing/2014/main" id="{31676C64-8457-4125-B020-5481A8632758}"/>
            </a:ext>
          </a:extLst>
        </xdr:cNvPr>
        <xdr:cNvCxnSpPr/>
      </xdr:nvCxnSpPr>
      <xdr:spPr>
        <a:xfrm flipV="1">
          <a:off x="8215746" y="36477863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316346</xdr:colOff>
      <xdr:row>178</xdr:row>
      <xdr:rowOff>10392</xdr:rowOff>
    </xdr:from>
    <xdr:to>
      <xdr:col>17</xdr:col>
      <xdr:colOff>316346</xdr:colOff>
      <xdr:row>179</xdr:row>
      <xdr:rowOff>12801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C2B44844-97D5-499D-B4DF-5229E747C22E}"/>
            </a:ext>
          </a:extLst>
        </xdr:cNvPr>
        <xdr:cNvCxnSpPr/>
      </xdr:nvCxnSpPr>
      <xdr:spPr>
        <a:xfrm flipV="1">
          <a:off x="8533246" y="35633892"/>
          <a:ext cx="0" cy="218309"/>
        </a:xfrm>
        <a:prstGeom prst="line">
          <a:avLst/>
        </a:prstGeom>
        <a:ln w="12700">
          <a:solidFill>
            <a:srgbClr val="FF00FF"/>
          </a:solidFill>
          <a:prstDash val="solid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312882</xdr:colOff>
      <xdr:row>179</xdr:row>
      <xdr:rowOff>70426</xdr:rowOff>
    </xdr:from>
    <xdr:to>
      <xdr:col>17</xdr:col>
      <xdr:colOff>312882</xdr:colOff>
      <xdr:row>181</xdr:row>
      <xdr:rowOff>183244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9D68CCAF-B1CA-4711-B92B-32D7E45800EC}"/>
            </a:ext>
          </a:extLst>
        </xdr:cNvPr>
        <xdr:cNvCxnSpPr/>
      </xdr:nvCxnSpPr>
      <xdr:spPr>
        <a:xfrm flipH="1" flipV="1">
          <a:off x="8529782" y="35909826"/>
          <a:ext cx="0" cy="544618"/>
        </a:xfrm>
        <a:prstGeom prst="line">
          <a:avLst/>
        </a:prstGeom>
        <a:ln w="3175">
          <a:solidFill>
            <a:srgbClr val="FF00FF"/>
          </a:solidFill>
          <a:prstDash val="dash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135081</xdr:colOff>
      <xdr:row>177</xdr:row>
      <xdr:rowOff>200891</xdr:rowOff>
    </xdr:from>
    <xdr:to>
      <xdr:col>20</xdr:col>
      <xdr:colOff>207081</xdr:colOff>
      <xdr:row>179</xdr:row>
      <xdr:rowOff>25400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8F3E3538-08A0-4F44-91A5-0D9F282AD93A}"/>
            </a:ext>
          </a:extLst>
        </xdr:cNvPr>
        <xdr:cNvGrpSpPr/>
      </xdr:nvGrpSpPr>
      <xdr:grpSpPr>
        <a:xfrm>
          <a:off x="9367981" y="38415191"/>
          <a:ext cx="72000" cy="256309"/>
          <a:chOff x="3769591" y="13747173"/>
          <a:chExt cx="117763" cy="251691"/>
        </a:xfrm>
      </xdr:grpSpPr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F3B2C381-8A84-6160-720B-279D4B27F01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DC97C310-D66E-4F5F-645A-09432434B13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179</xdr:row>
      <xdr:rowOff>191655</xdr:rowOff>
    </xdr:from>
    <xdr:to>
      <xdr:col>20</xdr:col>
      <xdr:colOff>203618</xdr:colOff>
      <xdr:row>181</xdr:row>
      <xdr:rowOff>16164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B55F86CE-CBD0-41ED-8A5E-AC56617FC6AB}"/>
            </a:ext>
          </a:extLst>
        </xdr:cNvPr>
        <xdr:cNvGrpSpPr/>
      </xdr:nvGrpSpPr>
      <xdr:grpSpPr>
        <a:xfrm>
          <a:off x="9364518" y="38837755"/>
          <a:ext cx="72000" cy="256309"/>
          <a:chOff x="3769591" y="13747173"/>
          <a:chExt cx="117763" cy="251691"/>
        </a:xfrm>
      </xdr:grpSpPr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65CDF626-3572-CB00-2500-31F05C080A22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B933DDAA-1A24-DAE3-263C-E1E0025C996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181</xdr:row>
      <xdr:rowOff>191655</xdr:rowOff>
    </xdr:from>
    <xdr:to>
      <xdr:col>20</xdr:col>
      <xdr:colOff>203618</xdr:colOff>
      <xdr:row>183</xdr:row>
      <xdr:rowOff>16164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2F983FE9-8917-4985-B56B-CB5982C254D1}"/>
            </a:ext>
          </a:extLst>
        </xdr:cNvPr>
        <xdr:cNvGrpSpPr/>
      </xdr:nvGrpSpPr>
      <xdr:grpSpPr>
        <a:xfrm>
          <a:off x="9364518" y="39269555"/>
          <a:ext cx="72000" cy="256309"/>
          <a:chOff x="3769591" y="13747173"/>
          <a:chExt cx="117763" cy="251691"/>
        </a:xfrm>
      </xdr:grpSpPr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87478388-4BA9-59F4-7235-0F2C02C61403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120BB87F-E70E-AC65-CDA3-5849CF9389E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17316</xdr:colOff>
      <xdr:row>176</xdr:row>
      <xdr:rowOff>98135</xdr:rowOff>
    </xdr:from>
    <xdr:to>
      <xdr:col>23</xdr:col>
      <xdr:colOff>17316</xdr:colOff>
      <xdr:row>177</xdr:row>
      <xdr:rowOff>136544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id="{0BA609B9-F021-4E14-9FCA-34E18FF51C2F}"/>
            </a:ext>
          </a:extLst>
        </xdr:cNvPr>
        <xdr:cNvCxnSpPr/>
      </xdr:nvCxnSpPr>
      <xdr:spPr>
        <a:xfrm>
          <a:off x="10139216" y="35289835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1154</xdr:colOff>
      <xdr:row>177</xdr:row>
      <xdr:rowOff>4615</xdr:rowOff>
    </xdr:from>
    <xdr:to>
      <xdr:col>24</xdr:col>
      <xdr:colOff>7654</xdr:colOff>
      <xdr:row>177</xdr:row>
      <xdr:rowOff>4615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B1D74939-5A34-4736-AB2C-6BAFD2FA151F}"/>
            </a:ext>
          </a:extLst>
        </xdr:cNvPr>
        <xdr:cNvCxnSpPr/>
      </xdr:nvCxnSpPr>
      <xdr:spPr>
        <a:xfrm flipH="1">
          <a:off x="10123054" y="35412215"/>
          <a:ext cx="324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314035</xdr:colOff>
      <xdr:row>176</xdr:row>
      <xdr:rowOff>94670</xdr:rowOff>
    </xdr:from>
    <xdr:to>
      <xdr:col>23</xdr:col>
      <xdr:colOff>314035</xdr:colOff>
      <xdr:row>177</xdr:row>
      <xdr:rowOff>133079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837286F4-F09D-47D2-8987-14C115BCFFC5}"/>
            </a:ext>
          </a:extLst>
        </xdr:cNvPr>
        <xdr:cNvCxnSpPr/>
      </xdr:nvCxnSpPr>
      <xdr:spPr>
        <a:xfrm>
          <a:off x="10435935" y="35286370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117763</xdr:colOff>
      <xdr:row>176</xdr:row>
      <xdr:rowOff>131374</xdr:rowOff>
    </xdr:from>
    <xdr:ext cx="503984" cy="128398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A5A3584-55C5-4C75-AAFC-739D806F2268}"/>
            </a:ext>
          </a:extLst>
        </xdr:cNvPr>
        <xdr:cNvSpPr txBox="1"/>
      </xdr:nvSpPr>
      <xdr:spPr>
        <a:xfrm>
          <a:off x="9604663" y="35323074"/>
          <a:ext cx="503984" cy="12839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315190</xdr:colOff>
      <xdr:row>177</xdr:row>
      <xdr:rowOff>6924</xdr:rowOff>
    </xdr:from>
    <xdr:to>
      <xdr:col>26</xdr:col>
      <xdr:colOff>10690</xdr:colOff>
      <xdr:row>177</xdr:row>
      <xdr:rowOff>6924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2EB50444-4CEC-46E5-9C62-B7801C3FDFE3}"/>
            </a:ext>
          </a:extLst>
        </xdr:cNvPr>
        <xdr:cNvCxnSpPr/>
      </xdr:nvCxnSpPr>
      <xdr:spPr>
        <a:xfrm flipH="1">
          <a:off x="10437090" y="35414524"/>
          <a:ext cx="648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4617</xdr:colOff>
      <xdr:row>176</xdr:row>
      <xdr:rowOff>91207</xdr:rowOff>
    </xdr:from>
    <xdr:to>
      <xdr:col>26</xdr:col>
      <xdr:colOff>4617</xdr:colOff>
      <xdr:row>177</xdr:row>
      <xdr:rowOff>129616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2346CBEB-BC9C-430F-BFF4-3EC9EBB2BC91}"/>
            </a:ext>
          </a:extLst>
        </xdr:cNvPr>
        <xdr:cNvCxnSpPr/>
      </xdr:nvCxnSpPr>
      <xdr:spPr>
        <a:xfrm>
          <a:off x="11079017" y="3528290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93517</xdr:colOff>
      <xdr:row>176</xdr:row>
      <xdr:rowOff>130221</xdr:rowOff>
    </xdr:from>
    <xdr:ext cx="470578" cy="156518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D2A19EA-05B6-4ACA-BD52-3D761BF5FE46}"/>
            </a:ext>
          </a:extLst>
        </xdr:cNvPr>
        <xdr:cNvSpPr txBox="1"/>
      </xdr:nvSpPr>
      <xdr:spPr>
        <a:xfrm>
          <a:off x="10532917" y="35321921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218209</xdr:colOff>
      <xdr:row>185</xdr:row>
      <xdr:rowOff>2945</xdr:rowOff>
    </xdr:from>
    <xdr:ext cx="2761782" cy="2217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BA9E1F4-E43F-4068-9938-D45B6557B492}"/>
            </a:ext>
          </a:extLst>
        </xdr:cNvPr>
        <xdr:cNvSpPr txBox="1"/>
      </xdr:nvSpPr>
      <xdr:spPr>
        <a:xfrm>
          <a:off x="5596659" y="37137745"/>
          <a:ext cx="2761782" cy="2217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min latency time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이 너무 크면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thruput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에 영향</a:t>
          </a:r>
          <a:endParaRPr lang="ko-KR" altLang="en-US" sz="1000" i="0">
            <a:solidFill>
              <a:schemeClr val="tx1"/>
            </a:solidFill>
          </a:endParaRPr>
        </a:p>
      </xdr:txBody>
    </xdr:sp>
    <xdr:clientData/>
  </xdr:oneCellAnchor>
  <xdr:twoCellAnchor>
    <xdr:from>
      <xdr:col>30</xdr:col>
      <xdr:colOff>6925</xdr:colOff>
      <xdr:row>149</xdr:row>
      <xdr:rowOff>17318</xdr:rowOff>
    </xdr:from>
    <xdr:to>
      <xdr:col>35</xdr:col>
      <xdr:colOff>11545</xdr:colOff>
      <xdr:row>149</xdr:row>
      <xdr:rowOff>17318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2A10AEB7-8E6B-4BA0-B1FA-39B55FA57815}"/>
            </a:ext>
          </a:extLst>
        </xdr:cNvPr>
        <xdr:cNvCxnSpPr/>
      </xdr:nvCxnSpPr>
      <xdr:spPr>
        <a:xfrm flipH="1">
          <a:off x="12351325" y="29379718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15575</xdr:colOff>
      <xdr:row>148</xdr:row>
      <xdr:rowOff>148692</xdr:rowOff>
    </xdr:from>
    <xdr:ext cx="989502" cy="156518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7813A64-CA3F-49CF-BFDB-4DD5E8761271}"/>
            </a:ext>
          </a:extLst>
        </xdr:cNvPr>
        <xdr:cNvSpPr txBox="1"/>
      </xdr:nvSpPr>
      <xdr:spPr>
        <a:xfrm>
          <a:off x="12677475" y="29295192"/>
          <a:ext cx="98950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280us * 4 = 1120us</a:t>
          </a:r>
        </a:p>
      </xdr:txBody>
    </xdr:sp>
    <xdr:clientData/>
  </xdr:oneCellAnchor>
  <xdr:oneCellAnchor>
    <xdr:from>
      <xdr:col>31</xdr:col>
      <xdr:colOff>39257</xdr:colOff>
      <xdr:row>149</xdr:row>
      <xdr:rowOff>80548</xdr:rowOff>
    </xdr:from>
    <xdr:ext cx="1085297" cy="378245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3738E9B-C7C6-4200-81C8-47605A5F3D43}"/>
            </a:ext>
          </a:extLst>
        </xdr:cNvPr>
        <xdr:cNvSpPr txBox="1"/>
      </xdr:nvSpPr>
      <xdr:spPr>
        <a:xfrm>
          <a:off x="12701157" y="29442948"/>
          <a:ext cx="1085297" cy="3782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(xd</a:t>
          </a:r>
          <a:r>
            <a:rPr lang="en-US" altLang="ko-KR" sz="1000" baseline="0">
              <a:solidFill>
                <a:srgbClr val="0000FF"/>
              </a:solidFill>
            </a:rPr>
            <a:t> reg wr 4</a:t>
          </a:r>
          <a:r>
            <a:rPr lang="ko-KR" altLang="en-US" sz="1000" baseline="0">
              <a:solidFill>
                <a:srgbClr val="0000FF"/>
              </a:solidFill>
            </a:rPr>
            <a:t>회</a:t>
          </a:r>
          <a:r>
            <a:rPr lang="en-US" altLang="ko-KR" sz="1000" baseline="0">
              <a:solidFill>
                <a:srgbClr val="0000FF"/>
              </a:solidFill>
            </a:rPr>
            <a:t>/frame)</a:t>
          </a:r>
        </a:p>
        <a:p>
          <a:pPr algn="ctr"/>
          <a:r>
            <a:rPr lang="en-US" altLang="ko-KR" sz="1000" baseline="0">
              <a:solidFill>
                <a:srgbClr val="0000FF"/>
              </a:solidFill>
            </a:rPr>
            <a:t>ana/divisor/mclk_cnt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230909</xdr:colOff>
      <xdr:row>161</xdr:row>
      <xdr:rowOff>25156</xdr:rowOff>
    </xdr:from>
    <xdr:ext cx="517706" cy="156518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9BE8F23-0591-496C-AE93-2CBB52B0869E}"/>
            </a:ext>
          </a:extLst>
        </xdr:cNvPr>
        <xdr:cNvSpPr txBox="1"/>
      </xdr:nvSpPr>
      <xdr:spPr>
        <a:xfrm>
          <a:off x="5609359" y="319783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161</xdr:row>
      <xdr:rowOff>27463</xdr:rowOff>
    </xdr:from>
    <xdr:ext cx="673005" cy="156518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7E3DB47-EE46-4E75-AA53-8FF45C0C6E20}"/>
            </a:ext>
          </a:extLst>
        </xdr:cNvPr>
        <xdr:cNvSpPr txBox="1"/>
      </xdr:nvSpPr>
      <xdr:spPr>
        <a:xfrm>
          <a:off x="6418119" y="319806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161</xdr:row>
      <xdr:rowOff>35545</xdr:rowOff>
    </xdr:from>
    <xdr:ext cx="613309" cy="156518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AA19C19-A98D-4404-A952-311C644015CD}"/>
            </a:ext>
          </a:extLst>
        </xdr:cNvPr>
        <xdr:cNvSpPr txBox="1"/>
      </xdr:nvSpPr>
      <xdr:spPr>
        <a:xfrm>
          <a:off x="7921337" y="319887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161</xdr:row>
      <xdr:rowOff>37855</xdr:rowOff>
    </xdr:from>
    <xdr:ext cx="789319" cy="156518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252E9C9-7D6A-4E3A-A777-088407283788}"/>
            </a:ext>
          </a:extLst>
        </xdr:cNvPr>
        <xdr:cNvSpPr txBox="1"/>
      </xdr:nvSpPr>
      <xdr:spPr>
        <a:xfrm>
          <a:off x="10232736" y="319910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159</xdr:row>
      <xdr:rowOff>80817</xdr:rowOff>
    </xdr:from>
    <xdr:to>
      <xdr:col>19</xdr:col>
      <xdr:colOff>5772</xdr:colOff>
      <xdr:row>160</xdr:row>
      <xdr:rowOff>119226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61A67A6D-BDDF-414F-8310-C57CA5CC7FA4}"/>
            </a:ext>
          </a:extLst>
        </xdr:cNvPr>
        <xdr:cNvCxnSpPr/>
      </xdr:nvCxnSpPr>
      <xdr:spPr>
        <a:xfrm>
          <a:off x="8857672" y="316022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159</xdr:row>
      <xdr:rowOff>123536</xdr:rowOff>
    </xdr:from>
    <xdr:to>
      <xdr:col>29</xdr:col>
      <xdr:colOff>8079</xdr:colOff>
      <xdr:row>160</xdr:row>
      <xdr:rowOff>161945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DB16C718-2F3F-4BAD-AC47-4DA148B06369}"/>
            </a:ext>
          </a:extLst>
        </xdr:cNvPr>
        <xdr:cNvCxnSpPr/>
      </xdr:nvCxnSpPr>
      <xdr:spPr>
        <a:xfrm>
          <a:off x="12034979" y="316449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160</xdr:row>
      <xdr:rowOff>28863</xdr:rowOff>
    </xdr:from>
    <xdr:to>
      <xdr:col>29</xdr:col>
      <xdr:colOff>9844</xdr:colOff>
      <xdr:row>160</xdr:row>
      <xdr:rowOff>28863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ACFF4318-C25A-4D7B-8983-3048734E01D7}"/>
            </a:ext>
          </a:extLst>
        </xdr:cNvPr>
        <xdr:cNvCxnSpPr/>
      </xdr:nvCxnSpPr>
      <xdr:spPr>
        <a:xfrm flipH="1">
          <a:off x="8850744" y="317661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159</xdr:row>
      <xdr:rowOff>167165</xdr:rowOff>
    </xdr:from>
    <xdr:ext cx="122278" cy="156518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4BDC5DE-4997-4F8A-A3C3-27CF26353135}"/>
            </a:ext>
          </a:extLst>
        </xdr:cNvPr>
        <xdr:cNvSpPr txBox="1"/>
      </xdr:nvSpPr>
      <xdr:spPr>
        <a:xfrm>
          <a:off x="10298547" y="316885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157</xdr:row>
      <xdr:rowOff>60035</xdr:rowOff>
    </xdr:from>
    <xdr:to>
      <xdr:col>7</xdr:col>
      <xdr:colOff>233217</xdr:colOff>
      <xdr:row>160</xdr:row>
      <xdr:rowOff>103262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ACFAF2BC-DAEC-4E39-A742-31807CAEADC4}"/>
            </a:ext>
          </a:extLst>
        </xdr:cNvPr>
        <xdr:cNvCxnSpPr/>
      </xdr:nvCxnSpPr>
      <xdr:spPr>
        <a:xfrm>
          <a:off x="5611667" y="311496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159</xdr:row>
      <xdr:rowOff>77356</xdr:rowOff>
    </xdr:from>
    <xdr:to>
      <xdr:col>18</xdr:col>
      <xdr:colOff>8082</xdr:colOff>
      <xdr:row>160</xdr:row>
      <xdr:rowOff>115765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E725F22C-FBB0-45C3-BD83-6950477A535B}"/>
            </a:ext>
          </a:extLst>
        </xdr:cNvPr>
        <xdr:cNvCxnSpPr/>
      </xdr:nvCxnSpPr>
      <xdr:spPr>
        <a:xfrm>
          <a:off x="8542482" y="315987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160</xdr:row>
      <xdr:rowOff>25401</xdr:rowOff>
    </xdr:from>
    <xdr:to>
      <xdr:col>18</xdr:col>
      <xdr:colOff>9381</xdr:colOff>
      <xdr:row>160</xdr:row>
      <xdr:rowOff>25401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9BFB124A-F239-444A-9031-E56EA4ADC975}"/>
            </a:ext>
          </a:extLst>
        </xdr:cNvPr>
        <xdr:cNvCxnSpPr/>
      </xdr:nvCxnSpPr>
      <xdr:spPr>
        <a:xfrm flipH="1">
          <a:off x="5610513" y="317627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159</xdr:row>
      <xdr:rowOff>65565</xdr:rowOff>
    </xdr:from>
    <xdr:ext cx="317331" cy="156518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E368695-19EE-4108-9E96-44BCCA30DA84}"/>
            </a:ext>
          </a:extLst>
        </xdr:cNvPr>
        <xdr:cNvSpPr txBox="1"/>
      </xdr:nvSpPr>
      <xdr:spPr>
        <a:xfrm>
          <a:off x="6877627" y="315869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160</xdr:row>
      <xdr:rowOff>23090</xdr:rowOff>
    </xdr:from>
    <xdr:to>
      <xdr:col>18</xdr:col>
      <xdr:colOff>311871</xdr:colOff>
      <xdr:row>160</xdr:row>
      <xdr:rowOff>27709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41D1B092-0520-4C2C-9124-891EF53AEC74}"/>
            </a:ext>
          </a:extLst>
        </xdr:cNvPr>
        <xdr:cNvCxnSpPr/>
      </xdr:nvCxnSpPr>
      <xdr:spPr>
        <a:xfrm flipH="1" flipV="1">
          <a:off x="8545945" y="317603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159</xdr:row>
      <xdr:rowOff>79420</xdr:rowOff>
    </xdr:from>
    <xdr:ext cx="117083" cy="156518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832CA1C-54D7-44C7-B7CB-3FA21E5BED07}"/>
            </a:ext>
          </a:extLst>
        </xdr:cNvPr>
        <xdr:cNvSpPr txBox="1"/>
      </xdr:nvSpPr>
      <xdr:spPr>
        <a:xfrm>
          <a:off x="8652164" y="316008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158</xdr:row>
      <xdr:rowOff>51710</xdr:rowOff>
    </xdr:from>
    <xdr:ext cx="1051506" cy="156518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C61EB26A-6DDA-412D-9126-3FED4598F301}"/>
            </a:ext>
          </a:extLst>
        </xdr:cNvPr>
        <xdr:cNvSpPr txBox="1"/>
      </xdr:nvSpPr>
      <xdr:spPr>
        <a:xfrm>
          <a:off x="8976590" y="313572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158</xdr:row>
      <xdr:rowOff>30928</xdr:rowOff>
    </xdr:from>
    <xdr:ext cx="1051506" cy="156518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4BB4618-DC67-47EE-8E51-452477E03A58}"/>
            </a:ext>
          </a:extLst>
        </xdr:cNvPr>
        <xdr:cNvSpPr txBox="1"/>
      </xdr:nvSpPr>
      <xdr:spPr>
        <a:xfrm>
          <a:off x="10566399" y="313364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160</xdr:row>
      <xdr:rowOff>28863</xdr:rowOff>
    </xdr:from>
    <xdr:to>
      <xdr:col>35</xdr:col>
      <xdr:colOff>0</xdr:colOff>
      <xdr:row>160</xdr:row>
      <xdr:rowOff>28863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7A7A9007-3B8A-4583-9C36-69FA7F38BC32}"/>
            </a:ext>
          </a:extLst>
        </xdr:cNvPr>
        <xdr:cNvCxnSpPr/>
      </xdr:nvCxnSpPr>
      <xdr:spPr>
        <a:xfrm flipH="1">
          <a:off x="12339780" y="317661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159</xdr:row>
      <xdr:rowOff>99047</xdr:rowOff>
    </xdr:from>
    <xdr:ext cx="117083" cy="156518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09A13BB-04FA-4ED6-866C-D18F89075294}"/>
            </a:ext>
          </a:extLst>
        </xdr:cNvPr>
        <xdr:cNvSpPr txBox="1"/>
      </xdr:nvSpPr>
      <xdr:spPr>
        <a:xfrm>
          <a:off x="12129652" y="316204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160</xdr:row>
      <xdr:rowOff>25399</xdr:rowOff>
    </xdr:from>
    <xdr:to>
      <xdr:col>29</xdr:col>
      <xdr:colOff>314180</xdr:colOff>
      <xdr:row>160</xdr:row>
      <xdr:rowOff>30018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D45807FF-61F3-4E62-AEFD-127246D50E70}"/>
            </a:ext>
          </a:extLst>
        </xdr:cNvPr>
        <xdr:cNvCxnSpPr/>
      </xdr:nvCxnSpPr>
      <xdr:spPr>
        <a:xfrm flipH="1" flipV="1">
          <a:off x="12040754" y="317626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159</xdr:row>
      <xdr:rowOff>157928</xdr:rowOff>
    </xdr:from>
    <xdr:ext cx="317331" cy="156518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0F30C33-EAC8-4CBA-A931-F48CFE371C63}"/>
            </a:ext>
          </a:extLst>
        </xdr:cNvPr>
        <xdr:cNvSpPr txBox="1"/>
      </xdr:nvSpPr>
      <xdr:spPr>
        <a:xfrm>
          <a:off x="12967857" y="316793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16163</xdr:colOff>
      <xdr:row>159</xdr:row>
      <xdr:rowOff>62344</xdr:rowOff>
    </xdr:from>
    <xdr:to>
      <xdr:col>23</xdr:col>
      <xdr:colOff>316489</xdr:colOff>
      <xdr:row>159</xdr:row>
      <xdr:rowOff>66963</xdr:rowOff>
    </xdr:to>
    <xdr:cxnSp macro="">
      <xdr:nvCxnSpPr>
        <xdr:cNvPr id="110" name="직선 연결선 109">
          <a:extLst>
            <a:ext uri="{FF2B5EF4-FFF2-40B4-BE49-F238E27FC236}">
              <a16:creationId xmlns:a16="http://schemas.microsoft.com/office/drawing/2014/main" id="{43EC82A8-18FA-4B1C-AB38-D6B8E58F30B2}"/>
            </a:ext>
          </a:extLst>
        </xdr:cNvPr>
        <xdr:cNvCxnSpPr/>
      </xdr:nvCxnSpPr>
      <xdr:spPr>
        <a:xfrm flipH="1" flipV="1">
          <a:off x="10138063" y="31583744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110833</xdr:colOff>
      <xdr:row>158</xdr:row>
      <xdr:rowOff>112901</xdr:rowOff>
    </xdr:from>
    <xdr:ext cx="117083" cy="156518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940741B-3328-4441-8925-C52AFD17FA28}"/>
            </a:ext>
          </a:extLst>
        </xdr:cNvPr>
        <xdr:cNvSpPr txBox="1"/>
      </xdr:nvSpPr>
      <xdr:spPr>
        <a:xfrm>
          <a:off x="10232733" y="3141840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157</xdr:row>
      <xdr:rowOff>131623</xdr:rowOff>
    </xdr:from>
    <xdr:ext cx="247119" cy="313034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346E849-9B74-421C-823B-1979F80FD287}"/>
            </a:ext>
          </a:extLst>
        </xdr:cNvPr>
        <xdr:cNvSpPr txBox="1"/>
      </xdr:nvSpPr>
      <xdr:spPr>
        <a:xfrm>
          <a:off x="12384809" y="312212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157</xdr:row>
      <xdr:rowOff>122387</xdr:rowOff>
    </xdr:from>
    <xdr:ext cx="247120" cy="313034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6319851-0034-4529-AD60-CFAD1967E950}"/>
            </a:ext>
          </a:extLst>
        </xdr:cNvPr>
        <xdr:cNvSpPr txBox="1"/>
      </xdr:nvSpPr>
      <xdr:spPr>
        <a:xfrm>
          <a:off x="13016345" y="312119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158</xdr:row>
      <xdr:rowOff>40164</xdr:rowOff>
    </xdr:from>
    <xdr:ext cx="117083" cy="156518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626EFE7-1F75-467F-8380-37A193C24F75}"/>
            </a:ext>
          </a:extLst>
        </xdr:cNvPr>
        <xdr:cNvSpPr txBox="1"/>
      </xdr:nvSpPr>
      <xdr:spPr>
        <a:xfrm>
          <a:off x="12763497" y="313456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159</xdr:row>
      <xdr:rowOff>6926</xdr:rowOff>
    </xdr:from>
    <xdr:to>
      <xdr:col>32</xdr:col>
      <xdr:colOff>1299</xdr:colOff>
      <xdr:row>159</xdr:row>
      <xdr:rowOff>11545</xdr:rowOff>
    </xdr:to>
    <xdr:cxnSp macro="">
      <xdr:nvCxnSpPr>
        <xdr:cNvPr id="115" name="직선 연결선 114">
          <a:extLst>
            <a:ext uri="{FF2B5EF4-FFF2-40B4-BE49-F238E27FC236}">
              <a16:creationId xmlns:a16="http://schemas.microsoft.com/office/drawing/2014/main" id="{C49C78A9-FC88-4665-8263-5BEF41350B5E}"/>
            </a:ext>
          </a:extLst>
        </xdr:cNvPr>
        <xdr:cNvCxnSpPr/>
      </xdr:nvCxnSpPr>
      <xdr:spPr>
        <a:xfrm flipH="1" flipV="1">
          <a:off x="12680373" y="315283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230909</xdr:colOff>
      <xdr:row>138</xdr:row>
      <xdr:rowOff>25156</xdr:rowOff>
    </xdr:from>
    <xdr:ext cx="517706" cy="156518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4F6B744-CF1D-42E9-B37E-AC26900A45EC}"/>
            </a:ext>
          </a:extLst>
        </xdr:cNvPr>
        <xdr:cNvSpPr txBox="1"/>
      </xdr:nvSpPr>
      <xdr:spPr>
        <a:xfrm>
          <a:off x="5609359" y="270126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138</xdr:row>
      <xdr:rowOff>27463</xdr:rowOff>
    </xdr:from>
    <xdr:ext cx="673005" cy="156518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47A6769-FAEC-4BD0-B967-BE2B190AEDD8}"/>
            </a:ext>
          </a:extLst>
        </xdr:cNvPr>
        <xdr:cNvSpPr txBox="1"/>
      </xdr:nvSpPr>
      <xdr:spPr>
        <a:xfrm>
          <a:off x="6418119" y="270149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138</xdr:row>
      <xdr:rowOff>35545</xdr:rowOff>
    </xdr:from>
    <xdr:ext cx="613309" cy="156518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828588F-279C-4D61-ABA6-7DA517B45ED3}"/>
            </a:ext>
          </a:extLst>
        </xdr:cNvPr>
        <xdr:cNvSpPr txBox="1"/>
      </xdr:nvSpPr>
      <xdr:spPr>
        <a:xfrm>
          <a:off x="7921337" y="270230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138</xdr:row>
      <xdr:rowOff>37855</xdr:rowOff>
    </xdr:from>
    <xdr:ext cx="789319" cy="156518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3BC3B98-E1A4-41CD-95F6-2BBDB4C7D74A}"/>
            </a:ext>
          </a:extLst>
        </xdr:cNvPr>
        <xdr:cNvSpPr txBox="1"/>
      </xdr:nvSpPr>
      <xdr:spPr>
        <a:xfrm>
          <a:off x="10232736" y="270253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136</xdr:row>
      <xdr:rowOff>80817</xdr:rowOff>
    </xdr:from>
    <xdr:to>
      <xdr:col>19</xdr:col>
      <xdr:colOff>5772</xdr:colOff>
      <xdr:row>137</xdr:row>
      <xdr:rowOff>119226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C9D4BC69-D3E1-448F-815C-A243E764DECA}"/>
            </a:ext>
          </a:extLst>
        </xdr:cNvPr>
        <xdr:cNvCxnSpPr/>
      </xdr:nvCxnSpPr>
      <xdr:spPr>
        <a:xfrm>
          <a:off x="8857672" y="266365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136</xdr:row>
      <xdr:rowOff>123536</xdr:rowOff>
    </xdr:from>
    <xdr:to>
      <xdr:col>29</xdr:col>
      <xdr:colOff>8079</xdr:colOff>
      <xdr:row>137</xdr:row>
      <xdr:rowOff>161945</xdr:rowOff>
    </xdr:to>
    <xdr:cxnSp macro="">
      <xdr:nvCxnSpPr>
        <xdr:cNvPr id="121" name="직선 연결선 120">
          <a:extLst>
            <a:ext uri="{FF2B5EF4-FFF2-40B4-BE49-F238E27FC236}">
              <a16:creationId xmlns:a16="http://schemas.microsoft.com/office/drawing/2014/main" id="{388CC7B7-7C06-41D6-87D5-57CED3A1922B}"/>
            </a:ext>
          </a:extLst>
        </xdr:cNvPr>
        <xdr:cNvCxnSpPr/>
      </xdr:nvCxnSpPr>
      <xdr:spPr>
        <a:xfrm>
          <a:off x="12034979" y="266792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137</xdr:row>
      <xdr:rowOff>28863</xdr:rowOff>
    </xdr:from>
    <xdr:to>
      <xdr:col>29</xdr:col>
      <xdr:colOff>9844</xdr:colOff>
      <xdr:row>137</xdr:row>
      <xdr:rowOff>28863</xdr:rowOff>
    </xdr:to>
    <xdr:cxnSp macro="">
      <xdr:nvCxnSpPr>
        <xdr:cNvPr id="122" name="직선 연결선 121">
          <a:extLst>
            <a:ext uri="{FF2B5EF4-FFF2-40B4-BE49-F238E27FC236}">
              <a16:creationId xmlns:a16="http://schemas.microsoft.com/office/drawing/2014/main" id="{4BA301CC-655A-4F8B-A0F7-BA0E54E690B4}"/>
            </a:ext>
          </a:extLst>
        </xdr:cNvPr>
        <xdr:cNvCxnSpPr/>
      </xdr:nvCxnSpPr>
      <xdr:spPr>
        <a:xfrm flipH="1">
          <a:off x="8850744" y="268004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136</xdr:row>
      <xdr:rowOff>167165</xdr:rowOff>
    </xdr:from>
    <xdr:ext cx="122278" cy="156518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98DF5A1-5C11-4E83-B9C0-B3AD8521C602}"/>
            </a:ext>
          </a:extLst>
        </xdr:cNvPr>
        <xdr:cNvSpPr txBox="1"/>
      </xdr:nvSpPr>
      <xdr:spPr>
        <a:xfrm>
          <a:off x="10298547" y="267228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134</xdr:row>
      <xdr:rowOff>60035</xdr:rowOff>
    </xdr:from>
    <xdr:to>
      <xdr:col>7</xdr:col>
      <xdr:colOff>233217</xdr:colOff>
      <xdr:row>137</xdr:row>
      <xdr:rowOff>103262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0368CA89-A037-4A29-A928-49A1B34BB50B}"/>
            </a:ext>
          </a:extLst>
        </xdr:cNvPr>
        <xdr:cNvCxnSpPr/>
      </xdr:nvCxnSpPr>
      <xdr:spPr>
        <a:xfrm>
          <a:off x="5611667" y="261839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136</xdr:row>
      <xdr:rowOff>77356</xdr:rowOff>
    </xdr:from>
    <xdr:to>
      <xdr:col>18</xdr:col>
      <xdr:colOff>8082</xdr:colOff>
      <xdr:row>137</xdr:row>
      <xdr:rowOff>115765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24EDACA3-6E6B-4A5A-81EC-2942FF6CCDE3}"/>
            </a:ext>
          </a:extLst>
        </xdr:cNvPr>
        <xdr:cNvCxnSpPr/>
      </xdr:nvCxnSpPr>
      <xdr:spPr>
        <a:xfrm>
          <a:off x="8542482" y="266330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137</xdr:row>
      <xdr:rowOff>25401</xdr:rowOff>
    </xdr:from>
    <xdr:to>
      <xdr:col>18</xdr:col>
      <xdr:colOff>9381</xdr:colOff>
      <xdr:row>137</xdr:row>
      <xdr:rowOff>25401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DCB4C028-2AA8-491D-B338-BB90AE0AD9B8}"/>
            </a:ext>
          </a:extLst>
        </xdr:cNvPr>
        <xdr:cNvCxnSpPr/>
      </xdr:nvCxnSpPr>
      <xdr:spPr>
        <a:xfrm flipH="1">
          <a:off x="5610513" y="267970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136</xdr:row>
      <xdr:rowOff>65565</xdr:rowOff>
    </xdr:from>
    <xdr:ext cx="317331" cy="156518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A135283-77AD-4AB7-9654-AB66F4E59A45}"/>
            </a:ext>
          </a:extLst>
        </xdr:cNvPr>
        <xdr:cNvSpPr txBox="1"/>
      </xdr:nvSpPr>
      <xdr:spPr>
        <a:xfrm>
          <a:off x="6877627" y="266212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137</xdr:row>
      <xdr:rowOff>23090</xdr:rowOff>
    </xdr:from>
    <xdr:to>
      <xdr:col>18</xdr:col>
      <xdr:colOff>311871</xdr:colOff>
      <xdr:row>137</xdr:row>
      <xdr:rowOff>27709</xdr:rowOff>
    </xdr:to>
    <xdr:cxnSp macro="">
      <xdr:nvCxnSpPr>
        <xdr:cNvPr id="128" name="직선 연결선 127">
          <a:extLst>
            <a:ext uri="{FF2B5EF4-FFF2-40B4-BE49-F238E27FC236}">
              <a16:creationId xmlns:a16="http://schemas.microsoft.com/office/drawing/2014/main" id="{52248126-03B3-4670-A4F6-AFD87D400BE5}"/>
            </a:ext>
          </a:extLst>
        </xdr:cNvPr>
        <xdr:cNvCxnSpPr/>
      </xdr:nvCxnSpPr>
      <xdr:spPr>
        <a:xfrm flipH="1" flipV="1">
          <a:off x="8545945" y="267946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136</xdr:row>
      <xdr:rowOff>79420</xdr:rowOff>
    </xdr:from>
    <xdr:ext cx="117083" cy="156518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E7108C9-2ACF-441D-B08E-105750AC13E0}"/>
            </a:ext>
          </a:extLst>
        </xdr:cNvPr>
        <xdr:cNvSpPr txBox="1"/>
      </xdr:nvSpPr>
      <xdr:spPr>
        <a:xfrm>
          <a:off x="8652164" y="266351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135</xdr:row>
      <xdr:rowOff>51710</xdr:rowOff>
    </xdr:from>
    <xdr:ext cx="1051506" cy="156518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10BF42B-6772-4838-BBC3-5E3941BE86D1}"/>
            </a:ext>
          </a:extLst>
        </xdr:cNvPr>
        <xdr:cNvSpPr txBox="1"/>
      </xdr:nvSpPr>
      <xdr:spPr>
        <a:xfrm>
          <a:off x="8976590" y="263915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135</xdr:row>
      <xdr:rowOff>30928</xdr:rowOff>
    </xdr:from>
    <xdr:ext cx="1051506" cy="156518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6873FE0-588D-4A78-A3C3-6A5C4014B2A8}"/>
            </a:ext>
          </a:extLst>
        </xdr:cNvPr>
        <xdr:cNvSpPr txBox="1"/>
      </xdr:nvSpPr>
      <xdr:spPr>
        <a:xfrm>
          <a:off x="10566399" y="263707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137</xdr:row>
      <xdr:rowOff>28863</xdr:rowOff>
    </xdr:from>
    <xdr:to>
      <xdr:col>35</xdr:col>
      <xdr:colOff>0</xdr:colOff>
      <xdr:row>137</xdr:row>
      <xdr:rowOff>28863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8D9D2243-710F-45A0-BB32-EEE7D31FF874}"/>
            </a:ext>
          </a:extLst>
        </xdr:cNvPr>
        <xdr:cNvCxnSpPr/>
      </xdr:nvCxnSpPr>
      <xdr:spPr>
        <a:xfrm flipH="1">
          <a:off x="12339780" y="268004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136</xdr:row>
      <xdr:rowOff>99047</xdr:rowOff>
    </xdr:from>
    <xdr:ext cx="117083" cy="156518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FAFAC81-C0F9-4847-9FD0-C4E7CE71B275}"/>
            </a:ext>
          </a:extLst>
        </xdr:cNvPr>
        <xdr:cNvSpPr txBox="1"/>
      </xdr:nvSpPr>
      <xdr:spPr>
        <a:xfrm>
          <a:off x="12129652" y="266547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137</xdr:row>
      <xdr:rowOff>25399</xdr:rowOff>
    </xdr:from>
    <xdr:to>
      <xdr:col>29</xdr:col>
      <xdr:colOff>314180</xdr:colOff>
      <xdr:row>137</xdr:row>
      <xdr:rowOff>30018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A4A3356B-26BD-4A3E-8D1F-8C6B84F68576}"/>
            </a:ext>
          </a:extLst>
        </xdr:cNvPr>
        <xdr:cNvCxnSpPr/>
      </xdr:nvCxnSpPr>
      <xdr:spPr>
        <a:xfrm flipH="1" flipV="1">
          <a:off x="12040754" y="267969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136</xdr:row>
      <xdr:rowOff>157928</xdr:rowOff>
    </xdr:from>
    <xdr:ext cx="317331" cy="156518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9F27294-120E-4CD9-917A-E3ED5246666F}"/>
            </a:ext>
          </a:extLst>
        </xdr:cNvPr>
        <xdr:cNvSpPr txBox="1"/>
      </xdr:nvSpPr>
      <xdr:spPr>
        <a:xfrm>
          <a:off x="12967857" y="267136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22</xdr:col>
      <xdr:colOff>306449</xdr:colOff>
      <xdr:row>135</xdr:row>
      <xdr:rowOff>116772</xdr:rowOff>
    </xdr:from>
    <xdr:to>
      <xdr:col>23</xdr:col>
      <xdr:colOff>289275</xdr:colOff>
      <xdr:row>135</xdr:row>
      <xdr:rowOff>121391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7A2BEA9E-BD93-4AD8-8986-93E7598548D4}"/>
            </a:ext>
          </a:extLst>
        </xdr:cNvPr>
        <xdr:cNvCxnSpPr/>
      </xdr:nvCxnSpPr>
      <xdr:spPr>
        <a:xfrm flipH="1" flipV="1">
          <a:off x="10110849" y="26456572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88153</xdr:colOff>
      <xdr:row>135</xdr:row>
      <xdr:rowOff>144651</xdr:rowOff>
    </xdr:from>
    <xdr:ext cx="117083" cy="156518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095AA79-F40F-4423-A8D1-FE130E1DB37C}"/>
            </a:ext>
          </a:extLst>
        </xdr:cNvPr>
        <xdr:cNvSpPr txBox="1"/>
      </xdr:nvSpPr>
      <xdr:spPr>
        <a:xfrm>
          <a:off x="10210053" y="2648445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134</xdr:row>
      <xdr:rowOff>131623</xdr:rowOff>
    </xdr:from>
    <xdr:ext cx="247119" cy="313034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D435BF3-C9B0-4B38-8AB2-D9D90600AED9}"/>
            </a:ext>
          </a:extLst>
        </xdr:cNvPr>
        <xdr:cNvSpPr txBox="1"/>
      </xdr:nvSpPr>
      <xdr:spPr>
        <a:xfrm>
          <a:off x="12384809" y="262555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134</xdr:row>
      <xdr:rowOff>122387</xdr:rowOff>
    </xdr:from>
    <xdr:ext cx="247120" cy="313034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ABD6ED4-9961-4A82-AEA5-9B8D2B8337F5}"/>
            </a:ext>
          </a:extLst>
        </xdr:cNvPr>
        <xdr:cNvSpPr txBox="1"/>
      </xdr:nvSpPr>
      <xdr:spPr>
        <a:xfrm>
          <a:off x="13016345" y="262462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135</xdr:row>
      <xdr:rowOff>40164</xdr:rowOff>
    </xdr:from>
    <xdr:ext cx="117083" cy="156518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5D0BCA4-C26F-47EA-8796-2D8BEC3EE453}"/>
            </a:ext>
          </a:extLst>
        </xdr:cNvPr>
        <xdr:cNvSpPr txBox="1"/>
      </xdr:nvSpPr>
      <xdr:spPr>
        <a:xfrm>
          <a:off x="12763497" y="263799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136</xdr:row>
      <xdr:rowOff>6926</xdr:rowOff>
    </xdr:from>
    <xdr:to>
      <xdr:col>32</xdr:col>
      <xdr:colOff>1299</xdr:colOff>
      <xdr:row>136</xdr:row>
      <xdr:rowOff>11545</xdr:rowOff>
    </xdr:to>
    <xdr:cxnSp macro="">
      <xdr:nvCxnSpPr>
        <xdr:cNvPr id="141" name="직선 연결선 140">
          <a:extLst>
            <a:ext uri="{FF2B5EF4-FFF2-40B4-BE49-F238E27FC236}">
              <a16:creationId xmlns:a16="http://schemas.microsoft.com/office/drawing/2014/main" id="{242B5F83-E7A1-4DAB-8A6B-512065C45632}"/>
            </a:ext>
          </a:extLst>
        </xdr:cNvPr>
        <xdr:cNvCxnSpPr/>
      </xdr:nvCxnSpPr>
      <xdr:spPr>
        <a:xfrm flipH="1" flipV="1">
          <a:off x="12680373" y="265626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95827</xdr:colOff>
      <xdr:row>144</xdr:row>
      <xdr:rowOff>28619</xdr:rowOff>
    </xdr:from>
    <xdr:ext cx="419859" cy="156518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EDE196A-E9F1-4B60-80B5-EAE0C0AAD7DB}"/>
            </a:ext>
          </a:extLst>
        </xdr:cNvPr>
        <xdr:cNvSpPr txBox="1"/>
      </xdr:nvSpPr>
      <xdr:spPr>
        <a:xfrm>
          <a:off x="99002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oneCellAnchor>
    <xdr:from>
      <xdr:col>25</xdr:col>
      <xdr:colOff>95827</xdr:colOff>
      <xdr:row>144</xdr:row>
      <xdr:rowOff>28619</xdr:rowOff>
    </xdr:from>
    <xdr:ext cx="419859" cy="156518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4230C6B-4465-4EBB-87F9-75F48BF01D01}"/>
            </a:ext>
          </a:extLst>
        </xdr:cNvPr>
        <xdr:cNvSpPr txBox="1"/>
      </xdr:nvSpPr>
      <xdr:spPr>
        <a:xfrm>
          <a:off x="10852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24</xdr:col>
      <xdr:colOff>12699</xdr:colOff>
      <xdr:row>144</xdr:row>
      <xdr:rowOff>122381</xdr:rowOff>
    </xdr:from>
    <xdr:to>
      <xdr:col>24</xdr:col>
      <xdr:colOff>313025</xdr:colOff>
      <xdr:row>144</xdr:row>
      <xdr:rowOff>127000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1DE96CDB-4377-4F36-A9BC-5767C6BE76E8}"/>
            </a:ext>
          </a:extLst>
        </xdr:cNvPr>
        <xdr:cNvCxnSpPr/>
      </xdr:nvCxnSpPr>
      <xdr:spPr>
        <a:xfrm flipH="1" flipV="1">
          <a:off x="10452099" y="28405281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115203</xdr:colOff>
      <xdr:row>144</xdr:row>
      <xdr:rowOff>132115</xdr:rowOff>
    </xdr:from>
    <xdr:ext cx="117083" cy="156518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5BA192F-8F29-4312-BCEB-761232A044F2}"/>
            </a:ext>
          </a:extLst>
        </xdr:cNvPr>
        <xdr:cNvSpPr txBox="1"/>
      </xdr:nvSpPr>
      <xdr:spPr>
        <a:xfrm>
          <a:off x="10554603" y="28415015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4</xdr:col>
      <xdr:colOff>69850</xdr:colOff>
      <xdr:row>12</xdr:row>
      <xdr:rowOff>107950</xdr:rowOff>
    </xdr:from>
    <xdr:ext cx="5462649" cy="107850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0858878-1B6A-220B-E0BE-0EF0DCF238E5}"/>
            </a:ext>
          </a:extLst>
        </xdr:cNvPr>
        <xdr:cNvSpPr txBox="1"/>
      </xdr:nvSpPr>
      <xdr:spPr>
        <a:xfrm>
          <a:off x="3194050" y="26987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  <xdr:oneCellAnchor>
    <xdr:from>
      <xdr:col>5</xdr:col>
      <xdr:colOff>1238250</xdr:colOff>
      <xdr:row>109</xdr:row>
      <xdr:rowOff>187474</xdr:rowOff>
    </xdr:from>
    <xdr:ext cx="104644" cy="266098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09B8FBA-23AA-DBE5-54DD-9AF47FB9DEC0}"/>
            </a:ext>
          </a:extLst>
        </xdr:cNvPr>
        <xdr:cNvSpPr txBox="1"/>
      </xdr:nvSpPr>
      <xdr:spPr>
        <a:xfrm>
          <a:off x="4483100" y="23720574"/>
          <a:ext cx="104644" cy="266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200" b="1">
              <a:latin typeface="Malgun Gothic Semilight" panose="020B0502040204020203" pitchFamily="34" charset="-127"/>
              <a:ea typeface="Malgun Gothic Semilight" panose="020B0502040204020203" pitchFamily="34" charset="-127"/>
              <a:cs typeface="Malgun Gothic Semilight" panose="020B0502040204020203" pitchFamily="34" charset="-127"/>
            </a:rPr>
            <a:t>&lt;</a:t>
          </a:r>
          <a:endParaRPr lang="ko-KR" altLang="en-US" sz="1200" b="1"/>
        </a:p>
      </xdr:txBody>
    </xdr:sp>
    <xdr:clientData/>
  </xdr:oneCellAnchor>
  <xdr:oneCellAnchor>
    <xdr:from>
      <xdr:col>4</xdr:col>
      <xdr:colOff>88900</xdr:colOff>
      <xdr:row>77</xdr:row>
      <xdr:rowOff>107950</xdr:rowOff>
    </xdr:from>
    <xdr:ext cx="5462649" cy="107850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5906A42-B546-46B0-80AD-D712F62135FC}"/>
            </a:ext>
          </a:extLst>
        </xdr:cNvPr>
        <xdr:cNvSpPr txBox="1"/>
      </xdr:nvSpPr>
      <xdr:spPr>
        <a:xfrm>
          <a:off x="3213100" y="167322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60323</xdr:colOff>
      <xdr:row>79</xdr:row>
      <xdr:rowOff>76195</xdr:rowOff>
    </xdr:from>
    <xdr:to>
      <xdr:col>52</xdr:col>
      <xdr:colOff>39823</xdr:colOff>
      <xdr:row>82</xdr:row>
      <xdr:rowOff>102970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93256A-9887-49EF-BDD3-6D636338848C}"/>
            </a:ext>
          </a:extLst>
        </xdr:cNvPr>
        <xdr:cNvSpPr txBox="1"/>
      </xdr:nvSpPr>
      <xdr:spPr>
        <a:xfrm>
          <a:off x="1889123" y="17132295"/>
          <a:ext cx="6012000" cy="6744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 - prev_tgt_dac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 - curr_dac</a:t>
          </a:r>
        </a:p>
      </xdr:txBody>
    </xdr:sp>
    <xdr:clientData/>
  </xdr:twoCellAnchor>
  <xdr:oneCellAnchor>
    <xdr:from>
      <xdr:col>30</xdr:col>
      <xdr:colOff>3815</xdr:colOff>
      <xdr:row>16</xdr:row>
      <xdr:rowOff>111394</xdr:rowOff>
    </xdr:from>
    <xdr:ext cx="3132000" cy="180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255989-15E0-4E73-8186-A49C7AEE3015}"/>
            </a:ext>
          </a:extLst>
        </xdr:cNvPr>
        <xdr:cNvSpPr txBox="1"/>
      </xdr:nvSpPr>
      <xdr:spPr>
        <a:xfrm>
          <a:off x="5210815" y="3565794"/>
          <a:ext cx="3132000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state transition &amp; dac change</a:t>
          </a:r>
        </a:p>
      </xdr:txBody>
    </xdr:sp>
    <xdr:clientData/>
  </xdr:oneCellAnchor>
  <xdr:oneCellAnchor>
    <xdr:from>
      <xdr:col>29</xdr:col>
      <xdr:colOff>121226</xdr:colOff>
      <xdr:row>17</xdr:row>
      <xdr:rowOff>195600</xdr:rowOff>
    </xdr:from>
    <xdr:ext cx="3060000" cy="180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0069C6-0F94-4445-BCE7-A0C8077C1DEC}"/>
            </a:ext>
          </a:extLst>
        </xdr:cNvPr>
        <xdr:cNvSpPr txBox="1"/>
      </xdr:nvSpPr>
      <xdr:spPr>
        <a:xfrm>
          <a:off x="5207576" y="386590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DAC_UP_PRE1</a:t>
          </a:r>
        </a:p>
      </xdr:txBody>
    </xdr:sp>
    <xdr:clientData/>
  </xdr:oneCellAnchor>
  <xdr:twoCellAnchor>
    <xdr:from>
      <xdr:col>52</xdr:col>
      <xdr:colOff>101477</xdr:colOff>
      <xdr:row>83</xdr:row>
      <xdr:rowOff>211986</xdr:rowOff>
    </xdr:from>
    <xdr:to>
      <xdr:col>102</xdr:col>
      <xdr:colOff>80977</xdr:colOff>
      <xdr:row>94</xdr:row>
      <xdr:rowOff>177086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9DB1A3-792F-4793-87B0-E994E418E6F2}"/>
            </a:ext>
          </a:extLst>
        </xdr:cNvPr>
        <xdr:cNvSpPr txBox="1"/>
      </xdr:nvSpPr>
      <xdr:spPr>
        <a:xfrm>
          <a:off x="7962777" y="18131686"/>
          <a:ext cx="6012000" cy="234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dac_thermal_off, ~dac_hold_en)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dac_inc_hold_cnt ← dac_int_hold_cnt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52</xdr:col>
      <xdr:colOff>111520</xdr:colOff>
      <xdr:row>95</xdr:row>
      <xdr:rowOff>634</xdr:rowOff>
    </xdr:from>
    <xdr:to>
      <xdr:col>102</xdr:col>
      <xdr:colOff>91020</xdr:colOff>
      <xdr:row>104</xdr:row>
      <xdr:rowOff>181534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DDAF7E-1282-48DF-9EBE-6D2C722660AE}"/>
            </a:ext>
          </a:extLst>
        </xdr:cNvPr>
        <xdr:cNvSpPr txBox="1"/>
      </xdr:nvSpPr>
      <xdr:spPr>
        <a:xfrm>
          <a:off x="7972820" y="20511134"/>
          <a:ext cx="6012000" cy="2124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dac_inc1_wait_cnt ← dac_inc1_wait_cnt </a:t>
          </a:r>
        </a:p>
      </xdr:txBody>
    </xdr:sp>
    <xdr:clientData/>
  </xdr:twoCellAnchor>
  <xdr:twoCellAnchor>
    <xdr:from>
      <xdr:col>52</xdr:col>
      <xdr:colOff>106722</xdr:colOff>
      <xdr:row>21</xdr:row>
      <xdr:rowOff>57899</xdr:rowOff>
    </xdr:from>
    <xdr:to>
      <xdr:col>102</xdr:col>
      <xdr:colOff>86222</xdr:colOff>
      <xdr:row>83</xdr:row>
      <xdr:rowOff>158750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778424-344E-4A6B-A920-69924434017F}"/>
            </a:ext>
          </a:extLst>
        </xdr:cNvPr>
        <xdr:cNvSpPr txBox="1"/>
      </xdr:nvSpPr>
      <xdr:spPr>
        <a:xfrm>
          <a:off x="7968022" y="4591799"/>
          <a:ext cx="6012000" cy="1348665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 + 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 ← curr_dac + 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 &lt; curr_tgt_dac)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 ← curr_dac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 ← curr_tgt_dac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 - dac_dec1_acc)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(~dac_dec1_mode)  dac_dec1_acc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curr_dac ← curr_dac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dac_dec1_acc ← dac_dec1_acc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 ← curr_dac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 &lt; (curr_tgt_dac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dac_dec1_acc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34</xdr:col>
      <xdr:colOff>20999</xdr:colOff>
      <xdr:row>4</xdr:row>
      <xdr:rowOff>39423</xdr:rowOff>
    </xdr:from>
    <xdr:to>
      <xdr:col>34</xdr:col>
      <xdr:colOff>112220</xdr:colOff>
      <xdr:row>5</xdr:row>
      <xdr:rowOff>7424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78EDD29-C87F-4BC8-885B-A539E907082E}"/>
            </a:ext>
          </a:extLst>
        </xdr:cNvPr>
        <xdr:cNvSpPr/>
      </xdr:nvSpPr>
      <xdr:spPr>
        <a:xfrm>
          <a:off x="5710599" y="903023"/>
          <a:ext cx="91221" cy="18390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20999</xdr:colOff>
      <xdr:row>4</xdr:row>
      <xdr:rowOff>37518</xdr:rowOff>
    </xdr:from>
    <xdr:to>
      <xdr:col>60</xdr:col>
      <xdr:colOff>112220</xdr:colOff>
      <xdr:row>5</xdr:row>
      <xdr:rowOff>3614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12B1FC92-C375-4C82-888A-07581080D305}"/>
            </a:ext>
          </a:extLst>
        </xdr:cNvPr>
        <xdr:cNvSpPr/>
      </xdr:nvSpPr>
      <xdr:spPr>
        <a:xfrm>
          <a:off x="88474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86</xdr:col>
      <xdr:colOff>20999</xdr:colOff>
      <xdr:row>4</xdr:row>
      <xdr:rowOff>37518</xdr:rowOff>
    </xdr:from>
    <xdr:to>
      <xdr:col>86</xdr:col>
      <xdr:colOff>112220</xdr:colOff>
      <xdr:row>5</xdr:row>
      <xdr:rowOff>3614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96F76AC2-320C-46A9-9AC1-1ECDD8347135}"/>
            </a:ext>
          </a:extLst>
        </xdr:cNvPr>
        <xdr:cNvSpPr/>
      </xdr:nvSpPr>
      <xdr:spPr>
        <a:xfrm>
          <a:off x="119843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4</xdr:col>
      <xdr:colOff>8212</xdr:colOff>
      <xdr:row>15</xdr:row>
      <xdr:rowOff>92451</xdr:rowOff>
    </xdr:from>
    <xdr:ext cx="3117520" cy="1800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CBDF2F-4E36-4552-A8E7-948170D6F4C4}"/>
            </a:ext>
          </a:extLst>
        </xdr:cNvPr>
        <xdr:cNvSpPr txBox="1"/>
      </xdr:nvSpPr>
      <xdr:spPr>
        <a:xfrm>
          <a:off x="2078312" y="3330951"/>
          <a:ext cx="3117520" cy="18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ana &amp; ld to XC, then serializing to XD</a:t>
          </a:r>
        </a:p>
      </xdr:txBody>
    </xdr:sp>
    <xdr:clientData/>
  </xdr:oneCellAnchor>
  <xdr:oneCellAnchor>
    <xdr:from>
      <xdr:col>29</xdr:col>
      <xdr:colOff>114958</xdr:colOff>
      <xdr:row>15</xdr:row>
      <xdr:rowOff>94312</xdr:rowOff>
    </xdr:from>
    <xdr:ext cx="3139418" cy="1800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208864-7F3B-4D54-AEB6-1E6C2D2E94DC}"/>
            </a:ext>
          </a:extLst>
        </xdr:cNvPr>
        <xdr:cNvSpPr txBox="1"/>
      </xdr:nvSpPr>
      <xdr:spPr>
        <a:xfrm>
          <a:off x="5201308" y="3332812"/>
          <a:ext cx="3139418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XD dimming</a:t>
          </a:r>
        </a:p>
      </xdr:txBody>
    </xdr:sp>
    <xdr:clientData/>
  </xdr:oneCellAnchor>
  <xdr:twoCellAnchor>
    <xdr:from>
      <xdr:col>112</xdr:col>
      <xdr:colOff>17189</xdr:colOff>
      <xdr:row>4</xdr:row>
      <xdr:rowOff>30764</xdr:rowOff>
    </xdr:from>
    <xdr:to>
      <xdr:col>112</xdr:col>
      <xdr:colOff>112220</xdr:colOff>
      <xdr:row>4</xdr:row>
      <xdr:rowOff>215242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954B853C-0BBC-4BBE-96A7-F7AB65E28557}"/>
            </a:ext>
          </a:extLst>
        </xdr:cNvPr>
        <xdr:cNvSpPr/>
      </xdr:nvSpPr>
      <xdr:spPr>
        <a:xfrm>
          <a:off x="151174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134</xdr:col>
      <xdr:colOff>3737</xdr:colOff>
      <xdr:row>17</xdr:row>
      <xdr:rowOff>206824</xdr:rowOff>
    </xdr:from>
    <xdr:ext cx="3060000" cy="1800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53F46E4-8773-4311-8C84-670BAC87AABF}"/>
            </a:ext>
          </a:extLst>
        </xdr:cNvPr>
        <xdr:cNvSpPr txBox="1"/>
      </xdr:nvSpPr>
      <xdr:spPr>
        <a:xfrm>
          <a:off x="17758337" y="3877124"/>
          <a:ext cx="3060000" cy="180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DAC_FIT</a:t>
          </a:r>
        </a:p>
      </xdr:txBody>
    </xdr:sp>
    <xdr:clientData/>
  </xdr:oneCellAnchor>
  <xdr:oneCellAnchor>
    <xdr:from>
      <xdr:col>8</xdr:col>
      <xdr:colOff>47987</xdr:colOff>
      <xdr:row>0</xdr:row>
      <xdr:rowOff>144201</xdr:rowOff>
    </xdr:from>
    <xdr:ext cx="2122560" cy="324704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D52DDC3-6008-43EC-B0BE-A547E3B14956}"/>
            </a:ext>
          </a:extLst>
        </xdr:cNvPr>
        <xdr:cNvSpPr txBox="1"/>
      </xdr:nvSpPr>
      <xdr:spPr>
        <a:xfrm>
          <a:off x="2600687" y="144201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17</xdr:col>
      <xdr:colOff>17319</xdr:colOff>
      <xdr:row>2</xdr:row>
      <xdr:rowOff>51954</xdr:rowOff>
    </xdr:from>
    <xdr:to>
      <xdr:col>17</xdr:col>
      <xdr:colOff>17319</xdr:colOff>
      <xdr:row>3</xdr:row>
      <xdr:rowOff>18363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8178F5EC-34D8-4BE6-8BF2-4C55FD257DF4}"/>
            </a:ext>
          </a:extLst>
        </xdr:cNvPr>
        <xdr:cNvCxnSpPr/>
      </xdr:nvCxnSpPr>
      <xdr:spPr>
        <a:xfrm flipH="1">
          <a:off x="3655869" y="483754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20999</xdr:colOff>
      <xdr:row>4</xdr:row>
      <xdr:rowOff>37518</xdr:rowOff>
    </xdr:from>
    <xdr:to>
      <xdr:col>112</xdr:col>
      <xdr:colOff>112220</xdr:colOff>
      <xdr:row>5</xdr:row>
      <xdr:rowOff>3614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6B43AAB-CF4A-403E-B422-A117793D21F6}"/>
            </a:ext>
          </a:extLst>
        </xdr:cNvPr>
        <xdr:cNvSpPr/>
      </xdr:nvSpPr>
      <xdr:spPr>
        <a:xfrm>
          <a:off x="151212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138</xdr:col>
      <xdr:colOff>20999</xdr:colOff>
      <xdr:row>4</xdr:row>
      <xdr:rowOff>37518</xdr:rowOff>
    </xdr:from>
    <xdr:to>
      <xdr:col>138</xdr:col>
      <xdr:colOff>112220</xdr:colOff>
      <xdr:row>5</xdr:row>
      <xdr:rowOff>3614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2D03D163-2774-40A2-9FAA-210BCE1BF2F4}"/>
            </a:ext>
          </a:extLst>
        </xdr:cNvPr>
        <xdr:cNvSpPr/>
      </xdr:nvSpPr>
      <xdr:spPr>
        <a:xfrm>
          <a:off x="182581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82</xdr:col>
      <xdr:colOff>7204</xdr:colOff>
      <xdr:row>18</xdr:row>
      <xdr:rowOff>2082</xdr:rowOff>
    </xdr:from>
    <xdr:ext cx="3060000" cy="1800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4BC8F2A-94A7-49D2-941A-DA8552F5FD02}"/>
            </a:ext>
          </a:extLst>
        </xdr:cNvPr>
        <xdr:cNvSpPr txBox="1"/>
      </xdr:nvSpPr>
      <xdr:spPr>
        <a:xfrm>
          <a:off x="11488004" y="3888282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oneCellAnchor>
    <xdr:from>
      <xdr:col>56</xdr:col>
      <xdr:colOff>5430</xdr:colOff>
      <xdr:row>17</xdr:row>
      <xdr:rowOff>206856</xdr:rowOff>
    </xdr:from>
    <xdr:ext cx="3060000" cy="1800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681D79-D435-4E19-A7F0-AE5EB6BC737B}"/>
            </a:ext>
          </a:extLst>
        </xdr:cNvPr>
        <xdr:cNvSpPr txBox="1"/>
      </xdr:nvSpPr>
      <xdr:spPr>
        <a:xfrm>
          <a:off x="8349330" y="3877156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DAC_UP_PRE2</a:t>
          </a:r>
        </a:p>
      </xdr:txBody>
    </xdr:sp>
    <xdr:clientData/>
  </xdr:oneCellAnchor>
  <xdr:twoCellAnchor>
    <xdr:from>
      <xdr:col>2</xdr:col>
      <xdr:colOff>78877</xdr:colOff>
      <xdr:row>38</xdr:row>
      <xdr:rowOff>5944</xdr:rowOff>
    </xdr:from>
    <xdr:to>
      <xdr:col>52</xdr:col>
      <xdr:colOff>58377</xdr:colOff>
      <xdr:row>71</xdr:row>
      <xdr:rowOff>81244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AC4F634-6500-4853-B637-7D44777B8FB2}"/>
            </a:ext>
          </a:extLst>
        </xdr:cNvPr>
        <xdr:cNvSpPr txBox="1"/>
      </xdr:nvSpPr>
      <xdr:spPr>
        <a:xfrm>
          <a:off x="1907677" y="8210144"/>
          <a:ext cx="6012000" cy="72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dac_fb_valid_cnt ← dac_fb_valid_cnt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 = (int_fb_source &amp;&amp; ~dac_fb_mode) || (FBI_lat &amp;&amp; dac_fb_mode)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~dac_fb_mode)  FBI_lat ← 0,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FBI_lat ← 0,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(FBI_lat_cnt &lt; 5)  FBI_lat_cnt ← FBI_lat_cnt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(FBI_lat_cnt = 5)  FBI_lat_cnt ← FBI_lat_cnt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FBI_lat_cnt ← 0,  FBI_lat ← FBI_lat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103902</xdr:colOff>
      <xdr:row>3</xdr:row>
      <xdr:rowOff>150090</xdr:rowOff>
    </xdr:from>
    <xdr:to>
      <xdr:col>8</xdr:col>
      <xdr:colOff>103902</xdr:colOff>
      <xdr:row>15</xdr:row>
      <xdr:rowOff>63499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12C6CA04-0AAF-4842-9973-C816618AE5EE}"/>
            </a:ext>
          </a:extLst>
        </xdr:cNvPr>
        <xdr:cNvCxnSpPr/>
      </xdr:nvCxnSpPr>
      <xdr:spPr>
        <a:xfrm flipH="1">
          <a:off x="2656602" y="797790"/>
          <a:ext cx="0" cy="2504209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20999</xdr:colOff>
      <xdr:row>4</xdr:row>
      <xdr:rowOff>39423</xdr:rowOff>
    </xdr:from>
    <xdr:to>
      <xdr:col>8</xdr:col>
      <xdr:colOff>112220</xdr:colOff>
      <xdr:row>5</xdr:row>
      <xdr:rowOff>7424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FC17A7DA-8C3B-480A-9960-38F47ADA1035}"/>
            </a:ext>
          </a:extLst>
        </xdr:cNvPr>
        <xdr:cNvSpPr/>
      </xdr:nvSpPr>
      <xdr:spPr>
        <a:xfrm>
          <a:off x="2573699" y="903023"/>
          <a:ext cx="91221" cy="18390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98138</xdr:colOff>
      <xdr:row>13</xdr:row>
      <xdr:rowOff>138546</xdr:rowOff>
    </xdr:from>
    <xdr:to>
      <xdr:col>10</xdr:col>
      <xdr:colOff>117229</xdr:colOff>
      <xdr:row>13</xdr:row>
      <xdr:rowOff>138546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7BFDADA1-BFDE-459B-B237-7BC677103CF2}"/>
            </a:ext>
          </a:extLst>
        </xdr:cNvPr>
        <xdr:cNvCxnSpPr/>
      </xdr:nvCxnSpPr>
      <xdr:spPr>
        <a:xfrm>
          <a:off x="24095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98138</xdr:colOff>
      <xdr:row>13</xdr:row>
      <xdr:rowOff>138546</xdr:rowOff>
    </xdr:from>
    <xdr:to>
      <xdr:col>36</xdr:col>
      <xdr:colOff>117229</xdr:colOff>
      <xdr:row>13</xdr:row>
      <xdr:rowOff>138546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2B683540-BD7D-49BE-A85F-6F9F976E0F74}"/>
            </a:ext>
          </a:extLst>
        </xdr:cNvPr>
        <xdr:cNvCxnSpPr/>
      </xdr:nvCxnSpPr>
      <xdr:spPr>
        <a:xfrm>
          <a:off x="55464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98138</xdr:colOff>
      <xdr:row>13</xdr:row>
      <xdr:rowOff>138546</xdr:rowOff>
    </xdr:from>
    <xdr:to>
      <xdr:col>62</xdr:col>
      <xdr:colOff>117229</xdr:colOff>
      <xdr:row>13</xdr:row>
      <xdr:rowOff>138546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5736B40B-7FD8-43D8-9D90-F0EA54B9E747}"/>
            </a:ext>
          </a:extLst>
        </xdr:cNvPr>
        <xdr:cNvCxnSpPr/>
      </xdr:nvCxnSpPr>
      <xdr:spPr>
        <a:xfrm>
          <a:off x="86833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98138</xdr:colOff>
      <xdr:row>13</xdr:row>
      <xdr:rowOff>138546</xdr:rowOff>
    </xdr:from>
    <xdr:to>
      <xdr:col>88</xdr:col>
      <xdr:colOff>117229</xdr:colOff>
      <xdr:row>13</xdr:row>
      <xdr:rowOff>138546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B78A282A-7B33-4E64-A820-0CACF89132CD}"/>
            </a:ext>
          </a:extLst>
        </xdr:cNvPr>
        <xdr:cNvCxnSpPr/>
      </xdr:nvCxnSpPr>
      <xdr:spPr>
        <a:xfrm>
          <a:off x="118202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98138</xdr:colOff>
      <xdr:row>13</xdr:row>
      <xdr:rowOff>138546</xdr:rowOff>
    </xdr:from>
    <xdr:to>
      <xdr:col>114</xdr:col>
      <xdr:colOff>117229</xdr:colOff>
      <xdr:row>13</xdr:row>
      <xdr:rowOff>138546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0540D2F9-7572-4F57-9CA0-AF3E869907AC}"/>
            </a:ext>
          </a:extLst>
        </xdr:cNvPr>
        <xdr:cNvCxnSpPr/>
      </xdr:nvCxnSpPr>
      <xdr:spPr>
        <a:xfrm>
          <a:off x="149571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98138</xdr:colOff>
      <xdr:row>13</xdr:row>
      <xdr:rowOff>138546</xdr:rowOff>
    </xdr:from>
    <xdr:to>
      <xdr:col>140</xdr:col>
      <xdr:colOff>117229</xdr:colOff>
      <xdr:row>13</xdr:row>
      <xdr:rowOff>138546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CFA2408C-CCC5-43E5-8BD7-B0BE7A5A8B21}"/>
            </a:ext>
          </a:extLst>
        </xdr:cNvPr>
        <xdr:cNvCxnSpPr/>
      </xdr:nvCxnSpPr>
      <xdr:spPr>
        <a:xfrm>
          <a:off x="180940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2301</xdr:colOff>
      <xdr:row>13</xdr:row>
      <xdr:rowOff>77354</xdr:rowOff>
    </xdr:from>
    <xdr:to>
      <xdr:col>90</xdr:col>
      <xdr:colOff>2301</xdr:colOff>
      <xdr:row>18</xdr:row>
      <xdr:rowOff>125400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FF1E7DF6-928B-4F86-8F3E-BD9CBD49A3D9}"/>
            </a:ext>
          </a:extLst>
        </xdr:cNvPr>
        <xdr:cNvCxnSpPr/>
      </xdr:nvCxnSpPr>
      <xdr:spPr>
        <a:xfrm flipH="1">
          <a:off x="12448301" y="288405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120064</xdr:colOff>
      <xdr:row>13</xdr:row>
      <xdr:rowOff>96981</xdr:rowOff>
    </xdr:from>
    <xdr:to>
      <xdr:col>115</xdr:col>
      <xdr:colOff>120064</xdr:colOff>
      <xdr:row>18</xdr:row>
      <xdr:rowOff>145027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55BAA149-4F66-4F89-9371-617EEFF7D60B}"/>
            </a:ext>
          </a:extLst>
        </xdr:cNvPr>
        <xdr:cNvCxnSpPr/>
      </xdr:nvCxnSpPr>
      <xdr:spPr>
        <a:xfrm flipH="1">
          <a:off x="15582314" y="2903681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1146</xdr:colOff>
      <xdr:row>13</xdr:row>
      <xdr:rowOff>87744</xdr:rowOff>
    </xdr:from>
    <xdr:to>
      <xdr:col>142</xdr:col>
      <xdr:colOff>1146</xdr:colOff>
      <xdr:row>18</xdr:row>
      <xdr:rowOff>135790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F03EA784-9100-4237-BB88-D80B02440060}"/>
            </a:ext>
          </a:extLst>
        </xdr:cNvPr>
        <xdr:cNvCxnSpPr/>
      </xdr:nvCxnSpPr>
      <xdr:spPr>
        <a:xfrm flipH="1">
          <a:off x="18720946" y="289444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2584</xdr:colOff>
      <xdr:row>16</xdr:row>
      <xdr:rowOff>186464</xdr:rowOff>
    </xdr:from>
    <xdr:ext cx="3168000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343FA96-261B-4D2E-B956-AD5D3E043C2C}"/>
            </a:ext>
          </a:extLst>
        </xdr:cNvPr>
        <xdr:cNvSpPr txBox="1"/>
      </xdr:nvSpPr>
      <xdr:spPr>
        <a:xfrm>
          <a:off x="15585484" y="3640864"/>
          <a:ext cx="3168000" cy="17222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dac_fb_assert=1</a:t>
          </a:r>
        </a:p>
      </xdr:txBody>
    </xdr:sp>
    <xdr:clientData/>
  </xdr:oneCellAnchor>
  <xdr:oneCellAnchor>
    <xdr:from>
      <xdr:col>108</xdr:col>
      <xdr:colOff>9514</xdr:colOff>
      <xdr:row>17</xdr:row>
      <xdr:rowOff>212210</xdr:rowOff>
    </xdr:from>
    <xdr:ext cx="3060000" cy="1800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B862031-6D7A-4587-B1C3-785E9ABAC34D}"/>
            </a:ext>
          </a:extLst>
        </xdr:cNvPr>
        <xdr:cNvSpPr txBox="1"/>
      </xdr:nvSpPr>
      <xdr:spPr>
        <a:xfrm>
          <a:off x="14627214" y="388251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twoCellAnchor>
    <xdr:from>
      <xdr:col>89</xdr:col>
      <xdr:colOff>111988</xdr:colOff>
      <xdr:row>19</xdr:row>
      <xdr:rowOff>2309</xdr:rowOff>
    </xdr:from>
    <xdr:to>
      <xdr:col>106</xdr:col>
      <xdr:colOff>121226</xdr:colOff>
      <xdr:row>20</xdr:row>
      <xdr:rowOff>178955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6C21C9F-167B-40D6-B242-05B6B4FC3AE0}"/>
            </a:ext>
          </a:extLst>
        </xdr:cNvPr>
        <xdr:cNvSpPr txBox="1"/>
      </xdr:nvSpPr>
      <xdr:spPr>
        <a:xfrm>
          <a:off x="12437338" y="4104409"/>
          <a:ext cx="2060288" cy="392546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=  +dac_inc2</a:t>
          </a:r>
        </a:p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 =  +dac_inc2</a:t>
          </a:r>
        </a:p>
      </xdr:txBody>
    </xdr:sp>
    <xdr:clientData/>
  </xdr:twoCellAnchor>
  <xdr:twoCellAnchor>
    <xdr:from>
      <xdr:col>29</xdr:col>
      <xdr:colOff>120070</xdr:colOff>
      <xdr:row>18</xdr:row>
      <xdr:rowOff>190500</xdr:rowOff>
    </xdr:from>
    <xdr:to>
      <xdr:col>89</xdr:col>
      <xdr:colOff>40409</xdr:colOff>
      <xdr:row>20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F2EC752-10BD-47EF-9750-D5875A64ECA3}"/>
            </a:ext>
          </a:extLst>
        </xdr:cNvPr>
        <xdr:cNvSpPr txBox="1"/>
      </xdr:nvSpPr>
      <xdr:spPr>
        <a:xfrm>
          <a:off x="5206420" y="4076700"/>
          <a:ext cx="7159339" cy="241300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ince_dac= +dac_inc2</a:t>
          </a:r>
        </a:p>
      </xdr:txBody>
    </xdr:sp>
    <xdr:clientData/>
  </xdr:twoCellAnchor>
  <xdr:twoCellAnchor>
    <xdr:from>
      <xdr:col>2</xdr:col>
      <xdr:colOff>61071</xdr:colOff>
      <xdr:row>89</xdr:row>
      <xdr:rowOff>100790</xdr:rowOff>
    </xdr:from>
    <xdr:to>
      <xdr:col>52</xdr:col>
      <xdr:colOff>40571</xdr:colOff>
      <xdr:row>94</xdr:row>
      <xdr:rowOff>173759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A283C0B-1FE4-49BA-86A9-3CB4A3DA0B25}"/>
            </a:ext>
          </a:extLst>
        </xdr:cNvPr>
        <xdr:cNvSpPr txBox="1"/>
      </xdr:nvSpPr>
      <xdr:spPr>
        <a:xfrm>
          <a:off x="1889871" y="19315890"/>
          <a:ext cx="6012000" cy="115246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 (open_drain)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 &lt;- FBO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1ea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사용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FBI -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여러개 사용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master XC FBI &lt;- all XC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slave XC FBI 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(XC DACO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dac_auto disable)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66464</xdr:colOff>
      <xdr:row>71</xdr:row>
      <xdr:rowOff>132190</xdr:rowOff>
    </xdr:from>
    <xdr:to>
      <xdr:col>52</xdr:col>
      <xdr:colOff>45964</xdr:colOff>
      <xdr:row>79</xdr:row>
      <xdr:rowOff>24990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BD44CCE-773A-4524-B145-832188736D1C}"/>
            </a:ext>
          </a:extLst>
        </xdr:cNvPr>
        <xdr:cNvSpPr txBox="1"/>
      </xdr:nvSpPr>
      <xdr:spPr>
        <a:xfrm>
          <a:off x="1895264" y="15461090"/>
          <a:ext cx="6012000" cy="162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DACO_DIRECT) dac_out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~dac_auto)  dac_out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dac_out ← curr_dac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dac_out ← dac_out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oneCellAnchor>
    <xdr:from>
      <xdr:col>33</xdr:col>
      <xdr:colOff>15659</xdr:colOff>
      <xdr:row>0</xdr:row>
      <xdr:rowOff>129192</xdr:rowOff>
    </xdr:from>
    <xdr:ext cx="2122560" cy="324704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1513FF6-DCBB-44DA-BD6D-8C0290B53737}"/>
            </a:ext>
          </a:extLst>
        </xdr:cNvPr>
        <xdr:cNvSpPr txBox="1"/>
      </xdr:nvSpPr>
      <xdr:spPr>
        <a:xfrm>
          <a:off x="5584609" y="129192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41</xdr:col>
      <xdr:colOff>106219</xdr:colOff>
      <xdr:row>2</xdr:row>
      <xdr:rowOff>36945</xdr:rowOff>
    </xdr:from>
    <xdr:to>
      <xdr:col>41</xdr:col>
      <xdr:colOff>106219</xdr:colOff>
      <xdr:row>3</xdr:row>
      <xdr:rowOff>3354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08E05515-4119-4F0C-9530-D66A32AF9E9E}"/>
            </a:ext>
          </a:extLst>
        </xdr:cNvPr>
        <xdr:cNvCxnSpPr/>
      </xdr:nvCxnSpPr>
      <xdr:spPr>
        <a:xfrm flipH="1">
          <a:off x="6640369" y="468745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75045</xdr:colOff>
      <xdr:row>21</xdr:row>
      <xdr:rowOff>17434</xdr:rowOff>
    </xdr:from>
    <xdr:to>
      <xdr:col>52</xdr:col>
      <xdr:colOff>54545</xdr:colOff>
      <xdr:row>37</xdr:row>
      <xdr:rowOff>163034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C18BA77-FFF6-400E-8C1C-523D82E53720}"/>
            </a:ext>
          </a:extLst>
        </xdr:cNvPr>
        <xdr:cNvSpPr txBox="1"/>
      </xdr:nvSpPr>
      <xdr:spPr>
        <a:xfrm>
          <a:off x="1903845" y="4551334"/>
          <a:ext cx="6012000" cy="36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if (r1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 &lt; (curr_tgt_dac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64190</xdr:colOff>
      <xdr:row>82</xdr:row>
      <xdr:rowOff>155397</xdr:rowOff>
    </xdr:from>
    <xdr:to>
      <xdr:col>52</xdr:col>
      <xdr:colOff>43690</xdr:colOff>
      <xdr:row>89</xdr:row>
      <xdr:rowOff>48097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F806CC4-2EB5-4AE0-8287-6E9A6C39B69D}"/>
            </a:ext>
          </a:extLst>
        </xdr:cNvPr>
        <xdr:cNvSpPr txBox="1"/>
      </xdr:nvSpPr>
      <xdr:spPr>
        <a:xfrm>
          <a:off x="1892990" y="17859197"/>
          <a:ext cx="6012000" cy="1404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dac_max_limit</a:t>
          </a:r>
          <a:r>
            <a:rPr lang="en-US" altLang="ko-KR" sz="1100" b="0" kern="1200">
              <a:latin typeface="+mn-ea"/>
              <a:ea typeface="+mn-ea"/>
            </a:rPr>
            <a:t>=4000     prev_target_dac=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dac_inc2 = 6                   dac_inc3 = 16                  dac_inc4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 = 0   </a:t>
          </a:r>
          <a:r>
            <a:rPr lang="en-US" altLang="ko-KR" sz="1100" b="0" kern="1200" baseline="0">
              <a:latin typeface="+mn-ea"/>
              <a:ea typeface="+mn-ea"/>
            </a:rPr>
            <a:t>dac_inc_hold_th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SOA_P1 = 125       SOA_P2 = 300                  SOA_P3 = 500</a:t>
          </a:r>
        </a:p>
      </xdr:txBody>
    </xdr:sp>
    <xdr:clientData/>
  </xdr:twoCellAnchor>
  <xdr:twoCellAnchor>
    <xdr:from>
      <xdr:col>108</xdr:col>
      <xdr:colOff>100965</xdr:colOff>
      <xdr:row>31</xdr:row>
      <xdr:rowOff>129540</xdr:rowOff>
    </xdr:from>
    <xdr:to>
      <xdr:col>130</xdr:col>
      <xdr:colOff>17461</xdr:colOff>
      <xdr:row>40</xdr:row>
      <xdr:rowOff>79178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DABA583F-E0B7-4A9E-8761-0E5E8EA2D181}"/>
            </a:ext>
          </a:extLst>
        </xdr:cNvPr>
        <xdr:cNvGrpSpPr/>
      </xdr:nvGrpSpPr>
      <xdr:grpSpPr>
        <a:xfrm>
          <a:off x="14775238" y="6750858"/>
          <a:ext cx="2583496" cy="1871956"/>
          <a:chOff x="15111977" y="7791994"/>
          <a:chExt cx="2582717" cy="1873861"/>
        </a:xfrm>
      </xdr:grpSpPr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90BC10E3-D35D-8C18-7BBC-6C730C168671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3A5BAED2-EF14-0E4E-95E3-2FB49716C28D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7A14664D-2B86-D787-0A9D-3574AFAD11A5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A29F2BDF-09A4-519B-90A0-F643B699F479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B3A37282-3721-7EDB-1439-8FAA72EB56AD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113</xdr:col>
      <xdr:colOff>62920</xdr:colOff>
      <xdr:row>32</xdr:row>
      <xdr:rowOff>187651</xdr:rowOff>
    </xdr:from>
    <xdr:to>
      <xdr:col>130</xdr:col>
      <xdr:colOff>105286</xdr:colOff>
      <xdr:row>33</xdr:row>
      <xdr:rowOff>201585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BB2E6CB3-3D3B-4BB9-812B-D1FD1C7CBB14}"/>
            </a:ext>
          </a:extLst>
        </xdr:cNvPr>
        <xdr:cNvGrpSpPr/>
      </xdr:nvGrpSpPr>
      <xdr:grpSpPr>
        <a:xfrm>
          <a:off x="15343329" y="7022560"/>
          <a:ext cx="2103230" cy="227525"/>
          <a:chOff x="15897170" y="8499892"/>
          <a:chExt cx="2098883" cy="225136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AA626FC8-E009-1E52-907F-9B26B0B0EEAD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 = 1500</a:t>
            </a: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882A97E4-1F09-79B5-E25C-7DFBAA3378BD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107246</xdr:colOff>
      <xdr:row>37</xdr:row>
      <xdr:rowOff>121831</xdr:rowOff>
    </xdr:from>
    <xdr:to>
      <xdr:col>135</xdr:col>
      <xdr:colOff>117689</xdr:colOff>
      <xdr:row>38</xdr:row>
      <xdr:rowOff>135765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60F72630-7154-4189-914F-A71B14573467}"/>
            </a:ext>
          </a:extLst>
        </xdr:cNvPr>
        <xdr:cNvGrpSpPr/>
      </xdr:nvGrpSpPr>
      <xdr:grpSpPr>
        <a:xfrm>
          <a:off x="15993791" y="8024695"/>
          <a:ext cx="2071307" cy="227525"/>
          <a:chOff x="16267202" y="8997949"/>
          <a:chExt cx="2065825" cy="225136"/>
        </a:xfrm>
      </xdr:grpSpPr>
      <xdr:cxnSp macro="">
        <xdr:nvCxnSpPr>
          <xdr:cNvPr id="53" name="직선 연결선 52">
            <a:extLst>
              <a:ext uri="{FF2B5EF4-FFF2-40B4-BE49-F238E27FC236}">
                <a16:creationId xmlns:a16="http://schemas.microsoft.com/office/drawing/2014/main" id="{94E3431C-0692-7E36-7533-43CC603999C9}"/>
              </a:ext>
            </a:extLst>
          </xdr:cNvPr>
          <xdr:cNvCxnSpPr/>
        </xdr:nvCxnSpPr>
        <xdr:spPr>
          <a:xfrm>
            <a:off x="16267202" y="9119755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28AB6A41-A27B-508A-0880-83FA0B223E99}"/>
              </a:ext>
            </a:extLst>
          </xdr:cNvPr>
          <xdr:cNvSpPr txBox="1"/>
        </xdr:nvSpPr>
        <xdr:spPr>
          <a:xfrm>
            <a:off x="16936026" y="8997949"/>
            <a:ext cx="1397001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prev_tgt_dac = 2500</a:t>
            </a:r>
          </a:p>
        </xdr:txBody>
      </xdr:sp>
    </xdr:grpSp>
    <xdr:clientData/>
  </xdr:twoCellAnchor>
  <xdr:twoCellAnchor>
    <xdr:from>
      <xdr:col>115</xdr:col>
      <xdr:colOff>62257</xdr:colOff>
      <xdr:row>35</xdr:row>
      <xdr:rowOff>65369</xdr:rowOff>
    </xdr:from>
    <xdr:to>
      <xdr:col>121</xdr:col>
      <xdr:colOff>105010</xdr:colOff>
      <xdr:row>35</xdr:row>
      <xdr:rowOff>65369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F4820A7C-232D-470D-8103-3055F32A38D4}"/>
            </a:ext>
          </a:extLst>
        </xdr:cNvPr>
        <xdr:cNvCxnSpPr/>
      </xdr:nvCxnSpPr>
      <xdr:spPr>
        <a:xfrm>
          <a:off x="15524507" y="7621869"/>
          <a:ext cx="76665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72548</xdr:colOff>
      <xdr:row>32</xdr:row>
      <xdr:rowOff>178130</xdr:rowOff>
    </xdr:from>
    <xdr:to>
      <xdr:col>118</xdr:col>
      <xdr:colOff>115301</xdr:colOff>
      <xdr:row>32</xdr:row>
      <xdr:rowOff>178130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BB4671E6-B7E8-419C-9D12-5CE2DC6A9BF0}"/>
            </a:ext>
          </a:extLst>
        </xdr:cNvPr>
        <xdr:cNvCxnSpPr/>
      </xdr:nvCxnSpPr>
      <xdr:spPr>
        <a:xfrm>
          <a:off x="15172848" y="7086930"/>
          <a:ext cx="76665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30023</xdr:colOff>
      <xdr:row>36</xdr:row>
      <xdr:rowOff>149545</xdr:rowOff>
    </xdr:from>
    <xdr:to>
      <xdr:col>123</xdr:col>
      <xdr:colOff>72776</xdr:colOff>
      <xdr:row>36</xdr:row>
      <xdr:rowOff>149545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AA78ED6B-56D6-4000-926D-AB13A9417776}"/>
            </a:ext>
          </a:extLst>
        </xdr:cNvPr>
        <xdr:cNvCxnSpPr/>
      </xdr:nvCxnSpPr>
      <xdr:spPr>
        <a:xfrm>
          <a:off x="15733573" y="7921945"/>
          <a:ext cx="76665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7718</xdr:colOff>
      <xdr:row>46</xdr:row>
      <xdr:rowOff>49498</xdr:rowOff>
    </xdr:from>
    <xdr:to>
      <xdr:col>127</xdr:col>
      <xdr:colOff>1815</xdr:colOff>
      <xdr:row>47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70431E6-676B-45FD-B947-50DC8861095B}"/>
            </a:ext>
          </a:extLst>
        </xdr:cNvPr>
        <xdr:cNvSpPr txBox="1"/>
      </xdr:nvSpPr>
      <xdr:spPr>
        <a:xfrm>
          <a:off x="16193868" y="9980898"/>
          <a:ext cx="717997" cy="18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122</xdr:col>
      <xdr:colOff>96514</xdr:colOff>
      <xdr:row>47</xdr:row>
      <xdr:rowOff>95931</xdr:rowOff>
    </xdr:from>
    <xdr:to>
      <xdr:col>128</xdr:col>
      <xdr:colOff>112912</xdr:colOff>
      <xdr:row>48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B109F9C-364A-49A9-877D-91A31A0608FE}"/>
            </a:ext>
          </a:extLst>
        </xdr:cNvPr>
        <xdr:cNvSpPr txBox="1"/>
      </xdr:nvSpPr>
      <xdr:spPr>
        <a:xfrm>
          <a:off x="16403314" y="10243231"/>
          <a:ext cx="740298" cy="193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2</xdr:col>
      <xdr:colOff>43178</xdr:colOff>
      <xdr:row>94</xdr:row>
      <xdr:rowOff>209548</xdr:rowOff>
    </xdr:from>
    <xdr:to>
      <xdr:col>52</xdr:col>
      <xdr:colOff>22678</xdr:colOff>
      <xdr:row>123</xdr:row>
      <xdr:rowOff>177800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95BB9E9-91C9-48D9-A0DD-3116D68AA2E2}"/>
            </a:ext>
          </a:extLst>
        </xdr:cNvPr>
        <xdr:cNvSpPr txBox="1"/>
      </xdr:nvSpPr>
      <xdr:spPr>
        <a:xfrm>
          <a:off x="1871978" y="20504148"/>
          <a:ext cx="6012000" cy="622935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109</xdr:col>
      <xdr:colOff>81915</xdr:colOff>
      <xdr:row>43</xdr:row>
      <xdr:rowOff>196215</xdr:rowOff>
    </xdr:from>
    <xdr:to>
      <xdr:col>131</xdr:col>
      <xdr:colOff>9841</xdr:colOff>
      <xdr:row>52</xdr:row>
      <xdr:rowOff>153473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F0C726C2-6105-4116-B4A1-FC29682017EE}"/>
            </a:ext>
          </a:extLst>
        </xdr:cNvPr>
        <xdr:cNvGrpSpPr/>
      </xdr:nvGrpSpPr>
      <xdr:grpSpPr>
        <a:xfrm>
          <a:off x="14877415" y="9380624"/>
          <a:ext cx="2594926" cy="1879576"/>
          <a:chOff x="15111977" y="7791994"/>
          <a:chExt cx="2582717" cy="1873861"/>
        </a:xfrm>
      </xdr:grpSpPr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15B7D72C-E72A-FE5F-3F56-23568EAAB09F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3B15F027-40C5-EA0B-A93C-E9C955F54C87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3D9ADF8F-2895-E6FD-B61D-5F4A939D50C9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F6A5A90-7D3B-5910-EDDD-B08C6B56E737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2E855EC-74DC-F81B-EDF5-9BE7887C4E48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119</xdr:col>
      <xdr:colOff>43870</xdr:colOff>
      <xdr:row>49</xdr:row>
      <xdr:rowOff>132406</xdr:rowOff>
    </xdr:from>
    <xdr:to>
      <xdr:col>136</xdr:col>
      <xdr:colOff>86236</xdr:colOff>
      <xdr:row>50</xdr:row>
      <xdr:rowOff>142530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221EBA61-5941-405A-9D52-69AC11D3C2D4}"/>
            </a:ext>
          </a:extLst>
        </xdr:cNvPr>
        <xdr:cNvGrpSpPr/>
      </xdr:nvGrpSpPr>
      <xdr:grpSpPr>
        <a:xfrm>
          <a:off x="16051643" y="10598361"/>
          <a:ext cx="2103229" cy="223714"/>
          <a:chOff x="15897170" y="8499892"/>
          <a:chExt cx="2098883" cy="225136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1777434F-AFB1-F49B-8CF3-74CEDA18875E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8A807E8F-1CAA-252E-D876-4492A270D1FC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114</xdr:col>
      <xdr:colOff>104318</xdr:colOff>
      <xdr:row>46</xdr:row>
      <xdr:rowOff>140020</xdr:rowOff>
    </xdr:from>
    <xdr:to>
      <xdr:col>121</xdr:col>
      <xdr:colOff>17531</xdr:colOff>
      <xdr:row>46</xdr:row>
      <xdr:rowOff>140020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D269E805-3715-4213-9120-143D906A6187}"/>
            </a:ext>
          </a:extLst>
        </xdr:cNvPr>
        <xdr:cNvCxnSpPr/>
      </xdr:nvCxnSpPr>
      <xdr:spPr>
        <a:xfrm>
          <a:off x="15445918" y="10071420"/>
          <a:ext cx="7577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83363</xdr:colOff>
      <xdr:row>47</xdr:row>
      <xdr:rowOff>202885</xdr:rowOff>
    </xdr:from>
    <xdr:to>
      <xdr:col>122</xdr:col>
      <xdr:colOff>116591</xdr:colOff>
      <xdr:row>47</xdr:row>
      <xdr:rowOff>202885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2AB0C2FC-2EDE-4C8C-8547-05D7410DCAE5}"/>
            </a:ext>
          </a:extLst>
        </xdr:cNvPr>
        <xdr:cNvCxnSpPr/>
      </xdr:nvCxnSpPr>
      <xdr:spPr>
        <a:xfrm>
          <a:off x="15666263" y="10350185"/>
          <a:ext cx="75712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26213</xdr:colOff>
      <xdr:row>49</xdr:row>
      <xdr:rowOff>27625</xdr:rowOff>
    </xdr:from>
    <xdr:to>
      <xdr:col>124</xdr:col>
      <xdr:colOff>63251</xdr:colOff>
      <xdr:row>49</xdr:row>
      <xdr:rowOff>27625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7170432C-12D2-429A-B384-41B742C65573}"/>
            </a:ext>
          </a:extLst>
        </xdr:cNvPr>
        <xdr:cNvCxnSpPr/>
      </xdr:nvCxnSpPr>
      <xdr:spPr>
        <a:xfrm>
          <a:off x="15850413" y="10606725"/>
          <a:ext cx="76093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122078</xdr:colOff>
      <xdr:row>45</xdr:row>
      <xdr:rowOff>162890</xdr:rowOff>
    </xdr:from>
    <xdr:to>
      <xdr:col>120</xdr:col>
      <xdr:colOff>41006</xdr:colOff>
      <xdr:row>45</xdr:row>
      <xdr:rowOff>162890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437962A3-E188-4369-8AF1-07A26547BF99}"/>
            </a:ext>
          </a:extLst>
        </xdr:cNvPr>
        <xdr:cNvCxnSpPr/>
      </xdr:nvCxnSpPr>
      <xdr:spPr>
        <a:xfrm>
          <a:off x="15343028" y="9878390"/>
          <a:ext cx="763478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45818</xdr:colOff>
      <xdr:row>56</xdr:row>
      <xdr:rowOff>190468</xdr:rowOff>
    </xdr:from>
    <xdr:to>
      <xdr:col>138</xdr:col>
      <xdr:colOff>41820</xdr:colOff>
      <xdr:row>57</xdr:row>
      <xdr:rowOff>159097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D03BC495-290E-418C-9696-253F241BAE9E}"/>
            </a:ext>
          </a:extLst>
        </xdr:cNvPr>
        <xdr:cNvSpPr txBox="1"/>
      </xdr:nvSpPr>
      <xdr:spPr>
        <a:xfrm>
          <a:off x="17559118" y="12280868"/>
          <a:ext cx="719902" cy="1845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133</xdr:col>
      <xdr:colOff>45079</xdr:colOff>
      <xdr:row>58</xdr:row>
      <xdr:rowOff>107361</xdr:rowOff>
    </xdr:from>
    <xdr:to>
      <xdr:col>139</xdr:col>
      <xdr:colOff>72907</xdr:colOff>
      <xdr:row>59</xdr:row>
      <xdr:rowOff>92397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C5892070-8E60-46B7-8CD8-7FCB7CD0B41F}"/>
            </a:ext>
          </a:extLst>
        </xdr:cNvPr>
        <xdr:cNvSpPr txBox="1"/>
      </xdr:nvSpPr>
      <xdr:spPr>
        <a:xfrm>
          <a:off x="17679029" y="12629561"/>
          <a:ext cx="75172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110</xdr:col>
      <xdr:colOff>55245</xdr:colOff>
      <xdr:row>55</xdr:row>
      <xdr:rowOff>192405</xdr:rowOff>
    </xdr:from>
    <xdr:to>
      <xdr:col>131</xdr:col>
      <xdr:colOff>106996</xdr:colOff>
      <xdr:row>64</xdr:row>
      <xdr:rowOff>145853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51AE5CA3-6375-4973-990C-AA7255FCC39F}"/>
            </a:ext>
          </a:extLst>
        </xdr:cNvPr>
        <xdr:cNvGrpSpPr/>
      </xdr:nvGrpSpPr>
      <xdr:grpSpPr>
        <a:xfrm>
          <a:off x="14971972" y="11939905"/>
          <a:ext cx="2597524" cy="1875766"/>
          <a:chOff x="15111977" y="7791994"/>
          <a:chExt cx="2582717" cy="1873861"/>
        </a:xfrm>
      </xdr:grpSpPr>
      <xdr:cxnSp macro="">
        <xdr:nvCxnSpPr>
          <xdr:cNvPr id="77" name="직선 연결선 76">
            <a:extLst>
              <a:ext uri="{FF2B5EF4-FFF2-40B4-BE49-F238E27FC236}">
                <a16:creationId xmlns:a16="http://schemas.microsoft.com/office/drawing/2014/main" id="{936569D8-4D68-34FC-865B-25EFB54B6D46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직선 연결선 77">
            <a:extLst>
              <a:ext uri="{FF2B5EF4-FFF2-40B4-BE49-F238E27FC236}">
                <a16:creationId xmlns:a16="http://schemas.microsoft.com/office/drawing/2014/main" id="{A758212D-1772-13C8-3D24-68E805CC2601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직선 연결선 78">
            <a:extLst>
              <a:ext uri="{FF2B5EF4-FFF2-40B4-BE49-F238E27FC236}">
                <a16:creationId xmlns:a16="http://schemas.microsoft.com/office/drawing/2014/main" id="{D6E6E769-7A3A-3CB5-DFA5-869F24AB0D9C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120D6BED-F6C6-329B-E60E-8D89C104E4DE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E02226C-4B19-44E1-13C5-94E3506CAA9E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117</xdr:col>
      <xdr:colOff>49585</xdr:colOff>
      <xdr:row>59</xdr:row>
      <xdr:rowOff>98116</xdr:rowOff>
    </xdr:from>
    <xdr:to>
      <xdr:col>134</xdr:col>
      <xdr:colOff>84331</xdr:colOff>
      <xdr:row>60</xdr:row>
      <xdr:rowOff>106335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D9EDC5DE-4E05-4446-B672-DC6EB7E89A3D}"/>
            </a:ext>
          </a:extLst>
        </xdr:cNvPr>
        <xdr:cNvGrpSpPr/>
      </xdr:nvGrpSpPr>
      <xdr:grpSpPr>
        <a:xfrm>
          <a:off x="15814903" y="12699980"/>
          <a:ext cx="2095610" cy="221810"/>
          <a:chOff x="15897170" y="8499892"/>
          <a:chExt cx="2098883" cy="225136"/>
        </a:xfrm>
      </xdr:grpSpPr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C054F059-0124-54E8-38CD-D692AA4A35BD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84" name="직선 연결선 83">
            <a:extLst>
              <a:ext uri="{FF2B5EF4-FFF2-40B4-BE49-F238E27FC236}">
                <a16:creationId xmlns:a16="http://schemas.microsoft.com/office/drawing/2014/main" id="{571ACB5F-1B6F-4619-6666-CEE3CB934FD2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129</xdr:col>
      <xdr:colOff>18593</xdr:colOff>
      <xdr:row>57</xdr:row>
      <xdr:rowOff>88585</xdr:rowOff>
    </xdr:from>
    <xdr:to>
      <xdr:col>135</xdr:col>
      <xdr:colOff>65156</xdr:colOff>
      <xdr:row>57</xdr:row>
      <xdr:rowOff>88585</xdr:rowOff>
    </xdr:to>
    <xdr:cxnSp macro="">
      <xdr:nvCxnSpPr>
        <xdr:cNvPr id="85" name="직선 연결선 84">
          <a:extLst>
            <a:ext uri="{FF2B5EF4-FFF2-40B4-BE49-F238E27FC236}">
              <a16:creationId xmlns:a16="http://schemas.microsoft.com/office/drawing/2014/main" id="{9FCD5E35-030C-4AFD-8C1B-396DD3948417}"/>
            </a:ext>
          </a:extLst>
        </xdr:cNvPr>
        <xdr:cNvCxnSpPr/>
      </xdr:nvCxnSpPr>
      <xdr:spPr>
        <a:xfrm>
          <a:off x="17169943" y="12394885"/>
          <a:ext cx="7704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60503</xdr:colOff>
      <xdr:row>58</xdr:row>
      <xdr:rowOff>46675</xdr:rowOff>
    </xdr:from>
    <xdr:to>
      <xdr:col>121</xdr:col>
      <xdr:colOff>82301</xdr:colOff>
      <xdr:row>58</xdr:row>
      <xdr:rowOff>46675</xdr:rowOff>
    </xdr:to>
    <xdr:cxnSp macro="">
      <xdr:nvCxnSpPr>
        <xdr:cNvPr id="86" name="직선 연결선 85">
          <a:extLst>
            <a:ext uri="{FF2B5EF4-FFF2-40B4-BE49-F238E27FC236}">
              <a16:creationId xmlns:a16="http://schemas.microsoft.com/office/drawing/2014/main" id="{F9C57619-5505-4817-94C5-17A231DF1511}"/>
            </a:ext>
          </a:extLst>
        </xdr:cNvPr>
        <xdr:cNvCxnSpPr/>
      </xdr:nvCxnSpPr>
      <xdr:spPr>
        <a:xfrm>
          <a:off x="15522753" y="12568875"/>
          <a:ext cx="74569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87173</xdr:colOff>
      <xdr:row>59</xdr:row>
      <xdr:rowOff>27625</xdr:rowOff>
    </xdr:from>
    <xdr:to>
      <xdr:col>122</xdr:col>
      <xdr:colOff>122306</xdr:colOff>
      <xdr:row>59</xdr:row>
      <xdr:rowOff>27625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20A09CA9-2B8E-4B34-BC7F-292D5DAD6439}"/>
            </a:ext>
          </a:extLst>
        </xdr:cNvPr>
        <xdr:cNvCxnSpPr/>
      </xdr:nvCxnSpPr>
      <xdr:spPr>
        <a:xfrm>
          <a:off x="15670073" y="12765725"/>
          <a:ext cx="75903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57308</xdr:colOff>
      <xdr:row>57</xdr:row>
      <xdr:rowOff>122885</xdr:rowOff>
    </xdr:from>
    <xdr:to>
      <xdr:col>120</xdr:col>
      <xdr:colOff>96251</xdr:colOff>
      <xdr:row>57</xdr:row>
      <xdr:rowOff>122885</xdr:rowOff>
    </xdr:to>
    <xdr:cxnSp macro="">
      <xdr:nvCxnSpPr>
        <xdr:cNvPr id="88" name="직선 연결선 87">
          <a:extLst>
            <a:ext uri="{FF2B5EF4-FFF2-40B4-BE49-F238E27FC236}">
              <a16:creationId xmlns:a16="http://schemas.microsoft.com/office/drawing/2014/main" id="{061CDAC9-CB10-4A30-8481-5A162442463E}"/>
            </a:ext>
          </a:extLst>
        </xdr:cNvPr>
        <xdr:cNvCxnSpPr/>
      </xdr:nvCxnSpPr>
      <xdr:spPr>
        <a:xfrm>
          <a:off x="15398908" y="12429185"/>
          <a:ext cx="76284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26029</xdr:colOff>
      <xdr:row>48</xdr:row>
      <xdr:rowOff>158796</xdr:rowOff>
    </xdr:from>
    <xdr:to>
      <xdr:col>130</xdr:col>
      <xdr:colOff>50047</xdr:colOff>
      <xdr:row>49</xdr:row>
      <xdr:rowOff>143832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D234EBE-D228-4F65-8C0B-A7B910EBA06B}"/>
            </a:ext>
          </a:extLst>
        </xdr:cNvPr>
        <xdr:cNvSpPr txBox="1"/>
      </xdr:nvSpPr>
      <xdr:spPr>
        <a:xfrm>
          <a:off x="16574129" y="10521996"/>
          <a:ext cx="74791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63</xdr:row>
      <xdr:rowOff>188260</xdr:rowOff>
    </xdr:from>
    <xdr:to>
      <xdr:col>51</xdr:col>
      <xdr:colOff>64678</xdr:colOff>
      <xdr:row>68</xdr:row>
      <xdr:rowOff>74083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8BEAD7-A01C-4FDA-9415-4BB6A6983A95}"/>
            </a:ext>
          </a:extLst>
        </xdr:cNvPr>
        <xdr:cNvSpPr txBox="1"/>
      </xdr:nvSpPr>
      <xdr:spPr>
        <a:xfrm>
          <a:off x="727553" y="13856635"/>
          <a:ext cx="6084000" cy="97061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63</xdr:row>
      <xdr:rowOff>185525</xdr:rowOff>
    </xdr:from>
    <xdr:ext cx="6084000" cy="26719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AE5879-118A-4004-ACA6-BA251E3B02BD}"/>
            </a:ext>
          </a:extLst>
        </xdr:cNvPr>
        <xdr:cNvSpPr txBox="1"/>
      </xdr:nvSpPr>
      <xdr:spPr>
        <a:xfrm>
          <a:off x="6917147" y="13853900"/>
          <a:ext cx="6084000" cy="267197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oneCellAnchor>
  <xdr:twoCellAnchor>
    <xdr:from>
      <xdr:col>52</xdr:col>
      <xdr:colOff>53317</xdr:colOff>
      <xdr:row>76</xdr:row>
      <xdr:rowOff>122342</xdr:rowOff>
    </xdr:from>
    <xdr:to>
      <xdr:col>102</xdr:col>
      <xdr:colOff>51900</xdr:colOff>
      <xdr:row>88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D5C633-5980-4DEC-A9C3-C4C4A9D0159D}"/>
            </a:ext>
          </a:extLst>
        </xdr:cNvPr>
        <xdr:cNvSpPr txBox="1"/>
      </xdr:nvSpPr>
      <xdr:spPr>
        <a:xfrm>
          <a:off x="6921900" y="16611175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63</xdr:row>
      <xdr:rowOff>111122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B6787C-D857-4AAE-A50C-C9A5E4246147}"/>
            </a:ext>
          </a:extLst>
        </xdr:cNvPr>
        <xdr:cNvSpPr txBox="1"/>
      </xdr:nvSpPr>
      <xdr:spPr>
        <a:xfrm>
          <a:off x="6906516" y="227229"/>
          <a:ext cx="6084000" cy="135522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19</xdr:row>
      <xdr:rowOff>142084</xdr:rowOff>
    </xdr:from>
    <xdr:to>
      <xdr:col>51</xdr:col>
      <xdr:colOff>89004</xdr:colOff>
      <xdr:row>55</xdr:row>
      <xdr:rowOff>15875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4F6EA69-8179-4ED8-9D99-7278CB090177}"/>
            </a:ext>
          </a:extLst>
        </xdr:cNvPr>
        <xdr:cNvSpPr txBox="1"/>
      </xdr:nvSpPr>
      <xdr:spPr>
        <a:xfrm>
          <a:off x="751879" y="4264292"/>
          <a:ext cx="6084000" cy="768429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82718</xdr:colOff>
      <xdr:row>76</xdr:row>
      <xdr:rowOff>96440</xdr:rowOff>
    </xdr:from>
    <xdr:to>
      <xdr:col>51</xdr:col>
      <xdr:colOff>81301</xdr:colOff>
      <xdr:row>88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764127-93E2-4BC0-9F79-0F0F079BE914}"/>
            </a:ext>
          </a:extLst>
        </xdr:cNvPr>
        <xdr:cNvSpPr txBox="1"/>
      </xdr:nvSpPr>
      <xdr:spPr>
        <a:xfrm>
          <a:off x="744176" y="16585273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0">
              <a:solidFill>
                <a:schemeClr val="tx1"/>
              </a:solidFill>
              <a:effectLst/>
              <a:latin typeface="+mn-ea"/>
              <a:ea typeface="+mn-ea"/>
            </a:rPr>
            <a:t>3. dac_thermal_off / int_thermal_source : ld_type==00</a:t>
          </a:r>
          <a:r>
            <a:rPr lang="en-US" altLang="ko-KR" b="0" baseline="0">
              <a:solidFill>
                <a:schemeClr val="tx1"/>
              </a:solidFill>
              <a:effectLst/>
              <a:latin typeface="+mn-ea"/>
              <a:ea typeface="+mn-ea"/>
            </a:rPr>
            <a:t> valid</a:t>
          </a: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83781</xdr:colOff>
      <xdr:row>55</xdr:row>
      <xdr:rowOff>74084</xdr:rowOff>
    </xdr:from>
    <xdr:to>
      <xdr:col>51</xdr:col>
      <xdr:colOff>82364</xdr:colOff>
      <xdr:row>63</xdr:row>
      <xdr:rowOff>98114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1B33F4-2076-4FAC-B412-B57D0C7297B8}"/>
            </a:ext>
          </a:extLst>
        </xdr:cNvPr>
        <xdr:cNvSpPr txBox="1"/>
      </xdr:nvSpPr>
      <xdr:spPr>
        <a:xfrm>
          <a:off x="745239" y="12006792"/>
          <a:ext cx="6084000" cy="1759697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19</xdr:row>
      <xdr:rowOff>86591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D45E5AB-5D91-486E-8FB0-B2F93827E128}"/>
            </a:ext>
          </a:extLst>
        </xdr:cNvPr>
        <xdr:cNvSpPr txBox="1"/>
      </xdr:nvSpPr>
      <xdr:spPr>
        <a:xfrm>
          <a:off x="753821" y="234391"/>
          <a:ext cx="6084000" cy="397440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64671</xdr:colOff>
      <xdr:row>68</xdr:row>
      <xdr:rowOff>114003</xdr:rowOff>
    </xdr:from>
    <xdr:to>
      <xdr:col>51</xdr:col>
      <xdr:colOff>63254</xdr:colOff>
      <xdr:row>76</xdr:row>
      <xdr:rowOff>26459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A5F7B7B-1A55-4B8F-A01C-DE30A401D12A}"/>
            </a:ext>
          </a:extLst>
        </xdr:cNvPr>
        <xdr:cNvSpPr txBox="1"/>
      </xdr:nvSpPr>
      <xdr:spPr>
        <a:xfrm>
          <a:off x="726129" y="14867170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110</xdr:col>
      <xdr:colOff>34366</xdr:colOff>
      <xdr:row>34</xdr:row>
      <xdr:rowOff>42454</xdr:rowOff>
    </xdr:from>
    <xdr:to>
      <xdr:col>121</xdr:col>
      <xdr:colOff>101813</xdr:colOff>
      <xdr:row>35</xdr:row>
      <xdr:rowOff>56387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CBBDDCE-5158-9963-B759-CE22AC72C80C}"/>
            </a:ext>
          </a:extLst>
        </xdr:cNvPr>
        <xdr:cNvSpPr txBox="1"/>
      </xdr:nvSpPr>
      <xdr:spPr>
        <a:xfrm>
          <a:off x="13962033" y="7419037"/>
          <a:ext cx="1406238" cy="2308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prev_tgt_dac = 2500</a:t>
          </a:r>
        </a:p>
      </xdr:txBody>
    </xdr:sp>
    <xdr:clientData/>
  </xdr:twoCellAnchor>
  <xdr:twoCellAnchor>
    <xdr:from>
      <xdr:col>120</xdr:col>
      <xdr:colOff>7718</xdr:colOff>
      <xdr:row>26</xdr:row>
      <xdr:rowOff>49498</xdr:rowOff>
    </xdr:from>
    <xdr:to>
      <xdr:col>126</xdr:col>
      <xdr:colOff>1815</xdr:colOff>
      <xdr:row>27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95886B0-B5D2-4BA5-8A3B-6CDB5C2E41AF}"/>
            </a:ext>
          </a:extLst>
        </xdr:cNvPr>
        <xdr:cNvSpPr txBox="1"/>
      </xdr:nvSpPr>
      <xdr:spPr>
        <a:xfrm>
          <a:off x="16193868" y="9980898"/>
          <a:ext cx="717997" cy="18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121</xdr:col>
      <xdr:colOff>96514</xdr:colOff>
      <xdr:row>27</xdr:row>
      <xdr:rowOff>95931</xdr:rowOff>
    </xdr:from>
    <xdr:to>
      <xdr:col>127</xdr:col>
      <xdr:colOff>112912</xdr:colOff>
      <xdr:row>28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D56F9-83A4-462C-A490-273AD41D291B}"/>
            </a:ext>
          </a:extLst>
        </xdr:cNvPr>
        <xdr:cNvSpPr txBox="1"/>
      </xdr:nvSpPr>
      <xdr:spPr>
        <a:xfrm>
          <a:off x="16403314" y="10243231"/>
          <a:ext cx="740298" cy="193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52</xdr:col>
      <xdr:colOff>59535</xdr:colOff>
      <xdr:row>88</xdr:row>
      <xdr:rowOff>67635</xdr:rowOff>
    </xdr:from>
    <xdr:to>
      <xdr:col>102</xdr:col>
      <xdr:colOff>58118</xdr:colOff>
      <xdr:row>117</xdr:row>
      <xdr:rowOff>32520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9724EC-3A0D-408C-8BD5-9283422626D7}"/>
            </a:ext>
          </a:extLst>
        </xdr:cNvPr>
        <xdr:cNvSpPr txBox="1"/>
      </xdr:nvSpPr>
      <xdr:spPr>
        <a:xfrm>
          <a:off x="6928118" y="19159968"/>
          <a:ext cx="6084000" cy="625667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108</xdr:col>
      <xdr:colOff>81915</xdr:colOff>
      <xdr:row>23</xdr:row>
      <xdr:rowOff>196215</xdr:rowOff>
    </xdr:from>
    <xdr:to>
      <xdr:col>130</xdr:col>
      <xdr:colOff>9841</xdr:colOff>
      <xdr:row>32</xdr:row>
      <xdr:rowOff>153473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09C96E08-6A38-45BE-B409-6AFCD4101A8D}"/>
            </a:ext>
          </a:extLst>
        </xdr:cNvPr>
        <xdr:cNvGrpSpPr/>
      </xdr:nvGrpSpPr>
      <xdr:grpSpPr>
        <a:xfrm>
          <a:off x="13651865" y="5161915"/>
          <a:ext cx="2582226" cy="1900358"/>
          <a:chOff x="15111977" y="7791994"/>
          <a:chExt cx="2582717" cy="1873861"/>
        </a:xfrm>
      </xdr:grpSpPr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32DA51CC-B2E1-763D-5D20-64BCB1F1C0F5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5D889031-8BC4-19AC-6F37-F6F29AF3DE8F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4894E7F9-53BF-E3FC-CA8C-1E000772EFE7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2904EB28-33DE-CE2C-246F-E972BF91D120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AD2BC5D-D333-16B8-F522-6C65B07A40C8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118</xdr:col>
      <xdr:colOff>43870</xdr:colOff>
      <xdr:row>29</xdr:row>
      <xdr:rowOff>132406</xdr:rowOff>
    </xdr:from>
    <xdr:to>
      <xdr:col>135</xdr:col>
      <xdr:colOff>86236</xdr:colOff>
      <xdr:row>30</xdr:row>
      <xdr:rowOff>142530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8498B6D7-8C8B-4669-BF10-9CB4BEF75618}"/>
            </a:ext>
          </a:extLst>
        </xdr:cNvPr>
        <xdr:cNvGrpSpPr/>
      </xdr:nvGrpSpPr>
      <xdr:grpSpPr>
        <a:xfrm>
          <a:off x="14820320" y="6393506"/>
          <a:ext cx="2093416" cy="226024"/>
          <a:chOff x="15897170" y="8499892"/>
          <a:chExt cx="2098883" cy="225136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80FD0CB6-DB5A-2537-DB7C-52E5544099F6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B7BD93FB-5254-5D0B-2216-6C928AC8EC43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113</xdr:col>
      <xdr:colOff>104318</xdr:colOff>
      <xdr:row>26</xdr:row>
      <xdr:rowOff>140020</xdr:rowOff>
    </xdr:from>
    <xdr:to>
      <xdr:col>120</xdr:col>
      <xdr:colOff>17531</xdr:colOff>
      <xdr:row>26</xdr:row>
      <xdr:rowOff>140020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D2C5B2CD-10A3-490B-A7A8-5FE96060386B}"/>
            </a:ext>
          </a:extLst>
        </xdr:cNvPr>
        <xdr:cNvCxnSpPr/>
      </xdr:nvCxnSpPr>
      <xdr:spPr>
        <a:xfrm>
          <a:off x="15445918" y="10071420"/>
          <a:ext cx="7577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83363</xdr:colOff>
      <xdr:row>27</xdr:row>
      <xdr:rowOff>202885</xdr:rowOff>
    </xdr:from>
    <xdr:to>
      <xdr:col>121</xdr:col>
      <xdr:colOff>116591</xdr:colOff>
      <xdr:row>27</xdr:row>
      <xdr:rowOff>202885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8F3071B7-3061-4520-9FD2-FA955AF640E7}"/>
            </a:ext>
          </a:extLst>
        </xdr:cNvPr>
        <xdr:cNvCxnSpPr/>
      </xdr:nvCxnSpPr>
      <xdr:spPr>
        <a:xfrm>
          <a:off x="15666263" y="10350185"/>
          <a:ext cx="75712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26213</xdr:colOff>
      <xdr:row>29</xdr:row>
      <xdr:rowOff>27625</xdr:rowOff>
    </xdr:from>
    <xdr:to>
      <xdr:col>123</xdr:col>
      <xdr:colOff>63251</xdr:colOff>
      <xdr:row>29</xdr:row>
      <xdr:rowOff>27625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87BBEE83-8DB8-4AEE-9982-7D5652374C2E}"/>
            </a:ext>
          </a:extLst>
        </xdr:cNvPr>
        <xdr:cNvCxnSpPr/>
      </xdr:nvCxnSpPr>
      <xdr:spPr>
        <a:xfrm>
          <a:off x="15850413" y="10606725"/>
          <a:ext cx="76093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5660</xdr:colOff>
      <xdr:row>26</xdr:row>
      <xdr:rowOff>9431</xdr:rowOff>
    </xdr:from>
    <xdr:to>
      <xdr:col>119</xdr:col>
      <xdr:colOff>46297</xdr:colOff>
      <xdr:row>26</xdr:row>
      <xdr:rowOff>9431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E0535D38-28AC-411D-B9ED-F4D267E430E7}"/>
            </a:ext>
          </a:extLst>
        </xdr:cNvPr>
        <xdr:cNvCxnSpPr/>
      </xdr:nvCxnSpPr>
      <xdr:spPr>
        <a:xfrm>
          <a:off x="14298452" y="5650348"/>
          <a:ext cx="770887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26029</xdr:colOff>
      <xdr:row>28</xdr:row>
      <xdr:rowOff>158796</xdr:rowOff>
    </xdr:from>
    <xdr:to>
      <xdr:col>129</xdr:col>
      <xdr:colOff>50047</xdr:colOff>
      <xdr:row>29</xdr:row>
      <xdr:rowOff>143832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A6CD7A7-40DA-4B0B-B704-5299121C536F}"/>
            </a:ext>
          </a:extLst>
        </xdr:cNvPr>
        <xdr:cNvSpPr txBox="1"/>
      </xdr:nvSpPr>
      <xdr:spPr>
        <a:xfrm>
          <a:off x="16574129" y="10521996"/>
          <a:ext cx="74791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  <xdr:twoCellAnchor>
    <xdr:from>
      <xdr:col>1</xdr:col>
      <xdr:colOff>99484</xdr:colOff>
      <xdr:row>84</xdr:row>
      <xdr:rowOff>148697</xdr:rowOff>
    </xdr:from>
    <xdr:to>
      <xdr:col>40</xdr:col>
      <xdr:colOff>0</xdr:colOff>
      <xdr:row>86</xdr:row>
      <xdr:rowOff>137055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19884804-CB38-E947-2661-8D499D385EE9}"/>
            </a:ext>
          </a:extLst>
        </xdr:cNvPr>
        <xdr:cNvSpPr/>
      </xdr:nvSpPr>
      <xdr:spPr>
        <a:xfrm>
          <a:off x="758297" y="18817697"/>
          <a:ext cx="4853516" cy="432858"/>
        </a:xfrm>
        <a:prstGeom prst="rect">
          <a:avLst/>
        </a:prstGeom>
        <a:solidFill>
          <a:srgbClr val="FFFF00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92</xdr:col>
      <xdr:colOff>0</xdr:colOff>
      <xdr:row>36</xdr:row>
      <xdr:rowOff>21167</xdr:rowOff>
    </xdr:from>
    <xdr:ext cx="4385431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EB9D72-3591-487A-A712-5FA9AF44BBCE}"/>
            </a:ext>
          </a:extLst>
        </xdr:cNvPr>
        <xdr:cNvSpPr txBox="1"/>
      </xdr:nvSpPr>
      <xdr:spPr>
        <a:xfrm>
          <a:off x="11736917" y="7831667"/>
          <a:ext cx="4385431" cy="58015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* dac_auto=1</a:t>
          </a:r>
          <a:r>
            <a:rPr lang="en-US" altLang="ko-KR" sz="1100" baseline="0"/>
            <a:t> </a:t>
          </a:r>
          <a:r>
            <a:rPr lang="ko-KR" altLang="en-US" sz="1100" baseline="0"/>
            <a:t>에서 </a:t>
          </a:r>
          <a:r>
            <a:rPr lang="en-US" altLang="ko-KR" sz="1100" baseline="0"/>
            <a:t>FB</a:t>
          </a:r>
          <a:r>
            <a:rPr lang="ko-KR" altLang="en-US" sz="1100" baseline="0"/>
            <a:t>로만 제어할려면</a:t>
          </a:r>
          <a:r>
            <a:rPr lang="en-US" altLang="ko-KR" sz="1100" baseline="0"/>
            <a:t>,</a:t>
          </a:r>
        </a:p>
        <a:p>
          <a:r>
            <a:rPr lang="en-US" altLang="ko-KR" sz="1100" baseline="0"/>
            <a:t>    dac_inc1 = dac_inc2 = dac_inc3 = dac_inc4 </a:t>
          </a:r>
          <a:r>
            <a:rPr lang="ko-KR" altLang="en-US" sz="1100" baseline="0"/>
            <a:t>모두 같은 값으로 설정 필요</a:t>
          </a:r>
          <a:endParaRPr lang="ko-KR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71967</xdr:colOff>
      <xdr:row>21</xdr:row>
      <xdr:rowOff>11241</xdr:rowOff>
    </xdr:from>
    <xdr:ext cx="2620141" cy="2439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5B2B3A-6830-8F97-E4A4-5D4C99AC9252}"/>
            </a:ext>
          </a:extLst>
        </xdr:cNvPr>
        <xdr:cNvSpPr txBox="1"/>
      </xdr:nvSpPr>
      <xdr:spPr>
        <a:xfrm>
          <a:off x="3463925" y="3900616"/>
          <a:ext cx="2620141" cy="243913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1</a:t>
          </a:r>
          <a:r>
            <a:rPr lang="en-US" altLang="ko-KR" sz="1100">
              <a:solidFill>
                <a:schemeClr val="tx1"/>
              </a:solidFill>
              <a:latin typeface="+mn-lt"/>
            </a:rPr>
            <a:t>hz</a:t>
          </a:r>
          <a:r>
            <a:rPr lang="en-US" altLang="ko-KR" sz="1100" baseline="0">
              <a:solidFill>
                <a:schemeClr val="tx1"/>
              </a:solidFill>
              <a:latin typeface="+mn-lt"/>
            </a:rPr>
            <a:t> step variation : 2hz </a:t>
          </a:r>
          <a:r>
            <a:rPr lang="ko-KR" altLang="en-US" sz="1100" baseline="0">
              <a:solidFill>
                <a:schemeClr val="tx1"/>
              </a:solidFill>
              <a:latin typeface="+mn-lt"/>
            </a:rPr>
            <a:t>대비 약간 안좋아짐</a:t>
          </a:r>
          <a:endParaRPr lang="ko-KR" altLang="en-US" sz="11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20107</xdr:colOff>
      <xdr:row>60</xdr:row>
      <xdr:rowOff>16767</xdr:rowOff>
    </xdr:from>
    <xdr:ext cx="4345518" cy="88690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2316D11-DE05-4518-9A13-8E57957915AA}"/>
            </a:ext>
          </a:extLst>
        </xdr:cNvPr>
        <xdr:cNvSpPr txBox="1"/>
      </xdr:nvSpPr>
      <xdr:spPr>
        <a:xfrm>
          <a:off x="3412065" y="11129267"/>
          <a:ext cx="4345518" cy="886909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1. pwmclk_period : r/g/b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모두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mround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로 계산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2. pwmclk_period : rgb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deviation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이 최소화되도록 조금씩 가변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     (target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대비 변경된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 current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에 반영하면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값에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meet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됨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)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3. hz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는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 or 4hz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단위로 변경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32</xdr:col>
      <xdr:colOff>0</xdr:colOff>
      <xdr:row>52</xdr:row>
      <xdr:rowOff>15875</xdr:rowOff>
    </xdr:from>
    <xdr:to>
      <xdr:col>40</xdr:col>
      <xdr:colOff>105833</xdr:colOff>
      <xdr:row>54</xdr:row>
      <xdr:rowOff>164041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7F7412-CB87-C281-BF12-C99FD9062E6D}"/>
            </a:ext>
          </a:extLst>
        </xdr:cNvPr>
        <xdr:cNvSpPr/>
      </xdr:nvSpPr>
      <xdr:spPr>
        <a:xfrm>
          <a:off x="21066125" y="9646708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5292</xdr:colOff>
      <xdr:row>55</xdr:row>
      <xdr:rowOff>25400</xdr:rowOff>
    </xdr:from>
    <xdr:to>
      <xdr:col>40</xdr:col>
      <xdr:colOff>105833</xdr:colOff>
      <xdr:row>57</xdr:row>
      <xdr:rowOff>173566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282C13E-790A-4185-97C5-F0B2BB3BC276}"/>
            </a:ext>
          </a:extLst>
        </xdr:cNvPr>
        <xdr:cNvSpPr/>
      </xdr:nvSpPr>
      <xdr:spPr>
        <a:xfrm>
          <a:off x="21071417" y="10211858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633942</xdr:colOff>
      <xdr:row>50</xdr:row>
      <xdr:rowOff>0</xdr:rowOff>
    </xdr:from>
    <xdr:to>
      <xdr:col>40</xdr:col>
      <xdr:colOff>99483</xdr:colOff>
      <xdr:row>51</xdr:row>
      <xdr:rowOff>4232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81ACA9B-EDA0-4ED8-88D0-3484EACBBA7B}"/>
            </a:ext>
          </a:extLst>
        </xdr:cNvPr>
        <xdr:cNvSpPr/>
      </xdr:nvSpPr>
      <xdr:spPr>
        <a:xfrm>
          <a:off x="21059775" y="926041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8467</xdr:colOff>
      <xdr:row>37</xdr:row>
      <xdr:rowOff>178859</xdr:rowOff>
    </xdr:from>
    <xdr:to>
      <xdr:col>40</xdr:col>
      <xdr:colOff>114300</xdr:colOff>
      <xdr:row>38</xdr:row>
      <xdr:rowOff>183090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4E437584-02F6-47B4-BA16-52429C3BAE3E}"/>
            </a:ext>
          </a:extLst>
        </xdr:cNvPr>
        <xdr:cNvSpPr/>
      </xdr:nvSpPr>
      <xdr:spPr>
        <a:xfrm>
          <a:off x="21074592" y="703156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41</xdr:row>
      <xdr:rowOff>13757</xdr:rowOff>
    </xdr:from>
    <xdr:to>
      <xdr:col>40</xdr:col>
      <xdr:colOff>118533</xdr:colOff>
      <xdr:row>42</xdr:row>
      <xdr:rowOff>179916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EB9C454-1481-4CE4-859F-0B9B49F98061}"/>
            </a:ext>
          </a:extLst>
        </xdr:cNvPr>
        <xdr:cNvSpPr/>
      </xdr:nvSpPr>
      <xdr:spPr>
        <a:xfrm>
          <a:off x="21078825" y="7607299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93</xdr:row>
      <xdr:rowOff>14816</xdr:rowOff>
    </xdr:from>
    <xdr:to>
      <xdr:col>40</xdr:col>
      <xdr:colOff>110066</xdr:colOff>
      <xdr:row>95</xdr:row>
      <xdr:rowOff>162983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104BF1E-8C54-46AA-A58C-BF86732C6538}"/>
            </a:ext>
          </a:extLst>
        </xdr:cNvPr>
        <xdr:cNvSpPr/>
      </xdr:nvSpPr>
      <xdr:spPr>
        <a:xfrm>
          <a:off x="21070358" y="17053983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9525</xdr:colOff>
      <xdr:row>96</xdr:row>
      <xdr:rowOff>24341</xdr:rowOff>
    </xdr:from>
    <xdr:to>
      <xdr:col>40</xdr:col>
      <xdr:colOff>110066</xdr:colOff>
      <xdr:row>98</xdr:row>
      <xdr:rowOff>172508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1AD2D7F-5DBA-4DBE-8D97-1E22BA7954C6}"/>
            </a:ext>
          </a:extLst>
        </xdr:cNvPr>
        <xdr:cNvSpPr/>
      </xdr:nvSpPr>
      <xdr:spPr>
        <a:xfrm>
          <a:off x="21075650" y="17619133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638175</xdr:colOff>
      <xdr:row>90</xdr:row>
      <xdr:rowOff>184150</xdr:rowOff>
    </xdr:from>
    <xdr:to>
      <xdr:col>40</xdr:col>
      <xdr:colOff>103716</xdr:colOff>
      <xdr:row>92</xdr:row>
      <xdr:rowOff>3174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F2A7DBA-CC3C-46AB-8EA4-6F33F3F8D166}"/>
            </a:ext>
          </a:extLst>
        </xdr:cNvPr>
        <xdr:cNvSpPr/>
      </xdr:nvSpPr>
      <xdr:spPr>
        <a:xfrm>
          <a:off x="21064008" y="1666769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78</xdr:row>
      <xdr:rowOff>177800</xdr:rowOff>
    </xdr:from>
    <xdr:to>
      <xdr:col>40</xdr:col>
      <xdr:colOff>118533</xdr:colOff>
      <xdr:row>79</xdr:row>
      <xdr:rowOff>182032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BB41F1E-9164-4D90-BC2F-D2BEB70A2F62}"/>
            </a:ext>
          </a:extLst>
        </xdr:cNvPr>
        <xdr:cNvSpPr/>
      </xdr:nvSpPr>
      <xdr:spPr>
        <a:xfrm>
          <a:off x="21078825" y="1443884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16933</xdr:colOff>
      <xdr:row>82</xdr:row>
      <xdr:rowOff>12699</xdr:rowOff>
    </xdr:from>
    <xdr:to>
      <xdr:col>40</xdr:col>
      <xdr:colOff>122766</xdr:colOff>
      <xdr:row>83</xdr:row>
      <xdr:rowOff>178858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05E8AFE-2F40-45D5-992C-6812AD754844}"/>
            </a:ext>
          </a:extLst>
        </xdr:cNvPr>
        <xdr:cNvSpPr/>
      </xdr:nvSpPr>
      <xdr:spPr>
        <a:xfrm>
          <a:off x="21083058" y="15014574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58</xdr:row>
      <xdr:rowOff>156634</xdr:rowOff>
    </xdr:from>
    <xdr:to>
      <xdr:col>40</xdr:col>
      <xdr:colOff>104774</xdr:colOff>
      <xdr:row>64</xdr:row>
      <xdr:rowOff>148167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47ED134-5CCC-4973-9B1A-0A994195BA8F}"/>
            </a:ext>
          </a:extLst>
        </xdr:cNvPr>
        <xdr:cNvSpPr/>
      </xdr:nvSpPr>
      <xdr:spPr>
        <a:xfrm>
          <a:off x="21070358" y="10898717"/>
          <a:ext cx="4915958" cy="917575"/>
        </a:xfrm>
        <a:prstGeom prst="rect">
          <a:avLst/>
        </a:prstGeom>
        <a:solidFill>
          <a:srgbClr val="FFFFE5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 b="0">
              <a:solidFill>
                <a:srgbClr val="FF00FF"/>
              </a:solidFill>
              <a:latin typeface="+mn-lt"/>
            </a:rPr>
            <a:t>주파수 변동 구간 </a:t>
          </a:r>
          <a:r>
            <a:rPr lang="en-US" altLang="ko-KR" sz="1000" b="0">
              <a:solidFill>
                <a:srgbClr val="FF00FF"/>
              </a:solidFill>
              <a:latin typeface="+mn-lt"/>
            </a:rPr>
            <a:t>: </a:t>
          </a:r>
          <a:endParaRPr lang="en-US" altLang="ko-KR" sz="1000" b="0" baseline="0">
            <a:solidFill>
              <a:srgbClr val="FF00FF"/>
            </a:solidFill>
            <a:latin typeface="+mn-lt"/>
          </a:endParaRP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1. mclk max positionning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2. FLL off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3. frame period &amp; pwmclk_div </a:t>
          </a:r>
          <a:r>
            <a:rPr lang="ko-KR" altLang="en-US" sz="1000" b="0" baseline="0">
              <a:solidFill>
                <a:srgbClr val="FF00FF"/>
              </a:solidFill>
              <a:latin typeface="+mn-lt"/>
            </a:rPr>
            <a:t>를 매 프레임별 순차적으로 변동</a:t>
          </a:r>
          <a:endParaRPr lang="ko-KR" altLang="en-US" sz="1000" b="1">
            <a:solidFill>
              <a:srgbClr val="FF00FF"/>
            </a:solidFill>
            <a:latin typeface="+mn-lt"/>
          </a:endParaRPr>
        </a:p>
      </xdr:txBody>
    </xdr:sp>
    <xdr:clientData/>
  </xdr:twoCellAnchor>
  <xdr:twoCellAnchor>
    <xdr:from>
      <xdr:col>16</xdr:col>
      <xdr:colOff>63500</xdr:colOff>
      <xdr:row>1</xdr:row>
      <xdr:rowOff>0</xdr:rowOff>
    </xdr:from>
    <xdr:to>
      <xdr:col>18</xdr:col>
      <xdr:colOff>475343</xdr:colOff>
      <xdr:row>7</xdr:row>
      <xdr:rowOff>171059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29A5D46-21B4-413A-A2D5-31CE1683B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8708" y="185208"/>
          <a:ext cx="1681843" cy="12823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444500</xdr:colOff>
      <xdr:row>20</xdr:row>
      <xdr:rowOff>107870</xdr:rowOff>
    </xdr:from>
    <xdr:ext cx="4205254" cy="88690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5C9294-79E0-444B-AB59-5B573EF234EF}"/>
            </a:ext>
          </a:extLst>
        </xdr:cNvPr>
        <xdr:cNvSpPr txBox="1"/>
      </xdr:nvSpPr>
      <xdr:spPr>
        <a:xfrm>
          <a:off x="5196417" y="3812037"/>
          <a:ext cx="4205254" cy="886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1. pwmclk_period : r/g/b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모두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mround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로 계산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2. pwmclk_period : rgb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deviation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이 최소화되도록 조금씩 가변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     (target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대비 변경된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 current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에 반영하면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값에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meet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됨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)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3. hz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는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 or 4hz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단위로 변경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391584</xdr:colOff>
      <xdr:row>4</xdr:row>
      <xdr:rowOff>100540</xdr:rowOff>
    </xdr:from>
    <xdr:ext cx="7656711" cy="889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220BBB-3257-4D80-BD75-60A45CC73B94}"/>
            </a:ext>
          </a:extLst>
        </xdr:cNvPr>
        <xdr:cNvSpPr txBox="1"/>
      </xdr:nvSpPr>
      <xdr:spPr>
        <a:xfrm>
          <a:off x="5458884" y="837140"/>
          <a:ext cx="7656711" cy="8890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100">
              <a:latin typeface="+mn-lt"/>
            </a:rPr>
            <a:t>주파수변환</a:t>
          </a:r>
          <a:endParaRPr lang="en-US" altLang="ko-KR" sz="1100">
            <a:latin typeface="+mn-lt"/>
          </a:endParaRPr>
        </a:p>
        <a:p>
          <a:r>
            <a:rPr lang="en-US" altLang="ko-KR" sz="1100">
              <a:latin typeface="+mn-lt"/>
            </a:rPr>
            <a:t>1. FLL</a:t>
          </a:r>
          <a:r>
            <a:rPr lang="en-US" altLang="ko-KR" sz="1100" baseline="0">
              <a:latin typeface="+mn-lt"/>
            </a:rPr>
            <a:t> </a:t>
          </a:r>
          <a:r>
            <a:rPr lang="ko-KR" altLang="en-US" sz="1100" baseline="0">
              <a:latin typeface="+mn-lt"/>
            </a:rPr>
            <a:t>설정 </a:t>
          </a:r>
          <a:r>
            <a:rPr lang="en-US" altLang="ko-KR" sz="1100" baseline="0">
              <a:latin typeface="+mn-lt"/>
            </a:rPr>
            <a:t>: +1% UP</a:t>
          </a:r>
        </a:p>
        <a:p>
          <a:r>
            <a:rPr lang="en-US" altLang="ko-KR" sz="1100" baseline="0">
              <a:latin typeface="+mn-lt"/>
            </a:rPr>
            <a:t>2. VSYNC/ SV</a:t>
          </a:r>
          <a:r>
            <a:rPr lang="ko-KR" altLang="en-US" sz="1100" baseline="0">
              <a:latin typeface="+mn-lt"/>
            </a:rPr>
            <a:t>를 </a:t>
          </a:r>
          <a:r>
            <a:rPr lang="en-US" altLang="ko-KR" sz="1100" baseline="0">
              <a:latin typeface="+mn-lt"/>
            </a:rPr>
            <a:t>1Hz</a:t>
          </a:r>
          <a:r>
            <a:rPr lang="ko-KR" altLang="en-US" sz="1100" baseline="0">
              <a:latin typeface="+mn-lt"/>
            </a:rPr>
            <a:t>씩 변동 </a:t>
          </a:r>
          <a:r>
            <a:rPr lang="en-US" altLang="ko-KR" sz="1100" baseline="0">
              <a:latin typeface="+mn-lt"/>
            </a:rPr>
            <a:t>--&gt;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주파수가 한 프레임에 몇 </a:t>
          </a:r>
          <a:r>
            <a:rPr lang="en-US" altLang="ko-KR" sz="1100" baseline="0">
              <a:solidFill>
                <a:srgbClr val="FF0000"/>
              </a:solidFill>
              <a:latin typeface="+mn-lt"/>
            </a:rPr>
            <a:t>%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씩 변동 가능한 지 확인</a:t>
          </a:r>
          <a:r>
            <a:rPr lang="en-US" altLang="ko-KR" sz="1100" baseline="0">
              <a:latin typeface="+mn-lt"/>
            </a:rPr>
            <a:t>. </a:t>
          </a:r>
          <a:r>
            <a:rPr lang="ko-KR" altLang="en-US" sz="1100" baseline="0">
              <a:latin typeface="+mn-lt"/>
            </a:rPr>
            <a:t>만일 </a:t>
          </a:r>
          <a:r>
            <a:rPr lang="en-US" altLang="ko-KR" sz="1100" baseline="0">
              <a:latin typeface="+mn-lt"/>
            </a:rPr>
            <a:t>0.5% </a:t>
          </a:r>
          <a:r>
            <a:rPr lang="ko-KR" altLang="en-US" sz="1100" baseline="0">
              <a:latin typeface="+mn-lt"/>
            </a:rPr>
            <a:t>변동 가능하면 </a:t>
          </a:r>
          <a:r>
            <a:rPr lang="en-US" altLang="ko-KR" sz="1100" baseline="0">
              <a:latin typeface="+mn-lt"/>
            </a:rPr>
            <a:t>0.5hz</a:t>
          </a:r>
          <a:r>
            <a:rPr lang="ko-KR" altLang="en-US" sz="1100" baseline="0">
              <a:latin typeface="+mn-lt"/>
            </a:rPr>
            <a:t>씩 변동 필요</a:t>
          </a:r>
          <a:endParaRPr lang="en-US" altLang="ko-KR" sz="1100" baseline="0">
            <a:latin typeface="+mn-lt"/>
          </a:endParaRPr>
        </a:p>
        <a:p>
          <a:endParaRPr lang="en-US" altLang="ko-KR" sz="1100" baseline="0">
            <a:latin typeface="+mn-lt"/>
          </a:endParaRPr>
        </a:p>
      </xdr:txBody>
    </xdr:sp>
    <xdr:clientData/>
  </xdr:oneCellAnchor>
  <xdr:oneCellAnchor>
    <xdr:from>
      <xdr:col>7</xdr:col>
      <xdr:colOff>396875</xdr:colOff>
      <xdr:row>2</xdr:row>
      <xdr:rowOff>68788</xdr:rowOff>
    </xdr:from>
    <xdr:ext cx="1541191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877161-61CB-4775-84FB-176E0FCCA479}"/>
            </a:ext>
          </a:extLst>
        </xdr:cNvPr>
        <xdr:cNvSpPr txBox="1"/>
      </xdr:nvSpPr>
      <xdr:spPr>
        <a:xfrm>
          <a:off x="5464175" y="437088"/>
          <a:ext cx="1541191" cy="3362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주파수변환 자동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/LUT</a:t>
          </a:r>
          <a:endParaRPr lang="ko-KR" altLang="en-US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391584</xdr:colOff>
      <xdr:row>4</xdr:row>
      <xdr:rowOff>100540</xdr:rowOff>
    </xdr:from>
    <xdr:ext cx="7656711" cy="889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A3032B-3963-4D86-B8B3-AABD79DBFE11}"/>
            </a:ext>
          </a:extLst>
        </xdr:cNvPr>
        <xdr:cNvSpPr txBox="1"/>
      </xdr:nvSpPr>
      <xdr:spPr>
        <a:xfrm>
          <a:off x="5477934" y="837140"/>
          <a:ext cx="7656711" cy="8890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100">
              <a:latin typeface="+mn-lt"/>
            </a:rPr>
            <a:t>주파수변환</a:t>
          </a:r>
          <a:endParaRPr lang="en-US" altLang="ko-KR" sz="1100">
            <a:latin typeface="+mn-lt"/>
          </a:endParaRPr>
        </a:p>
        <a:p>
          <a:r>
            <a:rPr lang="en-US" altLang="ko-KR" sz="1100">
              <a:latin typeface="+mn-lt"/>
            </a:rPr>
            <a:t>1. FLL</a:t>
          </a:r>
          <a:r>
            <a:rPr lang="en-US" altLang="ko-KR" sz="1100" baseline="0">
              <a:latin typeface="+mn-lt"/>
            </a:rPr>
            <a:t> </a:t>
          </a:r>
          <a:r>
            <a:rPr lang="ko-KR" altLang="en-US" sz="1100" baseline="0">
              <a:latin typeface="+mn-lt"/>
            </a:rPr>
            <a:t>설정 </a:t>
          </a:r>
          <a:r>
            <a:rPr lang="en-US" altLang="ko-KR" sz="1100" baseline="0">
              <a:latin typeface="+mn-lt"/>
            </a:rPr>
            <a:t>: +1% UP</a:t>
          </a:r>
        </a:p>
        <a:p>
          <a:r>
            <a:rPr lang="en-US" altLang="ko-KR" sz="1100" baseline="0">
              <a:latin typeface="+mn-lt"/>
            </a:rPr>
            <a:t>2. VSYNC/ SV</a:t>
          </a:r>
          <a:r>
            <a:rPr lang="ko-KR" altLang="en-US" sz="1100" baseline="0">
              <a:latin typeface="+mn-lt"/>
            </a:rPr>
            <a:t>를 </a:t>
          </a:r>
          <a:r>
            <a:rPr lang="en-US" altLang="ko-KR" sz="1100" baseline="0">
              <a:latin typeface="+mn-lt"/>
            </a:rPr>
            <a:t>1Hz</a:t>
          </a:r>
          <a:r>
            <a:rPr lang="ko-KR" altLang="en-US" sz="1100" baseline="0">
              <a:latin typeface="+mn-lt"/>
            </a:rPr>
            <a:t>씩 변동 </a:t>
          </a:r>
          <a:r>
            <a:rPr lang="en-US" altLang="ko-KR" sz="1100" baseline="0">
              <a:latin typeface="+mn-lt"/>
            </a:rPr>
            <a:t>--&gt;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주파수가 한 프레임에 몇 </a:t>
          </a:r>
          <a:r>
            <a:rPr lang="en-US" altLang="ko-KR" sz="1100" baseline="0">
              <a:solidFill>
                <a:srgbClr val="FF0000"/>
              </a:solidFill>
              <a:latin typeface="+mn-lt"/>
            </a:rPr>
            <a:t>%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씩 변동 가능한 지 확인</a:t>
          </a:r>
          <a:r>
            <a:rPr lang="en-US" altLang="ko-KR" sz="1100" baseline="0">
              <a:latin typeface="+mn-lt"/>
            </a:rPr>
            <a:t>. </a:t>
          </a:r>
          <a:r>
            <a:rPr lang="ko-KR" altLang="en-US" sz="1100" baseline="0">
              <a:latin typeface="+mn-lt"/>
            </a:rPr>
            <a:t>만일 </a:t>
          </a:r>
          <a:r>
            <a:rPr lang="en-US" altLang="ko-KR" sz="1100" baseline="0">
              <a:latin typeface="+mn-lt"/>
            </a:rPr>
            <a:t>0.5% </a:t>
          </a:r>
          <a:r>
            <a:rPr lang="ko-KR" altLang="en-US" sz="1100" baseline="0">
              <a:latin typeface="+mn-lt"/>
            </a:rPr>
            <a:t>변동 가능하면 </a:t>
          </a:r>
          <a:r>
            <a:rPr lang="en-US" altLang="ko-KR" sz="1100" baseline="0">
              <a:latin typeface="+mn-lt"/>
            </a:rPr>
            <a:t>0.5hz</a:t>
          </a:r>
          <a:r>
            <a:rPr lang="ko-KR" altLang="en-US" sz="1100" baseline="0">
              <a:latin typeface="+mn-lt"/>
            </a:rPr>
            <a:t>씩 변동 필요</a:t>
          </a:r>
          <a:endParaRPr lang="en-US" altLang="ko-KR" sz="1100" baseline="0">
            <a:latin typeface="+mn-lt"/>
          </a:endParaRPr>
        </a:p>
        <a:p>
          <a:endParaRPr lang="en-US" altLang="ko-KR" sz="1100" baseline="0">
            <a:latin typeface="+mn-lt"/>
          </a:endParaRPr>
        </a:p>
      </xdr:txBody>
    </xdr:sp>
    <xdr:clientData/>
  </xdr:oneCellAnchor>
  <xdr:oneCellAnchor>
    <xdr:from>
      <xdr:col>7</xdr:col>
      <xdr:colOff>396875</xdr:colOff>
      <xdr:row>2</xdr:row>
      <xdr:rowOff>68788</xdr:rowOff>
    </xdr:from>
    <xdr:ext cx="1541191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B5D6E1-12AA-472F-8A77-467C16D1F761}"/>
            </a:ext>
          </a:extLst>
        </xdr:cNvPr>
        <xdr:cNvSpPr txBox="1"/>
      </xdr:nvSpPr>
      <xdr:spPr>
        <a:xfrm>
          <a:off x="5483225" y="437088"/>
          <a:ext cx="1541191" cy="3362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주파수변환 자동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/LUT</a:t>
          </a:r>
          <a:endParaRPr lang="ko-KR" altLang="en-US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120648</xdr:colOff>
      <xdr:row>0</xdr:row>
      <xdr:rowOff>200025</xdr:rowOff>
    </xdr:from>
    <xdr:to>
      <xdr:col>5</xdr:col>
      <xdr:colOff>428023</xdr:colOff>
      <xdr:row>12</xdr:row>
      <xdr:rowOff>8525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1B687F81-B146-35DB-6BA7-D8B717CD9C51}"/>
            </a:ext>
          </a:extLst>
        </xdr:cNvPr>
        <xdr:cNvGrpSpPr/>
      </xdr:nvGrpSpPr>
      <xdr:grpSpPr>
        <a:xfrm>
          <a:off x="781048" y="200025"/>
          <a:ext cx="3552225" cy="2399300"/>
          <a:chOff x="782862" y="200025"/>
          <a:chExt cx="3273732" cy="2421071"/>
        </a:xfrm>
      </xdr:grpSpPr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94F65D6-D262-E9EB-8061-B6128F1ACB29}"/>
              </a:ext>
            </a:extLst>
          </xdr:cNvPr>
          <xdr:cNvSpPr/>
        </xdr:nvSpPr>
        <xdr:spPr>
          <a:xfrm>
            <a:off x="2322467" y="1810792"/>
            <a:ext cx="1539307" cy="608510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C2C2B1A3-AE03-E64C-4020-732A0FDB2328}"/>
              </a:ext>
            </a:extLst>
          </xdr:cNvPr>
          <xdr:cNvCxnSpPr/>
        </xdr:nvCxnSpPr>
        <xdr:spPr>
          <a:xfrm flipH="1">
            <a:off x="1541461" y="1339540"/>
            <a:ext cx="0" cy="145255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7" name="이등변 삼각형 86">
            <a:extLst>
              <a:ext uri="{FF2B5EF4-FFF2-40B4-BE49-F238E27FC236}">
                <a16:creationId xmlns:a16="http://schemas.microsoft.com/office/drawing/2014/main" id="{68D1D64B-28FF-F3FE-4757-ADCBA6331749}"/>
              </a:ext>
            </a:extLst>
          </xdr:cNvPr>
          <xdr:cNvSpPr/>
        </xdr:nvSpPr>
        <xdr:spPr>
          <a:xfrm rot="10800000">
            <a:off x="2392009" y="1313330"/>
            <a:ext cx="180199" cy="1089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88" name="직선 연결선 87">
            <a:extLst>
              <a:ext uri="{FF2B5EF4-FFF2-40B4-BE49-F238E27FC236}">
                <a16:creationId xmlns:a16="http://schemas.microsoft.com/office/drawing/2014/main" id="{DB6159F8-094C-230B-1FB7-CC0D976D9B5B}"/>
              </a:ext>
            </a:extLst>
          </xdr:cNvPr>
          <xdr:cNvCxnSpPr/>
        </xdr:nvCxnSpPr>
        <xdr:spPr>
          <a:xfrm>
            <a:off x="2385347" y="1431045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5" name="이등변 삼각형 84">
            <a:extLst>
              <a:ext uri="{FF2B5EF4-FFF2-40B4-BE49-F238E27FC236}">
                <a16:creationId xmlns:a16="http://schemas.microsoft.com/office/drawing/2014/main" id="{0B444736-3F51-BC40-9A25-59DE10013566}"/>
              </a:ext>
            </a:extLst>
          </xdr:cNvPr>
          <xdr:cNvSpPr/>
        </xdr:nvSpPr>
        <xdr:spPr>
          <a:xfrm rot="10800000">
            <a:off x="2599065" y="1311122"/>
            <a:ext cx="180199" cy="1089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86" name="직선 연결선 85">
            <a:extLst>
              <a:ext uri="{FF2B5EF4-FFF2-40B4-BE49-F238E27FC236}">
                <a16:creationId xmlns:a16="http://schemas.microsoft.com/office/drawing/2014/main" id="{01FD643B-45E6-3E09-2F6F-390D676E9A35}"/>
              </a:ext>
            </a:extLst>
          </xdr:cNvPr>
          <xdr:cNvCxnSpPr/>
        </xdr:nvCxnSpPr>
        <xdr:spPr>
          <a:xfrm>
            <a:off x="2599451" y="1431044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이등변 삼각형 82">
            <a:extLst>
              <a:ext uri="{FF2B5EF4-FFF2-40B4-BE49-F238E27FC236}">
                <a16:creationId xmlns:a16="http://schemas.microsoft.com/office/drawing/2014/main" id="{1A57B49D-5265-10FC-9B1C-ECE85F00D8AF}"/>
              </a:ext>
            </a:extLst>
          </xdr:cNvPr>
          <xdr:cNvSpPr/>
        </xdr:nvSpPr>
        <xdr:spPr>
          <a:xfrm rot="10800000">
            <a:off x="2810658" y="1309292"/>
            <a:ext cx="180199" cy="108942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84" name="직선 연결선 83">
            <a:extLst>
              <a:ext uri="{FF2B5EF4-FFF2-40B4-BE49-F238E27FC236}">
                <a16:creationId xmlns:a16="http://schemas.microsoft.com/office/drawing/2014/main" id="{2C3A7CC7-BB14-FD17-D619-BB0B02B33C3E}"/>
              </a:ext>
            </a:extLst>
          </xdr:cNvPr>
          <xdr:cNvCxnSpPr/>
        </xdr:nvCxnSpPr>
        <xdr:spPr>
          <a:xfrm>
            <a:off x="2815586" y="1429591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D4ADB17A-BE4C-D5EE-9E1C-D3D3E5BBA0C7}"/>
              </a:ext>
            </a:extLst>
          </xdr:cNvPr>
          <xdr:cNvCxnSpPr/>
        </xdr:nvCxnSpPr>
        <xdr:spPr>
          <a:xfrm>
            <a:off x="1722705" y="1174244"/>
            <a:ext cx="1982189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CE93D9AB-AD90-DF8E-3E54-48D485F6A629}"/>
              </a:ext>
            </a:extLst>
          </xdr:cNvPr>
          <xdr:cNvCxnSpPr/>
        </xdr:nvCxnSpPr>
        <xdr:spPr>
          <a:xfrm>
            <a:off x="917180" y="511096"/>
            <a:ext cx="100911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직선 연결선 77">
            <a:extLst>
              <a:ext uri="{FF2B5EF4-FFF2-40B4-BE49-F238E27FC236}">
                <a16:creationId xmlns:a16="http://schemas.microsoft.com/office/drawing/2014/main" id="{32066DAA-09ED-47EA-B09C-9709A80434FA}"/>
              </a:ext>
            </a:extLst>
          </xdr:cNvPr>
          <xdr:cNvCxnSpPr/>
        </xdr:nvCxnSpPr>
        <xdr:spPr>
          <a:xfrm>
            <a:off x="1396680" y="1261711"/>
            <a:ext cx="28831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직선 연결선 78">
            <a:extLst>
              <a:ext uri="{FF2B5EF4-FFF2-40B4-BE49-F238E27FC236}">
                <a16:creationId xmlns:a16="http://schemas.microsoft.com/office/drawing/2014/main" id="{D305987A-B9B1-41ED-2D49-F5D4B87264DA}"/>
              </a:ext>
            </a:extLst>
          </xdr:cNvPr>
          <xdr:cNvCxnSpPr/>
        </xdr:nvCxnSpPr>
        <xdr:spPr>
          <a:xfrm>
            <a:off x="1467516" y="1328509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직선 연결선 73">
            <a:extLst>
              <a:ext uri="{FF2B5EF4-FFF2-40B4-BE49-F238E27FC236}">
                <a16:creationId xmlns:a16="http://schemas.microsoft.com/office/drawing/2014/main" id="{C7FE31FC-34E6-CCB3-697B-76C43EB683DF}"/>
              </a:ext>
            </a:extLst>
          </xdr:cNvPr>
          <xdr:cNvCxnSpPr/>
        </xdr:nvCxnSpPr>
        <xdr:spPr>
          <a:xfrm rot="5400000" flipH="1" flipV="1">
            <a:off x="1441006" y="1211721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직선 연결선 74">
            <a:extLst>
              <a:ext uri="{FF2B5EF4-FFF2-40B4-BE49-F238E27FC236}">
                <a16:creationId xmlns:a16="http://schemas.microsoft.com/office/drawing/2014/main" id="{7F92F8DC-CA6F-F2FF-57AE-58185CE82448}"/>
              </a:ext>
            </a:extLst>
          </xdr:cNvPr>
          <xdr:cNvCxnSpPr/>
        </xdr:nvCxnSpPr>
        <xdr:spPr>
          <a:xfrm rot="5400000">
            <a:off x="1561789" y="1209892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직선 연결선 75">
            <a:extLst>
              <a:ext uri="{FF2B5EF4-FFF2-40B4-BE49-F238E27FC236}">
                <a16:creationId xmlns:a16="http://schemas.microsoft.com/office/drawing/2014/main" id="{4B0DBDB4-71F9-5259-AF53-B70FC276CBA9}"/>
              </a:ext>
            </a:extLst>
          </xdr:cNvPr>
          <xdr:cNvCxnSpPr/>
        </xdr:nvCxnSpPr>
        <xdr:spPr>
          <a:xfrm>
            <a:off x="1582327" y="1174833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직선 연결선 76">
            <a:extLst>
              <a:ext uri="{FF2B5EF4-FFF2-40B4-BE49-F238E27FC236}">
                <a16:creationId xmlns:a16="http://schemas.microsoft.com/office/drawing/2014/main" id="{D539D821-18D8-C38A-9804-19FC12236D1B}"/>
              </a:ext>
            </a:extLst>
          </xdr:cNvPr>
          <xdr:cNvCxnSpPr/>
        </xdr:nvCxnSpPr>
        <xdr:spPr>
          <a:xfrm>
            <a:off x="1344394" y="1177578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4C96A525-D41A-8445-9CCF-F7149E092D52}"/>
              </a:ext>
            </a:extLst>
          </xdr:cNvPr>
          <xdr:cNvCxnSpPr/>
        </xdr:nvCxnSpPr>
        <xdr:spPr>
          <a:xfrm>
            <a:off x="1616452" y="942697"/>
            <a:ext cx="28831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직선 연결선 71">
            <a:extLst>
              <a:ext uri="{FF2B5EF4-FFF2-40B4-BE49-F238E27FC236}">
                <a16:creationId xmlns:a16="http://schemas.microsoft.com/office/drawing/2014/main" id="{281F958F-BF76-F6B7-0D6F-5A52E4B84663}"/>
              </a:ext>
            </a:extLst>
          </xdr:cNvPr>
          <xdr:cNvCxnSpPr/>
        </xdr:nvCxnSpPr>
        <xdr:spPr>
          <a:xfrm>
            <a:off x="1687288" y="1009495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직선 연결선 66">
            <a:extLst>
              <a:ext uri="{FF2B5EF4-FFF2-40B4-BE49-F238E27FC236}">
                <a16:creationId xmlns:a16="http://schemas.microsoft.com/office/drawing/2014/main" id="{F15ABA8E-7535-7BB9-F01F-341043C843ED}"/>
              </a:ext>
            </a:extLst>
          </xdr:cNvPr>
          <xdr:cNvCxnSpPr/>
        </xdr:nvCxnSpPr>
        <xdr:spPr>
          <a:xfrm rot="5400000" flipH="1" flipV="1">
            <a:off x="1660778" y="892707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직선 연결선 67">
            <a:extLst>
              <a:ext uri="{FF2B5EF4-FFF2-40B4-BE49-F238E27FC236}">
                <a16:creationId xmlns:a16="http://schemas.microsoft.com/office/drawing/2014/main" id="{EE5AB1BF-6B0F-E8F1-766F-7F1906B415A7}"/>
              </a:ext>
            </a:extLst>
          </xdr:cNvPr>
          <xdr:cNvCxnSpPr/>
        </xdr:nvCxnSpPr>
        <xdr:spPr>
          <a:xfrm rot="5400000">
            <a:off x="1781561" y="890878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397F6068-20D2-115C-D20B-883F03631858}"/>
              </a:ext>
            </a:extLst>
          </xdr:cNvPr>
          <xdr:cNvCxnSpPr/>
        </xdr:nvCxnSpPr>
        <xdr:spPr>
          <a:xfrm>
            <a:off x="1802099" y="855819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직선 연결선 69">
            <a:extLst>
              <a:ext uri="{FF2B5EF4-FFF2-40B4-BE49-F238E27FC236}">
                <a16:creationId xmlns:a16="http://schemas.microsoft.com/office/drawing/2014/main" id="{20D697C5-4683-E6CF-E4DF-D984F88E63D5}"/>
              </a:ext>
            </a:extLst>
          </xdr:cNvPr>
          <xdr:cNvCxnSpPr/>
        </xdr:nvCxnSpPr>
        <xdr:spPr>
          <a:xfrm>
            <a:off x="1564166" y="858564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4F25B94D-32D9-E55A-E648-00C976EAB9BE}"/>
              </a:ext>
            </a:extLst>
          </xdr:cNvPr>
          <xdr:cNvCxnSpPr/>
        </xdr:nvCxnSpPr>
        <xdr:spPr>
          <a:xfrm>
            <a:off x="1841670" y="597721"/>
            <a:ext cx="28831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직선 연결선 64">
            <a:extLst>
              <a:ext uri="{FF2B5EF4-FFF2-40B4-BE49-F238E27FC236}">
                <a16:creationId xmlns:a16="http://schemas.microsoft.com/office/drawing/2014/main" id="{164F478D-F732-5BFD-6501-789782BDAADB}"/>
              </a:ext>
            </a:extLst>
          </xdr:cNvPr>
          <xdr:cNvCxnSpPr/>
        </xdr:nvCxnSpPr>
        <xdr:spPr>
          <a:xfrm>
            <a:off x="1912506" y="664519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직선 연결선 59">
            <a:extLst>
              <a:ext uri="{FF2B5EF4-FFF2-40B4-BE49-F238E27FC236}">
                <a16:creationId xmlns:a16="http://schemas.microsoft.com/office/drawing/2014/main" id="{4F5A938D-E299-C287-BBD6-3BB329E85626}"/>
              </a:ext>
            </a:extLst>
          </xdr:cNvPr>
          <xdr:cNvCxnSpPr/>
        </xdr:nvCxnSpPr>
        <xdr:spPr>
          <a:xfrm rot="5400000" flipH="1" flipV="1">
            <a:off x="1885996" y="547731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직선 연결선 60">
            <a:extLst>
              <a:ext uri="{FF2B5EF4-FFF2-40B4-BE49-F238E27FC236}">
                <a16:creationId xmlns:a16="http://schemas.microsoft.com/office/drawing/2014/main" id="{581EC124-695E-784A-135A-F6F37C3E3394}"/>
              </a:ext>
            </a:extLst>
          </xdr:cNvPr>
          <xdr:cNvCxnSpPr/>
        </xdr:nvCxnSpPr>
        <xdr:spPr>
          <a:xfrm rot="5400000">
            <a:off x="2006779" y="545902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7E920350-8EDA-C909-2FCE-82EE3401E9B0}"/>
              </a:ext>
            </a:extLst>
          </xdr:cNvPr>
          <xdr:cNvCxnSpPr/>
        </xdr:nvCxnSpPr>
        <xdr:spPr>
          <a:xfrm>
            <a:off x="2027317" y="510843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D4D16681-0BC2-DBD8-808B-69AB994C023C}"/>
              </a:ext>
            </a:extLst>
          </xdr:cNvPr>
          <xdr:cNvCxnSpPr/>
        </xdr:nvCxnSpPr>
        <xdr:spPr>
          <a:xfrm>
            <a:off x="1789384" y="513588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F445684F-4B3D-EF9E-42F8-30C29936E0ED}"/>
              </a:ext>
            </a:extLst>
          </xdr:cNvPr>
          <xdr:cNvCxnSpPr/>
        </xdr:nvCxnSpPr>
        <xdr:spPr>
          <a:xfrm flipH="1" flipV="1">
            <a:off x="2484401" y="1437402"/>
            <a:ext cx="0" cy="14525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231612B1-C9B5-457E-9031-D92A174D5A17}"/>
              </a:ext>
            </a:extLst>
          </xdr:cNvPr>
          <xdr:cNvCxnSpPr/>
        </xdr:nvCxnSpPr>
        <xdr:spPr>
          <a:xfrm flipH="1" flipV="1">
            <a:off x="2693899" y="1440146"/>
            <a:ext cx="0" cy="36313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10A9B90C-D469-4836-A6AC-5350414F6793}"/>
              </a:ext>
            </a:extLst>
          </xdr:cNvPr>
          <xdr:cNvCxnSpPr/>
        </xdr:nvCxnSpPr>
        <xdr:spPr>
          <a:xfrm flipH="1" flipV="1">
            <a:off x="2905497" y="1433740"/>
            <a:ext cx="0" cy="14525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직선 연결선 15">
            <a:extLst>
              <a:ext uri="{FF2B5EF4-FFF2-40B4-BE49-F238E27FC236}">
                <a16:creationId xmlns:a16="http://schemas.microsoft.com/office/drawing/2014/main" id="{9FED52FC-A752-F33F-DB36-2F825B74C0CA}"/>
              </a:ext>
            </a:extLst>
          </xdr:cNvPr>
          <xdr:cNvCxnSpPr/>
        </xdr:nvCxnSpPr>
        <xdr:spPr>
          <a:xfrm flipH="1" flipV="1">
            <a:off x="2485935" y="506844"/>
            <a:ext cx="0" cy="80404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2E64F0B5-4CF4-CA32-B6BF-0FE875504B73}"/>
              </a:ext>
            </a:extLst>
          </xdr:cNvPr>
          <xdr:cNvCxnSpPr/>
        </xdr:nvCxnSpPr>
        <xdr:spPr>
          <a:xfrm flipH="1" flipV="1">
            <a:off x="2696624" y="838959"/>
            <a:ext cx="0" cy="47208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521475F1-EEF9-1A85-076A-0050F2394881}"/>
              </a:ext>
            </a:extLst>
          </xdr:cNvPr>
          <xdr:cNvCxnSpPr/>
        </xdr:nvCxnSpPr>
        <xdr:spPr>
          <a:xfrm flipV="1">
            <a:off x="2899140" y="1161106"/>
            <a:ext cx="0" cy="140924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7634D114-8EC5-1AAB-B8FE-53DEDA38FF77}"/>
              </a:ext>
            </a:extLst>
          </xdr:cNvPr>
          <xdr:cNvCxnSpPr/>
        </xdr:nvCxnSpPr>
        <xdr:spPr>
          <a:xfrm>
            <a:off x="1939180" y="854245"/>
            <a:ext cx="154971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715FCE9B-EB35-75F4-BDA4-C3826B31CA6F}"/>
              </a:ext>
            </a:extLst>
          </xdr:cNvPr>
          <xdr:cNvCxnSpPr/>
        </xdr:nvCxnSpPr>
        <xdr:spPr>
          <a:xfrm>
            <a:off x="2154979" y="506790"/>
            <a:ext cx="111723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CF66C762-5FDE-3E35-300E-720C4FEF89D0}"/>
              </a:ext>
            </a:extLst>
          </xdr:cNvPr>
          <xdr:cNvCxnSpPr/>
        </xdr:nvCxnSpPr>
        <xdr:spPr>
          <a:xfrm>
            <a:off x="947148" y="1177255"/>
            <a:ext cx="39643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BF1A8409-617E-5AAB-2B18-289FFB13F470}"/>
              </a:ext>
            </a:extLst>
          </xdr:cNvPr>
          <xdr:cNvCxnSpPr/>
        </xdr:nvCxnSpPr>
        <xdr:spPr>
          <a:xfrm>
            <a:off x="922629" y="857634"/>
            <a:ext cx="72079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85DC98F8-E200-E366-45CA-A86D7DAD8701}"/>
              </a:ext>
            </a:extLst>
          </xdr:cNvPr>
          <xdr:cNvCxnSpPr/>
        </xdr:nvCxnSpPr>
        <xdr:spPr>
          <a:xfrm>
            <a:off x="2477093" y="1579234"/>
            <a:ext cx="4324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187D7C34-9C19-99A9-4BDE-6424C8ED1F0A}"/>
              </a:ext>
            </a:extLst>
          </xdr:cNvPr>
          <xdr:cNvCxnSpPr/>
        </xdr:nvCxnSpPr>
        <xdr:spPr>
          <a:xfrm flipH="1">
            <a:off x="1753058" y="1003714"/>
            <a:ext cx="0" cy="70812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58B3919-97EE-6605-3B68-7AEDDD3C5049}"/>
              </a:ext>
            </a:extLst>
          </xdr:cNvPr>
          <xdr:cNvCxnSpPr/>
        </xdr:nvCxnSpPr>
        <xdr:spPr>
          <a:xfrm flipH="1">
            <a:off x="1987359" y="672467"/>
            <a:ext cx="0" cy="1270985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2088DF5D-F478-3A55-0E10-256DB08DFE98}"/>
              </a:ext>
            </a:extLst>
          </xdr:cNvPr>
          <xdr:cNvCxnSpPr/>
        </xdr:nvCxnSpPr>
        <xdr:spPr>
          <a:xfrm>
            <a:off x="982953" y="1943476"/>
            <a:ext cx="1009114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A7584350-A235-5900-DC9F-8201A6835162}"/>
              </a:ext>
            </a:extLst>
          </xdr:cNvPr>
          <xdr:cNvCxnSpPr/>
        </xdr:nvCxnSpPr>
        <xdr:spPr>
          <a:xfrm>
            <a:off x="972055" y="1712885"/>
            <a:ext cx="792876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80DBFD00-A0EF-42A3-3152-C52942E2E74D}"/>
              </a:ext>
            </a:extLst>
          </xdr:cNvPr>
          <xdr:cNvCxnSpPr/>
        </xdr:nvCxnSpPr>
        <xdr:spPr>
          <a:xfrm>
            <a:off x="952076" y="1486865"/>
            <a:ext cx="594657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4A66B44B-838E-D888-153C-7216582F8E71}"/>
              </a:ext>
            </a:extLst>
          </xdr:cNvPr>
          <xdr:cNvSpPr txBox="1"/>
        </xdr:nvSpPr>
        <xdr:spPr>
          <a:xfrm>
            <a:off x="987494" y="1340801"/>
            <a:ext cx="304202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GATE3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AA3DEBA3-98F9-BAC7-5F71-2A2BD531973D}"/>
              </a:ext>
            </a:extLst>
          </xdr:cNvPr>
          <xdr:cNvSpPr txBox="1"/>
        </xdr:nvSpPr>
        <xdr:spPr>
          <a:xfrm>
            <a:off x="990218" y="1567733"/>
            <a:ext cx="304202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GATE2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E1BB1E2E-D6F6-0B7C-6BDF-C95FF5B08455}"/>
              </a:ext>
            </a:extLst>
          </xdr:cNvPr>
          <xdr:cNvSpPr txBox="1"/>
        </xdr:nvSpPr>
        <xdr:spPr>
          <a:xfrm>
            <a:off x="1002023" y="1794665"/>
            <a:ext cx="304202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GATE1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8158743B-BF17-CF63-486A-D59AD874D618}"/>
              </a:ext>
            </a:extLst>
          </xdr:cNvPr>
          <xdr:cNvSpPr txBox="1"/>
        </xdr:nvSpPr>
        <xdr:spPr>
          <a:xfrm>
            <a:off x="949352" y="355290"/>
            <a:ext cx="303945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CCF26D0-6B34-9536-346F-84603C6BBBFE}"/>
              </a:ext>
            </a:extLst>
          </xdr:cNvPr>
          <xdr:cNvSpPr txBox="1"/>
        </xdr:nvSpPr>
        <xdr:spPr>
          <a:xfrm>
            <a:off x="952076" y="692032"/>
            <a:ext cx="303945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VLED2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E158FF9F-A7AF-9438-46B5-83598D6E01EE}"/>
              </a:ext>
            </a:extLst>
          </xdr:cNvPr>
          <xdr:cNvSpPr txBox="1"/>
        </xdr:nvSpPr>
        <xdr:spPr>
          <a:xfrm>
            <a:off x="963881" y="1015043"/>
            <a:ext cx="303945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VLED3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78C3BA9-7639-205E-7FE7-2F574F72418D}"/>
              </a:ext>
            </a:extLst>
          </xdr:cNvPr>
          <xdr:cNvSpPr txBox="1"/>
        </xdr:nvSpPr>
        <xdr:spPr>
          <a:xfrm>
            <a:off x="2600361" y="1840418"/>
            <a:ext cx="194627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CHx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57" name="이등변 삼각형 56">
            <a:extLst>
              <a:ext uri="{FF2B5EF4-FFF2-40B4-BE49-F238E27FC236}">
                <a16:creationId xmlns:a16="http://schemas.microsoft.com/office/drawing/2014/main" id="{38AD0384-EFA7-D2D3-4AA8-3C42C975EEAF}"/>
              </a:ext>
            </a:extLst>
          </xdr:cNvPr>
          <xdr:cNvSpPr/>
        </xdr:nvSpPr>
        <xdr:spPr>
          <a:xfrm rot="10800000">
            <a:off x="3189360" y="1304448"/>
            <a:ext cx="180199" cy="1089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BB9EFD2D-58D9-A172-7E3E-88E7C4594DBE}"/>
              </a:ext>
            </a:extLst>
          </xdr:cNvPr>
          <xdr:cNvCxnSpPr/>
        </xdr:nvCxnSpPr>
        <xdr:spPr>
          <a:xfrm>
            <a:off x="3182698" y="1424640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이등변 삼각형 54">
            <a:extLst>
              <a:ext uri="{FF2B5EF4-FFF2-40B4-BE49-F238E27FC236}">
                <a16:creationId xmlns:a16="http://schemas.microsoft.com/office/drawing/2014/main" id="{FD4CF4EE-DAD3-5430-EE97-8E700779040D}"/>
              </a:ext>
            </a:extLst>
          </xdr:cNvPr>
          <xdr:cNvSpPr/>
        </xdr:nvSpPr>
        <xdr:spPr>
          <a:xfrm rot="10800000">
            <a:off x="3396416" y="1304717"/>
            <a:ext cx="180199" cy="1089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2BBEFEE3-6AB2-1FF9-C856-2B6CB04D4882}"/>
              </a:ext>
            </a:extLst>
          </xdr:cNvPr>
          <xdr:cNvCxnSpPr/>
        </xdr:nvCxnSpPr>
        <xdr:spPr>
          <a:xfrm>
            <a:off x="3396802" y="1424639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이등변 삼각형 52">
            <a:extLst>
              <a:ext uri="{FF2B5EF4-FFF2-40B4-BE49-F238E27FC236}">
                <a16:creationId xmlns:a16="http://schemas.microsoft.com/office/drawing/2014/main" id="{571899D3-3E00-48B0-64AD-9612414E5FDD}"/>
              </a:ext>
            </a:extLst>
          </xdr:cNvPr>
          <xdr:cNvSpPr/>
        </xdr:nvSpPr>
        <xdr:spPr>
          <a:xfrm rot="10800000">
            <a:off x="3608009" y="1302887"/>
            <a:ext cx="180199" cy="108942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C07CEA54-66C1-D8E7-0512-1B9A94DE5BDF}"/>
              </a:ext>
            </a:extLst>
          </xdr:cNvPr>
          <xdr:cNvCxnSpPr/>
        </xdr:nvCxnSpPr>
        <xdr:spPr>
          <a:xfrm>
            <a:off x="3612937" y="1420710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89EBFF8E-0EDE-55C6-56B3-5B109B45E0D8}"/>
              </a:ext>
            </a:extLst>
          </xdr:cNvPr>
          <xdr:cNvCxnSpPr/>
        </xdr:nvCxnSpPr>
        <xdr:spPr>
          <a:xfrm flipH="1" flipV="1">
            <a:off x="3281752" y="1430996"/>
            <a:ext cx="0" cy="14525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직선 연결선 37">
            <a:extLst>
              <a:ext uri="{FF2B5EF4-FFF2-40B4-BE49-F238E27FC236}">
                <a16:creationId xmlns:a16="http://schemas.microsoft.com/office/drawing/2014/main" id="{C76E3A60-2181-C2D9-8436-304A609686D2}"/>
              </a:ext>
            </a:extLst>
          </xdr:cNvPr>
          <xdr:cNvCxnSpPr/>
        </xdr:nvCxnSpPr>
        <xdr:spPr>
          <a:xfrm flipH="1" flipV="1">
            <a:off x="3491251" y="1433741"/>
            <a:ext cx="0" cy="36313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F2A6AD13-83FA-18A2-93F6-9246F8EFA4AD}"/>
              </a:ext>
            </a:extLst>
          </xdr:cNvPr>
          <xdr:cNvCxnSpPr/>
        </xdr:nvCxnSpPr>
        <xdr:spPr>
          <a:xfrm flipH="1" flipV="1">
            <a:off x="3702848" y="1427335"/>
            <a:ext cx="0" cy="14525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00D27F0B-A2AC-13E7-724B-C46F9E1056F5}"/>
              </a:ext>
            </a:extLst>
          </xdr:cNvPr>
          <xdr:cNvCxnSpPr/>
        </xdr:nvCxnSpPr>
        <xdr:spPr>
          <a:xfrm flipH="1" flipV="1">
            <a:off x="3280561" y="505123"/>
            <a:ext cx="0" cy="80678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1F515B87-B52B-C1E4-5139-55839B15E447}"/>
              </a:ext>
            </a:extLst>
          </xdr:cNvPr>
          <xdr:cNvCxnSpPr/>
        </xdr:nvCxnSpPr>
        <xdr:spPr>
          <a:xfrm flipH="1" flipV="1">
            <a:off x="3493976" y="847034"/>
            <a:ext cx="0" cy="47208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ED64E28D-9488-F067-9813-9B9BC6CA3359}"/>
              </a:ext>
            </a:extLst>
          </xdr:cNvPr>
          <xdr:cNvCxnSpPr/>
        </xdr:nvCxnSpPr>
        <xdr:spPr>
          <a:xfrm>
            <a:off x="3274445" y="1572829"/>
            <a:ext cx="4324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431DF3E6-4BB1-2BAD-BC48-40F085544EFD}"/>
              </a:ext>
            </a:extLst>
          </xdr:cNvPr>
          <xdr:cNvSpPr txBox="1"/>
        </xdr:nvSpPr>
        <xdr:spPr>
          <a:xfrm>
            <a:off x="3356846" y="1834012"/>
            <a:ext cx="311711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CHx+1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44" name="타원 43">
            <a:extLst>
              <a:ext uri="{FF2B5EF4-FFF2-40B4-BE49-F238E27FC236}">
                <a16:creationId xmlns:a16="http://schemas.microsoft.com/office/drawing/2014/main" id="{935205AC-85E4-2B14-98B5-39AAB616A8E5}"/>
              </a:ext>
            </a:extLst>
          </xdr:cNvPr>
          <xdr:cNvSpPr/>
        </xdr:nvSpPr>
        <xdr:spPr>
          <a:xfrm>
            <a:off x="2867355" y="1142804"/>
            <a:ext cx="72080" cy="7262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8255C3-355A-D8EC-4DF2-0D9F25ED57B6}"/>
              </a:ext>
            </a:extLst>
          </xdr:cNvPr>
          <xdr:cNvSpPr/>
        </xdr:nvSpPr>
        <xdr:spPr>
          <a:xfrm>
            <a:off x="2661206" y="825282"/>
            <a:ext cx="72080" cy="7262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6" name="타원 45">
            <a:extLst>
              <a:ext uri="{FF2B5EF4-FFF2-40B4-BE49-F238E27FC236}">
                <a16:creationId xmlns:a16="http://schemas.microsoft.com/office/drawing/2014/main" id="{BCEB7344-068B-487D-E023-A6E80910CE06}"/>
              </a:ext>
            </a:extLst>
          </xdr:cNvPr>
          <xdr:cNvSpPr/>
        </xdr:nvSpPr>
        <xdr:spPr>
          <a:xfrm>
            <a:off x="2450517" y="466582"/>
            <a:ext cx="72080" cy="7262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" name="타원 46">
            <a:extLst>
              <a:ext uri="{FF2B5EF4-FFF2-40B4-BE49-F238E27FC236}">
                <a16:creationId xmlns:a16="http://schemas.microsoft.com/office/drawing/2014/main" id="{24075E9A-6338-226C-117A-C066C52BAC45}"/>
              </a:ext>
            </a:extLst>
          </xdr:cNvPr>
          <xdr:cNvSpPr/>
        </xdr:nvSpPr>
        <xdr:spPr>
          <a:xfrm>
            <a:off x="2656665" y="1548173"/>
            <a:ext cx="72080" cy="7262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타원 47">
            <a:extLst>
              <a:ext uri="{FF2B5EF4-FFF2-40B4-BE49-F238E27FC236}">
                <a16:creationId xmlns:a16="http://schemas.microsoft.com/office/drawing/2014/main" id="{0BD02FF9-AFAB-BFAE-BA80-A4F39F12AA3D}"/>
              </a:ext>
            </a:extLst>
          </xdr:cNvPr>
          <xdr:cNvSpPr/>
        </xdr:nvSpPr>
        <xdr:spPr>
          <a:xfrm>
            <a:off x="3458558" y="1550918"/>
            <a:ext cx="72080" cy="7262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9" name="직선 연결선 48">
            <a:extLst>
              <a:ext uri="{FF2B5EF4-FFF2-40B4-BE49-F238E27FC236}">
                <a16:creationId xmlns:a16="http://schemas.microsoft.com/office/drawing/2014/main" id="{A555CFD1-39FC-D698-23F2-7D086A5FEA92}"/>
              </a:ext>
            </a:extLst>
          </xdr:cNvPr>
          <xdr:cNvCxnSpPr/>
        </xdr:nvCxnSpPr>
        <xdr:spPr>
          <a:xfrm flipV="1">
            <a:off x="3696491" y="1177576"/>
            <a:ext cx="0" cy="140924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BD2BA0CB-1D43-106B-ECF8-38CE215BD957}"/>
              </a:ext>
            </a:extLst>
          </xdr:cNvPr>
          <xdr:cNvSpPr txBox="1"/>
        </xdr:nvSpPr>
        <xdr:spPr>
          <a:xfrm>
            <a:off x="2199868" y="258444"/>
            <a:ext cx="673839" cy="172227"/>
          </a:xfrm>
          <a:prstGeom prst="rect">
            <a:avLst/>
          </a:prstGeom>
          <a:solidFill>
            <a:srgbClr val="FFFF0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 b="0" i="0">
                <a:solidFill>
                  <a:schemeClr val="tx1"/>
                </a:solidFill>
              </a:rPr>
              <a:t>ld_type</a:t>
            </a:r>
            <a:r>
              <a:rPr lang="en-US" altLang="ko-KR" sz="1100" b="0" i="0" baseline="0">
                <a:solidFill>
                  <a:schemeClr val="tx1"/>
                </a:solidFill>
              </a:rPr>
              <a:t> = 01</a:t>
            </a:r>
            <a:endParaRPr lang="ko-KR" altLang="en-US" sz="1100" b="0" i="0">
              <a:solidFill>
                <a:schemeClr val="tx1"/>
              </a:solidFill>
            </a:endParaRPr>
          </a:p>
        </xdr:txBody>
      </xdr:sp>
      <xdr:sp macro="" textlink="">
        <xdr:nvSpPr>
          <xdr:cNvPr id="165" name="직사각형 164">
            <a:extLst>
              <a:ext uri="{FF2B5EF4-FFF2-40B4-BE49-F238E27FC236}">
                <a16:creationId xmlns:a16="http://schemas.microsoft.com/office/drawing/2014/main" id="{3A6DDA93-DE3F-4181-9C65-01221A9BC5EB}"/>
              </a:ext>
            </a:extLst>
          </xdr:cNvPr>
          <xdr:cNvSpPr/>
        </xdr:nvSpPr>
        <xdr:spPr>
          <a:xfrm>
            <a:off x="782862" y="200025"/>
            <a:ext cx="3273732" cy="2421071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3" name="TextBox 262">
            <a:extLst>
              <a:ext uri="{FF2B5EF4-FFF2-40B4-BE49-F238E27FC236}">
                <a16:creationId xmlns:a16="http://schemas.microsoft.com/office/drawing/2014/main" id="{8CA05F9B-ABDE-4395-A055-9B6F08FB4F8C}"/>
              </a:ext>
            </a:extLst>
          </xdr:cNvPr>
          <xdr:cNvSpPr txBox="1"/>
        </xdr:nvSpPr>
        <xdr:spPr>
          <a:xfrm>
            <a:off x="2938716" y="2115199"/>
            <a:ext cx="353045" cy="156518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1000" b="1" i="0">
                <a:solidFill>
                  <a:schemeClr val="tx1"/>
                </a:solidFill>
              </a:rPr>
              <a:t>XDR12</a:t>
            </a:r>
            <a:endParaRPr lang="ko-KR" altLang="en-US" sz="1000" b="1" i="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6</xdr:col>
      <xdr:colOff>333373</xdr:colOff>
      <xdr:row>0</xdr:row>
      <xdr:rowOff>206374</xdr:rowOff>
    </xdr:from>
    <xdr:to>
      <xdr:col>11</xdr:col>
      <xdr:colOff>302081</xdr:colOff>
      <xdr:row>12</xdr:row>
      <xdr:rowOff>14874</xdr:rowOff>
    </xdr:to>
    <xdr:grpSp>
      <xdr:nvGrpSpPr>
        <xdr:cNvPr id="338" name="그룹 337">
          <a:extLst>
            <a:ext uri="{FF2B5EF4-FFF2-40B4-BE49-F238E27FC236}">
              <a16:creationId xmlns:a16="http://schemas.microsoft.com/office/drawing/2014/main" id="{A9F6B3ED-510E-A5DF-112F-F1BCBCE9E5AE}"/>
            </a:ext>
          </a:extLst>
        </xdr:cNvPr>
        <xdr:cNvGrpSpPr/>
      </xdr:nvGrpSpPr>
      <xdr:grpSpPr>
        <a:xfrm>
          <a:off x="4816473" y="206374"/>
          <a:ext cx="3277058" cy="2399300"/>
          <a:chOff x="4469944" y="206374"/>
          <a:chExt cx="3279780" cy="2421071"/>
        </a:xfrm>
      </xdr:grpSpPr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92C82B35-4C09-1A43-15DD-04F036EE0A5F}"/>
              </a:ext>
            </a:extLst>
          </xdr:cNvPr>
          <xdr:cNvSpPr/>
        </xdr:nvSpPr>
        <xdr:spPr>
          <a:xfrm>
            <a:off x="6014313" y="1818344"/>
            <a:ext cx="1541594" cy="608523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3" name="직선 연결선 92">
            <a:extLst>
              <a:ext uri="{FF2B5EF4-FFF2-40B4-BE49-F238E27FC236}">
                <a16:creationId xmlns:a16="http://schemas.microsoft.com/office/drawing/2014/main" id="{31F4A199-518D-7AEB-C69C-39B525E3F65C}"/>
              </a:ext>
            </a:extLst>
          </xdr:cNvPr>
          <xdr:cNvCxnSpPr/>
        </xdr:nvCxnSpPr>
        <xdr:spPr>
          <a:xfrm flipH="1">
            <a:off x="5232148" y="1347082"/>
            <a:ext cx="0" cy="145258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2" name="이등변 삼각형 161">
            <a:extLst>
              <a:ext uri="{FF2B5EF4-FFF2-40B4-BE49-F238E27FC236}">
                <a16:creationId xmlns:a16="http://schemas.microsoft.com/office/drawing/2014/main" id="{4A9DA182-71DC-066C-060D-A5EE3F0E4A8D}"/>
              </a:ext>
            </a:extLst>
          </xdr:cNvPr>
          <xdr:cNvSpPr/>
        </xdr:nvSpPr>
        <xdr:spPr>
          <a:xfrm rot="10800000">
            <a:off x="6083958" y="1318395"/>
            <a:ext cx="180467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63" name="직선 연결선 162">
            <a:extLst>
              <a:ext uri="{FF2B5EF4-FFF2-40B4-BE49-F238E27FC236}">
                <a16:creationId xmlns:a16="http://schemas.microsoft.com/office/drawing/2014/main" id="{200A9090-5C23-95C2-C5DE-82E99FE45CB4}"/>
              </a:ext>
            </a:extLst>
          </xdr:cNvPr>
          <xdr:cNvCxnSpPr/>
        </xdr:nvCxnSpPr>
        <xdr:spPr>
          <a:xfrm>
            <a:off x="6077263" y="1438590"/>
            <a:ext cx="19554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0" name="이등변 삼각형 159">
            <a:extLst>
              <a:ext uri="{FF2B5EF4-FFF2-40B4-BE49-F238E27FC236}">
                <a16:creationId xmlns:a16="http://schemas.microsoft.com/office/drawing/2014/main" id="{C97B6BC7-1C9C-EA8C-92B2-5395FDEBD3C6}"/>
              </a:ext>
            </a:extLst>
          </xdr:cNvPr>
          <xdr:cNvSpPr/>
        </xdr:nvSpPr>
        <xdr:spPr>
          <a:xfrm rot="10800000">
            <a:off x="6291322" y="1318664"/>
            <a:ext cx="180467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61" name="직선 연결선 160">
            <a:extLst>
              <a:ext uri="{FF2B5EF4-FFF2-40B4-BE49-F238E27FC236}">
                <a16:creationId xmlns:a16="http://schemas.microsoft.com/office/drawing/2014/main" id="{2B8667C2-A16F-DE44-920D-03490E9FF205}"/>
              </a:ext>
            </a:extLst>
          </xdr:cNvPr>
          <xdr:cNvCxnSpPr/>
        </xdr:nvCxnSpPr>
        <xdr:spPr>
          <a:xfrm>
            <a:off x="6291709" y="1438589"/>
            <a:ext cx="19554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8" name="이등변 삼각형 157">
            <a:extLst>
              <a:ext uri="{FF2B5EF4-FFF2-40B4-BE49-F238E27FC236}">
                <a16:creationId xmlns:a16="http://schemas.microsoft.com/office/drawing/2014/main" id="{3946EC4A-B0CA-2825-577B-D2A031F19D6F}"/>
              </a:ext>
            </a:extLst>
          </xdr:cNvPr>
          <xdr:cNvSpPr/>
        </xdr:nvSpPr>
        <xdr:spPr>
          <a:xfrm rot="10800000">
            <a:off x="6503230" y="1316834"/>
            <a:ext cx="180466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59" name="직선 연결선 158">
            <a:extLst>
              <a:ext uri="{FF2B5EF4-FFF2-40B4-BE49-F238E27FC236}">
                <a16:creationId xmlns:a16="http://schemas.microsoft.com/office/drawing/2014/main" id="{6B722264-9753-8164-90ED-EFC4B132AE05}"/>
              </a:ext>
            </a:extLst>
          </xdr:cNvPr>
          <xdr:cNvCxnSpPr/>
        </xdr:nvCxnSpPr>
        <xdr:spPr>
          <a:xfrm>
            <a:off x="6508166" y="1434660"/>
            <a:ext cx="19554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직선 연결선 96">
            <a:extLst>
              <a:ext uri="{FF2B5EF4-FFF2-40B4-BE49-F238E27FC236}">
                <a16:creationId xmlns:a16="http://schemas.microsoft.com/office/drawing/2014/main" id="{7B45798C-ECE6-60CE-6874-172A11538A88}"/>
              </a:ext>
            </a:extLst>
          </xdr:cNvPr>
          <xdr:cNvCxnSpPr/>
        </xdr:nvCxnSpPr>
        <xdr:spPr>
          <a:xfrm>
            <a:off x="5408755" y="1181782"/>
            <a:ext cx="198513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직선 연결선 97">
            <a:extLst>
              <a:ext uri="{FF2B5EF4-FFF2-40B4-BE49-F238E27FC236}">
                <a16:creationId xmlns:a16="http://schemas.microsoft.com/office/drawing/2014/main" id="{C5788844-5A39-5ABE-3BA3-B99A0B396323}"/>
              </a:ext>
            </a:extLst>
          </xdr:cNvPr>
          <xdr:cNvCxnSpPr/>
        </xdr:nvCxnSpPr>
        <xdr:spPr>
          <a:xfrm>
            <a:off x="4602391" y="516145"/>
            <a:ext cx="238216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직선 연결선 155">
            <a:extLst>
              <a:ext uri="{FF2B5EF4-FFF2-40B4-BE49-F238E27FC236}">
                <a16:creationId xmlns:a16="http://schemas.microsoft.com/office/drawing/2014/main" id="{713A5560-762F-881B-C4ED-5B4AD611B1C1}"/>
              </a:ext>
            </a:extLst>
          </xdr:cNvPr>
          <xdr:cNvCxnSpPr/>
        </xdr:nvCxnSpPr>
        <xdr:spPr>
          <a:xfrm>
            <a:off x="5087151" y="1269252"/>
            <a:ext cx="288747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직선 연결선 156">
            <a:extLst>
              <a:ext uri="{FF2B5EF4-FFF2-40B4-BE49-F238E27FC236}">
                <a16:creationId xmlns:a16="http://schemas.microsoft.com/office/drawing/2014/main" id="{AB11A907-E25E-3EB3-AEF3-94DAA26B9DF5}"/>
              </a:ext>
            </a:extLst>
          </xdr:cNvPr>
          <xdr:cNvCxnSpPr/>
        </xdr:nvCxnSpPr>
        <xdr:spPr>
          <a:xfrm>
            <a:off x="5158093" y="1336052"/>
            <a:ext cx="144374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직선 연결선 99">
            <a:extLst>
              <a:ext uri="{FF2B5EF4-FFF2-40B4-BE49-F238E27FC236}">
                <a16:creationId xmlns:a16="http://schemas.microsoft.com/office/drawing/2014/main" id="{F099C8E9-651E-DE67-3211-8F47BE823D26}"/>
              </a:ext>
            </a:extLst>
          </xdr:cNvPr>
          <xdr:cNvCxnSpPr/>
        </xdr:nvCxnSpPr>
        <xdr:spPr>
          <a:xfrm rot="5400000" flipH="1" flipV="1">
            <a:off x="5131596" y="1219261"/>
            <a:ext cx="7262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직선 연결선 100">
            <a:extLst>
              <a:ext uri="{FF2B5EF4-FFF2-40B4-BE49-F238E27FC236}">
                <a16:creationId xmlns:a16="http://schemas.microsoft.com/office/drawing/2014/main" id="{C2F6D973-A164-05CB-CC28-43E8317275BC}"/>
              </a:ext>
            </a:extLst>
          </xdr:cNvPr>
          <xdr:cNvCxnSpPr/>
        </xdr:nvCxnSpPr>
        <xdr:spPr>
          <a:xfrm rot="5400000">
            <a:off x="5252559" y="1217432"/>
            <a:ext cx="7262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직선 연결선 101">
            <a:extLst>
              <a:ext uri="{FF2B5EF4-FFF2-40B4-BE49-F238E27FC236}">
                <a16:creationId xmlns:a16="http://schemas.microsoft.com/office/drawing/2014/main" id="{377588C5-CCBD-C588-6083-BB8B315E301D}"/>
              </a:ext>
            </a:extLst>
          </xdr:cNvPr>
          <xdr:cNvCxnSpPr/>
        </xdr:nvCxnSpPr>
        <xdr:spPr>
          <a:xfrm>
            <a:off x="5273073" y="1182372"/>
            <a:ext cx="144373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3EBAF185-46D1-739D-30B8-AAB4C0458861}"/>
              </a:ext>
            </a:extLst>
          </xdr:cNvPr>
          <xdr:cNvCxnSpPr/>
        </xdr:nvCxnSpPr>
        <xdr:spPr>
          <a:xfrm>
            <a:off x="5034787" y="1185117"/>
            <a:ext cx="144373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직선 연결선 153">
            <a:extLst>
              <a:ext uri="{FF2B5EF4-FFF2-40B4-BE49-F238E27FC236}">
                <a16:creationId xmlns:a16="http://schemas.microsoft.com/office/drawing/2014/main" id="{8D82DF25-E635-6DEC-F82F-98F3113350F6}"/>
              </a:ext>
            </a:extLst>
          </xdr:cNvPr>
          <xdr:cNvCxnSpPr/>
        </xdr:nvCxnSpPr>
        <xdr:spPr>
          <a:xfrm>
            <a:off x="5307249" y="950231"/>
            <a:ext cx="288747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직선 연결선 154">
            <a:extLst>
              <a:ext uri="{FF2B5EF4-FFF2-40B4-BE49-F238E27FC236}">
                <a16:creationId xmlns:a16="http://schemas.microsoft.com/office/drawing/2014/main" id="{04FE1133-E1E0-40C8-378A-4856D366F74D}"/>
              </a:ext>
            </a:extLst>
          </xdr:cNvPr>
          <xdr:cNvCxnSpPr/>
        </xdr:nvCxnSpPr>
        <xdr:spPr>
          <a:xfrm>
            <a:off x="5378191" y="1017031"/>
            <a:ext cx="144374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직선 연결선 104">
            <a:extLst>
              <a:ext uri="{FF2B5EF4-FFF2-40B4-BE49-F238E27FC236}">
                <a16:creationId xmlns:a16="http://schemas.microsoft.com/office/drawing/2014/main" id="{5EE79EA7-8748-A528-7A5F-44EC1DC0301F}"/>
              </a:ext>
            </a:extLst>
          </xdr:cNvPr>
          <xdr:cNvCxnSpPr/>
        </xdr:nvCxnSpPr>
        <xdr:spPr>
          <a:xfrm rot="5400000" flipH="1" flipV="1">
            <a:off x="5351694" y="900240"/>
            <a:ext cx="7262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직선 연결선 105">
            <a:extLst>
              <a:ext uri="{FF2B5EF4-FFF2-40B4-BE49-F238E27FC236}">
                <a16:creationId xmlns:a16="http://schemas.microsoft.com/office/drawing/2014/main" id="{C9F99014-72F5-469F-1F2B-2BC684C3574C}"/>
              </a:ext>
            </a:extLst>
          </xdr:cNvPr>
          <xdr:cNvCxnSpPr/>
        </xdr:nvCxnSpPr>
        <xdr:spPr>
          <a:xfrm rot="5400000">
            <a:off x="5472657" y="898411"/>
            <a:ext cx="7262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17F71B21-202C-2B63-7075-98E920D7112F}"/>
              </a:ext>
            </a:extLst>
          </xdr:cNvPr>
          <xdr:cNvCxnSpPr/>
        </xdr:nvCxnSpPr>
        <xdr:spPr>
          <a:xfrm>
            <a:off x="5493172" y="863351"/>
            <a:ext cx="144373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직선 연결선 107">
            <a:extLst>
              <a:ext uri="{FF2B5EF4-FFF2-40B4-BE49-F238E27FC236}">
                <a16:creationId xmlns:a16="http://schemas.microsoft.com/office/drawing/2014/main" id="{A120D6C0-4C0F-B369-3C16-62CF2823B9A8}"/>
              </a:ext>
            </a:extLst>
          </xdr:cNvPr>
          <xdr:cNvCxnSpPr/>
        </xdr:nvCxnSpPr>
        <xdr:spPr>
          <a:xfrm>
            <a:off x="5254885" y="866096"/>
            <a:ext cx="144373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46E50D42-EB11-3396-8892-589E32E02194}"/>
              </a:ext>
            </a:extLst>
          </xdr:cNvPr>
          <xdr:cNvCxnSpPr/>
        </xdr:nvCxnSpPr>
        <xdr:spPr>
          <a:xfrm flipH="1" flipV="1">
            <a:off x="6178934" y="1444946"/>
            <a:ext cx="0" cy="36314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직선 연결선 109">
            <a:extLst>
              <a:ext uri="{FF2B5EF4-FFF2-40B4-BE49-F238E27FC236}">
                <a16:creationId xmlns:a16="http://schemas.microsoft.com/office/drawing/2014/main" id="{CE89224E-9009-A907-1C12-FD88FE8645C3}"/>
              </a:ext>
            </a:extLst>
          </xdr:cNvPr>
          <xdr:cNvCxnSpPr/>
        </xdr:nvCxnSpPr>
        <xdr:spPr>
          <a:xfrm flipH="1" flipV="1">
            <a:off x="6386297" y="1447691"/>
            <a:ext cx="0" cy="14525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직선 연결선 110">
            <a:extLst>
              <a:ext uri="{FF2B5EF4-FFF2-40B4-BE49-F238E27FC236}">
                <a16:creationId xmlns:a16="http://schemas.microsoft.com/office/drawing/2014/main" id="{604F93C7-7CBB-1927-BE37-B0B0D0D9CBDA}"/>
              </a:ext>
            </a:extLst>
          </xdr:cNvPr>
          <xdr:cNvCxnSpPr/>
        </xdr:nvCxnSpPr>
        <xdr:spPr>
          <a:xfrm flipH="1" flipV="1">
            <a:off x="6598209" y="1441284"/>
            <a:ext cx="0" cy="14525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직선 연결선 111">
            <a:extLst>
              <a:ext uri="{FF2B5EF4-FFF2-40B4-BE49-F238E27FC236}">
                <a16:creationId xmlns:a16="http://schemas.microsoft.com/office/drawing/2014/main" id="{F963F128-3B08-30FD-7A0D-C740D9BCB03C}"/>
              </a:ext>
            </a:extLst>
          </xdr:cNvPr>
          <xdr:cNvCxnSpPr/>
        </xdr:nvCxnSpPr>
        <xdr:spPr>
          <a:xfrm flipH="1" flipV="1">
            <a:off x="6178024" y="514369"/>
            <a:ext cx="0" cy="80406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" name="직선 연결선 112">
            <a:extLst>
              <a:ext uri="{FF2B5EF4-FFF2-40B4-BE49-F238E27FC236}">
                <a16:creationId xmlns:a16="http://schemas.microsoft.com/office/drawing/2014/main" id="{65487CE4-AF63-AC12-F584-A1CFDDA5B01E}"/>
              </a:ext>
            </a:extLst>
          </xdr:cNvPr>
          <xdr:cNvCxnSpPr/>
        </xdr:nvCxnSpPr>
        <xdr:spPr>
          <a:xfrm flipH="1" flipV="1">
            <a:off x="6389026" y="846491"/>
            <a:ext cx="0" cy="47209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직선 연결선 113">
            <a:extLst>
              <a:ext uri="{FF2B5EF4-FFF2-40B4-BE49-F238E27FC236}">
                <a16:creationId xmlns:a16="http://schemas.microsoft.com/office/drawing/2014/main" id="{203E803E-6702-74C8-F554-B97A1DBACC8F}"/>
              </a:ext>
            </a:extLst>
          </xdr:cNvPr>
          <xdr:cNvCxnSpPr/>
        </xdr:nvCxnSpPr>
        <xdr:spPr>
          <a:xfrm flipV="1">
            <a:off x="6591843" y="1168644"/>
            <a:ext cx="0" cy="14092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직선 연결선 114">
            <a:extLst>
              <a:ext uri="{FF2B5EF4-FFF2-40B4-BE49-F238E27FC236}">
                <a16:creationId xmlns:a16="http://schemas.microsoft.com/office/drawing/2014/main" id="{4FC2ABE7-628B-A3BD-B87B-20AF6FCDE98D}"/>
              </a:ext>
            </a:extLst>
          </xdr:cNvPr>
          <xdr:cNvCxnSpPr/>
        </xdr:nvCxnSpPr>
        <xdr:spPr>
          <a:xfrm>
            <a:off x="5625564" y="861776"/>
            <a:ext cx="155201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직선 연결선 115">
            <a:extLst>
              <a:ext uri="{FF2B5EF4-FFF2-40B4-BE49-F238E27FC236}">
                <a16:creationId xmlns:a16="http://schemas.microsoft.com/office/drawing/2014/main" id="{CCEE23C7-A2CD-D646-FFE5-F55705300968}"/>
              </a:ext>
            </a:extLst>
          </xdr:cNvPr>
          <xdr:cNvCxnSpPr/>
        </xdr:nvCxnSpPr>
        <xdr:spPr>
          <a:xfrm>
            <a:off x="4636951" y="1182318"/>
            <a:ext cx="397027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직선 연결선 116">
            <a:extLst>
              <a:ext uri="{FF2B5EF4-FFF2-40B4-BE49-F238E27FC236}">
                <a16:creationId xmlns:a16="http://schemas.microsoft.com/office/drawing/2014/main" id="{FE3FDC4D-E88D-BAB6-BB11-9DA147384645}"/>
              </a:ext>
            </a:extLst>
          </xdr:cNvPr>
          <xdr:cNvCxnSpPr/>
        </xdr:nvCxnSpPr>
        <xdr:spPr>
          <a:xfrm>
            <a:off x="4612396" y="865166"/>
            <a:ext cx="721867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직선 연결선 117">
            <a:extLst>
              <a:ext uri="{FF2B5EF4-FFF2-40B4-BE49-F238E27FC236}">
                <a16:creationId xmlns:a16="http://schemas.microsoft.com/office/drawing/2014/main" id="{AEA80EF2-1F34-6A9E-5002-34B2D361E1E3}"/>
              </a:ext>
            </a:extLst>
          </xdr:cNvPr>
          <xdr:cNvCxnSpPr/>
        </xdr:nvCxnSpPr>
        <xdr:spPr>
          <a:xfrm>
            <a:off x="6385002" y="1586782"/>
            <a:ext cx="21656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직선 연결선 118">
            <a:extLst>
              <a:ext uri="{FF2B5EF4-FFF2-40B4-BE49-F238E27FC236}">
                <a16:creationId xmlns:a16="http://schemas.microsoft.com/office/drawing/2014/main" id="{91EFAEE1-D210-E1B7-C43F-E56FF695272D}"/>
              </a:ext>
            </a:extLst>
          </xdr:cNvPr>
          <xdr:cNvCxnSpPr/>
        </xdr:nvCxnSpPr>
        <xdr:spPr>
          <a:xfrm flipH="1">
            <a:off x="5444059" y="1011250"/>
            <a:ext cx="0" cy="708135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직선 연결선 119">
            <a:extLst>
              <a:ext uri="{FF2B5EF4-FFF2-40B4-BE49-F238E27FC236}">
                <a16:creationId xmlns:a16="http://schemas.microsoft.com/office/drawing/2014/main" id="{792FFCA1-5F9E-4DB1-EB29-69A8EFE3037E}"/>
              </a:ext>
            </a:extLst>
          </xdr:cNvPr>
          <xdr:cNvCxnSpPr/>
        </xdr:nvCxnSpPr>
        <xdr:spPr>
          <a:xfrm>
            <a:off x="4661895" y="1720435"/>
            <a:ext cx="794053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직선 연결선 120">
            <a:extLst>
              <a:ext uri="{FF2B5EF4-FFF2-40B4-BE49-F238E27FC236}">
                <a16:creationId xmlns:a16="http://schemas.microsoft.com/office/drawing/2014/main" id="{B65EAE32-247A-EEF0-A87F-5B271497BF6F}"/>
              </a:ext>
            </a:extLst>
          </xdr:cNvPr>
          <xdr:cNvCxnSpPr/>
        </xdr:nvCxnSpPr>
        <xdr:spPr>
          <a:xfrm>
            <a:off x="4641886" y="1494411"/>
            <a:ext cx="59554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1D03C11-1ADC-18DC-46AF-B510775E0751}"/>
              </a:ext>
            </a:extLst>
          </xdr:cNvPr>
          <xdr:cNvSpPr txBox="1"/>
        </xdr:nvSpPr>
        <xdr:spPr>
          <a:xfrm>
            <a:off x="4677357" y="1348343"/>
            <a:ext cx="304654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GATE3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38CC9641-53D7-37E2-2E62-A7BAB17841AA}"/>
              </a:ext>
            </a:extLst>
          </xdr:cNvPr>
          <xdr:cNvSpPr txBox="1"/>
        </xdr:nvSpPr>
        <xdr:spPr>
          <a:xfrm>
            <a:off x="4680085" y="1575280"/>
            <a:ext cx="304654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GATE2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F6F0D36-4346-E008-69DA-A3C06B5B7F14}"/>
              </a:ext>
            </a:extLst>
          </xdr:cNvPr>
          <xdr:cNvSpPr txBox="1"/>
        </xdr:nvSpPr>
        <xdr:spPr>
          <a:xfrm>
            <a:off x="4639158" y="362812"/>
            <a:ext cx="304396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765648FD-62F3-A32D-2245-31D49A435AC7}"/>
              </a:ext>
            </a:extLst>
          </xdr:cNvPr>
          <xdr:cNvSpPr txBox="1"/>
        </xdr:nvSpPr>
        <xdr:spPr>
          <a:xfrm>
            <a:off x="4641886" y="699561"/>
            <a:ext cx="304396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VLED2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C0E18BCC-8256-DD1E-532E-D04EFCAAC273}"/>
              </a:ext>
            </a:extLst>
          </xdr:cNvPr>
          <xdr:cNvSpPr txBox="1"/>
        </xdr:nvSpPr>
        <xdr:spPr>
          <a:xfrm>
            <a:off x="4653709" y="1022579"/>
            <a:ext cx="304396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VLED3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A7C7EC1C-10CA-0F53-535B-2EE864DE71EF}"/>
              </a:ext>
            </a:extLst>
          </xdr:cNvPr>
          <xdr:cNvSpPr txBox="1"/>
        </xdr:nvSpPr>
        <xdr:spPr>
          <a:xfrm>
            <a:off x="6110722" y="1847971"/>
            <a:ext cx="194916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CHx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52" name="이등변 삼각형 151">
            <a:extLst>
              <a:ext uri="{FF2B5EF4-FFF2-40B4-BE49-F238E27FC236}">
                <a16:creationId xmlns:a16="http://schemas.microsoft.com/office/drawing/2014/main" id="{757B0CB3-43CA-F8E0-9AB7-214BC63F18A8}"/>
              </a:ext>
            </a:extLst>
          </xdr:cNvPr>
          <xdr:cNvSpPr/>
        </xdr:nvSpPr>
        <xdr:spPr>
          <a:xfrm rot="10800000">
            <a:off x="6882495" y="1309514"/>
            <a:ext cx="180467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53" name="직선 연결선 152">
            <a:extLst>
              <a:ext uri="{FF2B5EF4-FFF2-40B4-BE49-F238E27FC236}">
                <a16:creationId xmlns:a16="http://schemas.microsoft.com/office/drawing/2014/main" id="{6C0654AD-BD07-1E96-7635-576BBCB4635A}"/>
              </a:ext>
            </a:extLst>
          </xdr:cNvPr>
          <xdr:cNvCxnSpPr/>
        </xdr:nvCxnSpPr>
        <xdr:spPr>
          <a:xfrm>
            <a:off x="6875800" y="1432185"/>
            <a:ext cx="19554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0" name="이등변 삼각형 149">
            <a:extLst>
              <a:ext uri="{FF2B5EF4-FFF2-40B4-BE49-F238E27FC236}">
                <a16:creationId xmlns:a16="http://schemas.microsoft.com/office/drawing/2014/main" id="{8ED80B81-F5F3-6E15-4336-EC4E1925CE0B}"/>
              </a:ext>
            </a:extLst>
          </xdr:cNvPr>
          <xdr:cNvSpPr/>
        </xdr:nvSpPr>
        <xdr:spPr>
          <a:xfrm rot="10800000">
            <a:off x="7089858" y="1312259"/>
            <a:ext cx="180467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51" name="직선 연결선 150">
            <a:extLst>
              <a:ext uri="{FF2B5EF4-FFF2-40B4-BE49-F238E27FC236}">
                <a16:creationId xmlns:a16="http://schemas.microsoft.com/office/drawing/2014/main" id="{1A70BE8C-BA74-1B69-4699-AEA2F7A0E8EF}"/>
              </a:ext>
            </a:extLst>
          </xdr:cNvPr>
          <xdr:cNvCxnSpPr/>
        </xdr:nvCxnSpPr>
        <xdr:spPr>
          <a:xfrm>
            <a:off x="7090245" y="1432184"/>
            <a:ext cx="19554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8" name="이등변 삼각형 147">
            <a:extLst>
              <a:ext uri="{FF2B5EF4-FFF2-40B4-BE49-F238E27FC236}">
                <a16:creationId xmlns:a16="http://schemas.microsoft.com/office/drawing/2014/main" id="{34D23DFF-5B53-162B-6198-C7A8E13DA1E5}"/>
              </a:ext>
            </a:extLst>
          </xdr:cNvPr>
          <xdr:cNvSpPr/>
        </xdr:nvSpPr>
        <xdr:spPr>
          <a:xfrm rot="10800000">
            <a:off x="7301766" y="1310429"/>
            <a:ext cx="180466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9" name="직선 연결선 148">
            <a:extLst>
              <a:ext uri="{FF2B5EF4-FFF2-40B4-BE49-F238E27FC236}">
                <a16:creationId xmlns:a16="http://schemas.microsoft.com/office/drawing/2014/main" id="{A6CE6E4E-95B6-80EA-4760-BAF1876D5B07}"/>
              </a:ext>
            </a:extLst>
          </xdr:cNvPr>
          <xdr:cNvCxnSpPr/>
        </xdr:nvCxnSpPr>
        <xdr:spPr>
          <a:xfrm>
            <a:off x="7306702" y="1428254"/>
            <a:ext cx="19554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직선 연결선 130">
            <a:extLst>
              <a:ext uri="{FF2B5EF4-FFF2-40B4-BE49-F238E27FC236}">
                <a16:creationId xmlns:a16="http://schemas.microsoft.com/office/drawing/2014/main" id="{DCA029DF-B60E-BD56-F0E1-0F8D63FF9066}"/>
              </a:ext>
            </a:extLst>
          </xdr:cNvPr>
          <xdr:cNvCxnSpPr/>
        </xdr:nvCxnSpPr>
        <xdr:spPr>
          <a:xfrm flipH="1" flipV="1">
            <a:off x="6977470" y="1443116"/>
            <a:ext cx="0" cy="36314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" name="직선 연결선 131">
            <a:extLst>
              <a:ext uri="{FF2B5EF4-FFF2-40B4-BE49-F238E27FC236}">
                <a16:creationId xmlns:a16="http://schemas.microsoft.com/office/drawing/2014/main" id="{168E617F-3BAD-5C45-24D9-E23E377583FF}"/>
              </a:ext>
            </a:extLst>
          </xdr:cNvPr>
          <xdr:cNvCxnSpPr/>
        </xdr:nvCxnSpPr>
        <xdr:spPr>
          <a:xfrm flipH="1" flipV="1">
            <a:off x="7184833" y="1441285"/>
            <a:ext cx="0" cy="14525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직선 연결선 132">
            <a:extLst>
              <a:ext uri="{FF2B5EF4-FFF2-40B4-BE49-F238E27FC236}">
                <a16:creationId xmlns:a16="http://schemas.microsoft.com/office/drawing/2014/main" id="{765400AF-9091-D550-A96E-0659006C0879}"/>
              </a:ext>
            </a:extLst>
          </xdr:cNvPr>
          <xdr:cNvCxnSpPr/>
        </xdr:nvCxnSpPr>
        <xdr:spPr>
          <a:xfrm flipH="1" flipV="1">
            <a:off x="7401650" y="1434879"/>
            <a:ext cx="0" cy="14525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직선 연결선 133">
            <a:extLst>
              <a:ext uri="{FF2B5EF4-FFF2-40B4-BE49-F238E27FC236}">
                <a16:creationId xmlns:a16="http://schemas.microsoft.com/office/drawing/2014/main" id="{99DCCCFE-FF25-CB4B-0BDC-EFD512255436}"/>
              </a:ext>
            </a:extLst>
          </xdr:cNvPr>
          <xdr:cNvCxnSpPr/>
        </xdr:nvCxnSpPr>
        <xdr:spPr>
          <a:xfrm flipH="1" flipV="1">
            <a:off x="6976284" y="515124"/>
            <a:ext cx="0" cy="8068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직선 연결선 134">
            <a:extLst>
              <a:ext uri="{FF2B5EF4-FFF2-40B4-BE49-F238E27FC236}">
                <a16:creationId xmlns:a16="http://schemas.microsoft.com/office/drawing/2014/main" id="{2D22F63C-A23B-2D01-75F3-71034884EBE7}"/>
              </a:ext>
            </a:extLst>
          </xdr:cNvPr>
          <xdr:cNvCxnSpPr/>
        </xdr:nvCxnSpPr>
        <xdr:spPr>
          <a:xfrm flipH="1" flipV="1">
            <a:off x="7187562" y="857044"/>
            <a:ext cx="0" cy="47209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" name="직선 연결선 135">
            <a:extLst>
              <a:ext uri="{FF2B5EF4-FFF2-40B4-BE49-F238E27FC236}">
                <a16:creationId xmlns:a16="http://schemas.microsoft.com/office/drawing/2014/main" id="{617951D8-5731-3199-2F3A-D7E091A7618E}"/>
              </a:ext>
            </a:extLst>
          </xdr:cNvPr>
          <xdr:cNvCxnSpPr/>
        </xdr:nvCxnSpPr>
        <xdr:spPr>
          <a:xfrm>
            <a:off x="7192635" y="1580376"/>
            <a:ext cx="21656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8CB87223-00F1-3C44-2015-271DE174CDCB}"/>
              </a:ext>
            </a:extLst>
          </xdr:cNvPr>
          <xdr:cNvSpPr txBox="1"/>
        </xdr:nvSpPr>
        <xdr:spPr>
          <a:xfrm>
            <a:off x="6390845" y="1846141"/>
            <a:ext cx="312174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CHx+1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38" name="타원 137">
            <a:extLst>
              <a:ext uri="{FF2B5EF4-FFF2-40B4-BE49-F238E27FC236}">
                <a16:creationId xmlns:a16="http://schemas.microsoft.com/office/drawing/2014/main" id="{D9EFFC01-D486-333B-599E-8B5833308804}"/>
              </a:ext>
            </a:extLst>
          </xdr:cNvPr>
          <xdr:cNvSpPr/>
        </xdr:nvSpPr>
        <xdr:spPr>
          <a:xfrm>
            <a:off x="6560011" y="1150343"/>
            <a:ext cx="72187" cy="7262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타원 138">
            <a:extLst>
              <a:ext uri="{FF2B5EF4-FFF2-40B4-BE49-F238E27FC236}">
                <a16:creationId xmlns:a16="http://schemas.microsoft.com/office/drawing/2014/main" id="{0BA1129D-CEE9-3AAD-1B7E-5C6CC961B52C}"/>
              </a:ext>
            </a:extLst>
          </xdr:cNvPr>
          <xdr:cNvSpPr/>
        </xdr:nvSpPr>
        <xdr:spPr>
          <a:xfrm>
            <a:off x="6353556" y="832814"/>
            <a:ext cx="72187" cy="7262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타원 139">
            <a:extLst>
              <a:ext uri="{FF2B5EF4-FFF2-40B4-BE49-F238E27FC236}">
                <a16:creationId xmlns:a16="http://schemas.microsoft.com/office/drawing/2014/main" id="{55206848-C6A0-A88E-67EE-C722B1BD6E2C}"/>
              </a:ext>
            </a:extLst>
          </xdr:cNvPr>
          <xdr:cNvSpPr/>
        </xdr:nvSpPr>
        <xdr:spPr>
          <a:xfrm>
            <a:off x="6142554" y="474106"/>
            <a:ext cx="72187" cy="7262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6D64FBE8-FD30-277C-6D7A-E22BDA789816}"/>
              </a:ext>
            </a:extLst>
          </xdr:cNvPr>
          <xdr:cNvSpPr/>
        </xdr:nvSpPr>
        <xdr:spPr>
          <a:xfrm>
            <a:off x="6458147" y="1555720"/>
            <a:ext cx="72187" cy="7262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2" name="타원 141">
            <a:extLst>
              <a:ext uri="{FF2B5EF4-FFF2-40B4-BE49-F238E27FC236}">
                <a16:creationId xmlns:a16="http://schemas.microsoft.com/office/drawing/2014/main" id="{81234010-E81C-3B63-6C96-C7EF526964B9}"/>
              </a:ext>
            </a:extLst>
          </xdr:cNvPr>
          <xdr:cNvSpPr/>
        </xdr:nvSpPr>
        <xdr:spPr>
          <a:xfrm>
            <a:off x="7265781" y="1553889"/>
            <a:ext cx="72187" cy="7262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3" name="직선 연결선 142">
            <a:extLst>
              <a:ext uri="{FF2B5EF4-FFF2-40B4-BE49-F238E27FC236}">
                <a16:creationId xmlns:a16="http://schemas.microsoft.com/office/drawing/2014/main" id="{752C3318-57A6-2115-76F6-9BB20CCE4CBF}"/>
              </a:ext>
            </a:extLst>
          </xdr:cNvPr>
          <xdr:cNvCxnSpPr/>
        </xdr:nvCxnSpPr>
        <xdr:spPr>
          <a:xfrm flipV="1">
            <a:off x="7395284" y="1175210"/>
            <a:ext cx="0" cy="14092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직선 연결선 143">
            <a:extLst>
              <a:ext uri="{FF2B5EF4-FFF2-40B4-BE49-F238E27FC236}">
                <a16:creationId xmlns:a16="http://schemas.microsoft.com/office/drawing/2014/main" id="{E9ECEF81-1FEA-9C8B-B6C1-17423E082316}"/>
              </a:ext>
            </a:extLst>
          </xdr:cNvPr>
          <xdr:cNvCxnSpPr/>
        </xdr:nvCxnSpPr>
        <xdr:spPr>
          <a:xfrm flipH="1" flipV="1">
            <a:off x="7305796" y="1590442"/>
            <a:ext cx="0" cy="21788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직선 연결선 144">
            <a:extLst>
              <a:ext uri="{FF2B5EF4-FFF2-40B4-BE49-F238E27FC236}">
                <a16:creationId xmlns:a16="http://schemas.microsoft.com/office/drawing/2014/main" id="{6F39C9FC-F4ED-B6E6-E811-5BE11DF1CE6C}"/>
              </a:ext>
            </a:extLst>
          </xdr:cNvPr>
          <xdr:cNvCxnSpPr/>
        </xdr:nvCxnSpPr>
        <xdr:spPr>
          <a:xfrm flipH="1" flipV="1">
            <a:off x="6499074" y="1588611"/>
            <a:ext cx="0" cy="21788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6" name="TextBox 145">
            <a:extLst>
              <a:ext uri="{FF2B5EF4-FFF2-40B4-BE49-F238E27FC236}">
                <a16:creationId xmlns:a16="http://schemas.microsoft.com/office/drawing/2014/main" id="{A4AA6919-446E-DA3F-54E5-E6246D0CD6F4}"/>
              </a:ext>
            </a:extLst>
          </xdr:cNvPr>
          <xdr:cNvSpPr txBox="1"/>
        </xdr:nvSpPr>
        <xdr:spPr>
          <a:xfrm>
            <a:off x="6877425" y="1850715"/>
            <a:ext cx="194916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CHy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4155D1BE-8E02-DE0B-8431-B682CCBCBD7C}"/>
              </a:ext>
            </a:extLst>
          </xdr:cNvPr>
          <xdr:cNvSpPr txBox="1"/>
        </xdr:nvSpPr>
        <xdr:spPr>
          <a:xfrm>
            <a:off x="7157549" y="1848886"/>
            <a:ext cx="312174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CHy+1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2270C4EF-DD10-B7E3-432E-34D7CEE14684}"/>
              </a:ext>
            </a:extLst>
          </xdr:cNvPr>
          <xdr:cNvSpPr txBox="1"/>
        </xdr:nvSpPr>
        <xdr:spPr>
          <a:xfrm>
            <a:off x="5877889" y="275113"/>
            <a:ext cx="673839" cy="172227"/>
          </a:xfrm>
          <a:prstGeom prst="rect">
            <a:avLst/>
          </a:prstGeom>
          <a:solidFill>
            <a:srgbClr val="FFFF0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 b="0" i="0">
                <a:solidFill>
                  <a:schemeClr val="tx1"/>
                </a:solidFill>
              </a:rPr>
              <a:t>ld_type</a:t>
            </a:r>
            <a:r>
              <a:rPr lang="en-US" altLang="ko-KR" sz="1100" b="0" i="0" baseline="0">
                <a:solidFill>
                  <a:schemeClr val="tx1"/>
                </a:solidFill>
              </a:rPr>
              <a:t> = 10</a:t>
            </a:r>
            <a:endParaRPr lang="ko-KR" altLang="en-US" sz="1100" b="0" i="0">
              <a:solidFill>
                <a:schemeClr val="tx1"/>
              </a:solidFill>
            </a:endParaRPr>
          </a:p>
        </xdr:txBody>
      </xdr:sp>
      <xdr:sp macro="" textlink="">
        <xdr:nvSpPr>
          <xdr:cNvPr id="164" name="직사각형 163">
            <a:extLst>
              <a:ext uri="{FF2B5EF4-FFF2-40B4-BE49-F238E27FC236}">
                <a16:creationId xmlns:a16="http://schemas.microsoft.com/office/drawing/2014/main" id="{11715277-0331-EE5F-8C9C-A8CFABBAB6E0}"/>
              </a:ext>
            </a:extLst>
          </xdr:cNvPr>
          <xdr:cNvSpPr/>
        </xdr:nvSpPr>
        <xdr:spPr>
          <a:xfrm>
            <a:off x="4469944" y="206374"/>
            <a:ext cx="3279780" cy="2421071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A5DDC871-5160-4D99-AD3E-3A4564B8593B}"/>
              </a:ext>
            </a:extLst>
          </xdr:cNvPr>
          <xdr:cNvSpPr txBox="1"/>
        </xdr:nvSpPr>
        <xdr:spPr>
          <a:xfrm>
            <a:off x="6656187" y="2136060"/>
            <a:ext cx="353045" cy="156518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000" b="1" i="0">
                <a:solidFill>
                  <a:schemeClr val="tx1"/>
                </a:solidFill>
              </a:rPr>
              <a:t>XDR12</a:t>
            </a:r>
            <a:endParaRPr lang="ko-KR" altLang="en-US" sz="1000" b="1" i="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14</xdr:col>
      <xdr:colOff>300939</xdr:colOff>
      <xdr:row>8</xdr:row>
      <xdr:rowOff>69847</xdr:rowOff>
    </xdr:from>
    <xdr:to>
      <xdr:col>16</xdr:col>
      <xdr:colOff>517469</xdr:colOff>
      <xdr:row>11</xdr:row>
      <xdr:rowOff>25198</xdr:rowOff>
    </xdr:to>
    <xdr:sp macro="" textlink="">
      <xdr:nvSpPr>
        <xdr:cNvPr id="270" name="직사각형 269">
          <a:extLst>
            <a:ext uri="{FF2B5EF4-FFF2-40B4-BE49-F238E27FC236}">
              <a16:creationId xmlns:a16="http://schemas.microsoft.com/office/drawing/2014/main" id="{731A9431-A6E8-4379-A3A6-881F12ED402A}"/>
            </a:ext>
          </a:extLst>
        </xdr:cNvPr>
        <xdr:cNvSpPr/>
      </xdr:nvSpPr>
      <xdr:spPr>
        <a:xfrm>
          <a:off x="9724339" y="1797047"/>
          <a:ext cx="1537330" cy="60305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181338</xdr:colOff>
      <xdr:row>6</xdr:row>
      <xdr:rowOff>34622</xdr:rowOff>
    </xdr:from>
    <xdr:to>
      <xdr:col>13</xdr:col>
      <xdr:colOff>181338</xdr:colOff>
      <xdr:row>6</xdr:row>
      <xdr:rowOff>178574</xdr:rowOff>
    </xdr:to>
    <xdr:cxnSp macro="">
      <xdr:nvCxnSpPr>
        <xdr:cNvPr id="271" name="직선 연결선 270">
          <a:extLst>
            <a:ext uri="{FF2B5EF4-FFF2-40B4-BE49-F238E27FC236}">
              <a16:creationId xmlns:a16="http://schemas.microsoft.com/office/drawing/2014/main" id="{928EA8E2-4A77-4BEF-9F16-E30F28E7D1BB}"/>
            </a:ext>
          </a:extLst>
        </xdr:cNvPr>
        <xdr:cNvCxnSpPr/>
      </xdr:nvCxnSpPr>
      <xdr:spPr>
        <a:xfrm flipH="1">
          <a:off x="8944338" y="1330022"/>
          <a:ext cx="0" cy="14395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464096</xdr:colOff>
      <xdr:row>6</xdr:row>
      <xdr:rowOff>6460</xdr:rowOff>
    </xdr:from>
    <xdr:to>
      <xdr:col>14</xdr:col>
      <xdr:colOff>644064</xdr:colOff>
      <xdr:row>6</xdr:row>
      <xdr:rowOff>114424</xdr:rowOff>
    </xdr:to>
    <xdr:sp macro="" textlink="">
      <xdr:nvSpPr>
        <xdr:cNvPr id="274" name="이등변 삼각형 273">
          <a:extLst>
            <a:ext uri="{FF2B5EF4-FFF2-40B4-BE49-F238E27FC236}">
              <a16:creationId xmlns:a16="http://schemas.microsoft.com/office/drawing/2014/main" id="{F9C217DA-E4D0-4C1E-B4C5-F783ACF98A27}"/>
            </a:ext>
          </a:extLst>
        </xdr:cNvPr>
        <xdr:cNvSpPr/>
      </xdr:nvSpPr>
      <xdr:spPr>
        <a:xfrm rot="10800000">
          <a:off x="9887496" y="1301860"/>
          <a:ext cx="179968" cy="107964"/>
        </a:xfrm>
        <a:prstGeom prst="triangl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462035</xdr:colOff>
      <xdr:row>6</xdr:row>
      <xdr:rowOff>125307</xdr:rowOff>
    </xdr:from>
    <xdr:to>
      <xdr:col>14</xdr:col>
      <xdr:colOff>657036</xdr:colOff>
      <xdr:row>6</xdr:row>
      <xdr:rowOff>125307</xdr:rowOff>
    </xdr:to>
    <xdr:cxnSp macro="">
      <xdr:nvCxnSpPr>
        <xdr:cNvPr id="275" name="직선 연결선 274">
          <a:extLst>
            <a:ext uri="{FF2B5EF4-FFF2-40B4-BE49-F238E27FC236}">
              <a16:creationId xmlns:a16="http://schemas.microsoft.com/office/drawing/2014/main" id="{40A4D5B9-9D60-4831-B1FC-A2F4B0000DAF}"/>
            </a:ext>
          </a:extLst>
        </xdr:cNvPr>
        <xdr:cNvCxnSpPr/>
      </xdr:nvCxnSpPr>
      <xdr:spPr>
        <a:xfrm>
          <a:off x="9885435" y="1420707"/>
          <a:ext cx="19500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15018</xdr:colOff>
      <xdr:row>6</xdr:row>
      <xdr:rowOff>4646</xdr:rowOff>
    </xdr:from>
    <xdr:to>
      <xdr:col>15</xdr:col>
      <xdr:colOff>194985</xdr:colOff>
      <xdr:row>6</xdr:row>
      <xdr:rowOff>112610</xdr:rowOff>
    </xdr:to>
    <xdr:sp macro="" textlink="">
      <xdr:nvSpPr>
        <xdr:cNvPr id="276" name="이등변 삼각형 275">
          <a:extLst>
            <a:ext uri="{FF2B5EF4-FFF2-40B4-BE49-F238E27FC236}">
              <a16:creationId xmlns:a16="http://schemas.microsoft.com/office/drawing/2014/main" id="{BFD74F37-7624-4500-81EE-58EEA11E717C}"/>
            </a:ext>
          </a:extLst>
        </xdr:cNvPr>
        <xdr:cNvSpPr/>
      </xdr:nvSpPr>
      <xdr:spPr>
        <a:xfrm rot="10800000">
          <a:off x="10098818" y="1300046"/>
          <a:ext cx="179967" cy="107964"/>
        </a:xfrm>
        <a:prstGeom prst="triangl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19940</xdr:colOff>
      <xdr:row>6</xdr:row>
      <xdr:rowOff>121413</xdr:rowOff>
    </xdr:from>
    <xdr:to>
      <xdr:col>15</xdr:col>
      <xdr:colOff>214940</xdr:colOff>
      <xdr:row>6</xdr:row>
      <xdr:rowOff>121413</xdr:rowOff>
    </xdr:to>
    <xdr:cxnSp macro="">
      <xdr:nvCxnSpPr>
        <xdr:cNvPr id="277" name="직선 연결선 276">
          <a:extLst>
            <a:ext uri="{FF2B5EF4-FFF2-40B4-BE49-F238E27FC236}">
              <a16:creationId xmlns:a16="http://schemas.microsoft.com/office/drawing/2014/main" id="{6BFDC342-531D-4A03-82EE-2D7377EE4D7C}"/>
            </a:ext>
          </a:extLst>
        </xdr:cNvPr>
        <xdr:cNvCxnSpPr/>
      </xdr:nvCxnSpPr>
      <xdr:spPr>
        <a:xfrm>
          <a:off x="10103740" y="1416813"/>
          <a:ext cx="195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364793</xdr:colOff>
      <xdr:row>5</xdr:row>
      <xdr:rowOff>84255</xdr:rowOff>
    </xdr:from>
    <xdr:to>
      <xdr:col>16</xdr:col>
      <xdr:colOff>250415</xdr:colOff>
      <xdr:row>5</xdr:row>
      <xdr:rowOff>84255</xdr:rowOff>
    </xdr:to>
    <xdr:cxnSp macro="">
      <xdr:nvCxnSpPr>
        <xdr:cNvPr id="278" name="직선 연결선 277">
          <a:extLst>
            <a:ext uri="{FF2B5EF4-FFF2-40B4-BE49-F238E27FC236}">
              <a16:creationId xmlns:a16="http://schemas.microsoft.com/office/drawing/2014/main" id="{80BF80CA-C637-47DA-B3C7-960C13C45F4E}"/>
            </a:ext>
          </a:extLst>
        </xdr:cNvPr>
        <xdr:cNvCxnSpPr/>
      </xdr:nvCxnSpPr>
      <xdr:spPr>
        <a:xfrm>
          <a:off x="9127793" y="1163755"/>
          <a:ext cx="186682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36742</xdr:colOff>
      <xdr:row>5</xdr:row>
      <xdr:rowOff>173392</xdr:rowOff>
    </xdr:from>
    <xdr:to>
      <xdr:col>13</xdr:col>
      <xdr:colOff>324690</xdr:colOff>
      <xdr:row>5</xdr:row>
      <xdr:rowOff>173392</xdr:rowOff>
    </xdr:to>
    <xdr:cxnSp macro="">
      <xdr:nvCxnSpPr>
        <xdr:cNvPr id="280" name="직선 연결선 279">
          <a:extLst>
            <a:ext uri="{FF2B5EF4-FFF2-40B4-BE49-F238E27FC236}">
              <a16:creationId xmlns:a16="http://schemas.microsoft.com/office/drawing/2014/main" id="{2F618B89-6DA5-4519-8649-59CDDB034C28}"/>
            </a:ext>
          </a:extLst>
        </xdr:cNvPr>
        <xdr:cNvCxnSpPr/>
      </xdr:nvCxnSpPr>
      <xdr:spPr>
        <a:xfrm>
          <a:off x="8799742" y="1252892"/>
          <a:ext cx="287948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107488</xdr:colOff>
      <xdr:row>6</xdr:row>
      <xdr:rowOff>23692</xdr:rowOff>
    </xdr:from>
    <xdr:to>
      <xdr:col>13</xdr:col>
      <xdr:colOff>251463</xdr:colOff>
      <xdr:row>6</xdr:row>
      <xdr:rowOff>23692</xdr:rowOff>
    </xdr:to>
    <xdr:cxnSp macro="">
      <xdr:nvCxnSpPr>
        <xdr:cNvPr id="281" name="직선 연결선 280">
          <a:extLst>
            <a:ext uri="{FF2B5EF4-FFF2-40B4-BE49-F238E27FC236}">
              <a16:creationId xmlns:a16="http://schemas.microsoft.com/office/drawing/2014/main" id="{6165199B-9CC0-4803-B0B1-D3EAE3ED531E}"/>
            </a:ext>
          </a:extLst>
        </xdr:cNvPr>
        <xdr:cNvCxnSpPr/>
      </xdr:nvCxnSpPr>
      <xdr:spPr>
        <a:xfrm>
          <a:off x="8870488" y="1319092"/>
          <a:ext cx="14397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117278</xdr:colOff>
      <xdr:row>5</xdr:row>
      <xdr:rowOff>87863</xdr:rowOff>
    </xdr:from>
    <xdr:to>
      <xdr:col>13</xdr:col>
      <xdr:colOff>117278</xdr:colOff>
      <xdr:row>5</xdr:row>
      <xdr:rowOff>159839</xdr:rowOff>
    </xdr:to>
    <xdr:cxnSp macro="">
      <xdr:nvCxnSpPr>
        <xdr:cNvPr id="282" name="직선 연결선 281">
          <a:extLst>
            <a:ext uri="{FF2B5EF4-FFF2-40B4-BE49-F238E27FC236}">
              <a16:creationId xmlns:a16="http://schemas.microsoft.com/office/drawing/2014/main" id="{0DE6DEAD-647F-4B50-8699-15DBFDC16652}"/>
            </a:ext>
          </a:extLst>
        </xdr:cNvPr>
        <xdr:cNvCxnSpPr/>
      </xdr:nvCxnSpPr>
      <xdr:spPr>
        <a:xfrm rot="5400000" flipH="1" flipV="1">
          <a:off x="8844290" y="1203351"/>
          <a:ext cx="7197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237906</xdr:colOff>
      <xdr:row>5</xdr:row>
      <xdr:rowOff>86050</xdr:rowOff>
    </xdr:from>
    <xdr:to>
      <xdr:col>13</xdr:col>
      <xdr:colOff>237906</xdr:colOff>
      <xdr:row>5</xdr:row>
      <xdr:rowOff>158026</xdr:rowOff>
    </xdr:to>
    <xdr:cxnSp macro="">
      <xdr:nvCxnSpPr>
        <xdr:cNvPr id="283" name="직선 연결선 282">
          <a:extLst>
            <a:ext uri="{FF2B5EF4-FFF2-40B4-BE49-F238E27FC236}">
              <a16:creationId xmlns:a16="http://schemas.microsoft.com/office/drawing/2014/main" id="{1BF161D5-AE8C-4EC9-8C62-2619F7CD4D87}"/>
            </a:ext>
          </a:extLst>
        </xdr:cNvPr>
        <xdr:cNvCxnSpPr/>
      </xdr:nvCxnSpPr>
      <xdr:spPr>
        <a:xfrm rot="5400000">
          <a:off x="8964918" y="1201538"/>
          <a:ext cx="7197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222150</xdr:colOff>
      <xdr:row>5</xdr:row>
      <xdr:rowOff>87294</xdr:rowOff>
    </xdr:from>
    <xdr:to>
      <xdr:col>13</xdr:col>
      <xdr:colOff>366124</xdr:colOff>
      <xdr:row>5</xdr:row>
      <xdr:rowOff>87294</xdr:rowOff>
    </xdr:to>
    <xdr:cxnSp macro="">
      <xdr:nvCxnSpPr>
        <xdr:cNvPr id="284" name="직선 연결선 283">
          <a:extLst>
            <a:ext uri="{FF2B5EF4-FFF2-40B4-BE49-F238E27FC236}">
              <a16:creationId xmlns:a16="http://schemas.microsoft.com/office/drawing/2014/main" id="{46B4F224-E4B9-4357-9705-FF3925450CAA}"/>
            </a:ext>
          </a:extLst>
        </xdr:cNvPr>
        <xdr:cNvCxnSpPr/>
      </xdr:nvCxnSpPr>
      <xdr:spPr>
        <a:xfrm>
          <a:off x="8985150" y="1166794"/>
          <a:ext cx="14397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644923</xdr:colOff>
      <xdr:row>5</xdr:row>
      <xdr:rowOff>90014</xdr:rowOff>
    </xdr:from>
    <xdr:to>
      <xdr:col>13</xdr:col>
      <xdr:colOff>128497</xdr:colOff>
      <xdr:row>5</xdr:row>
      <xdr:rowOff>90014</xdr:rowOff>
    </xdr:to>
    <xdr:cxnSp macro="">
      <xdr:nvCxnSpPr>
        <xdr:cNvPr id="285" name="직선 연결선 284">
          <a:extLst>
            <a:ext uri="{FF2B5EF4-FFF2-40B4-BE49-F238E27FC236}">
              <a16:creationId xmlns:a16="http://schemas.microsoft.com/office/drawing/2014/main" id="{0A3F0394-F564-407F-A081-C4DC0793809E}"/>
            </a:ext>
          </a:extLst>
        </xdr:cNvPr>
        <xdr:cNvCxnSpPr/>
      </xdr:nvCxnSpPr>
      <xdr:spPr>
        <a:xfrm>
          <a:off x="8747523" y="1169514"/>
          <a:ext cx="14397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256231</xdr:colOff>
      <xdr:row>4</xdr:row>
      <xdr:rowOff>73140</xdr:rowOff>
    </xdr:from>
    <xdr:to>
      <xdr:col>13</xdr:col>
      <xdr:colOff>544179</xdr:colOff>
      <xdr:row>4</xdr:row>
      <xdr:rowOff>73140</xdr:rowOff>
    </xdr:to>
    <xdr:cxnSp macro="">
      <xdr:nvCxnSpPr>
        <xdr:cNvPr id="286" name="직선 연결선 285">
          <a:extLst>
            <a:ext uri="{FF2B5EF4-FFF2-40B4-BE49-F238E27FC236}">
              <a16:creationId xmlns:a16="http://schemas.microsoft.com/office/drawing/2014/main" id="{3F629E67-BDFB-4039-B8C1-62B841840662}"/>
            </a:ext>
          </a:extLst>
        </xdr:cNvPr>
        <xdr:cNvCxnSpPr/>
      </xdr:nvCxnSpPr>
      <xdr:spPr>
        <a:xfrm>
          <a:off x="9019231" y="936740"/>
          <a:ext cx="287948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326977</xdr:colOff>
      <xdr:row>4</xdr:row>
      <xdr:rowOff>139339</xdr:rowOff>
    </xdr:from>
    <xdr:to>
      <xdr:col>13</xdr:col>
      <xdr:colOff>470952</xdr:colOff>
      <xdr:row>4</xdr:row>
      <xdr:rowOff>139339</xdr:rowOff>
    </xdr:to>
    <xdr:cxnSp macro="">
      <xdr:nvCxnSpPr>
        <xdr:cNvPr id="287" name="직선 연결선 286">
          <a:extLst>
            <a:ext uri="{FF2B5EF4-FFF2-40B4-BE49-F238E27FC236}">
              <a16:creationId xmlns:a16="http://schemas.microsoft.com/office/drawing/2014/main" id="{2C003B9B-4509-47C9-B9E3-87E3B60E2866}"/>
            </a:ext>
          </a:extLst>
        </xdr:cNvPr>
        <xdr:cNvCxnSpPr/>
      </xdr:nvCxnSpPr>
      <xdr:spPr>
        <a:xfrm>
          <a:off x="9089977" y="1002939"/>
          <a:ext cx="14397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336767</xdr:colOff>
      <xdr:row>3</xdr:row>
      <xdr:rowOff>203511</xdr:rowOff>
    </xdr:from>
    <xdr:to>
      <xdr:col>13</xdr:col>
      <xdr:colOff>336767</xdr:colOff>
      <xdr:row>4</xdr:row>
      <xdr:rowOff>59587</xdr:rowOff>
    </xdr:to>
    <xdr:cxnSp macro="">
      <xdr:nvCxnSpPr>
        <xdr:cNvPr id="288" name="직선 연결선 287">
          <a:extLst>
            <a:ext uri="{FF2B5EF4-FFF2-40B4-BE49-F238E27FC236}">
              <a16:creationId xmlns:a16="http://schemas.microsoft.com/office/drawing/2014/main" id="{EAEFA319-3D0C-40DF-B131-C32E674266F0}"/>
            </a:ext>
          </a:extLst>
        </xdr:cNvPr>
        <xdr:cNvCxnSpPr/>
      </xdr:nvCxnSpPr>
      <xdr:spPr>
        <a:xfrm rot="5400000" flipH="1" flipV="1">
          <a:off x="9063779" y="887199"/>
          <a:ext cx="7197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457396</xdr:colOff>
      <xdr:row>3</xdr:row>
      <xdr:rowOff>201698</xdr:rowOff>
    </xdr:from>
    <xdr:to>
      <xdr:col>13</xdr:col>
      <xdr:colOff>457396</xdr:colOff>
      <xdr:row>4</xdr:row>
      <xdr:rowOff>57774</xdr:rowOff>
    </xdr:to>
    <xdr:cxnSp macro="">
      <xdr:nvCxnSpPr>
        <xdr:cNvPr id="289" name="직선 연결선 288">
          <a:extLst>
            <a:ext uri="{FF2B5EF4-FFF2-40B4-BE49-F238E27FC236}">
              <a16:creationId xmlns:a16="http://schemas.microsoft.com/office/drawing/2014/main" id="{4F6BFCF0-85C4-47CB-B577-BAF115C00B5C}"/>
            </a:ext>
          </a:extLst>
        </xdr:cNvPr>
        <xdr:cNvCxnSpPr/>
      </xdr:nvCxnSpPr>
      <xdr:spPr>
        <a:xfrm rot="5400000">
          <a:off x="9184408" y="885386"/>
          <a:ext cx="7197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441640</xdr:colOff>
      <xdr:row>3</xdr:row>
      <xdr:rowOff>202941</xdr:rowOff>
    </xdr:from>
    <xdr:to>
      <xdr:col>13</xdr:col>
      <xdr:colOff>585614</xdr:colOff>
      <xdr:row>3</xdr:row>
      <xdr:rowOff>202941</xdr:rowOff>
    </xdr:to>
    <xdr:cxnSp macro="">
      <xdr:nvCxnSpPr>
        <xdr:cNvPr id="290" name="직선 연결선 289">
          <a:extLst>
            <a:ext uri="{FF2B5EF4-FFF2-40B4-BE49-F238E27FC236}">
              <a16:creationId xmlns:a16="http://schemas.microsoft.com/office/drawing/2014/main" id="{CA8F2486-0D7F-4027-AF95-2FE5D3B51474}"/>
            </a:ext>
          </a:extLst>
        </xdr:cNvPr>
        <xdr:cNvCxnSpPr/>
      </xdr:nvCxnSpPr>
      <xdr:spPr>
        <a:xfrm>
          <a:off x="9204640" y="850641"/>
          <a:ext cx="14397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204012</xdr:colOff>
      <xdr:row>3</xdr:row>
      <xdr:rowOff>205662</xdr:rowOff>
    </xdr:from>
    <xdr:to>
      <xdr:col>13</xdr:col>
      <xdr:colOff>347986</xdr:colOff>
      <xdr:row>3</xdr:row>
      <xdr:rowOff>205662</xdr:rowOff>
    </xdr:to>
    <xdr:cxnSp macro="">
      <xdr:nvCxnSpPr>
        <xdr:cNvPr id="291" name="직선 연결선 290">
          <a:extLst>
            <a:ext uri="{FF2B5EF4-FFF2-40B4-BE49-F238E27FC236}">
              <a16:creationId xmlns:a16="http://schemas.microsoft.com/office/drawing/2014/main" id="{EEB8DB13-4561-4C47-A43C-AF5CA20AF91B}"/>
            </a:ext>
          </a:extLst>
        </xdr:cNvPr>
        <xdr:cNvCxnSpPr/>
      </xdr:nvCxnSpPr>
      <xdr:spPr>
        <a:xfrm>
          <a:off x="8967012" y="853362"/>
          <a:ext cx="14397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558808</xdr:colOff>
      <xdr:row>6</xdr:row>
      <xdr:rowOff>134327</xdr:rowOff>
    </xdr:from>
    <xdr:to>
      <xdr:col>14</xdr:col>
      <xdr:colOff>558808</xdr:colOff>
      <xdr:row>7</xdr:row>
      <xdr:rowOff>62379</xdr:rowOff>
    </xdr:to>
    <xdr:cxnSp macro="">
      <xdr:nvCxnSpPr>
        <xdr:cNvPr id="293" name="직선 연결선 292">
          <a:extLst>
            <a:ext uri="{FF2B5EF4-FFF2-40B4-BE49-F238E27FC236}">
              <a16:creationId xmlns:a16="http://schemas.microsoft.com/office/drawing/2014/main" id="{4C97262E-FB7F-4B84-B729-3A81EB9DD745}"/>
            </a:ext>
          </a:extLst>
        </xdr:cNvPr>
        <xdr:cNvCxnSpPr/>
      </xdr:nvCxnSpPr>
      <xdr:spPr>
        <a:xfrm flipH="1" flipV="1">
          <a:off x="9982208" y="1429727"/>
          <a:ext cx="0" cy="14395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109734</xdr:colOff>
      <xdr:row>6</xdr:row>
      <xdr:rowOff>127977</xdr:rowOff>
    </xdr:from>
    <xdr:to>
      <xdr:col>15</xdr:col>
      <xdr:colOff>109734</xdr:colOff>
      <xdr:row>7</xdr:row>
      <xdr:rowOff>56029</xdr:rowOff>
    </xdr:to>
    <xdr:cxnSp macro="">
      <xdr:nvCxnSpPr>
        <xdr:cNvPr id="294" name="직선 연결선 293">
          <a:extLst>
            <a:ext uri="{FF2B5EF4-FFF2-40B4-BE49-F238E27FC236}">
              <a16:creationId xmlns:a16="http://schemas.microsoft.com/office/drawing/2014/main" id="{E823FCFC-08B9-47D1-BF5E-2CE0EBC91574}"/>
            </a:ext>
          </a:extLst>
        </xdr:cNvPr>
        <xdr:cNvCxnSpPr/>
      </xdr:nvCxnSpPr>
      <xdr:spPr>
        <a:xfrm flipH="1" flipV="1">
          <a:off x="10193534" y="1423377"/>
          <a:ext cx="0" cy="14395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561529</xdr:colOff>
      <xdr:row>3</xdr:row>
      <xdr:rowOff>186233</xdr:rowOff>
    </xdr:from>
    <xdr:to>
      <xdr:col>14</xdr:col>
      <xdr:colOff>561529</xdr:colOff>
      <xdr:row>6</xdr:row>
      <xdr:rowOff>6378</xdr:rowOff>
    </xdr:to>
    <xdr:cxnSp macro="">
      <xdr:nvCxnSpPr>
        <xdr:cNvPr id="296" name="직선 연결선 295">
          <a:extLst>
            <a:ext uri="{FF2B5EF4-FFF2-40B4-BE49-F238E27FC236}">
              <a16:creationId xmlns:a16="http://schemas.microsoft.com/office/drawing/2014/main" id="{C0D0D631-AE63-42B0-9529-272B27894A18}"/>
            </a:ext>
          </a:extLst>
        </xdr:cNvPr>
        <xdr:cNvCxnSpPr/>
      </xdr:nvCxnSpPr>
      <xdr:spPr>
        <a:xfrm flipH="1" flipV="1">
          <a:off x="9984929" y="833933"/>
          <a:ext cx="0" cy="46784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103385</xdr:colOff>
      <xdr:row>5</xdr:row>
      <xdr:rowOff>73689</xdr:rowOff>
    </xdr:from>
    <xdr:to>
      <xdr:col>15</xdr:col>
      <xdr:colOff>103385</xdr:colOff>
      <xdr:row>5</xdr:row>
      <xdr:rowOff>213349</xdr:rowOff>
    </xdr:to>
    <xdr:cxnSp macro="">
      <xdr:nvCxnSpPr>
        <xdr:cNvPr id="297" name="직선 연결선 296">
          <a:extLst>
            <a:ext uri="{FF2B5EF4-FFF2-40B4-BE49-F238E27FC236}">
              <a16:creationId xmlns:a16="http://schemas.microsoft.com/office/drawing/2014/main" id="{760C1C31-854D-4C88-9A9B-CEEE0D15BC64}"/>
            </a:ext>
          </a:extLst>
        </xdr:cNvPr>
        <xdr:cNvCxnSpPr/>
      </xdr:nvCxnSpPr>
      <xdr:spPr>
        <a:xfrm flipV="1">
          <a:off x="10187185" y="1153189"/>
          <a:ext cx="0" cy="1396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573666</xdr:colOff>
      <xdr:row>3</xdr:row>
      <xdr:rowOff>201380</xdr:rowOff>
    </xdr:from>
    <xdr:to>
      <xdr:col>16</xdr:col>
      <xdr:colOff>46433</xdr:colOff>
      <xdr:row>3</xdr:row>
      <xdr:rowOff>201380</xdr:rowOff>
    </xdr:to>
    <xdr:cxnSp macro="">
      <xdr:nvCxnSpPr>
        <xdr:cNvPr id="298" name="직선 연결선 297">
          <a:extLst>
            <a:ext uri="{FF2B5EF4-FFF2-40B4-BE49-F238E27FC236}">
              <a16:creationId xmlns:a16="http://schemas.microsoft.com/office/drawing/2014/main" id="{F808E88F-0881-4ED0-BB9B-B127C97BE220}"/>
            </a:ext>
          </a:extLst>
        </xdr:cNvPr>
        <xdr:cNvCxnSpPr/>
      </xdr:nvCxnSpPr>
      <xdr:spPr>
        <a:xfrm>
          <a:off x="9336666" y="849080"/>
          <a:ext cx="145396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540285</xdr:colOff>
      <xdr:row>5</xdr:row>
      <xdr:rowOff>87240</xdr:rowOff>
    </xdr:from>
    <xdr:to>
      <xdr:col>13</xdr:col>
      <xdr:colOff>23885</xdr:colOff>
      <xdr:row>5</xdr:row>
      <xdr:rowOff>87240</xdr:rowOff>
    </xdr:to>
    <xdr:cxnSp macro="">
      <xdr:nvCxnSpPr>
        <xdr:cNvPr id="299" name="직선 연결선 298">
          <a:extLst>
            <a:ext uri="{FF2B5EF4-FFF2-40B4-BE49-F238E27FC236}">
              <a16:creationId xmlns:a16="http://schemas.microsoft.com/office/drawing/2014/main" id="{BE95F554-7474-4BBD-9CA0-54CFD0CF6C84}"/>
            </a:ext>
          </a:extLst>
        </xdr:cNvPr>
        <xdr:cNvCxnSpPr/>
      </xdr:nvCxnSpPr>
      <xdr:spPr>
        <a:xfrm>
          <a:off x="8642885" y="1166740"/>
          <a:ext cx="144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223700</xdr:colOff>
      <xdr:row>3</xdr:row>
      <xdr:rowOff>204740</xdr:rowOff>
    </xdr:from>
    <xdr:to>
      <xdr:col>13</xdr:col>
      <xdr:colOff>283170</xdr:colOff>
      <xdr:row>3</xdr:row>
      <xdr:rowOff>204740</xdr:rowOff>
    </xdr:to>
    <xdr:cxnSp macro="">
      <xdr:nvCxnSpPr>
        <xdr:cNvPr id="300" name="직선 연결선 299">
          <a:extLst>
            <a:ext uri="{FF2B5EF4-FFF2-40B4-BE49-F238E27FC236}">
              <a16:creationId xmlns:a16="http://schemas.microsoft.com/office/drawing/2014/main" id="{961CA148-B08B-48FB-BDD6-74E031102DB5}"/>
            </a:ext>
          </a:extLst>
        </xdr:cNvPr>
        <xdr:cNvCxnSpPr/>
      </xdr:nvCxnSpPr>
      <xdr:spPr>
        <a:xfrm>
          <a:off x="8326300" y="852440"/>
          <a:ext cx="71987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557517</xdr:colOff>
      <xdr:row>7</xdr:row>
      <xdr:rowOff>56267</xdr:rowOff>
    </xdr:from>
    <xdr:to>
      <xdr:col>15</xdr:col>
      <xdr:colOff>113078</xdr:colOff>
      <xdr:row>7</xdr:row>
      <xdr:rowOff>56267</xdr:rowOff>
    </xdr:to>
    <xdr:cxnSp macro="">
      <xdr:nvCxnSpPr>
        <xdr:cNvPr id="301" name="직선 연결선 300">
          <a:extLst>
            <a:ext uri="{FF2B5EF4-FFF2-40B4-BE49-F238E27FC236}">
              <a16:creationId xmlns:a16="http://schemas.microsoft.com/office/drawing/2014/main" id="{7FEB05F4-FD38-437B-84E9-8658790FF605}"/>
            </a:ext>
          </a:extLst>
        </xdr:cNvPr>
        <xdr:cNvCxnSpPr/>
      </xdr:nvCxnSpPr>
      <xdr:spPr>
        <a:xfrm>
          <a:off x="9980917" y="1567567"/>
          <a:ext cx="21596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392663</xdr:colOff>
      <xdr:row>4</xdr:row>
      <xdr:rowOff>133610</xdr:rowOff>
    </xdr:from>
    <xdr:to>
      <xdr:col>13</xdr:col>
      <xdr:colOff>392663</xdr:colOff>
      <xdr:row>7</xdr:row>
      <xdr:rowOff>187677</xdr:rowOff>
    </xdr:to>
    <xdr:cxnSp macro="">
      <xdr:nvCxnSpPr>
        <xdr:cNvPr id="302" name="직선 연결선 301">
          <a:extLst>
            <a:ext uri="{FF2B5EF4-FFF2-40B4-BE49-F238E27FC236}">
              <a16:creationId xmlns:a16="http://schemas.microsoft.com/office/drawing/2014/main" id="{D6D2FCD8-1D84-4BDE-8BCD-158B835EB8D7}"/>
            </a:ext>
          </a:extLst>
        </xdr:cNvPr>
        <xdr:cNvCxnSpPr/>
      </xdr:nvCxnSpPr>
      <xdr:spPr>
        <a:xfrm flipH="1">
          <a:off x="9155663" y="997210"/>
          <a:ext cx="0" cy="70176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273062</xdr:colOff>
      <xdr:row>7</xdr:row>
      <xdr:rowOff>188718</xdr:rowOff>
    </xdr:from>
    <xdr:to>
      <xdr:col>13</xdr:col>
      <xdr:colOff>404519</xdr:colOff>
      <xdr:row>7</xdr:row>
      <xdr:rowOff>188718</xdr:rowOff>
    </xdr:to>
    <xdr:cxnSp macro="">
      <xdr:nvCxnSpPr>
        <xdr:cNvPr id="303" name="직선 연결선 302">
          <a:extLst>
            <a:ext uri="{FF2B5EF4-FFF2-40B4-BE49-F238E27FC236}">
              <a16:creationId xmlns:a16="http://schemas.microsoft.com/office/drawing/2014/main" id="{F25B3ACB-8311-4E7B-A898-0F17342B0E80}"/>
            </a:ext>
          </a:extLst>
        </xdr:cNvPr>
        <xdr:cNvCxnSpPr/>
      </xdr:nvCxnSpPr>
      <xdr:spPr>
        <a:xfrm>
          <a:off x="8375662" y="1700018"/>
          <a:ext cx="791857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253108</xdr:colOff>
      <xdr:row>6</xdr:row>
      <xdr:rowOff>180627</xdr:rowOff>
    </xdr:from>
    <xdr:to>
      <xdr:col>13</xdr:col>
      <xdr:colOff>186601</xdr:colOff>
      <xdr:row>6</xdr:row>
      <xdr:rowOff>180627</xdr:rowOff>
    </xdr:to>
    <xdr:cxnSp macro="">
      <xdr:nvCxnSpPr>
        <xdr:cNvPr id="304" name="직선 연결선 303">
          <a:extLst>
            <a:ext uri="{FF2B5EF4-FFF2-40B4-BE49-F238E27FC236}">
              <a16:creationId xmlns:a16="http://schemas.microsoft.com/office/drawing/2014/main" id="{A1D3304C-EAE8-4744-B42B-3AADAE7F804F}"/>
            </a:ext>
          </a:extLst>
        </xdr:cNvPr>
        <xdr:cNvCxnSpPr/>
      </xdr:nvCxnSpPr>
      <xdr:spPr>
        <a:xfrm>
          <a:off x="8355708" y="1476027"/>
          <a:ext cx="593893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288481</xdr:colOff>
      <xdr:row>6</xdr:row>
      <xdr:rowOff>35872</xdr:rowOff>
    </xdr:from>
    <xdr:to>
      <xdr:col>12</xdr:col>
      <xdr:colOff>592292</xdr:colOff>
      <xdr:row>6</xdr:row>
      <xdr:rowOff>176697</xdr:rowOff>
    </xdr:to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78CB69B0-11C5-443F-8C26-CDFA5E1BE3D1}"/>
            </a:ext>
          </a:extLst>
        </xdr:cNvPr>
        <xdr:cNvSpPr txBox="1"/>
      </xdr:nvSpPr>
      <xdr:spPr>
        <a:xfrm>
          <a:off x="8391081" y="1331272"/>
          <a:ext cx="303811" cy="1408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GATE3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291202</xdr:colOff>
      <xdr:row>7</xdr:row>
      <xdr:rowOff>44868</xdr:rowOff>
    </xdr:from>
    <xdr:to>
      <xdr:col>12</xdr:col>
      <xdr:colOff>595013</xdr:colOff>
      <xdr:row>7</xdr:row>
      <xdr:rowOff>185693</xdr:rowOff>
    </xdr:to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4E50C14E-1B64-4ED8-BDCC-D794D3D8518F}"/>
            </a:ext>
          </a:extLst>
        </xdr:cNvPr>
        <xdr:cNvSpPr txBox="1"/>
      </xdr:nvSpPr>
      <xdr:spPr>
        <a:xfrm>
          <a:off x="8393802" y="1556168"/>
          <a:ext cx="303811" cy="1408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GATE2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253108</xdr:colOff>
      <xdr:row>3</xdr:row>
      <xdr:rowOff>40624</xdr:rowOff>
    </xdr:from>
    <xdr:to>
      <xdr:col>12</xdr:col>
      <xdr:colOff>556662</xdr:colOff>
      <xdr:row>3</xdr:row>
      <xdr:rowOff>181449</xdr:rowOff>
    </xdr:to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F1F0F222-135F-4F16-BBFF-EB362196D597}"/>
            </a:ext>
          </a:extLst>
        </xdr:cNvPr>
        <xdr:cNvSpPr txBox="1"/>
      </xdr:nvSpPr>
      <xdr:spPr>
        <a:xfrm>
          <a:off x="8355708" y="688324"/>
          <a:ext cx="303554" cy="1408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VLED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600023</xdr:colOff>
      <xdr:row>6</xdr:row>
      <xdr:rowOff>113</xdr:rowOff>
    </xdr:from>
    <xdr:to>
      <xdr:col>16</xdr:col>
      <xdr:colOff>119591</xdr:colOff>
      <xdr:row>6</xdr:row>
      <xdr:rowOff>108077</xdr:rowOff>
    </xdr:to>
    <xdr:sp macro="" textlink="">
      <xdr:nvSpPr>
        <xdr:cNvPr id="313" name="이등변 삼각형 312">
          <a:extLst>
            <a:ext uri="{FF2B5EF4-FFF2-40B4-BE49-F238E27FC236}">
              <a16:creationId xmlns:a16="http://schemas.microsoft.com/office/drawing/2014/main" id="{111527EB-E584-4966-9514-6C7060F92A7C}"/>
            </a:ext>
          </a:extLst>
        </xdr:cNvPr>
        <xdr:cNvSpPr/>
      </xdr:nvSpPr>
      <xdr:spPr>
        <a:xfrm rot="10800000">
          <a:off x="10683823" y="1295513"/>
          <a:ext cx="179968" cy="107964"/>
        </a:xfrm>
        <a:prstGeom prst="triangl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597964</xdr:colOff>
      <xdr:row>6</xdr:row>
      <xdr:rowOff>118959</xdr:rowOff>
    </xdr:from>
    <xdr:to>
      <xdr:col>16</xdr:col>
      <xdr:colOff>132565</xdr:colOff>
      <xdr:row>6</xdr:row>
      <xdr:rowOff>118959</xdr:rowOff>
    </xdr:to>
    <xdr:cxnSp macro="">
      <xdr:nvCxnSpPr>
        <xdr:cNvPr id="314" name="직선 연결선 313">
          <a:extLst>
            <a:ext uri="{FF2B5EF4-FFF2-40B4-BE49-F238E27FC236}">
              <a16:creationId xmlns:a16="http://schemas.microsoft.com/office/drawing/2014/main" id="{61FD1772-7F9D-408B-8547-88C628923CBD}"/>
            </a:ext>
          </a:extLst>
        </xdr:cNvPr>
        <xdr:cNvCxnSpPr/>
      </xdr:nvCxnSpPr>
      <xdr:spPr>
        <a:xfrm>
          <a:off x="10681764" y="1414359"/>
          <a:ext cx="19500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150945</xdr:colOff>
      <xdr:row>5</xdr:row>
      <xdr:rowOff>214199</xdr:rowOff>
    </xdr:from>
    <xdr:to>
      <xdr:col>16</xdr:col>
      <xdr:colOff>330912</xdr:colOff>
      <xdr:row>6</xdr:row>
      <xdr:rowOff>106263</xdr:rowOff>
    </xdr:to>
    <xdr:sp macro="" textlink="">
      <xdr:nvSpPr>
        <xdr:cNvPr id="315" name="이등변 삼각형 314">
          <a:extLst>
            <a:ext uri="{FF2B5EF4-FFF2-40B4-BE49-F238E27FC236}">
              <a16:creationId xmlns:a16="http://schemas.microsoft.com/office/drawing/2014/main" id="{C1830992-1158-4377-B935-6CA9CCEC6557}"/>
            </a:ext>
          </a:extLst>
        </xdr:cNvPr>
        <xdr:cNvSpPr/>
      </xdr:nvSpPr>
      <xdr:spPr>
        <a:xfrm rot="10800000">
          <a:off x="10895145" y="1293699"/>
          <a:ext cx="179967" cy="107964"/>
        </a:xfrm>
        <a:prstGeom prst="triangl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155867</xdr:colOff>
      <xdr:row>6</xdr:row>
      <xdr:rowOff>115064</xdr:rowOff>
    </xdr:from>
    <xdr:to>
      <xdr:col>16</xdr:col>
      <xdr:colOff>350867</xdr:colOff>
      <xdr:row>6</xdr:row>
      <xdr:rowOff>115064</xdr:rowOff>
    </xdr:to>
    <xdr:cxnSp macro="">
      <xdr:nvCxnSpPr>
        <xdr:cNvPr id="316" name="직선 연결선 315">
          <a:extLst>
            <a:ext uri="{FF2B5EF4-FFF2-40B4-BE49-F238E27FC236}">
              <a16:creationId xmlns:a16="http://schemas.microsoft.com/office/drawing/2014/main" id="{D3C180BE-049D-4C92-89A5-5298B3399DD5}"/>
            </a:ext>
          </a:extLst>
        </xdr:cNvPr>
        <xdr:cNvCxnSpPr/>
      </xdr:nvCxnSpPr>
      <xdr:spPr>
        <a:xfrm>
          <a:off x="10900067" y="1410464"/>
          <a:ext cx="195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34335</xdr:colOff>
      <xdr:row>6</xdr:row>
      <xdr:rowOff>127978</xdr:rowOff>
    </xdr:from>
    <xdr:to>
      <xdr:col>16</xdr:col>
      <xdr:colOff>34335</xdr:colOff>
      <xdr:row>7</xdr:row>
      <xdr:rowOff>56030</xdr:rowOff>
    </xdr:to>
    <xdr:cxnSp macro="">
      <xdr:nvCxnSpPr>
        <xdr:cNvPr id="318" name="직선 연결선 317">
          <a:extLst>
            <a:ext uri="{FF2B5EF4-FFF2-40B4-BE49-F238E27FC236}">
              <a16:creationId xmlns:a16="http://schemas.microsoft.com/office/drawing/2014/main" id="{0D309DB4-05E8-406C-8600-403F8158C4F7}"/>
            </a:ext>
          </a:extLst>
        </xdr:cNvPr>
        <xdr:cNvCxnSpPr/>
      </xdr:nvCxnSpPr>
      <xdr:spPr>
        <a:xfrm flipH="1" flipV="1">
          <a:off x="10778535" y="1423378"/>
          <a:ext cx="0" cy="14395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250552</xdr:colOff>
      <xdr:row>6</xdr:row>
      <xdr:rowOff>121630</xdr:rowOff>
    </xdr:from>
    <xdr:to>
      <xdr:col>16</xdr:col>
      <xdr:colOff>250552</xdr:colOff>
      <xdr:row>7</xdr:row>
      <xdr:rowOff>49682</xdr:rowOff>
    </xdr:to>
    <xdr:cxnSp macro="">
      <xdr:nvCxnSpPr>
        <xdr:cNvPr id="319" name="직선 연결선 318">
          <a:extLst>
            <a:ext uri="{FF2B5EF4-FFF2-40B4-BE49-F238E27FC236}">
              <a16:creationId xmlns:a16="http://schemas.microsoft.com/office/drawing/2014/main" id="{F2159A39-6694-4490-B805-ACF70BDD75B8}"/>
            </a:ext>
          </a:extLst>
        </xdr:cNvPr>
        <xdr:cNvCxnSpPr/>
      </xdr:nvCxnSpPr>
      <xdr:spPr>
        <a:xfrm flipH="1" flipV="1">
          <a:off x="10994752" y="1417030"/>
          <a:ext cx="0" cy="14395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37057</xdr:colOff>
      <xdr:row>3</xdr:row>
      <xdr:rowOff>196278</xdr:rowOff>
    </xdr:from>
    <xdr:to>
      <xdr:col>16</xdr:col>
      <xdr:colOff>37057</xdr:colOff>
      <xdr:row>6</xdr:row>
      <xdr:rowOff>16423</xdr:rowOff>
    </xdr:to>
    <xdr:cxnSp macro="">
      <xdr:nvCxnSpPr>
        <xdr:cNvPr id="321" name="직선 연결선 320">
          <a:extLst>
            <a:ext uri="{FF2B5EF4-FFF2-40B4-BE49-F238E27FC236}">
              <a16:creationId xmlns:a16="http://schemas.microsoft.com/office/drawing/2014/main" id="{5BADCDEC-C116-4FCD-BEF1-AFF28B51770B}"/>
            </a:ext>
          </a:extLst>
        </xdr:cNvPr>
        <xdr:cNvCxnSpPr/>
      </xdr:nvCxnSpPr>
      <xdr:spPr>
        <a:xfrm flipH="1" flipV="1">
          <a:off x="10781257" y="843978"/>
          <a:ext cx="0" cy="46784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42116</xdr:colOff>
      <xdr:row>7</xdr:row>
      <xdr:rowOff>49919</xdr:rowOff>
    </xdr:from>
    <xdr:to>
      <xdr:col>16</xdr:col>
      <xdr:colOff>258077</xdr:colOff>
      <xdr:row>7</xdr:row>
      <xdr:rowOff>49919</xdr:rowOff>
    </xdr:to>
    <xdr:cxnSp macro="">
      <xdr:nvCxnSpPr>
        <xdr:cNvPr id="322" name="직선 연결선 321">
          <a:extLst>
            <a:ext uri="{FF2B5EF4-FFF2-40B4-BE49-F238E27FC236}">
              <a16:creationId xmlns:a16="http://schemas.microsoft.com/office/drawing/2014/main" id="{291C247C-402C-46D5-93A3-400C480A0C57}"/>
            </a:ext>
          </a:extLst>
        </xdr:cNvPr>
        <xdr:cNvCxnSpPr/>
      </xdr:nvCxnSpPr>
      <xdr:spPr>
        <a:xfrm>
          <a:off x="10786316" y="1561219"/>
          <a:ext cx="21596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585963</xdr:colOff>
      <xdr:row>8</xdr:row>
      <xdr:rowOff>98003</xdr:rowOff>
    </xdr:from>
    <xdr:to>
      <xdr:col>15</xdr:col>
      <xdr:colOff>119437</xdr:colOff>
      <xdr:row>9</xdr:row>
      <xdr:rowOff>21708</xdr:rowOff>
    </xdr:to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AA4888EE-DD4A-4779-9958-7B49C6FB0296}"/>
            </a:ext>
          </a:extLst>
        </xdr:cNvPr>
        <xdr:cNvSpPr txBox="1"/>
      </xdr:nvSpPr>
      <xdr:spPr>
        <a:xfrm>
          <a:off x="10009363" y="1825203"/>
          <a:ext cx="193874" cy="1396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CHx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71641</xdr:colOff>
      <xdr:row>5</xdr:row>
      <xdr:rowOff>55553</xdr:rowOff>
    </xdr:from>
    <xdr:to>
      <xdr:col>15</xdr:col>
      <xdr:colOff>143628</xdr:colOff>
      <xdr:row>5</xdr:row>
      <xdr:rowOff>127529</xdr:rowOff>
    </xdr:to>
    <xdr:sp macro="" textlink="">
      <xdr:nvSpPr>
        <xdr:cNvPr id="324" name="타원 323">
          <a:extLst>
            <a:ext uri="{FF2B5EF4-FFF2-40B4-BE49-F238E27FC236}">
              <a16:creationId xmlns:a16="http://schemas.microsoft.com/office/drawing/2014/main" id="{0915C87B-391B-4D7A-8F2B-36ED38B881DE}"/>
            </a:ext>
          </a:extLst>
        </xdr:cNvPr>
        <xdr:cNvSpPr/>
      </xdr:nvSpPr>
      <xdr:spPr>
        <a:xfrm>
          <a:off x="10155441" y="1135053"/>
          <a:ext cx="71987" cy="7197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526158</xdr:colOff>
      <xdr:row>3</xdr:row>
      <xdr:rowOff>172679</xdr:rowOff>
    </xdr:from>
    <xdr:to>
      <xdr:col>14</xdr:col>
      <xdr:colOff>598145</xdr:colOff>
      <xdr:row>4</xdr:row>
      <xdr:rowOff>28755</xdr:rowOff>
    </xdr:to>
    <xdr:sp macro="" textlink="">
      <xdr:nvSpPr>
        <xdr:cNvPr id="325" name="타원 324">
          <a:extLst>
            <a:ext uri="{FF2B5EF4-FFF2-40B4-BE49-F238E27FC236}">
              <a16:creationId xmlns:a16="http://schemas.microsoft.com/office/drawing/2014/main" id="{E5AA5503-B23A-4DC8-9979-7305D93E3FDA}"/>
            </a:ext>
          </a:extLst>
        </xdr:cNvPr>
        <xdr:cNvSpPr/>
      </xdr:nvSpPr>
      <xdr:spPr>
        <a:xfrm>
          <a:off x="9949558" y="820379"/>
          <a:ext cx="71987" cy="7197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630459</xdr:colOff>
      <xdr:row>7</xdr:row>
      <xdr:rowOff>25484</xdr:rowOff>
    </xdr:from>
    <xdr:to>
      <xdr:col>15</xdr:col>
      <xdr:colOff>42046</xdr:colOff>
      <xdr:row>7</xdr:row>
      <xdr:rowOff>97460</xdr:rowOff>
    </xdr:to>
    <xdr:sp macro="" textlink="">
      <xdr:nvSpPr>
        <xdr:cNvPr id="327" name="타원 326">
          <a:extLst>
            <a:ext uri="{FF2B5EF4-FFF2-40B4-BE49-F238E27FC236}">
              <a16:creationId xmlns:a16="http://schemas.microsoft.com/office/drawing/2014/main" id="{68BE00A5-34DE-464B-B0EC-D72277752AEB}"/>
            </a:ext>
          </a:extLst>
        </xdr:cNvPr>
        <xdr:cNvSpPr/>
      </xdr:nvSpPr>
      <xdr:spPr>
        <a:xfrm>
          <a:off x="10053859" y="1536784"/>
          <a:ext cx="71987" cy="7197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115059</xdr:colOff>
      <xdr:row>7</xdr:row>
      <xdr:rowOff>23670</xdr:rowOff>
    </xdr:from>
    <xdr:to>
      <xdr:col>16</xdr:col>
      <xdr:colOff>187046</xdr:colOff>
      <xdr:row>7</xdr:row>
      <xdr:rowOff>95646</xdr:rowOff>
    </xdr:to>
    <xdr:sp macro="" textlink="">
      <xdr:nvSpPr>
        <xdr:cNvPr id="328" name="타원 327">
          <a:extLst>
            <a:ext uri="{FF2B5EF4-FFF2-40B4-BE49-F238E27FC236}">
              <a16:creationId xmlns:a16="http://schemas.microsoft.com/office/drawing/2014/main" id="{B46A3F26-F6FE-4A03-A4C8-0727B49793BD}"/>
            </a:ext>
          </a:extLst>
        </xdr:cNvPr>
        <xdr:cNvSpPr/>
      </xdr:nvSpPr>
      <xdr:spPr>
        <a:xfrm>
          <a:off x="10859259" y="1534970"/>
          <a:ext cx="71987" cy="7197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241759</xdr:colOff>
      <xdr:row>5</xdr:row>
      <xdr:rowOff>82650</xdr:rowOff>
    </xdr:from>
    <xdr:to>
      <xdr:col>16</xdr:col>
      <xdr:colOff>241759</xdr:colOff>
      <xdr:row>6</xdr:row>
      <xdr:rowOff>6410</xdr:rowOff>
    </xdr:to>
    <xdr:cxnSp macro="">
      <xdr:nvCxnSpPr>
        <xdr:cNvPr id="329" name="직선 연결선 328">
          <a:extLst>
            <a:ext uri="{FF2B5EF4-FFF2-40B4-BE49-F238E27FC236}">
              <a16:creationId xmlns:a16="http://schemas.microsoft.com/office/drawing/2014/main" id="{039BF9F0-1E14-4936-969C-F7DB0D21C198}"/>
            </a:ext>
          </a:extLst>
        </xdr:cNvPr>
        <xdr:cNvCxnSpPr/>
      </xdr:nvCxnSpPr>
      <xdr:spPr>
        <a:xfrm flipV="1">
          <a:off x="10985959" y="1162150"/>
          <a:ext cx="0" cy="1396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154964</xdr:colOff>
      <xdr:row>7</xdr:row>
      <xdr:rowOff>59894</xdr:rowOff>
    </xdr:from>
    <xdr:to>
      <xdr:col>16</xdr:col>
      <xdr:colOff>154964</xdr:colOff>
      <xdr:row>8</xdr:row>
      <xdr:rowOff>59923</xdr:rowOff>
    </xdr:to>
    <xdr:cxnSp macro="">
      <xdr:nvCxnSpPr>
        <xdr:cNvPr id="330" name="직선 연결선 329">
          <a:extLst>
            <a:ext uri="{FF2B5EF4-FFF2-40B4-BE49-F238E27FC236}">
              <a16:creationId xmlns:a16="http://schemas.microsoft.com/office/drawing/2014/main" id="{17F5A7D1-5D5C-47FA-B803-D25A4CBE0C28}"/>
            </a:ext>
          </a:extLst>
        </xdr:cNvPr>
        <xdr:cNvCxnSpPr/>
      </xdr:nvCxnSpPr>
      <xdr:spPr>
        <a:xfrm flipH="1" flipV="1">
          <a:off x="10899164" y="1571194"/>
          <a:ext cx="0" cy="21592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10873</xdr:colOff>
      <xdr:row>7</xdr:row>
      <xdr:rowOff>58080</xdr:rowOff>
    </xdr:from>
    <xdr:to>
      <xdr:col>15</xdr:col>
      <xdr:colOff>10873</xdr:colOff>
      <xdr:row>8</xdr:row>
      <xdr:rowOff>58109</xdr:rowOff>
    </xdr:to>
    <xdr:cxnSp macro="">
      <xdr:nvCxnSpPr>
        <xdr:cNvPr id="331" name="직선 연결선 330">
          <a:extLst>
            <a:ext uri="{FF2B5EF4-FFF2-40B4-BE49-F238E27FC236}">
              <a16:creationId xmlns:a16="http://schemas.microsoft.com/office/drawing/2014/main" id="{B64CB180-AF11-4785-AAFC-9F7553BCD43D}"/>
            </a:ext>
          </a:extLst>
        </xdr:cNvPr>
        <xdr:cNvCxnSpPr/>
      </xdr:nvCxnSpPr>
      <xdr:spPr>
        <a:xfrm flipH="1" flipV="1">
          <a:off x="10094673" y="1569380"/>
          <a:ext cx="0" cy="21592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65934</xdr:colOff>
      <xdr:row>8</xdr:row>
      <xdr:rowOff>100724</xdr:rowOff>
    </xdr:from>
    <xdr:to>
      <xdr:col>16</xdr:col>
      <xdr:colOff>260769</xdr:colOff>
      <xdr:row>9</xdr:row>
      <xdr:rowOff>24429</xdr:rowOff>
    </xdr:to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10935529-A36A-4B3E-8F1D-EEEBC62C0404}"/>
            </a:ext>
          </a:extLst>
        </xdr:cNvPr>
        <xdr:cNvSpPr txBox="1"/>
      </xdr:nvSpPr>
      <xdr:spPr>
        <a:xfrm>
          <a:off x="10810134" y="1827924"/>
          <a:ext cx="194835" cy="1396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CHy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164893</xdr:colOff>
      <xdr:row>1</xdr:row>
      <xdr:rowOff>51793</xdr:rowOff>
    </xdr:from>
    <xdr:to>
      <xdr:col>15</xdr:col>
      <xdr:colOff>176468</xdr:colOff>
      <xdr:row>2</xdr:row>
      <xdr:rowOff>6571</xdr:rowOff>
    </xdr:to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9E021A76-AF64-4607-8547-DB0A704CDB98}"/>
            </a:ext>
          </a:extLst>
        </xdr:cNvPr>
        <xdr:cNvSpPr txBox="1"/>
      </xdr:nvSpPr>
      <xdr:spPr>
        <a:xfrm>
          <a:off x="9588293" y="267693"/>
          <a:ext cx="671975" cy="17067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100" b="0" i="0">
              <a:solidFill>
                <a:schemeClr val="tx1"/>
              </a:solidFill>
            </a:rPr>
            <a:t>ld_type</a:t>
          </a:r>
          <a:r>
            <a:rPr lang="en-US" altLang="ko-KR" sz="1100" b="0" i="0" baseline="0">
              <a:solidFill>
                <a:schemeClr val="tx1"/>
              </a:solidFill>
            </a:rPr>
            <a:t> = 11</a:t>
          </a:r>
          <a:endParaRPr lang="ko-KR" altLang="en-US" sz="1100" b="0" i="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81642</xdr:colOff>
      <xdr:row>0</xdr:row>
      <xdr:rowOff>199572</xdr:rowOff>
    </xdr:from>
    <xdr:to>
      <xdr:col>17</xdr:col>
      <xdr:colOff>50350</xdr:colOff>
      <xdr:row>12</xdr:row>
      <xdr:rowOff>8072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5F82EEB1-3794-484B-AABD-66142DB7366B}"/>
            </a:ext>
          </a:extLst>
        </xdr:cNvPr>
        <xdr:cNvSpPr/>
      </xdr:nvSpPr>
      <xdr:spPr>
        <a:xfrm>
          <a:off x="8184242" y="199572"/>
          <a:ext cx="3270708" cy="239930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280638</xdr:colOff>
      <xdr:row>9</xdr:row>
      <xdr:rowOff>168806</xdr:rowOff>
    </xdr:from>
    <xdr:to>
      <xdr:col>15</xdr:col>
      <xdr:colOff>632706</xdr:colOff>
      <xdr:row>10</xdr:row>
      <xdr:rowOff>108017</xdr:rowOff>
    </xdr:to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B143AB77-C086-467C-A34C-487D8E8E53D8}"/>
            </a:ext>
          </a:extLst>
        </xdr:cNvPr>
        <xdr:cNvSpPr txBox="1"/>
      </xdr:nvSpPr>
      <xdr:spPr>
        <a:xfrm>
          <a:off x="10364438" y="2111906"/>
          <a:ext cx="352068" cy="1551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 b="1" i="0">
              <a:solidFill>
                <a:schemeClr val="tx1"/>
              </a:solidFill>
            </a:rPr>
            <a:t>XDR12</a:t>
          </a:r>
          <a:endParaRPr lang="ko-KR" altLang="en-US" sz="1000" b="1" i="0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385536</xdr:colOff>
      <xdr:row>7</xdr:row>
      <xdr:rowOff>97320</xdr:rowOff>
    </xdr:from>
    <xdr:ext cx="152286" cy="140872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76604378-392D-4E18-98A0-D7F5B7C3A623}"/>
            </a:ext>
          </a:extLst>
        </xdr:cNvPr>
        <xdr:cNvSpPr txBox="1"/>
      </xdr:nvSpPr>
      <xdr:spPr>
        <a:xfrm>
          <a:off x="2397125" y="1605445"/>
          <a:ext cx="15228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00"/>
              </a:solidFill>
            </a:rPr>
            <a:t>1-1</a:t>
          </a:r>
          <a:endParaRPr lang="ko-KR" altLang="en-US" sz="900" b="0" i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605343</xdr:colOff>
      <xdr:row>7</xdr:row>
      <xdr:rowOff>94902</xdr:rowOff>
    </xdr:from>
    <xdr:ext cx="152349" cy="140872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E9AE305B-4CA7-420D-982F-ADF68BDA3621}"/>
            </a:ext>
          </a:extLst>
        </xdr:cNvPr>
        <xdr:cNvSpPr txBox="1"/>
      </xdr:nvSpPr>
      <xdr:spPr>
        <a:xfrm>
          <a:off x="2617805" y="1599364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CC00"/>
              </a:solidFill>
            </a:rPr>
            <a:t>1-2</a:t>
          </a:r>
          <a:endParaRPr lang="ko-KR" altLang="en-US" sz="900" b="0" i="1">
            <a:solidFill>
              <a:srgbClr val="00CC00"/>
            </a:solidFill>
          </a:endParaRPr>
        </a:p>
      </xdr:txBody>
    </xdr:sp>
    <xdr:clientData/>
  </xdr:oneCellAnchor>
  <xdr:oneCellAnchor>
    <xdr:from>
      <xdr:col>4</xdr:col>
      <xdr:colOff>88899</xdr:colOff>
      <xdr:row>7</xdr:row>
      <xdr:rowOff>96051</xdr:rowOff>
    </xdr:from>
    <xdr:ext cx="152349" cy="140872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89681EDF-FA93-4C17-8127-25B3929F16E3}"/>
            </a:ext>
          </a:extLst>
        </xdr:cNvPr>
        <xdr:cNvSpPr txBox="1"/>
      </xdr:nvSpPr>
      <xdr:spPr>
        <a:xfrm>
          <a:off x="3198131" y="1604176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00"/>
              </a:solidFill>
            </a:rPr>
            <a:t>2-1</a:t>
          </a:r>
          <a:endParaRPr lang="ko-KR" altLang="en-US" sz="900" b="0" i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300264</xdr:colOff>
      <xdr:row>7</xdr:row>
      <xdr:rowOff>96156</xdr:rowOff>
    </xdr:from>
    <xdr:ext cx="152349" cy="140872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2DA101F-AAF4-4A17-9365-3EEC04CCA6CB}"/>
            </a:ext>
          </a:extLst>
        </xdr:cNvPr>
        <xdr:cNvSpPr txBox="1"/>
      </xdr:nvSpPr>
      <xdr:spPr>
        <a:xfrm>
          <a:off x="3409496" y="1604281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CC00"/>
              </a:solidFill>
            </a:rPr>
            <a:t>2-2</a:t>
          </a:r>
          <a:endParaRPr lang="ko-KR" altLang="en-US" sz="900" b="0" i="1">
            <a:solidFill>
              <a:srgbClr val="00CC00"/>
            </a:solidFill>
          </a:endParaRPr>
        </a:p>
      </xdr:txBody>
    </xdr:sp>
    <xdr:clientData/>
  </xdr:oneCellAnchor>
  <xdr:oneCellAnchor>
    <xdr:from>
      <xdr:col>3</xdr:col>
      <xdr:colOff>150131</xdr:colOff>
      <xdr:row>7</xdr:row>
      <xdr:rowOff>93435</xdr:rowOff>
    </xdr:from>
    <xdr:ext cx="152349" cy="140872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963D4459-B724-48B1-8348-E90E287C6CB2}"/>
            </a:ext>
          </a:extLst>
        </xdr:cNvPr>
        <xdr:cNvSpPr txBox="1"/>
      </xdr:nvSpPr>
      <xdr:spPr>
        <a:xfrm>
          <a:off x="2821667" y="1601560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00FF"/>
              </a:solidFill>
            </a:rPr>
            <a:t>1-3</a:t>
          </a:r>
          <a:endParaRPr lang="ko-KR" altLang="en-US" sz="900" b="0" i="1">
            <a:solidFill>
              <a:srgbClr val="0000FF"/>
            </a:solidFill>
          </a:endParaRPr>
        </a:p>
      </xdr:txBody>
    </xdr:sp>
    <xdr:clientData/>
  </xdr:oneCellAnchor>
  <xdr:oneCellAnchor>
    <xdr:from>
      <xdr:col>5</xdr:col>
      <xdr:colOff>1187</xdr:colOff>
      <xdr:row>7</xdr:row>
      <xdr:rowOff>96958</xdr:rowOff>
    </xdr:from>
    <xdr:ext cx="152349" cy="140872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B8A78890-DE55-4E86-AE54-3B8CFE4D1F78}"/>
            </a:ext>
          </a:extLst>
        </xdr:cNvPr>
        <xdr:cNvSpPr txBox="1"/>
      </xdr:nvSpPr>
      <xdr:spPr>
        <a:xfrm>
          <a:off x="3625223" y="1605083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00FF"/>
              </a:solidFill>
            </a:rPr>
            <a:t>2-3</a:t>
          </a:r>
          <a:endParaRPr lang="ko-KR" altLang="en-US" sz="900" b="0" i="1">
            <a:solidFill>
              <a:srgbClr val="0000FF"/>
            </a:solidFill>
          </a:endParaRPr>
        </a:p>
      </xdr:txBody>
    </xdr:sp>
    <xdr:clientData/>
  </xdr:oneCellAnchor>
  <xdr:oneCellAnchor>
    <xdr:from>
      <xdr:col>8</xdr:col>
      <xdr:colOff>640931</xdr:colOff>
      <xdr:row>7</xdr:row>
      <xdr:rowOff>92634</xdr:rowOff>
    </xdr:from>
    <xdr:ext cx="152286" cy="140872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9F982AC4-5D05-48E4-B788-19996EA3B2AD}"/>
            </a:ext>
          </a:extLst>
        </xdr:cNvPr>
        <xdr:cNvSpPr txBox="1"/>
      </xdr:nvSpPr>
      <xdr:spPr>
        <a:xfrm>
          <a:off x="6092860" y="1600759"/>
          <a:ext cx="15228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chemeClr val="tx1"/>
              </a:solidFill>
            </a:rPr>
            <a:t>1-1</a:t>
          </a:r>
          <a:endParaRPr lang="ko-KR" altLang="en-US" sz="900" b="0" i="1">
            <a:solidFill>
              <a:schemeClr val="tx1"/>
            </a:solidFill>
          </a:endParaRPr>
        </a:p>
      </xdr:txBody>
    </xdr:sp>
    <xdr:clientData/>
  </xdr:oneCellAnchor>
  <xdr:oneCellAnchor>
    <xdr:from>
      <xdr:col>9</xdr:col>
      <xdr:colOff>192243</xdr:colOff>
      <xdr:row>7</xdr:row>
      <xdr:rowOff>94752</xdr:rowOff>
    </xdr:from>
    <xdr:ext cx="152349" cy="140872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70D5D9C0-A627-4A7A-920B-43F5165168B0}"/>
            </a:ext>
          </a:extLst>
        </xdr:cNvPr>
        <xdr:cNvSpPr txBox="1"/>
      </xdr:nvSpPr>
      <xdr:spPr>
        <a:xfrm>
          <a:off x="6304118" y="1602877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FF"/>
              </a:solidFill>
            </a:rPr>
            <a:t>1-2</a:t>
          </a:r>
          <a:endParaRPr lang="ko-KR" altLang="en-US" sz="900" b="0" i="1">
            <a:solidFill>
              <a:srgbClr val="FF00FF"/>
            </a:solidFill>
          </a:endParaRPr>
        </a:p>
      </xdr:txBody>
    </xdr:sp>
    <xdr:clientData/>
  </xdr:oneCellAnchor>
  <xdr:oneCellAnchor>
    <xdr:from>
      <xdr:col>10</xdr:col>
      <xdr:colOff>117334</xdr:colOff>
      <xdr:row>7</xdr:row>
      <xdr:rowOff>95901</xdr:rowOff>
    </xdr:from>
    <xdr:ext cx="152349" cy="140872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4F0167C7-12A2-4437-93D5-6F6F96E2DF8F}"/>
            </a:ext>
          </a:extLst>
        </xdr:cNvPr>
        <xdr:cNvSpPr txBox="1"/>
      </xdr:nvSpPr>
      <xdr:spPr>
        <a:xfrm>
          <a:off x="6889155" y="1604026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chemeClr val="tx1"/>
              </a:solidFill>
            </a:rPr>
            <a:t>2-1</a:t>
          </a:r>
          <a:endParaRPr lang="ko-KR" altLang="en-US" sz="900" b="0" i="1">
            <a:solidFill>
              <a:schemeClr val="tx1"/>
            </a:solidFill>
          </a:endParaRPr>
        </a:p>
      </xdr:txBody>
    </xdr:sp>
    <xdr:clientData/>
  </xdr:oneCellAnchor>
  <xdr:oneCellAnchor>
    <xdr:from>
      <xdr:col>10</xdr:col>
      <xdr:colOff>324163</xdr:colOff>
      <xdr:row>7</xdr:row>
      <xdr:rowOff>96006</xdr:rowOff>
    </xdr:from>
    <xdr:ext cx="152349" cy="140872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E8D58AC9-C5C4-4ECC-A70F-75F99B7CD212}"/>
            </a:ext>
          </a:extLst>
        </xdr:cNvPr>
        <xdr:cNvSpPr txBox="1"/>
      </xdr:nvSpPr>
      <xdr:spPr>
        <a:xfrm>
          <a:off x="7095984" y="1604131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FF"/>
              </a:solidFill>
            </a:rPr>
            <a:t>2-2</a:t>
          </a:r>
          <a:endParaRPr lang="ko-KR" altLang="en-US" sz="900" b="0" i="1">
            <a:solidFill>
              <a:srgbClr val="FF00FF"/>
            </a:solidFill>
          </a:endParaRPr>
        </a:p>
      </xdr:txBody>
    </xdr:sp>
    <xdr:clientData/>
  </xdr:oneCellAnchor>
  <xdr:oneCellAnchor>
    <xdr:from>
      <xdr:col>9</xdr:col>
      <xdr:colOff>400990</xdr:colOff>
      <xdr:row>7</xdr:row>
      <xdr:rowOff>95553</xdr:rowOff>
    </xdr:from>
    <xdr:ext cx="152349" cy="140872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1DC40AD0-67E2-47A2-A6EB-9030C3180887}"/>
            </a:ext>
          </a:extLst>
        </xdr:cNvPr>
        <xdr:cNvSpPr txBox="1"/>
      </xdr:nvSpPr>
      <xdr:spPr>
        <a:xfrm>
          <a:off x="6512865" y="1603678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00FF"/>
              </a:solidFill>
            </a:rPr>
            <a:t>1-3</a:t>
          </a:r>
          <a:endParaRPr lang="ko-KR" altLang="en-US" sz="900" b="0" i="1">
            <a:solidFill>
              <a:srgbClr val="0000FF"/>
            </a:solidFill>
          </a:endParaRPr>
        </a:p>
      </xdr:txBody>
    </xdr:sp>
    <xdr:clientData/>
  </xdr:oneCellAnchor>
  <xdr:oneCellAnchor>
    <xdr:from>
      <xdr:col>10</xdr:col>
      <xdr:colOff>544949</xdr:colOff>
      <xdr:row>7</xdr:row>
      <xdr:rowOff>96808</xdr:rowOff>
    </xdr:from>
    <xdr:ext cx="152349" cy="140872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98696EF-7500-4E3C-8402-7EB845E6F10E}"/>
            </a:ext>
          </a:extLst>
        </xdr:cNvPr>
        <xdr:cNvSpPr txBox="1"/>
      </xdr:nvSpPr>
      <xdr:spPr>
        <a:xfrm>
          <a:off x="7316770" y="1604933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00FF"/>
              </a:solidFill>
            </a:rPr>
            <a:t>2-3</a:t>
          </a:r>
          <a:endParaRPr lang="ko-KR" altLang="en-US" sz="900" b="0" i="1">
            <a:solidFill>
              <a:srgbClr val="0000FF"/>
            </a:solidFill>
          </a:endParaRPr>
        </a:p>
      </xdr:txBody>
    </xdr:sp>
    <xdr:clientData/>
  </xdr:oneCellAnchor>
  <xdr:oneCellAnchor>
    <xdr:from>
      <xdr:col>14</xdr:col>
      <xdr:colOff>485601</xdr:colOff>
      <xdr:row>7</xdr:row>
      <xdr:rowOff>90995</xdr:rowOff>
    </xdr:from>
    <xdr:ext cx="152286" cy="140872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3A00E195-954D-4238-A6E1-C2C76652B66C}"/>
            </a:ext>
          </a:extLst>
        </xdr:cNvPr>
        <xdr:cNvSpPr txBox="1"/>
      </xdr:nvSpPr>
      <xdr:spPr>
        <a:xfrm>
          <a:off x="9893370" y="1595457"/>
          <a:ext cx="15228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chemeClr val="tx1"/>
              </a:solidFill>
            </a:rPr>
            <a:t>1-1</a:t>
          </a:r>
          <a:endParaRPr lang="ko-KR" altLang="en-US" sz="900" b="0" i="1">
            <a:solidFill>
              <a:schemeClr val="tx1"/>
            </a:solidFill>
          </a:endParaRPr>
        </a:p>
      </xdr:txBody>
    </xdr:sp>
    <xdr:clientData/>
  </xdr:oneCellAnchor>
  <xdr:oneCellAnchor>
    <xdr:from>
      <xdr:col>15</xdr:col>
      <xdr:colOff>39181</xdr:colOff>
      <xdr:row>7</xdr:row>
      <xdr:rowOff>90845</xdr:rowOff>
    </xdr:from>
    <xdr:ext cx="152349" cy="140872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D25DCB36-B2A7-4C24-B065-87E3D34C020C}"/>
            </a:ext>
          </a:extLst>
        </xdr:cNvPr>
        <xdr:cNvSpPr txBox="1"/>
      </xdr:nvSpPr>
      <xdr:spPr>
        <a:xfrm>
          <a:off x="10110735" y="1598970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FF"/>
              </a:solidFill>
            </a:rPr>
            <a:t>1-2</a:t>
          </a:r>
          <a:endParaRPr lang="ko-KR" altLang="en-US" sz="900" b="0" i="1">
            <a:solidFill>
              <a:srgbClr val="FF00FF"/>
            </a:solidFill>
          </a:endParaRPr>
        </a:p>
      </xdr:txBody>
    </xdr:sp>
    <xdr:clientData/>
  </xdr:oneCellAnchor>
  <xdr:oneCellAnchor>
    <xdr:from>
      <xdr:col>15</xdr:col>
      <xdr:colOff>626137</xdr:colOff>
      <xdr:row>7</xdr:row>
      <xdr:rowOff>94262</xdr:rowOff>
    </xdr:from>
    <xdr:ext cx="152349" cy="140872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C17632DA-1CFA-48A6-90FF-791045CF76C3}"/>
            </a:ext>
          </a:extLst>
        </xdr:cNvPr>
        <xdr:cNvSpPr txBox="1"/>
      </xdr:nvSpPr>
      <xdr:spPr>
        <a:xfrm>
          <a:off x="10697691" y="1602387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chemeClr val="tx1"/>
              </a:solidFill>
            </a:rPr>
            <a:t>2-1</a:t>
          </a:r>
          <a:endParaRPr lang="ko-KR" altLang="en-US" sz="900" b="0" i="1">
            <a:solidFill>
              <a:schemeClr val="tx1"/>
            </a:solidFill>
          </a:endParaRPr>
        </a:p>
      </xdr:txBody>
    </xdr:sp>
    <xdr:clientData/>
  </xdr:oneCellAnchor>
  <xdr:oneCellAnchor>
    <xdr:from>
      <xdr:col>16</xdr:col>
      <xdr:colOff>180869</xdr:colOff>
      <xdr:row>7</xdr:row>
      <xdr:rowOff>94367</xdr:rowOff>
    </xdr:from>
    <xdr:ext cx="152349" cy="140872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116DB951-C7F2-4923-A571-BEC249E1236B}"/>
            </a:ext>
          </a:extLst>
        </xdr:cNvPr>
        <xdr:cNvSpPr txBox="1"/>
      </xdr:nvSpPr>
      <xdr:spPr>
        <a:xfrm>
          <a:off x="10912369" y="1602492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FF"/>
              </a:solidFill>
            </a:rPr>
            <a:t>2-2</a:t>
          </a:r>
          <a:endParaRPr lang="ko-KR" altLang="en-US" sz="900" b="0" i="1">
            <a:solidFill>
              <a:srgbClr val="FF00FF"/>
            </a:solidFill>
          </a:endParaRPr>
        </a:p>
      </xdr:txBody>
    </xdr:sp>
    <xdr:clientData/>
  </xdr:oneCellAnchor>
  <xdr:twoCellAnchor>
    <xdr:from>
      <xdr:col>12</xdr:col>
      <xdr:colOff>546100</xdr:colOff>
      <xdr:row>3</xdr:row>
      <xdr:rowOff>203201</xdr:rowOff>
    </xdr:from>
    <xdr:to>
      <xdr:col>12</xdr:col>
      <xdr:colOff>546100</xdr:colOff>
      <xdr:row>5</xdr:row>
      <xdr:rowOff>95401</xdr:rowOff>
    </xdr:to>
    <xdr:cxnSp macro="">
      <xdr:nvCxnSpPr>
        <xdr:cNvPr id="441" name="직선 연결선 440">
          <a:extLst>
            <a:ext uri="{FF2B5EF4-FFF2-40B4-BE49-F238E27FC236}">
              <a16:creationId xmlns:a16="http://schemas.microsoft.com/office/drawing/2014/main" id="{753EEF16-6F77-4BF2-BF0B-BE26B288C9E3}"/>
            </a:ext>
          </a:extLst>
        </xdr:cNvPr>
        <xdr:cNvCxnSpPr/>
      </xdr:nvCxnSpPr>
      <xdr:spPr>
        <a:xfrm flipH="1" flipV="1">
          <a:off x="8648700" y="850901"/>
          <a:ext cx="0" cy="324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513458</xdr:colOff>
      <xdr:row>3</xdr:row>
      <xdr:rowOff>176913</xdr:rowOff>
    </xdr:from>
    <xdr:to>
      <xdr:col>12</xdr:col>
      <xdr:colOff>585458</xdr:colOff>
      <xdr:row>4</xdr:row>
      <xdr:rowOff>33013</xdr:rowOff>
    </xdr:to>
    <xdr:sp macro="" textlink="">
      <xdr:nvSpPr>
        <xdr:cNvPr id="446" name="타원 445">
          <a:extLst>
            <a:ext uri="{FF2B5EF4-FFF2-40B4-BE49-F238E27FC236}">
              <a16:creationId xmlns:a16="http://schemas.microsoft.com/office/drawing/2014/main" id="{08EF09D2-2A28-4806-9478-E3ED8AD3E02A}"/>
            </a:ext>
          </a:extLst>
        </xdr:cNvPr>
        <xdr:cNvSpPr/>
      </xdr:nvSpPr>
      <xdr:spPr>
        <a:xfrm>
          <a:off x="8616058" y="824613"/>
          <a:ext cx="72000" cy="72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220132</xdr:colOff>
      <xdr:row>4</xdr:row>
      <xdr:rowOff>139700</xdr:rowOff>
    </xdr:from>
    <xdr:to>
      <xdr:col>3</xdr:col>
      <xdr:colOff>342899</xdr:colOff>
      <xdr:row>8</xdr:row>
      <xdr:rowOff>16934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A1587ED-0768-EE72-08DB-4B73E99391B4}"/>
            </a:ext>
          </a:extLst>
        </xdr:cNvPr>
        <xdr:cNvSpPr/>
      </xdr:nvSpPr>
      <xdr:spPr>
        <a:xfrm>
          <a:off x="2442632" y="1003300"/>
          <a:ext cx="783167" cy="740834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406403</xdr:colOff>
      <xdr:row>4</xdr:row>
      <xdr:rowOff>148167</xdr:rowOff>
    </xdr:from>
    <xdr:to>
      <xdr:col>5</xdr:col>
      <xdr:colOff>232837</xdr:colOff>
      <xdr:row>8</xdr:row>
      <xdr:rowOff>25401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9BBB8EDF-52FA-4A91-BDCB-A2C476EB3CBC}"/>
            </a:ext>
          </a:extLst>
        </xdr:cNvPr>
        <xdr:cNvSpPr/>
      </xdr:nvSpPr>
      <xdr:spPr>
        <a:xfrm>
          <a:off x="3289303" y="1011767"/>
          <a:ext cx="783167" cy="740834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486833</xdr:colOff>
      <xdr:row>4</xdr:row>
      <xdr:rowOff>135465</xdr:rowOff>
    </xdr:from>
    <xdr:to>
      <xdr:col>9</xdr:col>
      <xdr:colOff>609600</xdr:colOff>
      <xdr:row>8</xdr:row>
      <xdr:rowOff>46566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E513679-984B-44A4-888A-580C99CF411F}"/>
            </a:ext>
          </a:extLst>
        </xdr:cNvPr>
        <xdr:cNvSpPr/>
      </xdr:nvSpPr>
      <xdr:spPr>
        <a:xfrm>
          <a:off x="6151033" y="999065"/>
          <a:ext cx="783167" cy="774701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8470</xdr:colOff>
      <xdr:row>4</xdr:row>
      <xdr:rowOff>131232</xdr:rowOff>
    </xdr:from>
    <xdr:to>
      <xdr:col>11</xdr:col>
      <xdr:colOff>131237</xdr:colOff>
      <xdr:row>8</xdr:row>
      <xdr:rowOff>42333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46A0313-70E6-4859-8426-AB97A4E587FA}"/>
            </a:ext>
          </a:extLst>
        </xdr:cNvPr>
        <xdr:cNvSpPr/>
      </xdr:nvSpPr>
      <xdr:spPr>
        <a:xfrm>
          <a:off x="6993470" y="994832"/>
          <a:ext cx="783167" cy="774701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452966</xdr:colOff>
      <xdr:row>4</xdr:row>
      <xdr:rowOff>160866</xdr:rowOff>
    </xdr:from>
    <xdr:to>
      <xdr:col>14</xdr:col>
      <xdr:colOff>656167</xdr:colOff>
      <xdr:row>8</xdr:row>
      <xdr:rowOff>38099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38BC94A-3E5E-4809-A6D8-62A931599D61}"/>
            </a:ext>
          </a:extLst>
        </xdr:cNvPr>
        <xdr:cNvSpPr/>
      </xdr:nvSpPr>
      <xdr:spPr>
        <a:xfrm>
          <a:off x="10079566" y="1024466"/>
          <a:ext cx="203201" cy="740833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25401</xdr:colOff>
      <xdr:row>4</xdr:row>
      <xdr:rowOff>156633</xdr:rowOff>
    </xdr:from>
    <xdr:to>
      <xdr:col>15</xdr:col>
      <xdr:colOff>228602</xdr:colOff>
      <xdr:row>8</xdr:row>
      <xdr:rowOff>33866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C4B5635-4290-441D-A051-126ABD000355}"/>
            </a:ext>
          </a:extLst>
        </xdr:cNvPr>
        <xdr:cNvSpPr/>
      </xdr:nvSpPr>
      <xdr:spPr>
        <a:xfrm>
          <a:off x="10312401" y="1020233"/>
          <a:ext cx="203201" cy="740833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592665</xdr:colOff>
      <xdr:row>4</xdr:row>
      <xdr:rowOff>152398</xdr:rowOff>
    </xdr:from>
    <xdr:to>
      <xdr:col>16</xdr:col>
      <xdr:colOff>135466</xdr:colOff>
      <xdr:row>8</xdr:row>
      <xdr:rowOff>29631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1FAD1472-E6E5-4368-ABF8-D57B78CAB884}"/>
            </a:ext>
          </a:extLst>
        </xdr:cNvPr>
        <xdr:cNvSpPr/>
      </xdr:nvSpPr>
      <xdr:spPr>
        <a:xfrm>
          <a:off x="10879665" y="1015998"/>
          <a:ext cx="203201" cy="740833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165100</xdr:colOff>
      <xdr:row>4</xdr:row>
      <xdr:rowOff>148165</xdr:rowOff>
    </xdr:from>
    <xdr:to>
      <xdr:col>16</xdr:col>
      <xdr:colOff>368301</xdr:colOff>
      <xdr:row>8</xdr:row>
      <xdr:rowOff>25398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88DA3553-BA70-468B-9A7F-6BCF0E6F4B11}"/>
            </a:ext>
          </a:extLst>
        </xdr:cNvPr>
        <xdr:cNvSpPr/>
      </xdr:nvSpPr>
      <xdr:spPr>
        <a:xfrm>
          <a:off x="11112500" y="1011765"/>
          <a:ext cx="203201" cy="740833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225136</xdr:colOff>
      <xdr:row>181</xdr:row>
      <xdr:rowOff>92364</xdr:rowOff>
    </xdr:from>
    <xdr:to>
      <xdr:col>13</xdr:col>
      <xdr:colOff>14590</xdr:colOff>
      <xdr:row>181</xdr:row>
      <xdr:rowOff>93817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2BAB1605-981A-451C-B1D5-848D1361F53C}"/>
            </a:ext>
          </a:extLst>
        </xdr:cNvPr>
        <xdr:cNvCxnSpPr/>
      </xdr:nvCxnSpPr>
      <xdr:spPr>
        <a:xfrm flipH="1">
          <a:off x="3006436" y="37055714"/>
          <a:ext cx="4571004" cy="14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414481</xdr:colOff>
      <xdr:row>180</xdr:row>
      <xdr:rowOff>200872</xdr:rowOff>
    </xdr:from>
    <xdr:ext cx="68390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B87BC7-0F09-4371-AE17-0BCD55691E35}"/>
            </a:ext>
          </a:extLst>
        </xdr:cNvPr>
        <xdr:cNvSpPr txBox="1"/>
      </xdr:nvSpPr>
      <xdr:spPr>
        <a:xfrm>
          <a:off x="4942031" y="36948322"/>
          <a:ext cx="68390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ch_size</a:t>
          </a:r>
          <a:r>
            <a:rPr lang="en-US" altLang="ko-KR" sz="1100" baseline="0"/>
            <a:t> </a:t>
          </a:r>
          <a:r>
            <a:rPr lang="en-US" altLang="ko-KR" sz="1100"/>
            <a:t>= 24</a:t>
          </a:r>
          <a:endParaRPr lang="ko-KR" altLang="en-US" sz="1100"/>
        </a:p>
      </xdr:txBody>
    </xdr:sp>
    <xdr:clientData/>
  </xdr:oneCellAnchor>
  <xdr:twoCellAnchor>
    <xdr:from>
      <xdr:col>18</xdr:col>
      <xdr:colOff>67159</xdr:colOff>
      <xdr:row>186</xdr:row>
      <xdr:rowOff>208344</xdr:rowOff>
    </xdr:from>
    <xdr:to>
      <xdr:col>22</xdr:col>
      <xdr:colOff>550719</xdr:colOff>
      <xdr:row>188</xdr:row>
      <xdr:rowOff>11412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745A61-2BA0-41D2-AAF8-62AE91F73AF5}"/>
            </a:ext>
          </a:extLst>
        </xdr:cNvPr>
        <xdr:cNvSpPr txBox="1"/>
      </xdr:nvSpPr>
      <xdr:spPr>
        <a:xfrm>
          <a:off x="9738209" y="382702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wr/rd pointer = counted just after wr/rd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1866898</xdr:colOff>
      <xdr:row>183</xdr:row>
      <xdr:rowOff>11547</xdr:rowOff>
    </xdr:from>
    <xdr:to>
      <xdr:col>1</xdr:col>
      <xdr:colOff>1866898</xdr:colOff>
      <xdr:row>193</xdr:row>
      <xdr:rowOff>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C488AB31-C7B9-4652-BC67-476A7888E0BE}"/>
            </a:ext>
          </a:extLst>
        </xdr:cNvPr>
        <xdr:cNvCxnSpPr/>
      </xdr:nvCxnSpPr>
      <xdr:spPr>
        <a:xfrm flipH="1">
          <a:off x="2527298" y="37413047"/>
          <a:ext cx="0" cy="21982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1058719</xdr:colOff>
      <xdr:row>187</xdr:row>
      <xdr:rowOff>20088</xdr:rowOff>
    </xdr:from>
    <xdr:ext cx="926857" cy="34445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B7F235-D9D2-4BFB-9E41-CB7C2A14A44D}"/>
            </a:ext>
          </a:extLst>
        </xdr:cNvPr>
        <xdr:cNvSpPr txBox="1"/>
      </xdr:nvSpPr>
      <xdr:spPr>
        <a:xfrm>
          <a:off x="1719119" y="38304238"/>
          <a:ext cx="926857" cy="34445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r"/>
          <a:r>
            <a:rPr lang="en-US" altLang="ko-KR" sz="1100">
              <a:solidFill>
                <a:schemeClr val="tx1"/>
              </a:solidFill>
            </a:rPr>
            <a:t>physical size=54</a:t>
          </a:r>
        </a:p>
        <a:p>
          <a:pPr algn="r"/>
          <a:r>
            <a:rPr lang="en-US" altLang="ko-KR" sz="1100">
              <a:solidFill>
                <a:schemeClr val="tx1"/>
              </a:solidFill>
            </a:rPr>
            <a:t>(old=32)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2307</xdr:colOff>
      <xdr:row>197</xdr:row>
      <xdr:rowOff>190500</xdr:rowOff>
    </xdr:from>
    <xdr:to>
      <xdr:col>4</xdr:col>
      <xdr:colOff>14580</xdr:colOff>
      <xdr:row>197</xdr:row>
      <xdr:rowOff>190500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44899E63-2B0F-4DDF-9F34-84250B052941}"/>
            </a:ext>
          </a:extLst>
        </xdr:cNvPr>
        <xdr:cNvCxnSpPr/>
      </xdr:nvCxnSpPr>
      <xdr:spPr>
        <a:xfrm flipV="1">
          <a:off x="3107457" y="40690800"/>
          <a:ext cx="51392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587666</xdr:colOff>
      <xdr:row>198</xdr:row>
      <xdr:rowOff>16146</xdr:rowOff>
    </xdr:from>
    <xdr:ext cx="1701941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8E420B-9EA6-4B49-9B2D-BFDDBFF768D3}"/>
            </a:ext>
          </a:extLst>
        </xdr:cNvPr>
        <xdr:cNvSpPr txBox="1"/>
      </xdr:nvSpPr>
      <xdr:spPr>
        <a:xfrm>
          <a:off x="3102266" y="40738696"/>
          <a:ext cx="1701941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</a:rPr>
            <a:t>ld_buffer</a:t>
          </a:r>
          <a:r>
            <a:rPr lang="en-US" altLang="ko-KR" sz="1100" baseline="0">
              <a:solidFill>
                <a:schemeClr val="tx1"/>
              </a:solidFill>
            </a:rPr>
            <a:t> width=16 (old=22bit)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1</xdr:col>
      <xdr:colOff>1865744</xdr:colOff>
      <xdr:row>193</xdr:row>
      <xdr:rowOff>19627</xdr:rowOff>
    </xdr:from>
    <xdr:to>
      <xdr:col>1</xdr:col>
      <xdr:colOff>1865744</xdr:colOff>
      <xdr:row>197</xdr:row>
      <xdr:rowOff>24854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60D74073-EA70-4627-9744-9A7EDAC760CE}"/>
            </a:ext>
          </a:extLst>
        </xdr:cNvPr>
        <xdr:cNvCxnSpPr/>
      </xdr:nvCxnSpPr>
      <xdr:spPr>
        <a:xfrm flipH="1">
          <a:off x="2526144" y="39630927"/>
          <a:ext cx="0" cy="894227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1332525</xdr:colOff>
      <xdr:row>194</xdr:row>
      <xdr:rowOff>131601</xdr:rowOff>
    </xdr:from>
    <xdr:ext cx="626326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81BEF2D-F308-4B7B-969F-A7B89C0D1B5B}"/>
            </a:ext>
          </a:extLst>
        </xdr:cNvPr>
        <xdr:cNvSpPr txBox="1"/>
      </xdr:nvSpPr>
      <xdr:spPr>
        <a:xfrm>
          <a:off x="1992925" y="39971501"/>
          <a:ext cx="626326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100">
              <a:solidFill>
                <a:schemeClr val="tx1"/>
              </a:solidFill>
            </a:rPr>
            <a:t>virtual area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 editAs="oneCell">
    <xdr:from>
      <xdr:col>16</xdr:col>
      <xdr:colOff>38677</xdr:colOff>
      <xdr:row>10</xdr:row>
      <xdr:rowOff>207240</xdr:rowOff>
    </xdr:from>
    <xdr:to>
      <xdr:col>19</xdr:col>
      <xdr:colOff>79347</xdr:colOff>
      <xdr:row>29</xdr:row>
      <xdr:rowOff>192809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3C0D664-B448-4D60-B95E-675471218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877" y="2366240"/>
          <a:ext cx="1278920" cy="4087669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18</xdr:col>
      <xdr:colOff>65235</xdr:colOff>
      <xdr:row>183</xdr:row>
      <xdr:rowOff>56556</xdr:rowOff>
    </xdr:from>
    <xdr:to>
      <xdr:col>20</xdr:col>
      <xdr:colOff>480906</xdr:colOff>
      <xdr:row>185</xdr:row>
      <xdr:rowOff>188195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80ED6DD1-E193-4B59-A656-8C457706B430}"/>
            </a:ext>
          </a:extLst>
        </xdr:cNvPr>
        <xdr:cNvGrpSpPr/>
      </xdr:nvGrpSpPr>
      <xdr:grpSpPr>
        <a:xfrm>
          <a:off x="9732176" y="40412674"/>
          <a:ext cx="1244906" cy="572403"/>
          <a:chOff x="10063599" y="33688465"/>
          <a:chExt cx="1246943" cy="570366"/>
        </a:xfrm>
        <a:noFill/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8D9356-4E72-EF5C-5CDC-1DB755BCCD45}"/>
              </a:ext>
            </a:extLst>
          </xdr:cNvPr>
          <xdr:cNvSpPr txBox="1"/>
        </xdr:nvSpPr>
        <xdr:spPr>
          <a:xfrm>
            <a:off x="10063607" y="34081968"/>
            <a:ext cx="884311" cy="176863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ld_rd_pointer=1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952F74E-909A-7A26-F4D8-2B40DAB837A1}"/>
              </a:ext>
            </a:extLst>
          </xdr:cNvPr>
          <xdr:cNvSpPr txBox="1"/>
        </xdr:nvSpPr>
        <xdr:spPr>
          <a:xfrm>
            <a:off x="10069665" y="33884061"/>
            <a:ext cx="904520" cy="173976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ld_wr_pointer=1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985D2EC-206F-AE66-E09E-AE44EFBECD7F}"/>
              </a:ext>
            </a:extLst>
          </xdr:cNvPr>
          <xdr:cNvSpPr txBox="1"/>
        </xdr:nvSpPr>
        <xdr:spPr>
          <a:xfrm>
            <a:off x="10063599" y="33688465"/>
            <a:ext cx="1246943" cy="176864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line_size(burst</a:t>
            </a:r>
            <a:r>
              <a:rPr lang="en-US" altLang="ko-KR" sz="1100" baseline="0">
                <a:solidFill>
                  <a:schemeClr val="accent2">
                    <a:lumMod val="75000"/>
                  </a:schemeClr>
                </a:solidFill>
              </a:rPr>
              <a:t> size)</a:t>
            </a:r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14</xdr:col>
      <xdr:colOff>172222</xdr:colOff>
      <xdr:row>182</xdr:row>
      <xdr:rowOff>221672</xdr:rowOff>
    </xdr:from>
    <xdr:to>
      <xdr:col>14</xdr:col>
      <xdr:colOff>173375</xdr:colOff>
      <xdr:row>184</xdr:row>
      <xdr:rowOff>11545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4C7F3F9E-5F5A-4FB7-A901-759BDC5D0F5B}"/>
            </a:ext>
          </a:extLst>
        </xdr:cNvPr>
        <xdr:cNvCxnSpPr/>
      </xdr:nvCxnSpPr>
      <xdr:spPr>
        <a:xfrm>
          <a:off x="8160522" y="37400922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175108</xdr:colOff>
      <xdr:row>183</xdr:row>
      <xdr:rowOff>2309</xdr:rowOff>
    </xdr:from>
    <xdr:to>
      <xdr:col>15</xdr:col>
      <xdr:colOff>176261</xdr:colOff>
      <xdr:row>184</xdr:row>
      <xdr:rowOff>17318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7C35536B-A69C-459B-A916-0BB770FCE198}"/>
            </a:ext>
          </a:extLst>
        </xdr:cNvPr>
        <xdr:cNvCxnSpPr/>
      </xdr:nvCxnSpPr>
      <xdr:spPr>
        <a:xfrm>
          <a:off x="8588858" y="37403809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192429</xdr:colOff>
      <xdr:row>182</xdr:row>
      <xdr:rowOff>223981</xdr:rowOff>
    </xdr:from>
    <xdr:to>
      <xdr:col>16</xdr:col>
      <xdr:colOff>193582</xdr:colOff>
      <xdr:row>184</xdr:row>
      <xdr:rowOff>13854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F0A2A2FF-F645-4454-881F-A3C1888FC605}"/>
            </a:ext>
          </a:extLst>
        </xdr:cNvPr>
        <xdr:cNvCxnSpPr/>
      </xdr:nvCxnSpPr>
      <xdr:spPr>
        <a:xfrm>
          <a:off x="9031629" y="37403231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96987</xdr:colOff>
      <xdr:row>183</xdr:row>
      <xdr:rowOff>1155</xdr:rowOff>
    </xdr:from>
    <xdr:to>
      <xdr:col>17</xdr:col>
      <xdr:colOff>98140</xdr:colOff>
      <xdr:row>184</xdr:row>
      <xdr:rowOff>16164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CC0ADBB2-FFDD-435F-A66A-CBA5D0308AB1}"/>
            </a:ext>
          </a:extLst>
        </xdr:cNvPr>
        <xdr:cNvCxnSpPr/>
      </xdr:nvCxnSpPr>
      <xdr:spPr>
        <a:xfrm>
          <a:off x="9361637" y="37402655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253233</xdr:colOff>
      <xdr:row>182</xdr:row>
      <xdr:rowOff>222443</xdr:rowOff>
    </xdr:from>
    <xdr:to>
      <xdr:col>14</xdr:col>
      <xdr:colOff>254386</xdr:colOff>
      <xdr:row>184</xdr:row>
      <xdr:rowOff>13085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6ADD35E0-A928-447F-803C-679C0AE68F90}"/>
            </a:ext>
          </a:extLst>
        </xdr:cNvPr>
        <xdr:cNvCxnSpPr/>
      </xdr:nvCxnSpPr>
      <xdr:spPr>
        <a:xfrm>
          <a:off x="8241533" y="37401693"/>
          <a:ext cx="1153" cy="235142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200511</xdr:colOff>
      <xdr:row>183</xdr:row>
      <xdr:rowOff>56362</xdr:rowOff>
    </xdr:from>
    <xdr:to>
      <xdr:col>21</xdr:col>
      <xdr:colOff>1003301</xdr:colOff>
      <xdr:row>184</xdr:row>
      <xdr:rowOff>12699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170C61-D3B4-4526-B72C-09263900D12C}"/>
            </a:ext>
          </a:extLst>
        </xdr:cNvPr>
        <xdr:cNvSpPr txBox="1"/>
      </xdr:nvSpPr>
      <xdr:spPr>
        <a:xfrm>
          <a:off x="11205061" y="37457862"/>
          <a:ext cx="802790" cy="1785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100">
              <a:solidFill>
                <a:schemeClr val="accent3">
                  <a:lumMod val="60000"/>
                  <a:lumOff val="40000"/>
                </a:schemeClr>
              </a:solidFill>
            </a:rPr>
            <a:t>block_size =1</a:t>
          </a:r>
          <a:endParaRPr lang="ko-KR" altLang="en-US" sz="1100">
            <a:solidFill>
              <a:schemeClr val="accent3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15</xdr:col>
      <xdr:colOff>249766</xdr:colOff>
      <xdr:row>183</xdr:row>
      <xdr:rowOff>2309</xdr:rowOff>
    </xdr:from>
    <xdr:to>
      <xdr:col>15</xdr:col>
      <xdr:colOff>249766</xdr:colOff>
      <xdr:row>186</xdr:row>
      <xdr:rowOff>12700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B89D1332-4D71-4735-B57A-43A3ABF9C805}"/>
            </a:ext>
          </a:extLst>
        </xdr:cNvPr>
        <xdr:cNvCxnSpPr/>
      </xdr:nvCxnSpPr>
      <xdr:spPr>
        <a:xfrm flipH="1">
          <a:off x="8663516" y="37403809"/>
          <a:ext cx="0" cy="670791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262467</xdr:colOff>
      <xdr:row>182</xdr:row>
      <xdr:rowOff>213976</xdr:rowOff>
    </xdr:from>
    <xdr:to>
      <xdr:col>16</xdr:col>
      <xdr:colOff>262467</xdr:colOff>
      <xdr:row>186</xdr:row>
      <xdr:rowOff>8976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A7E2483D-D9AD-42C4-BC28-CDABAAA6CF20}"/>
            </a:ext>
          </a:extLst>
        </xdr:cNvPr>
        <xdr:cNvCxnSpPr/>
      </xdr:nvCxnSpPr>
      <xdr:spPr>
        <a:xfrm flipH="1">
          <a:off x="9101667" y="37393226"/>
          <a:ext cx="0" cy="677650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177801</xdr:colOff>
      <xdr:row>182</xdr:row>
      <xdr:rowOff>205512</xdr:rowOff>
    </xdr:from>
    <xdr:to>
      <xdr:col>17</xdr:col>
      <xdr:colOff>177801</xdr:colOff>
      <xdr:row>185</xdr:row>
      <xdr:rowOff>44879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C9B903CC-12B2-4D21-B932-37F939533044}"/>
            </a:ext>
          </a:extLst>
        </xdr:cNvPr>
        <xdr:cNvCxnSpPr/>
      </xdr:nvCxnSpPr>
      <xdr:spPr>
        <a:xfrm flipH="1">
          <a:off x="9442451" y="37384762"/>
          <a:ext cx="0" cy="499767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394546</xdr:colOff>
      <xdr:row>145</xdr:row>
      <xdr:rowOff>143932</xdr:rowOff>
    </xdr:from>
    <xdr:to>
      <xdr:col>39</xdr:col>
      <xdr:colOff>82550</xdr:colOff>
      <xdr:row>158</xdr:row>
      <xdr:rowOff>118533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7DEFFD9-F9B1-4117-955B-E08A1997EADE}"/>
            </a:ext>
          </a:extLst>
        </xdr:cNvPr>
        <xdr:cNvSpPr txBox="1"/>
      </xdr:nvSpPr>
      <xdr:spPr>
        <a:xfrm>
          <a:off x="12638840" y="32207697"/>
          <a:ext cx="10550239" cy="27910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+mn-ea"/>
              <a:ea typeface="+mn-ea"/>
            </a:rPr>
            <a:t>1. reg readout</a:t>
          </a:r>
        </a:p>
        <a:p>
          <a:r>
            <a:rPr lang="en-US" altLang="ko-KR" sz="1100">
              <a:latin typeface="+mn-ea"/>
              <a:ea typeface="+mn-ea"/>
            </a:rPr>
            <a:t>    - cmd broken : 1st cmd 4bit</a:t>
          </a:r>
          <a:r>
            <a:rPr lang="ko-KR" altLang="en-US" sz="1100">
              <a:latin typeface="+mn-ea"/>
              <a:ea typeface="+mn-ea"/>
            </a:rPr>
            <a:t>만 </a:t>
          </a:r>
          <a:r>
            <a:rPr lang="en-US" altLang="ko-KR" sz="1100">
              <a:latin typeface="+mn-ea"/>
              <a:ea typeface="+mn-ea"/>
            </a:rPr>
            <a:t>check</a:t>
          </a:r>
          <a:r>
            <a:rPr lang="ko-KR" altLang="en-US" sz="1100">
              <a:latin typeface="+mn-ea"/>
              <a:ea typeface="+mn-ea"/>
            </a:rPr>
            <a:t>하고 그 뒤로는 확인 안함 </a:t>
          </a:r>
          <a:r>
            <a:rPr lang="en-US" altLang="ko-KR" sz="1100">
              <a:latin typeface="+mn-ea"/>
              <a:ea typeface="+mn-ea"/>
            </a:rPr>
            <a:t>(</a:t>
          </a:r>
          <a:r>
            <a:rPr lang="ko-KR" altLang="en-US" sz="1100">
              <a:latin typeface="+mn-ea"/>
              <a:ea typeface="+mn-ea"/>
            </a:rPr>
            <a:t>따라서</a:t>
          </a:r>
          <a:r>
            <a:rPr lang="en-US" altLang="ko-KR" sz="1100">
              <a:latin typeface="+mn-ea"/>
              <a:ea typeface="+mn-ea"/>
            </a:rPr>
            <a:t>, written reg value</a:t>
          </a:r>
          <a:r>
            <a:rPr lang="ko-KR" altLang="en-US" sz="1100">
              <a:latin typeface="+mn-ea"/>
              <a:ea typeface="+mn-ea"/>
            </a:rPr>
            <a:t>은 </a:t>
          </a:r>
          <a:r>
            <a:rPr lang="en-US" altLang="ko-KR" sz="1100">
              <a:latin typeface="+mn-ea"/>
              <a:ea typeface="+mn-ea"/>
            </a:rPr>
            <a:t>invalid</a:t>
          </a:r>
          <a:r>
            <a:rPr lang="ko-KR" altLang="en-US" sz="1100">
              <a:latin typeface="+mn-ea"/>
              <a:ea typeface="+mn-ea"/>
            </a:rPr>
            <a:t>할 수 있음</a:t>
          </a:r>
          <a:r>
            <a:rPr lang="en-US" altLang="ko-KR" sz="1100">
              <a:latin typeface="+mn-ea"/>
              <a:ea typeface="+mn-ea"/>
            </a:rPr>
            <a:t>)</a:t>
          </a:r>
        </a:p>
        <a:p>
          <a:r>
            <a:rPr lang="en-US" altLang="ko-KR" sz="1100">
              <a:latin typeface="+mn-ea"/>
              <a:ea typeface="+mn-ea"/>
            </a:rPr>
            <a:t>                         1st cmd broken</a:t>
          </a:r>
          <a:r>
            <a:rPr lang="ko-KR" altLang="en-US" sz="1100">
              <a:latin typeface="+mn-ea"/>
              <a:ea typeface="+mn-ea"/>
            </a:rPr>
            <a:t>이면</a:t>
          </a:r>
          <a:r>
            <a:rPr lang="en-US" altLang="ko-KR" sz="1100">
              <a:latin typeface="+mn-ea"/>
              <a:ea typeface="+mn-ea"/>
            </a:rPr>
            <a:t> not writing and </a:t>
          </a:r>
          <a:r>
            <a:rPr lang="en-US" altLang="ko-KR" sz="1100" b="1">
              <a:latin typeface="+mn-ea"/>
              <a:ea typeface="+mn-ea"/>
            </a:rPr>
            <a:t>state staying until serial latency expired,  with error &amp; done flag </a:t>
          </a:r>
          <a:r>
            <a:rPr lang="en-US" altLang="ko-KR" sz="1100" b="0">
              <a:latin typeface="+mn-ea"/>
              <a:ea typeface="+mn-ea"/>
            </a:rPr>
            <a:t>(or 'vsync_rst_en2' return</a:t>
          </a:r>
          <a:r>
            <a:rPr lang="en-US" altLang="ko-KR" sz="1100" b="0" baseline="0">
              <a:latin typeface="+mn-ea"/>
              <a:ea typeface="+mn-ea"/>
            </a:rPr>
            <a:t> to idle)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+mn-ea"/>
              <a:ea typeface="+mn-ea"/>
            </a:rPr>
            <a:t>    - id broken</a:t>
          </a:r>
          <a:r>
            <a:rPr lang="en-US" altLang="ko-KR" sz="1100" baseline="0">
              <a:latin typeface="+mn-ea"/>
              <a:ea typeface="+mn-ea"/>
            </a:rPr>
            <a:t> : not checking</a:t>
          </a: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    - data </a:t>
          </a:r>
          <a:r>
            <a:rPr lang="ko-KR" altLang="en-US" sz="1100" baseline="0">
              <a:latin typeface="+mn-ea"/>
              <a:ea typeface="+mn-ea"/>
            </a:rPr>
            <a:t>개수 </a:t>
          </a:r>
          <a:r>
            <a:rPr lang="en-US" altLang="ko-KR" sz="1100" baseline="0">
              <a:latin typeface="+mn-ea"/>
              <a:ea typeface="+mn-ea"/>
            </a:rPr>
            <a:t>mismatched : written reg value broken, 'vsync_rst_en2' return to idle</a:t>
          </a:r>
        </a:p>
        <a:p>
          <a:r>
            <a:rPr lang="en-US" altLang="ko-KR" sz="1100" baseline="0">
              <a:latin typeface="+mn-ea"/>
              <a:ea typeface="+mn-ea"/>
            </a:rPr>
            <a:t>2. fault (auto) read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+mn-ea"/>
              <a:ea typeface="+mn-ea"/>
            </a:rPr>
            <a:t>    - cmd broken :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writing and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 staying until serial latency expired,  with error &amp; done flag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(or 'vsync_rst_en2' return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idle)</a:t>
          </a:r>
          <a:endParaRPr lang="en-US" altLang="ko-KR" sz="1100" baseline="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3. glitch rejection : 1mclk rejection, </a:t>
          </a:r>
          <a:r>
            <a:rPr lang="en-US" altLang="ko-KR" sz="1100" baseline="0">
              <a:solidFill>
                <a:srgbClr val="FF0000"/>
              </a:solidFill>
              <a:latin typeface="+mn-ea"/>
              <a:ea typeface="+mn-ea"/>
            </a:rPr>
            <a:t>bit_broken ???</a:t>
          </a:r>
        </a:p>
      </xdr:txBody>
    </xdr:sp>
    <xdr:clientData/>
  </xdr:twoCellAnchor>
  <xdr:twoCellAnchor>
    <xdr:from>
      <xdr:col>18</xdr:col>
      <xdr:colOff>60809</xdr:colOff>
      <xdr:row>185</xdr:row>
      <xdr:rowOff>201994</xdr:rowOff>
    </xdr:from>
    <xdr:to>
      <xdr:col>22</xdr:col>
      <xdr:colOff>544369</xdr:colOff>
      <xdr:row>186</xdr:row>
      <xdr:rowOff>220962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1CC4290-955D-44FA-A65D-63A830AB61DF}"/>
            </a:ext>
          </a:extLst>
        </xdr:cNvPr>
        <xdr:cNvSpPr txBox="1"/>
      </xdr:nvSpPr>
      <xdr:spPr>
        <a:xfrm>
          <a:off x="9731859" y="380416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ld start pointer = 1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419100</xdr:colOff>
      <xdr:row>155</xdr:row>
      <xdr:rowOff>12700</xdr:rowOff>
    </xdr:from>
    <xdr:to>
      <xdr:col>6</xdr:col>
      <xdr:colOff>31750</xdr:colOff>
      <xdr:row>155</xdr:row>
      <xdr:rowOff>203200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FF8359C-A5BC-4D96-AA3C-5B7DCCFFEBCE}"/>
            </a:ext>
          </a:extLst>
        </xdr:cNvPr>
        <xdr:cNvSpPr/>
      </xdr:nvSpPr>
      <xdr:spPr>
        <a:xfrm>
          <a:off x="3524250" y="31318200"/>
          <a:ext cx="1035050" cy="1905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476250</xdr:colOff>
      <xdr:row>159</xdr:row>
      <xdr:rowOff>12700</xdr:rowOff>
    </xdr:from>
    <xdr:to>
      <xdr:col>11</xdr:col>
      <xdr:colOff>342900</xdr:colOff>
      <xdr:row>160</xdr:row>
      <xdr:rowOff>63500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37730B40-886A-41B7-908C-429637BAC355}"/>
            </a:ext>
          </a:extLst>
        </xdr:cNvPr>
        <xdr:cNvSpPr/>
      </xdr:nvSpPr>
      <xdr:spPr>
        <a:xfrm>
          <a:off x="3581400" y="32181800"/>
          <a:ext cx="3473450" cy="2667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82550</xdr:colOff>
      <xdr:row>172</xdr:row>
      <xdr:rowOff>101600</xdr:rowOff>
    </xdr:from>
    <xdr:ext cx="8350250" cy="186589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7194B18-8FA4-F707-8B4B-998531A24B2B}"/>
            </a:ext>
          </a:extLst>
        </xdr:cNvPr>
        <xdr:cNvSpPr txBox="1"/>
      </xdr:nvSpPr>
      <xdr:spPr>
        <a:xfrm>
          <a:off x="14433550" y="35121850"/>
          <a:ext cx="8350250" cy="186589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1.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LD transmit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2.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Block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size counting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3. 2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번 케이스에서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...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블록사이즈 카운트 개별 동작인 경우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끝나는 시점 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??, Interrupt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발생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ld done oring -&gt; anding</a:t>
          </a: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storing :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채널별로 짝을 맞춰서 저장 필요</a:t>
          </a:r>
          <a:endParaRPr lang="ko-KR" altLang="en-US" sz="16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</xdr:col>
      <xdr:colOff>1098550</xdr:colOff>
      <xdr:row>113</xdr:row>
      <xdr:rowOff>215900</xdr:rowOff>
    </xdr:from>
    <xdr:to>
      <xdr:col>26</xdr:col>
      <xdr:colOff>241300</xdr:colOff>
      <xdr:row>160</xdr:row>
      <xdr:rowOff>203200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3D1F3B-A092-4DB3-A37A-23CD8674F5F4}"/>
            </a:ext>
          </a:extLst>
        </xdr:cNvPr>
        <xdr:cNvSpPr/>
      </xdr:nvSpPr>
      <xdr:spPr>
        <a:xfrm>
          <a:off x="1758950" y="24809450"/>
          <a:ext cx="14262100" cy="7778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800" b="1">
              <a:solidFill>
                <a:srgbClr val="FF0000"/>
              </a:solidFill>
            </a:rPr>
            <a:t>수정</a:t>
          </a:r>
          <a:endParaRPr lang="en-US" altLang="ko-KR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1035050</xdr:colOff>
      <xdr:row>165</xdr:row>
      <xdr:rowOff>158750</xdr:rowOff>
    </xdr:from>
    <xdr:to>
      <xdr:col>21</xdr:col>
      <xdr:colOff>165100</xdr:colOff>
      <xdr:row>171</xdr:row>
      <xdr:rowOff>63500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3FEF6946-2939-4D78-8197-907B0EA59CF5}"/>
            </a:ext>
          </a:extLst>
        </xdr:cNvPr>
        <xdr:cNvSpPr/>
      </xdr:nvSpPr>
      <xdr:spPr>
        <a:xfrm>
          <a:off x="1695450" y="36017200"/>
          <a:ext cx="9556750" cy="1225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800" b="1">
              <a:solidFill>
                <a:srgbClr val="FF0000"/>
              </a:solidFill>
            </a:rPr>
            <a:t>체크</a:t>
          </a:r>
          <a:endParaRPr lang="en-US" altLang="ko-KR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71</xdr:row>
      <xdr:rowOff>156517</xdr:rowOff>
    </xdr:from>
    <xdr:to>
      <xdr:col>51</xdr:col>
      <xdr:colOff>64678</xdr:colOff>
      <xdr:row>76</xdr:row>
      <xdr:rowOff>52915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FD1F47-2E16-4433-AD2C-E8A01042D622}"/>
            </a:ext>
          </a:extLst>
        </xdr:cNvPr>
        <xdr:cNvSpPr txBox="1"/>
      </xdr:nvSpPr>
      <xdr:spPr>
        <a:xfrm>
          <a:off x="727553" y="15560559"/>
          <a:ext cx="6084000" cy="98118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71</xdr:row>
      <xdr:rowOff>164365</xdr:rowOff>
    </xdr:from>
    <xdr:ext cx="6084000" cy="26878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7056CD-5C1E-458C-8CB0-3E45BCE4C9F2}"/>
            </a:ext>
          </a:extLst>
        </xdr:cNvPr>
        <xdr:cNvSpPr txBox="1"/>
      </xdr:nvSpPr>
      <xdr:spPr>
        <a:xfrm>
          <a:off x="6917147" y="15568407"/>
          <a:ext cx="6084000" cy="268785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 &amp;&amp;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{ [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_inc_hold_th)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&amp;&amp; dac_auto_type==1 ] ||  (dac_auto_type==0) }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52</xdr:col>
      <xdr:colOff>42733</xdr:colOff>
      <xdr:row>84</xdr:row>
      <xdr:rowOff>111758</xdr:rowOff>
    </xdr:from>
    <xdr:to>
      <xdr:col>102</xdr:col>
      <xdr:colOff>41316</xdr:colOff>
      <xdr:row>95</xdr:row>
      <xdr:rowOff>206374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8CF42E-1B7B-44EA-8E3F-CFEBF74E9CE8}"/>
            </a:ext>
          </a:extLst>
        </xdr:cNvPr>
        <xdr:cNvSpPr txBox="1"/>
      </xdr:nvSpPr>
      <xdr:spPr>
        <a:xfrm>
          <a:off x="6911316" y="18336258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71</xdr:row>
      <xdr:rowOff>116416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0736ED-0ADB-45BD-B9C1-B739C52711D6}"/>
            </a:ext>
          </a:extLst>
        </xdr:cNvPr>
        <xdr:cNvSpPr txBox="1"/>
      </xdr:nvSpPr>
      <xdr:spPr>
        <a:xfrm>
          <a:off x="6906516" y="227229"/>
          <a:ext cx="6084000" cy="1529322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</a:t>
          </a: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(dac_auto_type==1)</a:t>
          </a:r>
          <a:endParaRPr lang="ko-KR" altLang="ko-KR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else  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if ((curr_dac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_inc1) &lt;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_max_limit)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_inc1,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else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_max_limit,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27</xdr:row>
      <xdr:rowOff>148167</xdr:rowOff>
    </xdr:from>
    <xdr:to>
      <xdr:col>51</xdr:col>
      <xdr:colOff>89004</xdr:colOff>
      <xdr:row>63</xdr:row>
      <xdr:rowOff>121718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70397-6BF8-4A81-9B0A-A4E74C28E4E9}"/>
            </a:ext>
          </a:extLst>
        </xdr:cNvPr>
        <xdr:cNvSpPr txBox="1"/>
      </xdr:nvSpPr>
      <xdr:spPr>
        <a:xfrm>
          <a:off x="751879" y="6006042"/>
          <a:ext cx="6084000" cy="778405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66842</xdr:colOff>
      <xdr:row>84</xdr:row>
      <xdr:rowOff>101739</xdr:rowOff>
    </xdr:from>
    <xdr:to>
      <xdr:col>51</xdr:col>
      <xdr:colOff>65425</xdr:colOff>
      <xdr:row>96</xdr:row>
      <xdr:rowOff>5299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1EF563-F4BE-48D7-89E4-232C4F9330F4}"/>
            </a:ext>
          </a:extLst>
        </xdr:cNvPr>
        <xdr:cNvSpPr txBox="1"/>
      </xdr:nvSpPr>
      <xdr:spPr>
        <a:xfrm>
          <a:off x="728300" y="18326239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</xdr:txBody>
    </xdr:sp>
    <xdr:clientData/>
  </xdr:twoCellAnchor>
  <xdr:twoCellAnchor>
    <xdr:from>
      <xdr:col>1</xdr:col>
      <xdr:colOff>83781</xdr:colOff>
      <xdr:row>63</xdr:row>
      <xdr:rowOff>185217</xdr:rowOff>
    </xdr:from>
    <xdr:to>
      <xdr:col>51</xdr:col>
      <xdr:colOff>82364</xdr:colOff>
      <xdr:row>71</xdr:row>
      <xdr:rowOff>84666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FBB44E-8CEA-4FB4-BF24-B3847F9CAE4C}"/>
            </a:ext>
          </a:extLst>
        </xdr:cNvPr>
        <xdr:cNvSpPr txBox="1"/>
      </xdr:nvSpPr>
      <xdr:spPr>
        <a:xfrm>
          <a:off x="745239" y="13853592"/>
          <a:ext cx="6084000" cy="1635116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27</xdr:row>
      <xdr:rowOff>74084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7F94C1-45AC-48BA-8E46-9C4642FA7AF8}"/>
            </a:ext>
          </a:extLst>
        </xdr:cNvPr>
        <xdr:cNvSpPr txBox="1"/>
      </xdr:nvSpPr>
      <xdr:spPr>
        <a:xfrm>
          <a:off x="753821" y="234391"/>
          <a:ext cx="6084000" cy="56975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else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64671</xdr:colOff>
      <xdr:row>76</xdr:row>
      <xdr:rowOff>114012</xdr:rowOff>
    </xdr:from>
    <xdr:to>
      <xdr:col>51</xdr:col>
      <xdr:colOff>63254</xdr:colOff>
      <xdr:row>84</xdr:row>
      <xdr:rowOff>26467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BFFC77-AC5B-4612-B4C3-79AC0356D06E}"/>
            </a:ext>
          </a:extLst>
        </xdr:cNvPr>
        <xdr:cNvSpPr txBox="1"/>
      </xdr:nvSpPr>
      <xdr:spPr>
        <a:xfrm>
          <a:off x="726129" y="16602845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43659</xdr:colOff>
      <xdr:row>96</xdr:row>
      <xdr:rowOff>51760</xdr:rowOff>
    </xdr:from>
    <xdr:to>
      <xdr:col>102</xdr:col>
      <xdr:colOff>42242</xdr:colOff>
      <xdr:row>119</xdr:row>
      <xdr:rowOff>179924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5EC89A5-F8A6-4F7C-BC2D-D7094A09317B}"/>
            </a:ext>
          </a:extLst>
        </xdr:cNvPr>
        <xdr:cNvSpPr txBox="1"/>
      </xdr:nvSpPr>
      <xdr:spPr>
        <a:xfrm>
          <a:off x="6912242" y="20879760"/>
          <a:ext cx="6084000" cy="511820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126</xdr:col>
      <xdr:colOff>107315</xdr:colOff>
      <xdr:row>26</xdr:row>
      <xdr:rowOff>50165</xdr:rowOff>
    </xdr:from>
    <xdr:to>
      <xdr:col>155</xdr:col>
      <xdr:colOff>67734</xdr:colOff>
      <xdr:row>35</xdr:row>
      <xdr:rowOff>7423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487A5C4B-3778-56F1-8777-ABBFB8480C6C}"/>
            </a:ext>
          </a:extLst>
        </xdr:cNvPr>
        <xdr:cNvGrpSpPr/>
      </xdr:nvGrpSpPr>
      <xdr:grpSpPr>
        <a:xfrm>
          <a:off x="15848965" y="5663565"/>
          <a:ext cx="3459269" cy="1900358"/>
          <a:chOff x="13651865" y="5161915"/>
          <a:chExt cx="3459269" cy="190035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8EB5DC8-6AF2-4C02-BE7C-AD3A95974E44}"/>
              </a:ext>
            </a:extLst>
          </xdr:cNvPr>
          <xdr:cNvSpPr txBox="1"/>
        </xdr:nvSpPr>
        <xdr:spPr>
          <a:xfrm>
            <a:off x="15513361" y="6411139"/>
            <a:ext cx="1597773" cy="2034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SOA_P1 (125) = 3875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B0CA0F3-C7BA-4762-B1BA-78EFB15A2E4F}"/>
              </a:ext>
            </a:extLst>
          </xdr:cNvPr>
          <xdr:cNvSpPr txBox="1"/>
        </xdr:nvSpPr>
        <xdr:spPr>
          <a:xfrm>
            <a:off x="15297354" y="6141131"/>
            <a:ext cx="1577771" cy="1940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SOA_P2 (300) = 3700</a:t>
            </a:r>
          </a:p>
        </xdr:txBody>
      </xdr:sp>
      <xdr:grpSp>
        <xdr:nvGrpSpPr>
          <xdr:cNvPr id="15" name="그룹 14">
            <a:extLst>
              <a:ext uri="{FF2B5EF4-FFF2-40B4-BE49-F238E27FC236}">
                <a16:creationId xmlns:a16="http://schemas.microsoft.com/office/drawing/2014/main" id="{336248F7-6CBC-4600-93ED-2018F999B571}"/>
              </a:ext>
            </a:extLst>
          </xdr:cNvPr>
          <xdr:cNvGrpSpPr/>
        </xdr:nvGrpSpPr>
        <xdr:grpSpPr>
          <a:xfrm>
            <a:off x="13651865" y="5161915"/>
            <a:ext cx="2582226" cy="1900358"/>
            <a:chOff x="15111977" y="7791994"/>
            <a:chExt cx="2582717" cy="1873861"/>
          </a:xfrm>
        </xdr:grpSpPr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C20876DF-8623-1906-83F1-AC5CEE67B58F}"/>
                </a:ext>
              </a:extLst>
            </xdr:cNvPr>
            <xdr:cNvCxnSpPr/>
          </xdr:nvCxnSpPr>
          <xdr:spPr>
            <a:xfrm>
              <a:off x="15111977" y="7962876"/>
              <a:ext cx="696190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84E96B9E-FB97-7B35-9AB4-70042C292C9F}"/>
                </a:ext>
              </a:extLst>
            </xdr:cNvPr>
            <xdr:cNvCxnSpPr/>
          </xdr:nvCxnSpPr>
          <xdr:spPr>
            <a:xfrm>
              <a:off x="15805385" y="7961747"/>
              <a:ext cx="1200727" cy="1696027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5FEC2C17-DBFC-72A1-E2D7-D62048A70042}"/>
                </a:ext>
              </a:extLst>
            </xdr:cNvPr>
            <xdr:cNvCxnSpPr/>
          </xdr:nvCxnSpPr>
          <xdr:spPr>
            <a:xfrm>
              <a:off x="16999081" y="9652080"/>
              <a:ext cx="695613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19759FD-EBA2-AEAE-C07B-F0E3FB656A91}"/>
                </a:ext>
              </a:extLst>
            </xdr:cNvPr>
            <xdr:cNvSpPr txBox="1"/>
          </xdr:nvSpPr>
          <xdr:spPr>
            <a:xfrm>
              <a:off x="15157017" y="7791994"/>
              <a:ext cx="518456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1000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0257FE0-1824-2C48-54EB-F08F332C1A82}"/>
                </a:ext>
              </a:extLst>
            </xdr:cNvPr>
            <xdr:cNvSpPr txBox="1"/>
          </xdr:nvSpPr>
          <xdr:spPr>
            <a:xfrm>
              <a:off x="17151350" y="9485746"/>
              <a:ext cx="518626" cy="180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4000</a:t>
              </a:r>
            </a:p>
          </xdr:txBody>
        </xdr: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7B05F515-6FCE-46E4-AD31-B435F969A248}"/>
              </a:ext>
            </a:extLst>
          </xdr:cNvPr>
          <xdr:cNvGrpSpPr/>
        </xdr:nvGrpSpPr>
        <xdr:grpSpPr>
          <a:xfrm>
            <a:off x="14967427" y="6724765"/>
            <a:ext cx="2093417" cy="226023"/>
            <a:chOff x="15897170" y="8499892"/>
            <a:chExt cx="2098883" cy="225136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1051FFB-E869-89D8-0EE0-12E785F11FCE}"/>
                </a:ext>
              </a:extLst>
            </xdr:cNvPr>
            <xdr:cNvSpPr txBox="1"/>
          </xdr:nvSpPr>
          <xdr:spPr>
            <a:xfrm>
              <a:off x="16598475" y="8499892"/>
              <a:ext cx="1397578" cy="2251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curr_tgt_dac</a:t>
              </a:r>
            </a:p>
          </xdr:txBody>
        </xdr: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5627CB9D-124A-1B15-7B79-18B9576219AB}"/>
                </a:ext>
              </a:extLst>
            </xdr:cNvPr>
            <xdr:cNvCxnSpPr/>
          </xdr:nvCxnSpPr>
          <xdr:spPr>
            <a:xfrm>
              <a:off x="15897170" y="8622147"/>
              <a:ext cx="720000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3457838D-2D8A-4792-8F92-CC0F5C20C790}"/>
              </a:ext>
            </a:extLst>
          </xdr:cNvPr>
          <xdr:cNvCxnSpPr/>
        </xdr:nvCxnSpPr>
        <xdr:spPr>
          <a:xfrm>
            <a:off x="14339960" y="5969320"/>
            <a:ext cx="758821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F8952FFE-F591-4361-A980-5DA544AA7501}"/>
              </a:ext>
            </a:extLst>
          </xdr:cNvPr>
          <xdr:cNvCxnSpPr/>
        </xdr:nvCxnSpPr>
        <xdr:spPr>
          <a:xfrm>
            <a:off x="14560304" y="6248085"/>
            <a:ext cx="757128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AE13691B-1D9A-49B8-8791-143EFD342F22}"/>
              </a:ext>
            </a:extLst>
          </xdr:cNvPr>
          <xdr:cNvCxnSpPr/>
        </xdr:nvCxnSpPr>
        <xdr:spPr>
          <a:xfrm>
            <a:off x="14745513" y="6504625"/>
            <a:ext cx="759880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70881FB6-F87E-47CC-9A6B-BF6C80C8798C}"/>
              </a:ext>
            </a:extLst>
          </xdr:cNvPr>
          <xdr:cNvCxnSpPr/>
        </xdr:nvCxnSpPr>
        <xdr:spPr>
          <a:xfrm>
            <a:off x="14258235" y="5770999"/>
            <a:ext cx="763479" cy="0"/>
          </a:xfrm>
          <a:prstGeom prst="line">
            <a:avLst/>
          </a:prstGeom>
          <a:ln w="3175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CE9871C6-738F-4CC6-A67D-D85AB5564D29}"/>
              </a:ext>
            </a:extLst>
          </xdr:cNvPr>
          <xdr:cNvSpPr txBox="1"/>
        </xdr:nvSpPr>
        <xdr:spPr>
          <a:xfrm>
            <a:off x="15117861" y="5861096"/>
            <a:ext cx="1767846" cy="2158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SOA_P3 (500) = 3500</a:t>
            </a:r>
          </a:p>
        </xdr:txBody>
      </xdr:sp>
    </xdr:grpSp>
    <xdr:clientData/>
  </xdr:twoCellAnchor>
  <xdr:twoCellAnchor>
    <xdr:from>
      <xdr:col>10</xdr:col>
      <xdr:colOff>44980</xdr:colOff>
      <xdr:row>5</xdr:row>
      <xdr:rowOff>9260</xdr:rowOff>
    </xdr:from>
    <xdr:to>
      <xdr:col>40</xdr:col>
      <xdr:colOff>89430</xdr:colOff>
      <xdr:row>6</xdr:row>
      <xdr:rowOff>208756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797BDCAE-F435-45E5-88B3-75F2064ABDAE}"/>
            </a:ext>
          </a:extLst>
        </xdr:cNvPr>
        <xdr:cNvSpPr/>
      </xdr:nvSpPr>
      <xdr:spPr>
        <a:xfrm>
          <a:off x="1771386" y="1080823"/>
          <a:ext cx="3616325" cy="413808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55829</xdr:colOff>
      <xdr:row>10</xdr:row>
      <xdr:rowOff>77523</xdr:rowOff>
    </xdr:from>
    <xdr:to>
      <xdr:col>42</xdr:col>
      <xdr:colOff>100279</xdr:colOff>
      <xdr:row>12</xdr:row>
      <xdr:rowOff>59531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614AEE4-E558-4C08-9693-97149D3CA348}"/>
            </a:ext>
          </a:extLst>
        </xdr:cNvPr>
        <xdr:cNvSpPr/>
      </xdr:nvSpPr>
      <xdr:spPr>
        <a:xfrm>
          <a:off x="2020360" y="2220648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75935</xdr:colOff>
      <xdr:row>15</xdr:row>
      <xdr:rowOff>19048</xdr:rowOff>
    </xdr:from>
    <xdr:to>
      <xdr:col>43</xdr:col>
      <xdr:colOff>1322</xdr:colOff>
      <xdr:row>17</xdr:row>
      <xdr:rowOff>10582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A1D7B496-3E39-48E8-A515-571C478D7438}"/>
            </a:ext>
          </a:extLst>
        </xdr:cNvPr>
        <xdr:cNvSpPr/>
      </xdr:nvSpPr>
      <xdr:spPr>
        <a:xfrm>
          <a:off x="2040466" y="3233736"/>
          <a:ext cx="3616325" cy="420159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68792</xdr:colOff>
      <xdr:row>19</xdr:row>
      <xdr:rowOff>202407</xdr:rowOff>
    </xdr:from>
    <xdr:to>
      <xdr:col>39</xdr:col>
      <xdr:colOff>113242</xdr:colOff>
      <xdr:row>21</xdr:row>
      <xdr:rowOff>184415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8E9BD228-8549-4141-BA6A-5B2A74F4F180}"/>
            </a:ext>
          </a:extLst>
        </xdr:cNvPr>
        <xdr:cNvSpPr/>
      </xdr:nvSpPr>
      <xdr:spPr>
        <a:xfrm>
          <a:off x="1676136" y="4274345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105833</xdr:colOff>
      <xdr:row>76</xdr:row>
      <xdr:rowOff>137585</xdr:rowOff>
    </xdr:from>
    <xdr:to>
      <xdr:col>101</xdr:col>
      <xdr:colOff>79374</xdr:colOff>
      <xdr:row>78</xdr:row>
      <xdr:rowOff>74084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3A166D0F-6614-498C-A02F-41A97854A4D9}"/>
            </a:ext>
          </a:extLst>
        </xdr:cNvPr>
        <xdr:cNvSpPr/>
      </xdr:nvSpPr>
      <xdr:spPr>
        <a:xfrm>
          <a:off x="7096125" y="16626418"/>
          <a:ext cx="5815541" cy="370416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96309</xdr:colOff>
      <xdr:row>36</xdr:row>
      <xdr:rowOff>127266</xdr:rowOff>
    </xdr:from>
    <xdr:to>
      <xdr:col>101</xdr:col>
      <xdr:colOff>44450</xdr:colOff>
      <xdr:row>37</xdr:row>
      <xdr:rowOff>126207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0F451AC-3D46-4613-822F-0D01950811D7}"/>
            </a:ext>
          </a:extLst>
        </xdr:cNvPr>
        <xdr:cNvSpPr/>
      </xdr:nvSpPr>
      <xdr:spPr>
        <a:xfrm>
          <a:off x="7775840" y="7842516"/>
          <a:ext cx="4829704" cy="213254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266</xdr:colOff>
      <xdr:row>57</xdr:row>
      <xdr:rowOff>37839</xdr:rowOff>
    </xdr:from>
    <xdr:to>
      <xdr:col>101</xdr:col>
      <xdr:colOff>70645</xdr:colOff>
      <xdr:row>61</xdr:row>
      <xdr:rowOff>76466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15127F79-4E4A-4DD4-8A13-B2CA87722835}"/>
            </a:ext>
          </a:extLst>
        </xdr:cNvPr>
        <xdr:cNvSpPr/>
      </xdr:nvSpPr>
      <xdr:spPr>
        <a:xfrm>
          <a:off x="7899666" y="12344139"/>
          <a:ext cx="4896379" cy="902227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57</xdr:col>
      <xdr:colOff>28575</xdr:colOff>
      <xdr:row>25</xdr:row>
      <xdr:rowOff>174624</xdr:rowOff>
    </xdr:from>
    <xdr:to>
      <xdr:col>57</xdr:col>
      <xdr:colOff>28575</xdr:colOff>
      <xdr:row>37</xdr:row>
      <xdr:rowOff>67824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C8B6BD82-EBD5-6606-FF90-C16247055B5E}"/>
            </a:ext>
          </a:extLst>
        </xdr:cNvPr>
        <xdr:cNvCxnSpPr/>
      </xdr:nvCxnSpPr>
      <xdr:spPr>
        <a:xfrm>
          <a:off x="7445375" y="5572124"/>
          <a:ext cx="0" cy="248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86784</xdr:colOff>
      <xdr:row>37</xdr:row>
      <xdr:rowOff>81491</xdr:rowOff>
    </xdr:from>
    <xdr:to>
      <xdr:col>59</xdr:col>
      <xdr:colOff>86784</xdr:colOff>
      <xdr:row>62</xdr:row>
      <xdr:rowOff>155991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20A3EA66-7E3B-42A6-9FD0-D10E11A1CBFE}"/>
            </a:ext>
          </a:extLst>
        </xdr:cNvPr>
        <xdr:cNvCxnSpPr/>
      </xdr:nvCxnSpPr>
      <xdr:spPr>
        <a:xfrm>
          <a:off x="7744884" y="8069791"/>
          <a:ext cx="0" cy="547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94456</xdr:colOff>
      <xdr:row>24</xdr:row>
      <xdr:rowOff>194468</xdr:rowOff>
    </xdr:from>
    <xdr:to>
      <xdr:col>54</xdr:col>
      <xdr:colOff>94456</xdr:colOff>
      <xdr:row>65</xdr:row>
      <xdr:rowOff>54568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4E0D2A77-8DFC-48B0-A1B7-A61ACB521051}"/>
            </a:ext>
          </a:extLst>
        </xdr:cNvPr>
        <xdr:cNvCxnSpPr/>
      </xdr:nvCxnSpPr>
      <xdr:spPr>
        <a:xfrm>
          <a:off x="7149306" y="5376068"/>
          <a:ext cx="0" cy="871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0</xdr:colOff>
      <xdr:row>1</xdr:row>
      <xdr:rowOff>114300</xdr:rowOff>
    </xdr:from>
    <xdr:ext cx="2311400" cy="444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B0E757-3E8D-4F30-92AE-E51D06217A90}"/>
            </a:ext>
          </a:extLst>
        </xdr:cNvPr>
        <xdr:cNvSpPr txBox="1"/>
      </xdr:nvSpPr>
      <xdr:spPr>
        <a:xfrm>
          <a:off x="2349500" y="330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52</xdr:col>
      <xdr:colOff>31750</xdr:colOff>
      <xdr:row>5</xdr:row>
      <xdr:rowOff>31750</xdr:rowOff>
    </xdr:from>
    <xdr:ext cx="2959100" cy="3619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94A2A0A-C562-4FDF-B86D-C9867C28E2A0}"/>
            </a:ext>
          </a:extLst>
        </xdr:cNvPr>
        <xdr:cNvSpPr txBox="1"/>
      </xdr:nvSpPr>
      <xdr:spPr>
        <a:xfrm>
          <a:off x="6845300" y="1111250"/>
          <a:ext cx="2959100" cy="36195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 baseline="0">
              <a:solidFill>
                <a:srgbClr val="FF0000"/>
              </a:solidFill>
            </a:rPr>
            <a:t>modify</a:t>
          </a:r>
        </a:p>
      </xdr:txBody>
    </xdr:sp>
    <xdr:clientData/>
  </xdr:oneCellAnchor>
  <xdr:twoCellAnchor>
    <xdr:from>
      <xdr:col>60</xdr:col>
      <xdr:colOff>118534</xdr:colOff>
      <xdr:row>38</xdr:row>
      <xdr:rowOff>37041</xdr:rowOff>
    </xdr:from>
    <xdr:to>
      <xdr:col>60</xdr:col>
      <xdr:colOff>118534</xdr:colOff>
      <xdr:row>57</xdr:row>
      <xdr:rowOff>182941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044C68D-5D00-4966-9910-524D06E7EC22}"/>
            </a:ext>
          </a:extLst>
        </xdr:cNvPr>
        <xdr:cNvCxnSpPr/>
      </xdr:nvCxnSpPr>
      <xdr:spPr>
        <a:xfrm>
          <a:off x="7897284" y="8241241"/>
          <a:ext cx="0" cy="424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65</xdr:col>
      <xdr:colOff>107950</xdr:colOff>
      <xdr:row>72</xdr:row>
      <xdr:rowOff>69850</xdr:rowOff>
    </xdr:from>
    <xdr:ext cx="2247900" cy="4064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3A6B0F7-99B8-40DE-A0FE-172EE63B626F}"/>
            </a:ext>
          </a:extLst>
        </xdr:cNvPr>
        <xdr:cNvSpPr txBox="1"/>
      </xdr:nvSpPr>
      <xdr:spPr>
        <a:xfrm>
          <a:off x="8489950" y="15614650"/>
          <a:ext cx="2247900" cy="4064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65</xdr:col>
      <xdr:colOff>76200</xdr:colOff>
      <xdr:row>85</xdr:row>
      <xdr:rowOff>25400</xdr:rowOff>
    </xdr:from>
    <xdr:ext cx="2311400" cy="4445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AD778F2-E6D1-4ADD-AA47-F91154771A34}"/>
            </a:ext>
          </a:extLst>
        </xdr:cNvPr>
        <xdr:cNvSpPr txBox="1"/>
      </xdr:nvSpPr>
      <xdr:spPr>
        <a:xfrm>
          <a:off x="8458200" y="183769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12700</xdr:colOff>
      <xdr:row>64</xdr:row>
      <xdr:rowOff>101600</xdr:rowOff>
    </xdr:from>
    <xdr:ext cx="2311400" cy="4445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55A2F4C-877B-4C98-98E9-07293A0B4152}"/>
            </a:ext>
          </a:extLst>
        </xdr:cNvPr>
        <xdr:cNvSpPr txBox="1"/>
      </xdr:nvSpPr>
      <xdr:spPr>
        <a:xfrm>
          <a:off x="1517650" y="13919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101600</xdr:colOff>
      <xdr:row>46</xdr:row>
      <xdr:rowOff>57150</xdr:rowOff>
    </xdr:from>
    <xdr:ext cx="2311400" cy="4445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B938D4-486F-4429-AEFC-170CD135FE82}"/>
            </a:ext>
          </a:extLst>
        </xdr:cNvPr>
        <xdr:cNvSpPr txBox="1"/>
      </xdr:nvSpPr>
      <xdr:spPr>
        <a:xfrm>
          <a:off x="2330450" y="99885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114300</xdr:colOff>
      <xdr:row>30</xdr:row>
      <xdr:rowOff>184150</xdr:rowOff>
    </xdr:from>
    <xdr:ext cx="2311400" cy="4445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222887D-5812-4D6D-BB40-27446C9201C5}"/>
            </a:ext>
          </a:extLst>
        </xdr:cNvPr>
        <xdr:cNvSpPr txBox="1"/>
      </xdr:nvSpPr>
      <xdr:spPr>
        <a:xfrm>
          <a:off x="2343150" y="66611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23682</xdr:colOff>
      <xdr:row>36</xdr:row>
      <xdr:rowOff>137158</xdr:rowOff>
    </xdr:from>
    <xdr:to>
      <xdr:col>102</xdr:col>
      <xdr:colOff>93182</xdr:colOff>
      <xdr:row>48</xdr:row>
      <xdr:rowOff>15874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8A8628-4F12-41C0-8D1C-2FF1F54390A5}"/>
            </a:ext>
          </a:extLst>
        </xdr:cNvPr>
        <xdr:cNvSpPr txBox="1"/>
      </xdr:nvSpPr>
      <xdr:spPr>
        <a:xfrm>
          <a:off x="6837232" y="7909558"/>
          <a:ext cx="6102000" cy="2469516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37932</xdr:colOff>
      <xdr:row>1</xdr:row>
      <xdr:rowOff>10271</xdr:rowOff>
    </xdr:from>
    <xdr:to>
      <xdr:col>102</xdr:col>
      <xdr:colOff>107432</xdr:colOff>
      <xdr:row>36</xdr:row>
      <xdr:rowOff>88900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298684-1A12-4E8D-8D0B-573C4760ECE7}"/>
            </a:ext>
          </a:extLst>
        </xdr:cNvPr>
        <xdr:cNvSpPr txBox="1"/>
      </xdr:nvSpPr>
      <xdr:spPr>
        <a:xfrm>
          <a:off x="6851482" y="226171"/>
          <a:ext cx="6102000" cy="763512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</a:t>
          </a: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((curr_dac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_inc1) &lt;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_max_limit)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_inc1,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_max_limit,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84071</xdr:colOff>
      <xdr:row>11</xdr:row>
      <xdr:rowOff>141817</xdr:rowOff>
    </xdr:from>
    <xdr:to>
      <xdr:col>51</xdr:col>
      <xdr:colOff>82654</xdr:colOff>
      <xdr:row>39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EB5893-5CFE-42E1-9B10-4E1950494F42}"/>
            </a:ext>
          </a:extLst>
        </xdr:cNvPr>
        <xdr:cNvSpPr txBox="1"/>
      </xdr:nvSpPr>
      <xdr:spPr>
        <a:xfrm>
          <a:off x="744471" y="2516717"/>
          <a:ext cx="6031083" cy="607483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</a:t>
          </a:r>
          <a:r>
            <a:rPr lang="en-US" altLang="ko-KR" sz="1100" b="0" u="sng" baseline="0">
              <a:solidFill>
                <a:srgbClr val="00CC00"/>
              </a:solidFill>
              <a:effectLst/>
              <a:latin typeface="+mn-ea"/>
              <a:ea typeface="+mn-ea"/>
              <a:cs typeface="+mn-cs"/>
            </a:rPr>
            <a:t>vsync one-pulse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int_fb_source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&amp;&amp; ~dac</a:t>
          </a:r>
          <a:r>
            <a:rPr lang="en-US" altLang="ko-KR" sz="1100" b="1" u="sng" baseline="0">
              <a:solidFill>
                <a:schemeClr val="bg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_fb_mode</a:t>
          </a:r>
          <a:endParaRPr lang="ko-KR" altLang="ko-KR" sz="1100">
            <a:solidFill>
              <a:schemeClr val="bg1">
                <a:lumMod val="75000"/>
              </a:schemeClr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</xdr:txBody>
    </xdr:sp>
    <xdr:clientData/>
  </xdr:twoCellAnchor>
  <xdr:twoCellAnchor>
    <xdr:from>
      <xdr:col>1</xdr:col>
      <xdr:colOff>77431</xdr:colOff>
      <xdr:row>40</xdr:row>
      <xdr:rowOff>20117</xdr:rowOff>
    </xdr:from>
    <xdr:to>
      <xdr:col>51</xdr:col>
      <xdr:colOff>76014</xdr:colOff>
      <xdr:row>48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675A61D-B415-4627-99B5-35A3B862B2A9}"/>
            </a:ext>
          </a:extLst>
        </xdr:cNvPr>
        <xdr:cNvSpPr txBox="1"/>
      </xdr:nvSpPr>
      <xdr:spPr>
        <a:xfrm>
          <a:off x="737831" y="8656117"/>
          <a:ext cx="6031083" cy="172613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11</xdr:row>
      <xdr:rowOff>82550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9BAB85-6648-4B57-8B0D-96A81542EB6B}"/>
            </a:ext>
          </a:extLst>
        </xdr:cNvPr>
        <xdr:cNvSpPr txBox="1"/>
      </xdr:nvSpPr>
      <xdr:spPr>
        <a:xfrm>
          <a:off x="752763" y="233333"/>
          <a:ext cx="6031083" cy="2224117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(dac_auto_type==0)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57</xdr:col>
      <xdr:colOff>34925</xdr:colOff>
      <xdr:row>11</xdr:row>
      <xdr:rowOff>180974</xdr:rowOff>
    </xdr:from>
    <xdr:to>
      <xdr:col>57</xdr:col>
      <xdr:colOff>34925</xdr:colOff>
      <xdr:row>20</xdr:row>
      <xdr:rowOff>181874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088571A3-980A-4E3B-86F5-39A546B07CD7}"/>
            </a:ext>
          </a:extLst>
        </xdr:cNvPr>
        <xdr:cNvCxnSpPr/>
      </xdr:nvCxnSpPr>
      <xdr:spPr>
        <a:xfrm>
          <a:off x="7451725" y="2555874"/>
          <a:ext cx="0" cy="194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94456</xdr:colOff>
      <xdr:row>10</xdr:row>
      <xdr:rowOff>200818</xdr:rowOff>
    </xdr:from>
    <xdr:to>
      <xdr:col>54</xdr:col>
      <xdr:colOff>94456</xdr:colOff>
      <xdr:row>29</xdr:row>
      <xdr:rowOff>22718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88E2B782-7C4A-49CE-8140-2A0445DD4D75}"/>
            </a:ext>
          </a:extLst>
        </xdr:cNvPr>
        <xdr:cNvCxnSpPr/>
      </xdr:nvCxnSpPr>
      <xdr:spPr>
        <a:xfrm>
          <a:off x="7149306" y="2359818"/>
          <a:ext cx="0" cy="392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431128</xdr:colOff>
      <xdr:row>4</xdr:row>
      <xdr:rowOff>92363</xdr:rowOff>
    </xdr:from>
    <xdr:to>
      <xdr:col>16</xdr:col>
      <xdr:colOff>80818</xdr:colOff>
      <xdr:row>9</xdr:row>
      <xdr:rowOff>69272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4B2F63EF-EC43-A51C-7ED7-7DA506E3E35A}"/>
            </a:ext>
          </a:extLst>
        </xdr:cNvPr>
        <xdr:cNvGrpSpPr/>
      </xdr:nvGrpSpPr>
      <xdr:grpSpPr>
        <a:xfrm>
          <a:off x="3333078" y="955963"/>
          <a:ext cx="6183840" cy="1056409"/>
          <a:chOff x="3340583" y="1171863"/>
          <a:chExt cx="6201735" cy="1044864"/>
        </a:xfrm>
      </xdr:grpSpPr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648D6973-421F-CD32-37AF-2EE8CB691A35}"/>
              </a:ext>
            </a:extLst>
          </xdr:cNvPr>
          <xdr:cNvGrpSpPr/>
        </xdr:nvGrpSpPr>
        <xdr:grpSpPr>
          <a:xfrm>
            <a:off x="3340583" y="1171863"/>
            <a:ext cx="6201735" cy="1044864"/>
            <a:chOff x="3340583" y="1171863"/>
            <a:chExt cx="6201735" cy="1044864"/>
          </a:xfrm>
        </xdr:grpSpPr>
        <xdr:grpSp>
          <xdr:nvGrpSpPr>
            <xdr:cNvPr id="26" name="그룹 25">
              <a:extLst>
                <a:ext uri="{FF2B5EF4-FFF2-40B4-BE49-F238E27FC236}">
                  <a16:creationId xmlns:a16="http://schemas.microsoft.com/office/drawing/2014/main" id="{4AA21F82-D542-309F-3D80-7ED2EABF43F5}"/>
                </a:ext>
              </a:extLst>
            </xdr:cNvPr>
            <xdr:cNvGrpSpPr/>
          </xdr:nvGrpSpPr>
          <xdr:grpSpPr>
            <a:xfrm>
              <a:off x="3467584" y="1194954"/>
              <a:ext cx="5849865" cy="953822"/>
              <a:chOff x="3467584" y="1194954"/>
              <a:chExt cx="5849865" cy="953822"/>
            </a:xfrm>
          </xdr:grpSpPr>
          <xdr:sp macro="" textlink="">
            <xdr:nvSpPr>
              <xdr:cNvPr id="2" name="타원 1">
                <a:extLst>
                  <a:ext uri="{FF2B5EF4-FFF2-40B4-BE49-F238E27FC236}">
                    <a16:creationId xmlns:a16="http://schemas.microsoft.com/office/drawing/2014/main" id="{959B306D-792D-E519-BBDB-09F47C2EA1E6}"/>
                  </a:ext>
                </a:extLst>
              </xdr:cNvPr>
              <xdr:cNvSpPr/>
            </xdr:nvSpPr>
            <xdr:spPr>
              <a:xfrm>
                <a:off x="3467584" y="1394333"/>
                <a:ext cx="540000" cy="540000"/>
              </a:xfrm>
              <a:prstGeom prst="ellipse">
                <a:avLst/>
              </a:prstGeom>
              <a:solidFill>
                <a:schemeClr val="bg1">
                  <a:lumMod val="95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fll </a:t>
                </a:r>
              </a:p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~70mhz</a:t>
                </a:r>
                <a:endParaRPr lang="ko-KR" altLang="en-US" sz="10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9" name="직사각형 8">
                <a:extLst>
                  <a:ext uri="{FF2B5EF4-FFF2-40B4-BE49-F238E27FC236}">
                    <a16:creationId xmlns:a16="http://schemas.microsoft.com/office/drawing/2014/main" id="{33FFADEB-C6B9-D4E5-67A8-E7E78C93214B}"/>
                  </a:ext>
                </a:extLst>
              </xdr:cNvPr>
              <xdr:cNvSpPr/>
            </xdr:nvSpPr>
            <xdr:spPr>
              <a:xfrm>
                <a:off x="4779819" y="1535545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/2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1" name="직선 화살표 연결선 10">
                <a:extLst>
                  <a:ext uri="{FF2B5EF4-FFF2-40B4-BE49-F238E27FC236}">
                    <a16:creationId xmlns:a16="http://schemas.microsoft.com/office/drawing/2014/main" id="{8D3ABE44-7C3D-9428-3914-227DF4E78F76}"/>
                  </a:ext>
                </a:extLst>
              </xdr:cNvPr>
              <xdr:cNvCxnSpPr>
                <a:stCxn id="2" idx="6"/>
                <a:endCxn id="9" idx="1"/>
              </xdr:cNvCxnSpPr>
            </xdr:nvCxnSpPr>
            <xdr:spPr>
              <a:xfrm>
                <a:off x="4007584" y="1664333"/>
                <a:ext cx="772235" cy="1099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" name="직사각형 11">
                <a:extLst>
                  <a:ext uri="{FF2B5EF4-FFF2-40B4-BE49-F238E27FC236}">
                    <a16:creationId xmlns:a16="http://schemas.microsoft.com/office/drawing/2014/main" id="{C53D4452-7765-450E-9D3C-272FA03A6DE4}"/>
                  </a:ext>
                </a:extLst>
              </xdr:cNvPr>
              <xdr:cNvSpPr/>
            </xdr:nvSpPr>
            <xdr:spPr>
              <a:xfrm>
                <a:off x="5878946" y="1855353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/64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3" name="직선 화살표 연결선 12">
                <a:extLst>
                  <a:ext uri="{FF2B5EF4-FFF2-40B4-BE49-F238E27FC236}">
                    <a16:creationId xmlns:a16="http://schemas.microsoft.com/office/drawing/2014/main" id="{474EB16B-4C11-4D19-ABEC-E4D552BDBD57}"/>
                  </a:ext>
                </a:extLst>
              </xdr:cNvPr>
              <xdr:cNvCxnSpPr/>
            </xdr:nvCxnSpPr>
            <xdr:spPr>
              <a:xfrm flipV="1">
                <a:off x="5083621" y="1656196"/>
                <a:ext cx="162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" name="직선 화살표 연결선 13">
                <a:extLst>
                  <a:ext uri="{FF2B5EF4-FFF2-40B4-BE49-F238E27FC236}">
                    <a16:creationId xmlns:a16="http://schemas.microsoft.com/office/drawing/2014/main" id="{706D4E72-D821-4D96-99D6-959C46499BF9}"/>
                  </a:ext>
                </a:extLst>
              </xdr:cNvPr>
              <xdr:cNvCxnSpPr/>
            </xdr:nvCxnSpPr>
            <xdr:spPr>
              <a:xfrm flipV="1">
                <a:off x="6188520" y="2004869"/>
                <a:ext cx="5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" name="직선 화살표 연결선 14">
                <a:extLst>
                  <a:ext uri="{FF2B5EF4-FFF2-40B4-BE49-F238E27FC236}">
                    <a16:creationId xmlns:a16="http://schemas.microsoft.com/office/drawing/2014/main" id="{6D5FBCD7-5D87-480F-88AB-CC9AEC92DD6D}"/>
                  </a:ext>
                </a:extLst>
              </xdr:cNvPr>
              <xdr:cNvCxnSpPr/>
            </xdr:nvCxnSpPr>
            <xdr:spPr>
              <a:xfrm flipH="1">
                <a:off x="4335320" y="1664279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직선 화살표 연결선 16">
                <a:extLst>
                  <a:ext uri="{FF2B5EF4-FFF2-40B4-BE49-F238E27FC236}">
                    <a16:creationId xmlns:a16="http://schemas.microsoft.com/office/drawing/2014/main" id="{A2664371-43FC-4513-BCD5-72A48A745052}"/>
                  </a:ext>
                </a:extLst>
              </xdr:cNvPr>
              <xdr:cNvCxnSpPr/>
            </xdr:nvCxnSpPr>
            <xdr:spPr>
              <a:xfrm flipV="1">
                <a:off x="4329545" y="1984087"/>
                <a:ext cx="1529605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F3D2F643-9192-58E9-362D-55D0DB0DBEF3}"/>
                  </a:ext>
                </a:extLst>
              </xdr:cNvPr>
              <xdr:cNvSpPr txBox="1"/>
            </xdr:nvSpPr>
            <xdr:spPr>
              <a:xfrm>
                <a:off x="6644410" y="1194954"/>
                <a:ext cx="2673039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fllcnt, pwmclk, dimming control, deserializer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AE250379-685B-4AE1-AE28-6EAB70B96CF7}"/>
                  </a:ext>
                </a:extLst>
              </xdr:cNvPr>
              <xdr:cNvSpPr txBox="1"/>
            </xdr:nvSpPr>
            <xdr:spPr>
              <a:xfrm>
                <a:off x="6692900" y="1884216"/>
                <a:ext cx="163275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/>
                  <a:t>timeout, e_rst, otp access</a:t>
                </a:r>
                <a:endParaRPr lang="ko-KR" altLang="en-US" sz="1100"/>
              </a:p>
            </xdr:txBody>
          </xdr:sp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2F68BDD8-E39C-43B1-81F8-DDFB4BBD08EB}"/>
                  </a:ext>
                </a:extLst>
              </xdr:cNvPr>
              <xdr:cNvSpPr txBox="1"/>
            </xdr:nvSpPr>
            <xdr:spPr>
              <a:xfrm>
                <a:off x="6666345" y="1517070"/>
                <a:ext cx="1621662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others including 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23" name="직선 화살표 연결선 22">
                <a:extLst>
                  <a:ext uri="{FF2B5EF4-FFF2-40B4-BE49-F238E27FC236}">
                    <a16:creationId xmlns:a16="http://schemas.microsoft.com/office/drawing/2014/main" id="{E523CED6-99DC-4298-B9F7-E7DDB3812282}"/>
                  </a:ext>
                </a:extLst>
              </xdr:cNvPr>
              <xdr:cNvCxnSpPr/>
            </xdr:nvCxnSpPr>
            <xdr:spPr>
              <a:xfrm>
                <a:off x="4335317" y="1327729"/>
                <a:ext cx="23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직선 화살표 연결선 23">
                <a:extLst>
                  <a:ext uri="{FF2B5EF4-FFF2-40B4-BE49-F238E27FC236}">
                    <a16:creationId xmlns:a16="http://schemas.microsoft.com/office/drawing/2014/main" id="{C5B786A8-C91C-45D7-8E80-AB6851082ECD}"/>
                  </a:ext>
                </a:extLst>
              </xdr:cNvPr>
              <xdr:cNvCxnSpPr/>
            </xdr:nvCxnSpPr>
            <xdr:spPr>
              <a:xfrm flipH="1">
                <a:off x="4337628" y="1337543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7" name="직사각형 26">
              <a:extLst>
                <a:ext uri="{FF2B5EF4-FFF2-40B4-BE49-F238E27FC236}">
                  <a16:creationId xmlns:a16="http://schemas.microsoft.com/office/drawing/2014/main" id="{85F908F7-586F-4B43-9918-626BB4BEF0AF}"/>
                </a:ext>
              </a:extLst>
            </xdr:cNvPr>
            <xdr:cNvSpPr/>
          </xdr:nvSpPr>
          <xdr:spPr>
            <a:xfrm>
              <a:off x="3340583" y="1171863"/>
              <a:ext cx="6201735" cy="1044864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 anchorCtr="0"/>
            <a:lstStyle/>
            <a:p>
              <a:pPr algn="ctr"/>
              <a:endParaRPr lang="ko-KR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32" name="타원 31">
            <a:extLst>
              <a:ext uri="{FF2B5EF4-FFF2-40B4-BE49-F238E27FC236}">
                <a16:creationId xmlns:a16="http://schemas.microsoft.com/office/drawing/2014/main" id="{07F9E937-9777-59AC-8C52-FB025BE3C296}"/>
              </a:ext>
            </a:extLst>
          </xdr:cNvPr>
          <xdr:cNvSpPr/>
        </xdr:nvSpPr>
        <xdr:spPr>
          <a:xfrm>
            <a:off x="4300683" y="1627910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12</xdr:col>
      <xdr:colOff>222250</xdr:colOff>
      <xdr:row>81</xdr:row>
      <xdr:rowOff>177800</xdr:rowOff>
    </xdr:from>
    <xdr:ext cx="4038600" cy="43942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D5A83A0-113D-4F42-8091-246439EBBCEC}"/>
            </a:ext>
          </a:extLst>
        </xdr:cNvPr>
        <xdr:cNvSpPr txBox="1"/>
      </xdr:nvSpPr>
      <xdr:spPr>
        <a:xfrm>
          <a:off x="7956550" y="17792700"/>
          <a:ext cx="4038600" cy="43942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 b="1" u="sng">
              <a:latin typeface="+mn-ea"/>
              <a:ea typeface="+mn-ea"/>
            </a:rPr>
            <a:t>※ </a:t>
          </a:r>
          <a:r>
            <a:rPr lang="ko-KR" altLang="en-US" sz="1100" b="1" u="sng">
              <a:latin typeface="+mn-ea"/>
              <a:ea typeface="+mn-ea"/>
            </a:rPr>
            <a:t>양산버젼에서 아래 보완</a:t>
          </a:r>
          <a:endParaRPr lang="en-US" altLang="ko-KR" sz="1100" b="1" u="sng">
            <a:latin typeface="+mn-ea"/>
            <a:ea typeface="+mn-ea"/>
          </a:endParaRPr>
        </a:p>
        <a:p>
          <a:r>
            <a:rPr lang="en-US" altLang="ko-KR" sz="1100">
              <a:latin typeface="+mn-ea"/>
              <a:ea typeface="+mn-ea"/>
            </a:rPr>
            <a:t>1. open_fb_mode</a:t>
          </a:r>
          <a:r>
            <a:rPr lang="en-US" altLang="ko-KR" sz="1100" baseline="0">
              <a:latin typeface="+mn-ea"/>
              <a:ea typeface="+mn-ea"/>
            </a:rPr>
            <a:t> bit </a:t>
          </a:r>
          <a:r>
            <a:rPr lang="ko-KR" altLang="en-US" sz="1100" baseline="0">
              <a:latin typeface="+mn-ea"/>
              <a:ea typeface="+mn-ea"/>
            </a:rPr>
            <a:t>추가</a:t>
          </a:r>
          <a:endParaRPr lang="en-US" altLang="ko-KR" sz="1100" baseline="0">
            <a:latin typeface="+mn-ea"/>
            <a:ea typeface="+mn-ea"/>
          </a:endParaRPr>
        </a:p>
        <a:p>
          <a:r>
            <a:rPr lang="en-US" altLang="ko-KR" sz="1100" baseline="0">
              <a:latin typeface="+mn-ea"/>
              <a:ea typeface="+mn-ea"/>
            </a:rPr>
            <a:t>2. fault_read : </a:t>
          </a:r>
          <a:r>
            <a:rPr lang="ko-KR" altLang="en-US" sz="1100" baseline="0">
              <a:latin typeface="+mn-ea"/>
              <a:ea typeface="+mn-ea"/>
            </a:rPr>
            <a:t>모드 </a:t>
          </a:r>
          <a:r>
            <a:rPr lang="en-US" altLang="ko-KR" sz="1100" baseline="0">
              <a:latin typeface="+mn-ea"/>
              <a:ea typeface="+mn-ea"/>
            </a:rPr>
            <a:t>bit </a:t>
          </a:r>
          <a:r>
            <a:rPr lang="ko-KR" altLang="en-US" sz="1100" baseline="0">
              <a:latin typeface="+mn-ea"/>
              <a:ea typeface="+mn-ea"/>
            </a:rPr>
            <a:t>추가 </a:t>
          </a:r>
          <a:r>
            <a:rPr lang="en-US" altLang="ko-KR" sz="1100" baseline="0">
              <a:latin typeface="+mn-ea"/>
              <a:ea typeface="+mn-ea"/>
            </a:rPr>
            <a:t>(thermal/short/open)</a:t>
          </a:r>
        </a:p>
        <a:p>
          <a:r>
            <a:rPr lang="en-US" altLang="ko-KR" sz="1100" baseline="0">
              <a:latin typeface="+mn-ea"/>
              <a:ea typeface="+mn-ea"/>
            </a:rPr>
            <a:t>     detection_en bit </a:t>
          </a:r>
          <a:r>
            <a:rPr lang="ko-KR" altLang="en-US" sz="1100" baseline="0">
              <a:latin typeface="+mn-ea"/>
              <a:ea typeface="+mn-ea"/>
            </a:rPr>
            <a:t>활용해서</a:t>
          </a:r>
          <a:endParaRPr lang="en-US" altLang="ko-KR" sz="1100" baseline="0">
            <a:latin typeface="+mn-ea"/>
            <a:ea typeface="+mn-ea"/>
          </a:endParaRPr>
        </a:p>
        <a:p>
          <a:r>
            <a:rPr lang="en-US" altLang="ko-KR" sz="1100" baseline="0">
              <a:latin typeface="+mn-ea"/>
              <a:ea typeface="+mn-ea"/>
            </a:rPr>
            <a:t>        @ ld_type = 01, 10</a:t>
          </a:r>
        </a:p>
        <a:p>
          <a:r>
            <a:rPr lang="en-US" altLang="ko-KR" sz="1100" baseline="0">
              <a:latin typeface="+mn-ea"/>
              <a:ea typeface="+mn-ea"/>
            </a:rPr>
            <a:t>        mode0 :   fault* = thermal || short_all || open_all</a:t>
          </a:r>
        </a:p>
        <a:p>
          <a:r>
            <a:rPr lang="en-US" altLang="ko-KR" sz="1100" baseline="0">
              <a:latin typeface="+mn-ea"/>
              <a:ea typeface="+mn-ea"/>
            </a:rPr>
            <a:t>        mode1 :   fault* = open_all </a:t>
          </a:r>
        </a:p>
        <a:p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mode2 :   fault* = short_all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mode3 :   fault* = thermal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@ ld_type=11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mode0 : short_all ||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mode1 :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mode2 : short_all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 clarification : fault reg read or detection_en bit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설정변경</a:t>
          </a:r>
          <a:endParaRPr lang="ko-KR" altLang="ko-KR">
            <a:effectLst/>
            <a:latin typeface="+mn-ea"/>
            <a:ea typeface="+mn-ea"/>
          </a:endParaRPr>
        </a:p>
        <a:p>
          <a:endParaRPr lang="ko-KR" altLang="ko-KR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3</xdr:col>
      <xdr:colOff>495300</xdr:colOff>
      <xdr:row>81</xdr:row>
      <xdr:rowOff>95250</xdr:rowOff>
    </xdr:from>
    <xdr:ext cx="4038600" cy="43942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65F5E5-FDAB-4F88-86E3-A26D38C623D1}"/>
            </a:ext>
          </a:extLst>
        </xdr:cNvPr>
        <xdr:cNvSpPr txBox="1"/>
      </xdr:nvSpPr>
      <xdr:spPr>
        <a:xfrm>
          <a:off x="3397250" y="17710150"/>
          <a:ext cx="4038600" cy="43942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 b="1" u="sng">
              <a:latin typeface="+mn-ea"/>
              <a:ea typeface="+mn-ea"/>
            </a:rPr>
            <a:t>※ </a:t>
          </a:r>
          <a:r>
            <a:rPr lang="ko-KR" altLang="en-US" sz="1100" b="1" u="sng">
              <a:latin typeface="+mn-ea"/>
              <a:ea typeface="+mn-ea"/>
            </a:rPr>
            <a:t>양산버젼에서 아래 보완</a:t>
          </a:r>
          <a:endParaRPr lang="en-US" altLang="ko-KR" sz="1100" b="1" u="sng">
            <a:latin typeface="+mn-ea"/>
            <a:ea typeface="+mn-ea"/>
          </a:endParaRPr>
        </a:p>
        <a:p>
          <a:endParaRPr lang="en-US" altLang="ko-KR" sz="1100" baseline="0">
            <a:latin typeface="+mn-ea"/>
            <a:ea typeface="+mn-ea"/>
          </a:endParaRPr>
        </a:p>
        <a:p>
          <a:r>
            <a:rPr lang="en-US" altLang="ko-KR" sz="1100" baseline="0">
              <a:latin typeface="+mn-ea"/>
              <a:ea typeface="+mn-ea"/>
            </a:rPr>
            <a:t> { fault*, fb3_all, fb2_all, fb1_all }</a:t>
          </a:r>
        </a:p>
        <a:p>
          <a:endParaRPr lang="en-US" altLang="ko-KR" sz="1100" baseline="0">
            <a:latin typeface="+mn-ea"/>
            <a:ea typeface="+mn-ea"/>
          </a:endParaRPr>
        </a:p>
        <a:p>
          <a:r>
            <a:rPr lang="en-US" altLang="ko-KR" sz="1100" baseline="0">
              <a:latin typeface="+mn-ea"/>
              <a:ea typeface="+mn-ea"/>
            </a:rPr>
            <a:t>FT_MODE :</a:t>
          </a:r>
        </a:p>
        <a:p>
          <a:r>
            <a:rPr lang="en-US" altLang="ko-KR" sz="1100" baseline="0">
              <a:latin typeface="+mn-ea"/>
              <a:ea typeface="+mn-ea"/>
            </a:rPr>
            <a:t>0 : fault* = thermal || short_all || open_all</a:t>
          </a:r>
        </a:p>
        <a:p>
          <a:r>
            <a:rPr lang="en-US" altLang="ko-KR" sz="1100" baseline="0">
              <a:latin typeface="+mn-ea"/>
              <a:ea typeface="+mn-ea"/>
            </a:rPr>
            <a:t>1 : fault* = open_all </a:t>
          </a:r>
        </a:p>
        <a:p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 : fault* = short_all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 : fault* = thermal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@ ld_type=11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mode0 : short_all ||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mode1 :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mode2 : short_all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 clarification : fault reg read or detection_en bit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설정변경</a:t>
          </a:r>
          <a:endParaRPr lang="ko-KR" altLang="ko-KR">
            <a:effectLst/>
            <a:latin typeface="+mn-ea"/>
            <a:ea typeface="+mn-ea"/>
          </a:endParaRPr>
        </a:p>
        <a:p>
          <a:endParaRPr lang="ko-KR" altLang="ko-KR">
            <a:effectLst/>
            <a:latin typeface="+mn-ea"/>
            <a:ea typeface="+mn-ea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60247</xdr:colOff>
      <xdr:row>324</xdr:row>
      <xdr:rowOff>93322</xdr:rowOff>
    </xdr:from>
    <xdr:to>
      <xdr:col>51</xdr:col>
      <xdr:colOff>62747</xdr:colOff>
      <xdr:row>324</xdr:row>
      <xdr:rowOff>93322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99A2DA3C-8907-4A66-8760-294A4F2C5AB3}"/>
            </a:ext>
          </a:extLst>
        </xdr:cNvPr>
        <xdr:cNvCxnSpPr/>
      </xdr:nvCxnSpPr>
      <xdr:spPr>
        <a:xfrm>
          <a:off x="4207591" y="57989447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260</xdr:row>
      <xdr:rowOff>125181</xdr:rowOff>
    </xdr:from>
    <xdr:ext cx="240450" cy="125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B0DF974E-246B-4286-A5EC-5C39E90CAECB}"/>
            </a:ext>
          </a:extLst>
        </xdr:cNvPr>
        <xdr:cNvSpPr txBox="1"/>
      </xdr:nvSpPr>
      <xdr:spPr>
        <a:xfrm>
          <a:off x="2274034" y="48681514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261</xdr:row>
      <xdr:rowOff>29626</xdr:rowOff>
    </xdr:from>
    <xdr:ext cx="242759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EBF9CC2-29DB-4572-AEB6-631E0E49BD7A}"/>
            </a:ext>
          </a:extLst>
        </xdr:cNvPr>
        <xdr:cNvSpPr txBox="1"/>
      </xdr:nvSpPr>
      <xdr:spPr>
        <a:xfrm>
          <a:off x="2592240" y="487704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10</xdr:col>
      <xdr:colOff>63497</xdr:colOff>
      <xdr:row>303</xdr:row>
      <xdr:rowOff>147352</xdr:rowOff>
    </xdr:from>
    <xdr:to>
      <xdr:col>10</xdr:col>
      <xdr:colOff>63498</xdr:colOff>
      <xdr:row>304</xdr:row>
      <xdr:rowOff>142900</xdr:rowOff>
    </xdr:to>
    <xdr:cxnSp macro="">
      <xdr:nvCxnSpPr>
        <xdr:cNvPr id="268" name="직선 연결선 267">
          <a:extLst>
            <a:ext uri="{FF2B5EF4-FFF2-40B4-BE49-F238E27FC236}">
              <a16:creationId xmlns:a16="http://schemas.microsoft.com/office/drawing/2014/main" id="{8C858C7B-018F-48D7-BC93-CCDC7209101C}"/>
            </a:ext>
          </a:extLst>
        </xdr:cNvPr>
        <xdr:cNvCxnSpPr/>
      </xdr:nvCxnSpPr>
      <xdr:spPr>
        <a:xfrm flipH="1">
          <a:off x="2437187" y="5546190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52457</xdr:colOff>
      <xdr:row>130</xdr:row>
      <xdr:rowOff>112902</xdr:rowOff>
    </xdr:from>
    <xdr:ext cx="285784" cy="125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7B6A6BE2-9A65-459F-9204-87C82CED43DC}"/>
            </a:ext>
          </a:extLst>
        </xdr:cNvPr>
        <xdr:cNvSpPr txBox="1"/>
      </xdr:nvSpPr>
      <xdr:spPr>
        <a:xfrm>
          <a:off x="2297925" y="2445907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49830</xdr:colOff>
      <xdr:row>130</xdr:row>
      <xdr:rowOff>105383</xdr:rowOff>
    </xdr:from>
    <xdr:ext cx="285784" cy="125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DBA4058C-621D-4D14-B225-E36167447A5F}"/>
            </a:ext>
          </a:extLst>
        </xdr:cNvPr>
        <xdr:cNvSpPr txBox="1"/>
      </xdr:nvSpPr>
      <xdr:spPr>
        <a:xfrm>
          <a:off x="3722021" y="2445155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14630</xdr:colOff>
      <xdr:row>131</xdr:row>
      <xdr:rowOff>71670</xdr:rowOff>
    </xdr:from>
    <xdr:ext cx="340093" cy="125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1FD2E74C-6A8A-469B-A120-256266E7B7DB}"/>
            </a:ext>
          </a:extLst>
        </xdr:cNvPr>
        <xdr:cNvSpPr txBox="1"/>
      </xdr:nvSpPr>
      <xdr:spPr>
        <a:xfrm>
          <a:off x="4140779" y="2460158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19</xdr:col>
      <xdr:colOff>11212</xdr:colOff>
      <xdr:row>131</xdr:row>
      <xdr:rowOff>73060</xdr:rowOff>
    </xdr:from>
    <xdr:ext cx="340093" cy="125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8960BB42-99F6-4693-976F-5CBF5244FA0A}"/>
            </a:ext>
          </a:extLst>
        </xdr:cNvPr>
        <xdr:cNvSpPr txBox="1"/>
      </xdr:nvSpPr>
      <xdr:spPr>
        <a:xfrm>
          <a:off x="2905191" y="2460297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54779</xdr:colOff>
      <xdr:row>131</xdr:row>
      <xdr:rowOff>70202</xdr:rowOff>
    </xdr:from>
    <xdr:to>
      <xdr:col>32</xdr:col>
      <xdr:colOff>10608</xdr:colOff>
      <xdr:row>131</xdr:row>
      <xdr:rowOff>70202</xdr:rowOff>
    </xdr:to>
    <xdr:cxnSp macro="">
      <xdr:nvCxnSpPr>
        <xdr:cNvPr id="910" name="직선 화살표 연결선 909">
          <a:extLst>
            <a:ext uri="{FF2B5EF4-FFF2-40B4-BE49-F238E27FC236}">
              <a16:creationId xmlns:a16="http://schemas.microsoft.com/office/drawing/2014/main" id="{79186357-A440-4151-A203-60A87057A163}"/>
            </a:ext>
          </a:extLst>
        </xdr:cNvPr>
        <xdr:cNvCxnSpPr/>
      </xdr:nvCxnSpPr>
      <xdr:spPr>
        <a:xfrm>
          <a:off x="2559651" y="2460011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56147</xdr:colOff>
      <xdr:row>131</xdr:row>
      <xdr:rowOff>69454</xdr:rowOff>
    </xdr:from>
    <xdr:to>
      <xdr:col>36</xdr:col>
      <xdr:colOff>1891</xdr:colOff>
      <xdr:row>131</xdr:row>
      <xdr:rowOff>69454</xdr:rowOff>
    </xdr:to>
    <xdr:cxnSp macro="">
      <xdr:nvCxnSpPr>
        <xdr:cNvPr id="917" name="직선 화살표 연결선 916">
          <a:extLst>
            <a:ext uri="{FF2B5EF4-FFF2-40B4-BE49-F238E27FC236}">
              <a16:creationId xmlns:a16="http://schemas.microsoft.com/office/drawing/2014/main" id="{7D12F8B8-76F0-4DDD-A4A3-9529DE8D2932}"/>
            </a:ext>
          </a:extLst>
        </xdr:cNvPr>
        <xdr:cNvCxnSpPr/>
      </xdr:nvCxnSpPr>
      <xdr:spPr>
        <a:xfrm>
          <a:off x="3728338" y="2459936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43234</xdr:colOff>
      <xdr:row>274</xdr:row>
      <xdr:rowOff>98902</xdr:rowOff>
    </xdr:from>
    <xdr:ext cx="285784" cy="125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62B94996-7460-4515-A9BE-B4E28BCE5398}"/>
            </a:ext>
          </a:extLst>
        </xdr:cNvPr>
        <xdr:cNvSpPr txBox="1"/>
      </xdr:nvSpPr>
      <xdr:spPr>
        <a:xfrm>
          <a:off x="2483255" y="4754556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40307</xdr:colOff>
      <xdr:row>274</xdr:row>
      <xdr:rowOff>97280</xdr:rowOff>
    </xdr:from>
    <xdr:ext cx="285784" cy="125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8D85A16F-DADF-4098-8FB3-2F8563319383}"/>
            </a:ext>
          </a:extLst>
        </xdr:cNvPr>
        <xdr:cNvSpPr txBox="1"/>
      </xdr:nvSpPr>
      <xdr:spPr>
        <a:xfrm>
          <a:off x="3193690" y="47543940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12</xdr:col>
      <xdr:colOff>43874</xdr:colOff>
      <xdr:row>259</xdr:row>
      <xdr:rowOff>103473</xdr:rowOff>
    </xdr:from>
    <xdr:ext cx="285784" cy="125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4CA5A1C-0197-4E0D-89C3-57F1F1DCA54C}"/>
            </a:ext>
          </a:extLst>
        </xdr:cNvPr>
        <xdr:cNvSpPr txBox="1"/>
      </xdr:nvSpPr>
      <xdr:spPr>
        <a:xfrm>
          <a:off x="2483895" y="447453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40947</xdr:colOff>
      <xdr:row>259</xdr:row>
      <xdr:rowOff>101851</xdr:rowOff>
    </xdr:from>
    <xdr:ext cx="285784" cy="125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D6890F91-77BF-447E-963C-74C80916D9E7}"/>
            </a:ext>
          </a:extLst>
        </xdr:cNvPr>
        <xdr:cNvSpPr txBox="1"/>
      </xdr:nvSpPr>
      <xdr:spPr>
        <a:xfrm>
          <a:off x="3194330" y="4474370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34</xdr:col>
      <xdr:colOff>33921</xdr:colOff>
      <xdr:row>259</xdr:row>
      <xdr:rowOff>102932</xdr:rowOff>
    </xdr:from>
    <xdr:ext cx="285784" cy="125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36DDB03-CD36-43AB-B435-D64306B0DADF}"/>
            </a:ext>
          </a:extLst>
        </xdr:cNvPr>
        <xdr:cNvSpPr txBox="1"/>
      </xdr:nvSpPr>
      <xdr:spPr>
        <a:xfrm>
          <a:off x="3900666" y="4474478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17</xdr:col>
      <xdr:colOff>26637</xdr:colOff>
      <xdr:row>260</xdr:row>
      <xdr:rowOff>80232</xdr:rowOff>
    </xdr:from>
    <xdr:ext cx="340094" cy="125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E3BC167-F324-4CF2-AF14-21471E81E104}"/>
            </a:ext>
          </a:extLst>
        </xdr:cNvPr>
        <xdr:cNvSpPr txBox="1"/>
      </xdr:nvSpPr>
      <xdr:spPr>
        <a:xfrm>
          <a:off x="2790914" y="449058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28</xdr:col>
      <xdr:colOff>29115</xdr:colOff>
      <xdr:row>260</xdr:row>
      <xdr:rowOff>84015</xdr:rowOff>
    </xdr:from>
    <xdr:ext cx="340094" cy="125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FB53BA3-0D2A-44C0-AD86-0188A69B29F8}"/>
            </a:ext>
          </a:extLst>
        </xdr:cNvPr>
        <xdr:cNvSpPr txBox="1"/>
      </xdr:nvSpPr>
      <xdr:spPr>
        <a:xfrm>
          <a:off x="3506753" y="44909611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9</xdr:col>
      <xdr:colOff>57095</xdr:colOff>
      <xdr:row>104</xdr:row>
      <xdr:rowOff>104901</xdr:rowOff>
    </xdr:from>
    <xdr:ext cx="285784" cy="125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B5AA913F-D090-4538-999C-F17847022339}"/>
            </a:ext>
          </a:extLst>
        </xdr:cNvPr>
        <xdr:cNvSpPr txBox="1"/>
      </xdr:nvSpPr>
      <xdr:spPr>
        <a:xfrm>
          <a:off x="2302563" y="1960885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27</xdr:col>
      <xdr:colOff>54468</xdr:colOff>
      <xdr:row>104</xdr:row>
      <xdr:rowOff>100084</xdr:rowOff>
    </xdr:from>
    <xdr:ext cx="285784" cy="125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D92BA259-0A25-4D79-9E7E-754174BE5B5A}"/>
            </a:ext>
          </a:extLst>
        </xdr:cNvPr>
        <xdr:cNvSpPr txBox="1"/>
      </xdr:nvSpPr>
      <xdr:spPr>
        <a:xfrm>
          <a:off x="3467255" y="19604041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36</xdr:col>
      <xdr:colOff>49213</xdr:colOff>
      <xdr:row>104</xdr:row>
      <xdr:rowOff>103587</xdr:rowOff>
    </xdr:from>
    <xdr:ext cx="285784" cy="125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161CDD52-A14C-45FA-A40E-0B9EE08F14D4}"/>
            </a:ext>
          </a:extLst>
        </xdr:cNvPr>
        <xdr:cNvSpPr txBox="1"/>
      </xdr:nvSpPr>
      <xdr:spPr>
        <a:xfrm>
          <a:off x="4045660" y="1960754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57098</xdr:colOff>
      <xdr:row>105</xdr:row>
      <xdr:rowOff>63668</xdr:rowOff>
    </xdr:from>
    <xdr:ext cx="340093" cy="125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7CBB2153-F2DB-4D42-966B-96DF17047917}"/>
            </a:ext>
          </a:extLst>
        </xdr:cNvPr>
        <xdr:cNvSpPr txBox="1"/>
      </xdr:nvSpPr>
      <xdr:spPr>
        <a:xfrm>
          <a:off x="3729289" y="1975137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60598</xdr:colOff>
      <xdr:row>105</xdr:row>
      <xdr:rowOff>67170</xdr:rowOff>
    </xdr:from>
    <xdr:ext cx="340093" cy="125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2445668C-7D61-4EE0-8D9F-2F62E78933D6}"/>
            </a:ext>
          </a:extLst>
        </xdr:cNvPr>
        <xdr:cNvSpPr txBox="1"/>
      </xdr:nvSpPr>
      <xdr:spPr>
        <a:xfrm>
          <a:off x="4316449" y="19754872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18558</xdr:colOff>
      <xdr:row>105</xdr:row>
      <xdr:rowOff>62357</xdr:rowOff>
    </xdr:from>
    <xdr:ext cx="340093" cy="125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3A5F18CA-3BE3-471A-9020-F21C4AC6C3D6}"/>
            </a:ext>
          </a:extLst>
        </xdr:cNvPr>
        <xdr:cNvSpPr txBox="1"/>
      </xdr:nvSpPr>
      <xdr:spPr>
        <a:xfrm>
          <a:off x="2782835" y="19750059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41</xdr:col>
      <xdr:colOff>14658</xdr:colOff>
      <xdr:row>8</xdr:row>
      <xdr:rowOff>3344</xdr:rowOff>
    </xdr:from>
    <xdr:to>
      <xdr:col>41</xdr:col>
      <xdr:colOff>29058</xdr:colOff>
      <xdr:row>8</xdr:row>
      <xdr:rowOff>183344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0A7AEC76-639A-4368-B10D-335181C92BC5}"/>
            </a:ext>
          </a:extLst>
        </xdr:cNvPr>
        <xdr:cNvSpPr/>
      </xdr:nvSpPr>
      <xdr:spPr>
        <a:xfrm>
          <a:off x="4069477" y="18766446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43</xdr:col>
      <xdr:colOff>1797</xdr:colOff>
      <xdr:row>8</xdr:row>
      <xdr:rowOff>3994</xdr:rowOff>
    </xdr:from>
    <xdr:to>
      <xdr:col>43</xdr:col>
      <xdr:colOff>44997</xdr:colOff>
      <xdr:row>8</xdr:row>
      <xdr:rowOff>191194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B5BF7C57-7B13-4044-963B-BFF61652326F}"/>
            </a:ext>
          </a:extLst>
        </xdr:cNvPr>
        <xdr:cNvSpPr/>
      </xdr:nvSpPr>
      <xdr:spPr>
        <a:xfrm>
          <a:off x="4182851" y="18767096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</xdr:col>
      <xdr:colOff>0</xdr:colOff>
      <xdr:row>100</xdr:row>
      <xdr:rowOff>66977</xdr:rowOff>
    </xdr:from>
    <xdr:to>
      <xdr:col>5</xdr:col>
      <xdr:colOff>0</xdr:colOff>
      <xdr:row>120</xdr:row>
      <xdr:rowOff>100643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A7EE6242-D7F1-2571-7696-8C050E6312D5}"/>
            </a:ext>
          </a:extLst>
        </xdr:cNvPr>
        <xdr:cNvCxnSpPr/>
      </xdr:nvCxnSpPr>
      <xdr:spPr>
        <a:xfrm flipH="1">
          <a:off x="1786467" y="13351177"/>
          <a:ext cx="0" cy="397913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297</xdr:colOff>
      <xdr:row>105</xdr:row>
      <xdr:rowOff>63350</xdr:rowOff>
    </xdr:from>
    <xdr:to>
      <xdr:col>82</xdr:col>
      <xdr:colOff>297</xdr:colOff>
      <xdr:row>120</xdr:row>
      <xdr:rowOff>128350</xdr:rowOff>
    </xdr:to>
    <xdr:cxnSp macro="">
      <xdr:nvCxnSpPr>
        <xdr:cNvPr id="104" name="직선 연결선 103">
          <a:extLst>
            <a:ext uri="{FF2B5EF4-FFF2-40B4-BE49-F238E27FC236}">
              <a16:creationId xmlns:a16="http://schemas.microsoft.com/office/drawing/2014/main" id="{7540B676-5DEF-4D2C-8B6C-BC93F09DF378}"/>
            </a:ext>
          </a:extLst>
        </xdr:cNvPr>
        <xdr:cNvCxnSpPr/>
      </xdr:nvCxnSpPr>
      <xdr:spPr>
        <a:xfrm flipH="1">
          <a:off x="6979893" y="19751052"/>
          <a:ext cx="0" cy="288602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101</xdr:row>
      <xdr:rowOff>66524</xdr:rowOff>
    </xdr:from>
    <xdr:to>
      <xdr:col>9</xdr:col>
      <xdr:colOff>1</xdr:colOff>
      <xdr:row>105</xdr:row>
      <xdr:rowOff>66486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BC9F9FBF-1167-4BE0-AFC5-1AAB24E3556C}"/>
            </a:ext>
          </a:extLst>
        </xdr:cNvPr>
        <xdr:cNvCxnSpPr/>
      </xdr:nvCxnSpPr>
      <xdr:spPr>
        <a:xfrm>
          <a:off x="2310190" y="19034881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51856</xdr:colOff>
      <xdr:row>106</xdr:row>
      <xdr:rowOff>10916</xdr:rowOff>
    </xdr:from>
    <xdr:to>
      <xdr:col>57</xdr:col>
      <xdr:colOff>24356</xdr:colOff>
      <xdr:row>107</xdr:row>
      <xdr:rowOff>7100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B6B45C9F-D5C9-4940-81CF-4EA67D90E268}"/>
            </a:ext>
          </a:extLst>
        </xdr:cNvPr>
        <xdr:cNvGrpSpPr/>
      </xdr:nvGrpSpPr>
      <xdr:grpSpPr>
        <a:xfrm>
          <a:off x="5342200" y="19787197"/>
          <a:ext cx="36000" cy="178747"/>
          <a:chOff x="11556979" y="1922463"/>
          <a:chExt cx="188140" cy="204787"/>
        </a:xfrm>
      </xdr:grpSpPr>
      <xdr:sp macro="" textlink="">
        <xdr:nvSpPr>
          <xdr:cNvPr id="230" name="자유형: 도형 229">
            <a:extLst>
              <a:ext uri="{FF2B5EF4-FFF2-40B4-BE49-F238E27FC236}">
                <a16:creationId xmlns:a16="http://schemas.microsoft.com/office/drawing/2014/main" id="{88300303-C70C-F354-AB68-CFE8316154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FEDCFC5B-9853-DDE0-7AEE-67611FF90F6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43223</xdr:colOff>
      <xdr:row>108</xdr:row>
      <xdr:rowOff>0</xdr:rowOff>
    </xdr:from>
    <xdr:to>
      <xdr:col>57</xdr:col>
      <xdr:colOff>15723</xdr:colOff>
      <xdr:row>108</xdr:row>
      <xdr:rowOff>177545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99439272-14C3-4933-A5C7-F0AD00896A4F}"/>
            </a:ext>
          </a:extLst>
        </xdr:cNvPr>
        <xdr:cNvGrpSpPr/>
      </xdr:nvGrpSpPr>
      <xdr:grpSpPr>
        <a:xfrm>
          <a:off x="5333567" y="20149344"/>
          <a:ext cx="36000" cy="177545"/>
          <a:chOff x="11556979" y="1922463"/>
          <a:chExt cx="188140" cy="204787"/>
        </a:xfrm>
      </xdr:grpSpPr>
      <xdr:sp macro="" textlink="">
        <xdr:nvSpPr>
          <xdr:cNvPr id="233" name="자유형: 도형 232">
            <a:extLst>
              <a:ext uri="{FF2B5EF4-FFF2-40B4-BE49-F238E27FC236}">
                <a16:creationId xmlns:a16="http://schemas.microsoft.com/office/drawing/2014/main" id="{D695C4D7-C8FF-3581-DE97-A13BAC3CDBE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2378E8C5-4A2C-456F-E9F7-AC9D6FD6F4A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49741</xdr:colOff>
      <xdr:row>110</xdr:row>
      <xdr:rowOff>15129</xdr:rowOff>
    </xdr:from>
    <xdr:to>
      <xdr:col>57</xdr:col>
      <xdr:colOff>22241</xdr:colOff>
      <xdr:row>111</xdr:row>
      <xdr:rowOff>4629</xdr:rowOff>
    </xdr:to>
    <xdr:grpSp>
      <xdr:nvGrpSpPr>
        <xdr:cNvPr id="235" name="그룹 234">
          <a:extLst>
            <a:ext uri="{FF2B5EF4-FFF2-40B4-BE49-F238E27FC236}">
              <a16:creationId xmlns:a16="http://schemas.microsoft.com/office/drawing/2014/main" id="{089D4642-F51F-4841-AAC0-998BA2D17D62}"/>
            </a:ext>
          </a:extLst>
        </xdr:cNvPr>
        <xdr:cNvGrpSpPr/>
      </xdr:nvGrpSpPr>
      <xdr:grpSpPr>
        <a:xfrm>
          <a:off x="5340085" y="20545473"/>
          <a:ext cx="36000" cy="180000"/>
          <a:chOff x="11556979" y="1937259"/>
          <a:chExt cx="188140" cy="204787"/>
        </a:xfrm>
      </xdr:grpSpPr>
      <xdr:sp macro="" textlink="">
        <xdr:nvSpPr>
          <xdr:cNvPr id="236" name="자유형: 도형 235">
            <a:extLst>
              <a:ext uri="{FF2B5EF4-FFF2-40B4-BE49-F238E27FC236}">
                <a16:creationId xmlns:a16="http://schemas.microsoft.com/office/drawing/2014/main" id="{236AF858-43C9-F4C6-A229-B320ED8B20C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7" name="자유형: 도형 236">
            <a:extLst>
              <a:ext uri="{FF2B5EF4-FFF2-40B4-BE49-F238E27FC236}">
                <a16:creationId xmlns:a16="http://schemas.microsoft.com/office/drawing/2014/main" id="{9D4214F9-CBE9-CE9B-1039-59D1AC9C8A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456</xdr:colOff>
      <xdr:row>104</xdr:row>
      <xdr:rowOff>47480</xdr:rowOff>
    </xdr:from>
    <xdr:to>
      <xdr:col>10</xdr:col>
      <xdr:colOff>456</xdr:colOff>
      <xdr:row>116</xdr:row>
      <xdr:rowOff>133665</xdr:rowOff>
    </xdr:to>
    <xdr:cxnSp macro="">
      <xdr:nvCxnSpPr>
        <xdr:cNvPr id="243" name="직선 연결선 242">
          <a:extLst>
            <a:ext uri="{FF2B5EF4-FFF2-40B4-BE49-F238E27FC236}">
              <a16:creationId xmlns:a16="http://schemas.microsoft.com/office/drawing/2014/main" id="{2A317DAA-8EE6-4203-B9DF-F62D7CA51A79}"/>
            </a:ext>
          </a:extLst>
        </xdr:cNvPr>
        <xdr:cNvCxnSpPr/>
      </xdr:nvCxnSpPr>
      <xdr:spPr>
        <a:xfrm flipH="1">
          <a:off x="2039140" y="1177112"/>
          <a:ext cx="0" cy="25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104</xdr:row>
      <xdr:rowOff>58063</xdr:rowOff>
    </xdr:from>
    <xdr:to>
      <xdr:col>118</xdr:col>
      <xdr:colOff>457</xdr:colOff>
      <xdr:row>120</xdr:row>
      <xdr:rowOff>116796</xdr:rowOff>
    </xdr:to>
    <xdr:cxnSp macro="">
      <xdr:nvCxnSpPr>
        <xdr:cNvPr id="244" name="직선 연결선 243">
          <a:extLst>
            <a:ext uri="{FF2B5EF4-FFF2-40B4-BE49-F238E27FC236}">
              <a16:creationId xmlns:a16="http://schemas.microsoft.com/office/drawing/2014/main" id="{E823C8A4-191C-45F9-9443-61B03035F730}"/>
            </a:ext>
          </a:extLst>
        </xdr:cNvPr>
        <xdr:cNvCxnSpPr/>
      </xdr:nvCxnSpPr>
      <xdr:spPr>
        <a:xfrm flipH="1">
          <a:off x="8975124" y="1734463"/>
          <a:ext cx="0" cy="342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104</xdr:row>
      <xdr:rowOff>72393</xdr:rowOff>
    </xdr:from>
    <xdr:to>
      <xdr:col>118</xdr:col>
      <xdr:colOff>9684</xdr:colOff>
      <xdr:row>104</xdr:row>
      <xdr:rowOff>72393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4FA7791-9AF7-4937-8FDA-02D8C951B3EB}"/>
            </a:ext>
          </a:extLst>
        </xdr:cNvPr>
        <xdr:cNvCxnSpPr/>
      </xdr:nvCxnSpPr>
      <xdr:spPr>
        <a:xfrm>
          <a:off x="2290822" y="19569083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103</xdr:row>
      <xdr:rowOff>159460</xdr:rowOff>
    </xdr:from>
    <xdr:ext cx="618311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5ABDA3-8BB2-4608-8482-454CAE198F96}"/>
            </a:ext>
          </a:extLst>
        </xdr:cNvPr>
        <xdr:cNvSpPr txBox="1"/>
      </xdr:nvSpPr>
      <xdr:spPr>
        <a:xfrm>
          <a:off x="1238154" y="19496722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106</xdr:row>
      <xdr:rowOff>138060</xdr:rowOff>
    </xdr:from>
    <xdr:ext cx="368819" cy="140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505C2-3498-4029-8567-BBE86C8CC296}"/>
            </a:ext>
          </a:extLst>
        </xdr:cNvPr>
        <xdr:cNvSpPr txBox="1"/>
      </xdr:nvSpPr>
      <xdr:spPr>
        <a:xfrm>
          <a:off x="1484100" y="20028679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104</xdr:row>
      <xdr:rowOff>9003</xdr:rowOff>
    </xdr:from>
    <xdr:ext cx="376385" cy="125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5707741-8C79-4038-BCAF-7119518447C2}"/>
            </a:ext>
          </a:extLst>
        </xdr:cNvPr>
        <xdr:cNvSpPr txBox="1"/>
      </xdr:nvSpPr>
      <xdr:spPr>
        <a:xfrm>
          <a:off x="5492701" y="1953071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59417</xdr:colOff>
      <xdr:row>105</xdr:row>
      <xdr:rowOff>56797</xdr:rowOff>
    </xdr:from>
    <xdr:to>
      <xdr:col>28</xdr:col>
      <xdr:colOff>6917</xdr:colOff>
      <xdr:row>105</xdr:row>
      <xdr:rowOff>56797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3DFFF073-AD78-4169-9CAA-C630E85D3871}"/>
            </a:ext>
          </a:extLst>
        </xdr:cNvPr>
        <xdr:cNvCxnSpPr/>
      </xdr:nvCxnSpPr>
      <xdr:spPr>
        <a:xfrm>
          <a:off x="2549055" y="19737418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45508</xdr:colOff>
      <xdr:row>112</xdr:row>
      <xdr:rowOff>32730</xdr:rowOff>
    </xdr:from>
    <xdr:to>
      <xdr:col>57</xdr:col>
      <xdr:colOff>18008</xdr:colOff>
      <xdr:row>113</xdr:row>
      <xdr:rowOff>2178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D5AA56C-F323-432A-93BD-E770CC1DF80C}"/>
            </a:ext>
          </a:extLst>
        </xdr:cNvPr>
        <xdr:cNvGrpSpPr/>
      </xdr:nvGrpSpPr>
      <xdr:grpSpPr>
        <a:xfrm>
          <a:off x="5335852" y="20944074"/>
          <a:ext cx="36000" cy="159948"/>
          <a:chOff x="11556979" y="1937259"/>
          <a:chExt cx="188140" cy="204787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2F98A660-AC91-66A7-79F0-558ED9CBF7C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E09A9F9A-99D3-6249-B308-2CC173E2A1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19</xdr:col>
      <xdr:colOff>47291</xdr:colOff>
      <xdr:row>114</xdr:row>
      <xdr:rowOff>36591</xdr:rowOff>
    </xdr:from>
    <xdr:ext cx="202876" cy="125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0779101-BAF5-44CE-85D6-5264F55658E6}"/>
            </a:ext>
          </a:extLst>
        </xdr:cNvPr>
        <xdr:cNvSpPr txBox="1"/>
      </xdr:nvSpPr>
      <xdr:spPr>
        <a:xfrm>
          <a:off x="2916886" y="21439115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vref1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32</xdr:col>
      <xdr:colOff>58434</xdr:colOff>
      <xdr:row>114</xdr:row>
      <xdr:rowOff>33250</xdr:rowOff>
    </xdr:from>
    <xdr:ext cx="202876" cy="125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9DCF41A-823A-4A1D-B3E3-5212C0390E96}"/>
            </a:ext>
          </a:extLst>
        </xdr:cNvPr>
        <xdr:cNvSpPr txBox="1"/>
      </xdr:nvSpPr>
      <xdr:spPr>
        <a:xfrm>
          <a:off x="3753529" y="21435774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CC00"/>
              </a:solidFill>
              <a:latin typeface="+mn-lt"/>
            </a:rPr>
            <a:t>vref2</a:t>
          </a:r>
          <a:endParaRPr lang="ko-KR" altLang="en-US" sz="8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41</xdr:col>
      <xdr:colOff>54788</xdr:colOff>
      <xdr:row>114</xdr:row>
      <xdr:rowOff>32318</xdr:rowOff>
    </xdr:from>
    <xdr:ext cx="202876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D0C486E-858F-421E-AB99-BF30CC47F06E}"/>
            </a:ext>
          </a:extLst>
        </xdr:cNvPr>
        <xdr:cNvSpPr txBox="1"/>
      </xdr:nvSpPr>
      <xdr:spPr>
        <a:xfrm>
          <a:off x="4321383" y="21434842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vref3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56</xdr:col>
      <xdr:colOff>60324</xdr:colOff>
      <xdr:row>119</xdr:row>
      <xdr:rowOff>7707</xdr:rowOff>
    </xdr:from>
    <xdr:to>
      <xdr:col>57</xdr:col>
      <xdr:colOff>32824</xdr:colOff>
      <xdr:row>119</xdr:row>
      <xdr:rowOff>187707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B75DF96B-4D4C-4FFD-A615-EF14CC0C84B5}"/>
            </a:ext>
          </a:extLst>
        </xdr:cNvPr>
        <xdr:cNvGrpSpPr/>
      </xdr:nvGrpSpPr>
      <xdr:grpSpPr>
        <a:xfrm>
          <a:off x="5350668" y="22212863"/>
          <a:ext cx="36000" cy="180000"/>
          <a:chOff x="11556979" y="1922463"/>
          <a:chExt cx="188140" cy="204787"/>
        </a:xfrm>
      </xdr:grpSpPr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93D070A2-70AF-F6C0-D6D2-445E2696C0D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529CA94F-9472-6A85-502D-6D5A8513568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18</xdr:col>
      <xdr:colOff>39981</xdr:colOff>
      <xdr:row>115</xdr:row>
      <xdr:rowOff>139756</xdr:rowOff>
    </xdr:from>
    <xdr:ext cx="287515" cy="125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91D7AA-33DE-44DD-A729-F1C0B5B03AE1}"/>
            </a:ext>
          </a:extLst>
        </xdr:cNvPr>
        <xdr:cNvSpPr txBox="1"/>
      </xdr:nvSpPr>
      <xdr:spPr>
        <a:xfrm>
          <a:off x="2847588" y="22015506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20864</xdr:colOff>
      <xdr:row>115</xdr:row>
      <xdr:rowOff>146725</xdr:rowOff>
    </xdr:from>
    <xdr:ext cx="287515" cy="125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903CD6F-68A0-4CDC-A9B5-88C987CE47BC}"/>
            </a:ext>
          </a:extLst>
        </xdr:cNvPr>
        <xdr:cNvSpPr txBox="1"/>
      </xdr:nvSpPr>
      <xdr:spPr>
        <a:xfrm>
          <a:off x="4288971" y="2202247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116</xdr:row>
      <xdr:rowOff>98466</xdr:rowOff>
    </xdr:from>
    <xdr:ext cx="900000" cy="0"/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681F7EBB-1066-4C89-8B02-3930F66E96F2}"/>
            </a:ext>
          </a:extLst>
        </xdr:cNvPr>
        <xdr:cNvCxnSpPr/>
      </xdr:nvCxnSpPr>
      <xdr:spPr>
        <a:xfrm flipV="1">
          <a:off x="2539495" y="22160180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31</xdr:col>
      <xdr:colOff>59415</xdr:colOff>
      <xdr:row>116</xdr:row>
      <xdr:rowOff>103483</xdr:rowOff>
    </xdr:from>
    <xdr:ext cx="324000" cy="0"/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669A9835-05E9-4E47-AFCF-CEBDF50C6F23}"/>
            </a:ext>
          </a:extLst>
        </xdr:cNvPr>
        <xdr:cNvCxnSpPr/>
      </xdr:nvCxnSpPr>
      <xdr:spPr>
        <a:xfrm>
          <a:off x="3692522" y="2216519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40</xdr:col>
      <xdr:colOff>60974</xdr:colOff>
      <xdr:row>116</xdr:row>
      <xdr:rowOff>103484</xdr:rowOff>
    </xdr:from>
    <xdr:ext cx="324000" cy="0"/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6AE71B15-5F19-4EBD-AE4E-97A077AE9DD5}"/>
            </a:ext>
          </a:extLst>
        </xdr:cNvPr>
        <xdr:cNvCxnSpPr/>
      </xdr:nvCxnSpPr>
      <xdr:spPr>
        <a:xfrm>
          <a:off x="4265581" y="2216519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53029</xdr:colOff>
      <xdr:row>120</xdr:row>
      <xdr:rowOff>10660</xdr:rowOff>
    </xdr:from>
    <xdr:ext cx="425053" cy="125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8E69E2-3475-4117-92C7-21DB353CDAAF}"/>
            </a:ext>
          </a:extLst>
        </xdr:cNvPr>
        <xdr:cNvSpPr txBox="1"/>
      </xdr:nvSpPr>
      <xdr:spPr>
        <a:xfrm>
          <a:off x="2726713" y="4753107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18943</xdr:colOff>
      <xdr:row>120</xdr:row>
      <xdr:rowOff>9101</xdr:rowOff>
    </xdr:from>
    <xdr:ext cx="425053" cy="125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4566AB9-3FE0-4D1F-A5DC-C801C943D2AC}"/>
            </a:ext>
          </a:extLst>
        </xdr:cNvPr>
        <xdr:cNvSpPr txBox="1"/>
      </xdr:nvSpPr>
      <xdr:spPr>
        <a:xfrm>
          <a:off x="3391127" y="4744864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21169</xdr:colOff>
      <xdr:row>120</xdr:row>
      <xdr:rowOff>9605</xdr:rowOff>
    </xdr:from>
    <xdr:ext cx="425053" cy="125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7061B9B-1BC1-4CFB-9FC5-C05942E709B9}"/>
            </a:ext>
          </a:extLst>
        </xdr:cNvPr>
        <xdr:cNvSpPr txBox="1"/>
      </xdr:nvSpPr>
      <xdr:spPr>
        <a:xfrm>
          <a:off x="3964853" y="4745368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184</xdr:row>
      <xdr:rowOff>381</xdr:rowOff>
    </xdr:from>
    <xdr:to>
      <xdr:col>76</xdr:col>
      <xdr:colOff>60699</xdr:colOff>
      <xdr:row>184</xdr:row>
      <xdr:rowOff>381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635387F2-0218-449F-BF8F-F322C947A1F7}"/>
            </a:ext>
          </a:extLst>
        </xdr:cNvPr>
        <xdr:cNvCxnSpPr/>
      </xdr:nvCxnSpPr>
      <xdr:spPr>
        <a:xfrm>
          <a:off x="1725463" y="11484076"/>
          <a:ext cx="453115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6414</xdr:colOff>
      <xdr:row>62</xdr:row>
      <xdr:rowOff>6205</xdr:rowOff>
    </xdr:from>
    <xdr:ext cx="532453" cy="125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425A61-E486-45F8-82FC-A32D5222444C}"/>
            </a:ext>
          </a:extLst>
        </xdr:cNvPr>
        <xdr:cNvSpPr txBox="1"/>
      </xdr:nvSpPr>
      <xdr:spPr>
        <a:xfrm>
          <a:off x="2360450" y="1174916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24</xdr:col>
      <xdr:colOff>6685</xdr:colOff>
      <xdr:row>374</xdr:row>
      <xdr:rowOff>172179</xdr:rowOff>
    </xdr:from>
    <xdr:to>
      <xdr:col>24</xdr:col>
      <xdr:colOff>6685</xdr:colOff>
      <xdr:row>375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553D6AB8-5843-4E82-8A83-6C2E9B2EF901}"/>
            </a:ext>
          </a:extLst>
        </xdr:cNvPr>
        <xdr:cNvCxnSpPr/>
      </xdr:nvCxnSpPr>
      <xdr:spPr>
        <a:xfrm flipH="1">
          <a:off x="2934369" y="7909153"/>
          <a:ext cx="0" cy="6247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60</xdr:row>
      <xdr:rowOff>81148</xdr:rowOff>
    </xdr:from>
    <xdr:to>
      <xdr:col>23</xdr:col>
      <xdr:colOff>399</xdr:colOff>
      <xdr:row>62</xdr:row>
      <xdr:rowOff>109516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559D67B-8539-4966-8883-ADAEE5280D8C}"/>
            </a:ext>
          </a:extLst>
        </xdr:cNvPr>
        <xdr:cNvCxnSpPr/>
      </xdr:nvCxnSpPr>
      <xdr:spPr>
        <a:xfrm flipH="1">
          <a:off x="2864583" y="6885674"/>
          <a:ext cx="0" cy="39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</xdr:colOff>
      <xdr:row>56</xdr:row>
      <xdr:rowOff>57453</xdr:rowOff>
    </xdr:from>
    <xdr:to>
      <xdr:col>109</xdr:col>
      <xdr:colOff>1</xdr:colOff>
      <xdr:row>63</xdr:row>
      <xdr:rowOff>126908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9E03B74-11FE-4545-90A3-BEADEC2B59C2}"/>
            </a:ext>
          </a:extLst>
        </xdr:cNvPr>
        <xdr:cNvCxnSpPr/>
      </xdr:nvCxnSpPr>
      <xdr:spPr>
        <a:xfrm>
          <a:off x="8584596" y="10640786"/>
          <a:ext cx="0" cy="13666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41168</xdr:colOff>
      <xdr:row>58</xdr:row>
      <xdr:rowOff>131228</xdr:rowOff>
    </xdr:from>
    <xdr:to>
      <xdr:col>38</xdr:col>
      <xdr:colOff>16843</xdr:colOff>
      <xdr:row>60</xdr:row>
      <xdr:rowOff>46695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C7CA86E2-8E96-4E82-9BB6-1FA1ACACCA27}"/>
            </a:ext>
          </a:extLst>
        </xdr:cNvPr>
        <xdr:cNvSpPr/>
      </xdr:nvSpPr>
      <xdr:spPr>
        <a:xfrm>
          <a:off x="3796135" y="5913961"/>
          <a:ext cx="39175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70</xdr:col>
      <xdr:colOff>63393</xdr:colOff>
      <xdr:row>58</xdr:row>
      <xdr:rowOff>143932</xdr:rowOff>
    </xdr:from>
    <xdr:to>
      <xdr:col>71</xdr:col>
      <xdr:colOff>35893</xdr:colOff>
      <xdr:row>60</xdr:row>
      <xdr:rowOff>59399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92533A0F-4452-4C66-BBE8-19F07A842D73}"/>
            </a:ext>
          </a:extLst>
        </xdr:cNvPr>
        <xdr:cNvSpPr/>
      </xdr:nvSpPr>
      <xdr:spPr>
        <a:xfrm>
          <a:off x="5913860" y="5926665"/>
          <a:ext cx="36000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100</xdr:col>
      <xdr:colOff>8291</xdr:colOff>
      <xdr:row>58</xdr:row>
      <xdr:rowOff>144990</xdr:rowOff>
    </xdr:from>
    <xdr:to>
      <xdr:col>100</xdr:col>
      <xdr:colOff>47466</xdr:colOff>
      <xdr:row>60</xdr:row>
      <xdr:rowOff>60457</xdr:rowOff>
    </xdr:to>
    <xdr:sp macro="" textlink="">
      <xdr:nvSpPr>
        <xdr:cNvPr id="47" name="자유형: 도형 46">
          <a:extLst>
            <a:ext uri="{FF2B5EF4-FFF2-40B4-BE49-F238E27FC236}">
              <a16:creationId xmlns:a16="http://schemas.microsoft.com/office/drawing/2014/main" id="{A8344C65-C03A-4718-A304-662E44795AE3}"/>
            </a:ext>
          </a:extLst>
        </xdr:cNvPr>
        <xdr:cNvSpPr/>
      </xdr:nvSpPr>
      <xdr:spPr>
        <a:xfrm>
          <a:off x="7761436" y="7543764"/>
          <a:ext cx="39175" cy="284177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818670</xdr:colOff>
      <xdr:row>55</xdr:row>
      <xdr:rowOff>158891</xdr:rowOff>
    </xdr:from>
    <xdr:ext cx="392159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9DC5829-0254-4C91-91E4-929B09248E48}"/>
            </a:ext>
          </a:extLst>
        </xdr:cNvPr>
        <xdr:cNvSpPr txBox="1"/>
      </xdr:nvSpPr>
      <xdr:spPr>
        <a:xfrm>
          <a:off x="1471813" y="10557772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0</xdr:colOff>
      <xdr:row>56</xdr:row>
      <xdr:rowOff>57453</xdr:rowOff>
    </xdr:from>
    <xdr:to>
      <xdr:col>43</xdr:col>
      <xdr:colOff>0</xdr:colOff>
      <xdr:row>63</xdr:row>
      <xdr:rowOff>141180</xdr:rowOff>
    </xdr:to>
    <xdr:cxnSp macro="">
      <xdr:nvCxnSpPr>
        <xdr:cNvPr id="60" name="직선 연결선 59">
          <a:extLst>
            <a:ext uri="{FF2B5EF4-FFF2-40B4-BE49-F238E27FC236}">
              <a16:creationId xmlns:a16="http://schemas.microsoft.com/office/drawing/2014/main" id="{6E2BCD97-01E9-432A-B211-6F7889B514E2}"/>
            </a:ext>
          </a:extLst>
        </xdr:cNvPr>
        <xdr:cNvCxnSpPr/>
      </xdr:nvCxnSpPr>
      <xdr:spPr>
        <a:xfrm>
          <a:off x="4393595" y="10640786"/>
          <a:ext cx="0" cy="138094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56641</xdr:colOff>
      <xdr:row>62</xdr:row>
      <xdr:rowOff>61380</xdr:rowOff>
    </xdr:from>
    <xdr:to>
      <xdr:col>27</xdr:col>
      <xdr:colOff>63141</xdr:colOff>
      <xdr:row>62</xdr:row>
      <xdr:rowOff>61380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72D6A10-E3B5-49BE-9BD7-899A1D8EDA29}"/>
            </a:ext>
          </a:extLst>
        </xdr:cNvPr>
        <xdr:cNvCxnSpPr/>
      </xdr:nvCxnSpPr>
      <xdr:spPr>
        <a:xfrm flipV="1">
          <a:off x="2856786" y="8197574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400</xdr:colOff>
      <xdr:row>56</xdr:row>
      <xdr:rowOff>51405</xdr:rowOff>
    </xdr:from>
    <xdr:to>
      <xdr:col>56</xdr:col>
      <xdr:colOff>400</xdr:colOff>
      <xdr:row>63</xdr:row>
      <xdr:rowOff>127394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90571957-1AAE-47A1-8287-CAC345A3C863}"/>
            </a:ext>
          </a:extLst>
        </xdr:cNvPr>
        <xdr:cNvCxnSpPr/>
      </xdr:nvCxnSpPr>
      <xdr:spPr>
        <a:xfrm flipH="1">
          <a:off x="5545311" y="10964334"/>
          <a:ext cx="0" cy="141629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62785</xdr:colOff>
      <xdr:row>56</xdr:row>
      <xdr:rowOff>48381</xdr:rowOff>
    </xdr:from>
    <xdr:to>
      <xdr:col>76</xdr:col>
      <xdr:colOff>0</xdr:colOff>
      <xdr:row>63</xdr:row>
      <xdr:rowOff>138306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A16A97F0-4240-4656-A731-252A7AF9F0BA}"/>
            </a:ext>
          </a:extLst>
        </xdr:cNvPr>
        <xdr:cNvCxnSpPr/>
      </xdr:nvCxnSpPr>
      <xdr:spPr>
        <a:xfrm flipH="1">
          <a:off x="6488380" y="10631714"/>
          <a:ext cx="715" cy="138714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56</xdr:row>
      <xdr:rowOff>66524</xdr:rowOff>
    </xdr:from>
    <xdr:to>
      <xdr:col>89</xdr:col>
      <xdr:colOff>0</xdr:colOff>
      <xdr:row>63</xdr:row>
      <xdr:rowOff>140355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5EB4F6F9-41A0-4B81-8DDB-870851C7952A}"/>
            </a:ext>
          </a:extLst>
        </xdr:cNvPr>
        <xdr:cNvCxnSpPr/>
      </xdr:nvCxnSpPr>
      <xdr:spPr>
        <a:xfrm>
          <a:off x="7314595" y="10649857"/>
          <a:ext cx="0" cy="13710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61</xdr:row>
      <xdr:rowOff>153085</xdr:rowOff>
    </xdr:from>
    <xdr:to>
      <xdr:col>28</xdr:col>
      <xdr:colOff>399</xdr:colOff>
      <xdr:row>62</xdr:row>
      <xdr:rowOff>148730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399377C7-EBCB-41A1-B9A9-6C02C5E1A1F2}"/>
            </a:ext>
          </a:extLst>
        </xdr:cNvPr>
        <xdr:cNvCxnSpPr/>
      </xdr:nvCxnSpPr>
      <xdr:spPr>
        <a:xfrm>
          <a:off x="3181145" y="8104924"/>
          <a:ext cx="399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4847</xdr:colOff>
      <xdr:row>62</xdr:row>
      <xdr:rowOff>60338</xdr:rowOff>
    </xdr:from>
    <xdr:to>
      <xdr:col>60</xdr:col>
      <xdr:colOff>2847</xdr:colOff>
      <xdr:row>62</xdr:row>
      <xdr:rowOff>60338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99846EE6-680F-4E7C-91B2-DAC85F904AA2}"/>
            </a:ext>
          </a:extLst>
        </xdr:cNvPr>
        <xdr:cNvCxnSpPr/>
      </xdr:nvCxnSpPr>
      <xdr:spPr>
        <a:xfrm flipV="1">
          <a:off x="4963369" y="8221468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2096</xdr:colOff>
      <xdr:row>61</xdr:row>
      <xdr:rowOff>151266</xdr:rowOff>
    </xdr:from>
    <xdr:to>
      <xdr:col>60</xdr:col>
      <xdr:colOff>2930</xdr:colOff>
      <xdr:row>62</xdr:row>
      <xdr:rowOff>146911</xdr:rowOff>
    </xdr:to>
    <xdr:cxnSp macro="">
      <xdr:nvCxnSpPr>
        <xdr:cNvPr id="113" name="직선 연결선 112">
          <a:extLst>
            <a:ext uri="{FF2B5EF4-FFF2-40B4-BE49-F238E27FC236}">
              <a16:creationId xmlns:a16="http://schemas.microsoft.com/office/drawing/2014/main" id="{347819EF-CFB0-44E6-B221-3D4F74A3C10B}"/>
            </a:ext>
          </a:extLst>
        </xdr:cNvPr>
        <xdr:cNvCxnSpPr/>
      </xdr:nvCxnSpPr>
      <xdr:spPr>
        <a:xfrm>
          <a:off x="5214618" y="8127418"/>
          <a:ext cx="834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60488</xdr:colOff>
      <xdr:row>62</xdr:row>
      <xdr:rowOff>60509</xdr:rowOff>
    </xdr:from>
    <xdr:to>
      <xdr:col>91</xdr:col>
      <xdr:colOff>13988</xdr:colOff>
      <xdr:row>62</xdr:row>
      <xdr:rowOff>60509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A175F289-EE87-41E5-BD23-F4C9E13AF686}"/>
            </a:ext>
          </a:extLst>
        </xdr:cNvPr>
        <xdr:cNvCxnSpPr/>
      </xdr:nvCxnSpPr>
      <xdr:spPr>
        <a:xfrm flipV="1">
          <a:off x="7051010" y="822163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62892</xdr:colOff>
      <xdr:row>61</xdr:row>
      <xdr:rowOff>145293</xdr:rowOff>
    </xdr:from>
    <xdr:to>
      <xdr:col>90</xdr:col>
      <xdr:colOff>63291</xdr:colOff>
      <xdr:row>62</xdr:row>
      <xdr:rowOff>140938</xdr:rowOff>
    </xdr:to>
    <xdr:cxnSp macro="">
      <xdr:nvCxnSpPr>
        <xdr:cNvPr id="118" name="직선 연결선 117">
          <a:extLst>
            <a:ext uri="{FF2B5EF4-FFF2-40B4-BE49-F238E27FC236}">
              <a16:creationId xmlns:a16="http://schemas.microsoft.com/office/drawing/2014/main" id="{1034B690-C21D-4D63-8F86-EBE2A33F649E}"/>
            </a:ext>
          </a:extLst>
        </xdr:cNvPr>
        <xdr:cNvCxnSpPr/>
      </xdr:nvCxnSpPr>
      <xdr:spPr>
        <a:xfrm>
          <a:off x="7180414" y="8121445"/>
          <a:ext cx="399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47</xdr:col>
      <xdr:colOff>19758</xdr:colOff>
      <xdr:row>62</xdr:row>
      <xdr:rowOff>5733</xdr:rowOff>
    </xdr:from>
    <xdr:ext cx="532453" cy="125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2E5780F-84DB-4958-95E2-AA91E22A89C2}"/>
            </a:ext>
          </a:extLst>
        </xdr:cNvPr>
        <xdr:cNvSpPr txBox="1"/>
      </xdr:nvSpPr>
      <xdr:spPr>
        <a:xfrm>
          <a:off x="4469294" y="11748697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80</xdr:col>
      <xdr:colOff>3608</xdr:colOff>
      <xdr:row>61</xdr:row>
      <xdr:rowOff>178909</xdr:rowOff>
    </xdr:from>
    <xdr:ext cx="532453" cy="125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A6C4772-F524-4B28-975D-43FE43BAA108}"/>
            </a:ext>
          </a:extLst>
        </xdr:cNvPr>
        <xdr:cNvSpPr txBox="1"/>
      </xdr:nvSpPr>
      <xdr:spPr>
        <a:xfrm>
          <a:off x="6548644" y="1173590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56</xdr:col>
      <xdr:colOff>1476</xdr:colOff>
      <xdr:row>61</xdr:row>
      <xdr:rowOff>9213</xdr:rowOff>
    </xdr:from>
    <xdr:to>
      <xdr:col>75</xdr:col>
      <xdr:colOff>54976</xdr:colOff>
      <xdr:row>61</xdr:row>
      <xdr:rowOff>9213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40646C4E-5865-4B4B-ABD0-340F18DA0B0B}"/>
            </a:ext>
          </a:extLst>
        </xdr:cNvPr>
        <xdr:cNvCxnSpPr/>
      </xdr:nvCxnSpPr>
      <xdr:spPr>
        <a:xfrm flipV="1">
          <a:off x="4960621" y="7961052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8443</xdr:colOff>
      <xdr:row>61</xdr:row>
      <xdr:rowOff>7985</xdr:rowOff>
    </xdr:from>
    <xdr:to>
      <xdr:col>108</xdr:col>
      <xdr:colOff>61943</xdr:colOff>
      <xdr:row>61</xdr:row>
      <xdr:rowOff>7985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E39E8469-5B07-4204-B823-5FB69F1D7184}"/>
            </a:ext>
          </a:extLst>
        </xdr:cNvPr>
        <xdr:cNvCxnSpPr/>
      </xdr:nvCxnSpPr>
      <xdr:spPr>
        <a:xfrm flipV="1">
          <a:off x="7063088" y="7959824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183</xdr:row>
      <xdr:rowOff>88060</xdr:rowOff>
    </xdr:from>
    <xdr:to>
      <xdr:col>5</xdr:col>
      <xdr:colOff>2</xdr:colOff>
      <xdr:row>184</xdr:row>
      <xdr:rowOff>84244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31CF6664-6F02-47F2-AA61-1899524F7DD2}"/>
            </a:ext>
          </a:extLst>
        </xdr:cNvPr>
        <xdr:cNvCxnSpPr/>
      </xdr:nvCxnSpPr>
      <xdr:spPr>
        <a:xfrm flipH="1">
          <a:off x="1721184" y="11133718"/>
          <a:ext cx="2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62775</xdr:colOff>
      <xdr:row>183</xdr:row>
      <xdr:rowOff>92609</xdr:rowOff>
    </xdr:from>
    <xdr:to>
      <xdr:col>76</xdr:col>
      <xdr:colOff>62775</xdr:colOff>
      <xdr:row>184</xdr:row>
      <xdr:rowOff>88793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2930B352-5170-4F8E-9EBC-A50DD5494F99}"/>
            </a:ext>
          </a:extLst>
        </xdr:cNvPr>
        <xdr:cNvCxnSpPr/>
      </xdr:nvCxnSpPr>
      <xdr:spPr>
        <a:xfrm flipH="1">
          <a:off x="6292459" y="1113826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183</xdr:row>
      <xdr:rowOff>109853</xdr:rowOff>
    </xdr:from>
    <xdr:ext cx="338106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AE3CB3A-164D-4DBC-88D1-B38D34E9A15F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58588</xdr:colOff>
      <xdr:row>188</xdr:row>
      <xdr:rowOff>96098</xdr:rowOff>
    </xdr:from>
    <xdr:to>
      <xdr:col>14</xdr:col>
      <xdr:colOff>4257</xdr:colOff>
      <xdr:row>188</xdr:row>
      <xdr:rowOff>96098</xdr:rowOff>
    </xdr:to>
    <xdr:cxnSp macro="">
      <xdr:nvCxnSpPr>
        <xdr:cNvPr id="177" name="직선 화살표 연결선 176">
          <a:extLst>
            <a:ext uri="{FF2B5EF4-FFF2-40B4-BE49-F238E27FC236}">
              <a16:creationId xmlns:a16="http://schemas.microsoft.com/office/drawing/2014/main" id="{C303A7DC-0E33-417B-BDEE-8445BFB5492C}"/>
            </a:ext>
          </a:extLst>
        </xdr:cNvPr>
        <xdr:cNvCxnSpPr/>
      </xdr:nvCxnSpPr>
      <xdr:spPr>
        <a:xfrm>
          <a:off x="1716125" y="12508947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188</xdr:row>
      <xdr:rowOff>29488</xdr:rowOff>
    </xdr:from>
    <xdr:ext cx="52002" cy="125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6806EC9-B415-48EE-A59F-F818FAEACF45}"/>
            </a:ext>
          </a:extLst>
        </xdr:cNvPr>
        <xdr:cNvSpPr txBox="1"/>
      </xdr:nvSpPr>
      <xdr:spPr>
        <a:xfrm>
          <a:off x="2233959" y="35984095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858760</xdr:colOff>
      <xdr:row>185</xdr:row>
      <xdr:rowOff>150273</xdr:rowOff>
    </xdr:from>
    <xdr:ext cx="343235" cy="140872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2C758F9-248A-4702-BB0F-9490072D1857}"/>
            </a:ext>
          </a:extLst>
        </xdr:cNvPr>
        <xdr:cNvSpPr txBox="1"/>
      </xdr:nvSpPr>
      <xdr:spPr>
        <a:xfrm>
          <a:off x="1511903" y="34806154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54571</xdr:colOff>
      <xdr:row>189</xdr:row>
      <xdr:rowOff>101419</xdr:rowOff>
    </xdr:from>
    <xdr:to>
      <xdr:col>23</xdr:col>
      <xdr:colOff>8943</xdr:colOff>
      <xdr:row>189</xdr:row>
      <xdr:rowOff>101419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28777155-73CB-492D-99ED-6F14EBDCF7A6}"/>
            </a:ext>
          </a:extLst>
        </xdr:cNvPr>
        <xdr:cNvCxnSpPr/>
      </xdr:nvCxnSpPr>
      <xdr:spPr>
        <a:xfrm>
          <a:off x="1712108" y="12698698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189</xdr:row>
      <xdr:rowOff>32476</xdr:rowOff>
    </xdr:from>
    <xdr:ext cx="52002" cy="125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C9AFA46-1281-4C3B-89B3-412932664BEF}"/>
            </a:ext>
          </a:extLst>
        </xdr:cNvPr>
        <xdr:cNvSpPr txBox="1"/>
      </xdr:nvSpPr>
      <xdr:spPr>
        <a:xfrm>
          <a:off x="2526432" y="3617304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187</xdr:row>
      <xdr:rowOff>101421</xdr:rowOff>
    </xdr:from>
    <xdr:to>
      <xdr:col>6</xdr:col>
      <xdr:colOff>38471</xdr:colOff>
      <xdr:row>187</xdr:row>
      <xdr:rowOff>101421</xdr:rowOff>
    </xdr:to>
    <xdr:cxnSp macro="">
      <xdr:nvCxnSpPr>
        <xdr:cNvPr id="183" name="직선 화살표 연결선 182">
          <a:extLst>
            <a:ext uri="{FF2B5EF4-FFF2-40B4-BE49-F238E27FC236}">
              <a16:creationId xmlns:a16="http://schemas.microsoft.com/office/drawing/2014/main" id="{09C161DC-68D9-4771-999D-C752F703A946}"/>
            </a:ext>
          </a:extLst>
        </xdr:cNvPr>
        <xdr:cNvCxnSpPr/>
      </xdr:nvCxnSpPr>
      <xdr:spPr>
        <a:xfrm>
          <a:off x="1714688" y="11882342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187</xdr:row>
      <xdr:rowOff>38153</xdr:rowOff>
    </xdr:from>
    <xdr:ext cx="52002" cy="125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C44FECB-FFE5-4193-8536-F9B896073F17}"/>
            </a:ext>
          </a:extLst>
        </xdr:cNvPr>
        <xdr:cNvSpPr txBox="1"/>
      </xdr:nvSpPr>
      <xdr:spPr>
        <a:xfrm>
          <a:off x="2059274" y="35806796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191</xdr:row>
      <xdr:rowOff>93579</xdr:rowOff>
    </xdr:from>
    <xdr:to>
      <xdr:col>67</xdr:col>
      <xdr:colOff>56816</xdr:colOff>
      <xdr:row>191</xdr:row>
      <xdr:rowOff>97402</xdr:rowOff>
    </xdr:to>
    <xdr:cxnSp macro="">
      <xdr:nvCxnSpPr>
        <xdr:cNvPr id="185" name="직선 화살표 연결선 184">
          <a:extLst>
            <a:ext uri="{FF2B5EF4-FFF2-40B4-BE49-F238E27FC236}">
              <a16:creationId xmlns:a16="http://schemas.microsoft.com/office/drawing/2014/main" id="{B9E3472E-84CE-4955-8D8F-2821EC34929C}"/>
            </a:ext>
          </a:extLst>
        </xdr:cNvPr>
        <xdr:cNvCxnSpPr/>
      </xdr:nvCxnSpPr>
      <xdr:spPr>
        <a:xfrm flipV="1">
          <a:off x="1712908" y="12609763"/>
          <a:ext cx="4002092" cy="3823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6949</xdr:colOff>
      <xdr:row>191</xdr:row>
      <xdr:rowOff>46497</xdr:rowOff>
    </xdr:from>
    <xdr:ext cx="52002" cy="125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18FB2DD-8703-480E-B1AC-EE2831BC475F}"/>
            </a:ext>
          </a:extLst>
        </xdr:cNvPr>
        <xdr:cNvSpPr txBox="1"/>
      </xdr:nvSpPr>
      <xdr:spPr>
        <a:xfrm>
          <a:off x="3894056" y="3655899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132</xdr:col>
      <xdr:colOff>17638</xdr:colOff>
      <xdr:row>1</xdr:row>
      <xdr:rowOff>19509</xdr:rowOff>
    </xdr:from>
    <xdr:ext cx="369012" cy="140872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2250F75-9805-6251-5899-7ED7DA1F0E6A}"/>
            </a:ext>
          </a:extLst>
        </xdr:cNvPr>
        <xdr:cNvSpPr txBox="1"/>
      </xdr:nvSpPr>
      <xdr:spPr>
        <a:xfrm>
          <a:off x="15303499" y="202953"/>
          <a:ext cx="36901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svsync#</a:t>
          </a:r>
          <a:endParaRPr lang="ko-KR" altLang="en-US" sz="900"/>
        </a:p>
      </xdr:txBody>
    </xdr:sp>
    <xdr:clientData/>
  </xdr:oneCellAnchor>
  <xdr:oneCellAnchor>
    <xdr:from>
      <xdr:col>134</xdr:col>
      <xdr:colOff>16933</xdr:colOff>
      <xdr:row>1</xdr:row>
      <xdr:rowOff>23743</xdr:rowOff>
    </xdr:from>
    <xdr:ext cx="258084" cy="140872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65DF7DAF-3FFC-40F2-A0AC-DADE816CACD5}"/>
            </a:ext>
          </a:extLst>
        </xdr:cNvPr>
        <xdr:cNvSpPr txBox="1"/>
      </xdr:nvSpPr>
      <xdr:spPr>
        <a:xfrm>
          <a:off x="15930033" y="210010"/>
          <a:ext cx="25808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step#</a:t>
          </a:r>
          <a:endParaRPr lang="ko-KR" altLang="en-US" sz="900"/>
        </a:p>
      </xdr:txBody>
    </xdr:sp>
    <xdr:clientData/>
  </xdr:oneCellAnchor>
  <xdr:oneCellAnchor>
    <xdr:from>
      <xdr:col>125</xdr:col>
      <xdr:colOff>4618</xdr:colOff>
      <xdr:row>1</xdr:row>
      <xdr:rowOff>38282</xdr:rowOff>
    </xdr:from>
    <xdr:ext cx="2015873" cy="119893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CE332EE-B59C-4D18-BD2B-9B09E6EA236C}"/>
            </a:ext>
          </a:extLst>
        </xdr:cNvPr>
        <xdr:cNvSpPr txBox="1"/>
      </xdr:nvSpPr>
      <xdr:spPr>
        <a:xfrm>
          <a:off x="10649527" y="223009"/>
          <a:ext cx="2015873" cy="119893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>
              <a:latin typeface="+mn-lt"/>
            </a:rPr>
            <a:t>buff</a:t>
          </a:r>
          <a:r>
            <a:rPr lang="ko-KR" altLang="en-US" sz="900" baseline="0">
              <a:latin typeface="+mn-lt"/>
            </a:rPr>
            <a:t>에서 </a:t>
          </a:r>
          <a:r>
            <a:rPr lang="en-US" altLang="ko-KR" sz="900" baseline="0">
              <a:latin typeface="+mn-lt"/>
            </a:rPr>
            <a:t>fetch</a:t>
          </a:r>
          <a:r>
            <a:rPr lang="ko-KR" altLang="en-US" sz="900" baseline="0">
              <a:latin typeface="+mn-lt"/>
            </a:rPr>
            <a:t>시 </a:t>
          </a:r>
          <a:r>
            <a:rPr lang="en-US" altLang="ko-KR" sz="900" baseline="0">
              <a:latin typeface="+mn-lt"/>
            </a:rPr>
            <a:t>ld format </a:t>
          </a:r>
          <a:r>
            <a:rPr lang="ko-KR" altLang="en-US" sz="900" baseline="0">
              <a:latin typeface="+mn-lt"/>
            </a:rPr>
            <a:t>정렬 </a:t>
          </a:r>
          <a:r>
            <a:rPr lang="en-US" altLang="ko-KR" sz="900" baseline="0">
              <a:latin typeface="+mn-lt"/>
            </a:rPr>
            <a:t>-&gt; dimming</a:t>
          </a:r>
          <a:endParaRPr lang="ko-KR" altLang="en-US" sz="900">
            <a:latin typeface="+mn-lt"/>
          </a:endParaRPr>
        </a:p>
      </xdr:txBody>
    </xdr:sp>
    <xdr:clientData/>
  </xdr:oneCellAnchor>
  <xdr:oneCellAnchor>
    <xdr:from>
      <xdr:col>18</xdr:col>
      <xdr:colOff>38992</xdr:colOff>
      <xdr:row>108</xdr:row>
      <xdr:rowOff>32751</xdr:rowOff>
    </xdr:from>
    <xdr:ext cx="254942" cy="109582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E6572C3-934D-44B2-A3D3-C48849AF033F}"/>
            </a:ext>
          </a:extLst>
        </xdr:cNvPr>
        <xdr:cNvSpPr txBox="1"/>
      </xdr:nvSpPr>
      <xdr:spPr>
        <a:xfrm>
          <a:off x="2846130" y="20455665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10</xdr:col>
      <xdr:colOff>2860</xdr:colOff>
      <xdr:row>113</xdr:row>
      <xdr:rowOff>180144</xdr:rowOff>
    </xdr:from>
    <xdr:to>
      <xdr:col>13</xdr:col>
      <xdr:colOff>42488</xdr:colOff>
      <xdr:row>114</xdr:row>
      <xdr:rowOff>168711</xdr:rowOff>
    </xdr:to>
    <xdr:grpSp>
      <xdr:nvGrpSpPr>
        <xdr:cNvPr id="207" name="그룹 206">
          <a:extLst>
            <a:ext uri="{FF2B5EF4-FFF2-40B4-BE49-F238E27FC236}">
              <a16:creationId xmlns:a16="http://schemas.microsoft.com/office/drawing/2014/main" id="{5A180E9A-EED9-84A4-6341-A04E1FFAA41B}"/>
            </a:ext>
          </a:extLst>
        </xdr:cNvPr>
        <xdr:cNvGrpSpPr/>
      </xdr:nvGrpSpPr>
      <xdr:grpSpPr>
        <a:xfrm>
          <a:off x="2372204" y="21281988"/>
          <a:ext cx="230128" cy="171129"/>
          <a:chOff x="2005487" y="2380137"/>
          <a:chExt cx="230128" cy="187778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2CC6B7C8-BCE8-4E6D-9540-E9AED8C66856}"/>
              </a:ext>
            </a:extLst>
          </xdr:cNvPr>
          <xdr:cNvSpPr txBox="1"/>
        </xdr:nvSpPr>
        <xdr:spPr>
          <a:xfrm>
            <a:off x="2005487" y="2448985"/>
            <a:ext cx="230128" cy="1189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EBC4898D-ADB3-4609-9551-B16AEB126724}"/>
              </a:ext>
            </a:extLst>
          </xdr:cNvPr>
          <xdr:cNvSpPr txBox="1"/>
        </xdr:nvSpPr>
        <xdr:spPr>
          <a:xfrm>
            <a:off x="2056956" y="2380137"/>
            <a:ext cx="150298" cy="11892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10</xdr:col>
      <xdr:colOff>15413</xdr:colOff>
      <xdr:row>108</xdr:row>
      <xdr:rowOff>0</xdr:rowOff>
    </xdr:from>
    <xdr:to>
      <xdr:col>13</xdr:col>
      <xdr:colOff>55041</xdr:colOff>
      <xdr:row>108</xdr:row>
      <xdr:rowOff>180061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FBFC1343-2317-41F9-856F-E0D4142CB665}"/>
            </a:ext>
          </a:extLst>
        </xdr:cNvPr>
        <xdr:cNvGrpSpPr/>
      </xdr:nvGrpSpPr>
      <xdr:grpSpPr>
        <a:xfrm>
          <a:off x="2384757" y="20149344"/>
          <a:ext cx="230128" cy="180061"/>
          <a:chOff x="2014176" y="2794551"/>
          <a:chExt cx="230128" cy="18511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5F6BFA61-D327-4093-3CE5-F3546B9E9100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82A1B04D-A5EF-536F-D71D-8158172194AE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27</xdr:col>
      <xdr:colOff>63243</xdr:colOff>
      <xdr:row>114</xdr:row>
      <xdr:rowOff>1225</xdr:rowOff>
    </xdr:from>
    <xdr:to>
      <xdr:col>31</xdr:col>
      <xdr:colOff>39371</xdr:colOff>
      <xdr:row>114</xdr:row>
      <xdr:rowOff>172432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5AD43B7-24CF-465B-B631-F65E7514B5E4}"/>
            </a:ext>
          </a:extLst>
        </xdr:cNvPr>
        <xdr:cNvGrpSpPr/>
      </xdr:nvGrpSpPr>
      <xdr:grpSpPr>
        <a:xfrm>
          <a:off x="3512087" y="21285631"/>
          <a:ext cx="230128" cy="171207"/>
          <a:chOff x="2005487" y="2393383"/>
          <a:chExt cx="230128" cy="169222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CF5E0ECD-FC27-23F3-5856-9766850277BF}"/>
              </a:ext>
            </a:extLst>
          </xdr:cNvPr>
          <xdr:cNvSpPr txBox="1"/>
        </xdr:nvSpPr>
        <xdr:spPr>
          <a:xfrm>
            <a:off x="2005487" y="2454294"/>
            <a:ext cx="23012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94AEA022-9163-69AC-1495-72E1B59DFE76}"/>
              </a:ext>
            </a:extLst>
          </xdr:cNvPr>
          <xdr:cNvSpPr txBox="1"/>
        </xdr:nvSpPr>
        <xdr:spPr>
          <a:xfrm>
            <a:off x="2056956" y="2393383"/>
            <a:ext cx="15029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9217</xdr:colOff>
      <xdr:row>113</xdr:row>
      <xdr:rowOff>183568</xdr:rowOff>
    </xdr:from>
    <xdr:to>
      <xdr:col>40</xdr:col>
      <xdr:colOff>48845</xdr:colOff>
      <xdr:row>114</xdr:row>
      <xdr:rowOff>162728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712844AA-18CB-4E9D-94F5-26272A654974}"/>
            </a:ext>
          </a:extLst>
        </xdr:cNvPr>
        <xdr:cNvGrpSpPr/>
      </xdr:nvGrpSpPr>
      <xdr:grpSpPr>
        <a:xfrm>
          <a:off x="4093061" y="21285412"/>
          <a:ext cx="230128" cy="161722"/>
          <a:chOff x="2005487" y="2382305"/>
          <a:chExt cx="230128" cy="171092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54C2D6E2-DC80-5012-2930-3B18EA6EFC25}"/>
              </a:ext>
            </a:extLst>
          </xdr:cNvPr>
          <xdr:cNvSpPr txBox="1"/>
        </xdr:nvSpPr>
        <xdr:spPr>
          <a:xfrm>
            <a:off x="2005487" y="2438806"/>
            <a:ext cx="23012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8987EF1B-8579-8B70-9574-DDEB5D386E57}"/>
              </a:ext>
            </a:extLst>
          </xdr:cNvPr>
          <xdr:cNvSpPr txBox="1"/>
        </xdr:nvSpPr>
        <xdr:spPr>
          <a:xfrm>
            <a:off x="2056956" y="2382305"/>
            <a:ext cx="15029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41</xdr:col>
      <xdr:colOff>36389</xdr:colOff>
      <xdr:row>112</xdr:row>
      <xdr:rowOff>43744</xdr:rowOff>
    </xdr:from>
    <xdr:ext cx="254942" cy="109582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011E77D-91D6-4B70-A631-80C1D067D8E5}"/>
            </a:ext>
          </a:extLst>
        </xdr:cNvPr>
        <xdr:cNvSpPr txBox="1"/>
      </xdr:nvSpPr>
      <xdr:spPr>
        <a:xfrm>
          <a:off x="4304027" y="21228658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oneCellAnchor>
    <xdr:from>
      <xdr:col>32</xdr:col>
      <xdr:colOff>34128</xdr:colOff>
      <xdr:row>110</xdr:row>
      <xdr:rowOff>37913</xdr:rowOff>
    </xdr:from>
    <xdr:ext cx="254942" cy="109582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1DEA0DE-7AA7-45ED-92A1-01059F80CB8B}"/>
            </a:ext>
          </a:extLst>
        </xdr:cNvPr>
        <xdr:cNvSpPr txBox="1"/>
      </xdr:nvSpPr>
      <xdr:spPr>
        <a:xfrm>
          <a:off x="3730266" y="20841827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28</xdr:col>
      <xdr:colOff>9696</xdr:colOff>
      <xdr:row>110</xdr:row>
      <xdr:rowOff>180</xdr:rowOff>
    </xdr:from>
    <xdr:to>
      <xdr:col>31</xdr:col>
      <xdr:colOff>49324</xdr:colOff>
      <xdr:row>110</xdr:row>
      <xdr:rowOff>185294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EF6DBBA7-A585-446D-91FD-2CF34473EB9E}"/>
            </a:ext>
          </a:extLst>
        </xdr:cNvPr>
        <xdr:cNvGrpSpPr/>
      </xdr:nvGrpSpPr>
      <xdr:grpSpPr>
        <a:xfrm>
          <a:off x="3522040" y="20530524"/>
          <a:ext cx="230128" cy="185114"/>
          <a:chOff x="2014176" y="2794551"/>
          <a:chExt cx="230128" cy="185114"/>
        </a:xfrm>
      </xdr:grpSpPr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B56F4BE3-BBAF-9348-4E62-9A932C85FFDF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4533D59B-F597-6E82-4205-2C3E31E30509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15042</xdr:colOff>
      <xdr:row>111</xdr:row>
      <xdr:rowOff>190496</xdr:rowOff>
    </xdr:from>
    <xdr:to>
      <xdr:col>40</xdr:col>
      <xdr:colOff>54670</xdr:colOff>
      <xdr:row>112</xdr:row>
      <xdr:rowOff>185110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A7F10DCF-F42B-49BC-8F9A-136D7B28567E}"/>
            </a:ext>
          </a:extLst>
        </xdr:cNvPr>
        <xdr:cNvGrpSpPr/>
      </xdr:nvGrpSpPr>
      <xdr:grpSpPr>
        <a:xfrm>
          <a:off x="4098886" y="20911340"/>
          <a:ext cx="230128" cy="185114"/>
          <a:chOff x="2014176" y="2794551"/>
          <a:chExt cx="230128" cy="18511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2ACDEDB2-B470-C6A2-882C-D62F63A7C491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EBC0B849-60E5-D49D-AED7-5012E1E844D7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23</xdr:col>
      <xdr:colOff>2159</xdr:colOff>
      <xdr:row>61</xdr:row>
      <xdr:rowOff>8393</xdr:rowOff>
    </xdr:from>
    <xdr:to>
      <xdr:col>42</xdr:col>
      <xdr:colOff>55659</xdr:colOff>
      <xdr:row>61</xdr:row>
      <xdr:rowOff>8393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CC0191DB-E8A3-4858-A0E5-17645E307F8A}"/>
            </a:ext>
          </a:extLst>
        </xdr:cNvPr>
        <xdr:cNvCxnSpPr/>
      </xdr:nvCxnSpPr>
      <xdr:spPr>
        <a:xfrm flipV="1">
          <a:off x="2866343" y="6996735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48246</xdr:colOff>
      <xdr:row>60</xdr:row>
      <xdr:rowOff>82067</xdr:rowOff>
    </xdr:from>
    <xdr:to>
      <xdr:col>72</xdr:col>
      <xdr:colOff>55261</xdr:colOff>
      <xdr:row>61</xdr:row>
      <xdr:rowOff>115382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9B4DEC4E-8AEF-4EAE-AC5C-EFE57E593230}"/>
            </a:ext>
          </a:extLst>
        </xdr:cNvPr>
        <xdr:cNvGrpSpPr/>
      </xdr:nvGrpSpPr>
      <xdr:grpSpPr>
        <a:xfrm>
          <a:off x="5465590" y="11349348"/>
          <a:ext cx="896015" cy="215878"/>
          <a:chOff x="3077530" y="6888003"/>
          <a:chExt cx="896015" cy="216979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9D71604C-8C2D-8A4B-51FE-65FAB7DBECAE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87" name="TextBox 286">
            <a:extLst>
              <a:ext uri="{FF2B5EF4-FFF2-40B4-BE49-F238E27FC236}">
                <a16:creationId xmlns:a16="http://schemas.microsoft.com/office/drawing/2014/main" id="{8EF184D9-5AD3-F1FD-B3EC-D66CA5895EA7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92</xdr:col>
      <xdr:colOff>6804</xdr:colOff>
      <xdr:row>60</xdr:row>
      <xdr:rowOff>84073</xdr:rowOff>
    </xdr:from>
    <xdr:to>
      <xdr:col>106</xdr:col>
      <xdr:colOff>13819</xdr:colOff>
      <xdr:row>61</xdr:row>
      <xdr:rowOff>117388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FBE43DCD-A73A-45A3-8942-09DD53333A63}"/>
            </a:ext>
          </a:extLst>
        </xdr:cNvPr>
        <xdr:cNvGrpSpPr/>
      </xdr:nvGrpSpPr>
      <xdr:grpSpPr>
        <a:xfrm>
          <a:off x="7583148" y="11351354"/>
          <a:ext cx="896015" cy="215878"/>
          <a:chOff x="3077530" y="6888003"/>
          <a:chExt cx="896015" cy="216979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6FBCF649-B42F-844E-F4B1-60FE4D9D3D8B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0" name="TextBox 289">
            <a:extLst>
              <a:ext uri="{FF2B5EF4-FFF2-40B4-BE49-F238E27FC236}">
                <a16:creationId xmlns:a16="http://schemas.microsoft.com/office/drawing/2014/main" id="{65AB4633-1460-F097-2E76-CD758149C7A5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25</xdr:col>
      <xdr:colOff>40912</xdr:colOff>
      <xdr:row>60</xdr:row>
      <xdr:rowOff>79657</xdr:rowOff>
    </xdr:from>
    <xdr:to>
      <xdr:col>39</xdr:col>
      <xdr:colOff>47927</xdr:colOff>
      <xdr:row>61</xdr:row>
      <xdr:rowOff>112972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7BA4498E-C5C5-4FC1-BEEA-12A01375EE8A}"/>
            </a:ext>
          </a:extLst>
        </xdr:cNvPr>
        <xdr:cNvGrpSpPr/>
      </xdr:nvGrpSpPr>
      <xdr:grpSpPr>
        <a:xfrm>
          <a:off x="3362756" y="11346938"/>
          <a:ext cx="896015" cy="215878"/>
          <a:chOff x="3077530" y="6888003"/>
          <a:chExt cx="896015" cy="216979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3637A9DB-3F59-7073-6109-EB2B98B53F04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3" name="TextBox 292">
            <a:extLst>
              <a:ext uri="{FF2B5EF4-FFF2-40B4-BE49-F238E27FC236}">
                <a16:creationId xmlns:a16="http://schemas.microsoft.com/office/drawing/2014/main" id="{7AE5DA6A-DFC8-8C4C-0A85-1E1FC655E3EA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4</xdr:col>
      <xdr:colOff>50240</xdr:colOff>
      <xdr:row>4</xdr:row>
      <xdr:rowOff>84809</xdr:rowOff>
    </xdr:from>
    <xdr:to>
      <xdr:col>14</xdr:col>
      <xdr:colOff>63240</xdr:colOff>
      <xdr:row>4</xdr:row>
      <xdr:rowOff>84809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06413887-11DF-4344-A0E4-B753459F72B0}"/>
            </a:ext>
          </a:extLst>
        </xdr:cNvPr>
        <xdr:cNvCxnSpPr/>
      </xdr:nvCxnSpPr>
      <xdr:spPr>
        <a:xfrm flipV="1">
          <a:off x="1772360" y="1823818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1759</xdr:colOff>
      <xdr:row>4</xdr:row>
      <xdr:rowOff>13211</xdr:rowOff>
    </xdr:from>
    <xdr:ext cx="248722" cy="125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39A36FE5-0370-4813-9CFF-648374C73E5D}"/>
            </a:ext>
          </a:extLst>
        </xdr:cNvPr>
        <xdr:cNvSpPr txBox="1"/>
      </xdr:nvSpPr>
      <xdr:spPr>
        <a:xfrm>
          <a:off x="1977879" y="181665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56947</xdr:colOff>
      <xdr:row>9</xdr:row>
      <xdr:rowOff>124324</xdr:rowOff>
    </xdr:from>
    <xdr:to>
      <xdr:col>47</xdr:col>
      <xdr:colOff>63117</xdr:colOff>
      <xdr:row>9</xdr:row>
      <xdr:rowOff>124324</xdr:rowOff>
    </xdr:to>
    <xdr:cxnSp macro="">
      <xdr:nvCxnSpPr>
        <xdr:cNvPr id="303" name="직선 화살표 연결선 302">
          <a:extLst>
            <a:ext uri="{FF2B5EF4-FFF2-40B4-BE49-F238E27FC236}">
              <a16:creationId xmlns:a16="http://schemas.microsoft.com/office/drawing/2014/main" id="{80D2D14B-990C-4BEC-96F8-8BE5787EA13E}"/>
            </a:ext>
          </a:extLst>
        </xdr:cNvPr>
        <xdr:cNvCxnSpPr/>
      </xdr:nvCxnSpPr>
      <xdr:spPr>
        <a:xfrm flipV="1">
          <a:off x="1776420" y="19078691"/>
          <a:ext cx="2720221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52343</xdr:colOff>
      <xdr:row>7</xdr:row>
      <xdr:rowOff>26762</xdr:rowOff>
    </xdr:from>
    <xdr:to>
      <xdr:col>11</xdr:col>
      <xdr:colOff>3843</xdr:colOff>
      <xdr:row>7</xdr:row>
      <xdr:rowOff>26762</xdr:rowOff>
    </xdr:to>
    <xdr:cxnSp macro="">
      <xdr:nvCxnSpPr>
        <xdr:cNvPr id="304" name="직선 화살표 연결선 303">
          <a:extLst>
            <a:ext uri="{FF2B5EF4-FFF2-40B4-BE49-F238E27FC236}">
              <a16:creationId xmlns:a16="http://schemas.microsoft.com/office/drawing/2014/main" id="{95A0E083-B0A9-4B67-9A22-CAA6F219219B}"/>
            </a:ext>
          </a:extLst>
        </xdr:cNvPr>
        <xdr:cNvCxnSpPr/>
      </xdr:nvCxnSpPr>
      <xdr:spPr>
        <a:xfrm flipV="1">
          <a:off x="1771816" y="18598599"/>
          <a:ext cx="393322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44801</xdr:colOff>
      <xdr:row>7</xdr:row>
      <xdr:rowOff>24558</xdr:rowOff>
    </xdr:from>
    <xdr:to>
      <xdr:col>12</xdr:col>
      <xdr:colOff>61418</xdr:colOff>
      <xdr:row>7</xdr:row>
      <xdr:rowOff>24558</xdr:rowOff>
    </xdr:to>
    <xdr:cxnSp macro="">
      <xdr:nvCxnSpPr>
        <xdr:cNvPr id="305" name="직선 화살표 연결선 304">
          <a:extLst>
            <a:ext uri="{FF2B5EF4-FFF2-40B4-BE49-F238E27FC236}">
              <a16:creationId xmlns:a16="http://schemas.microsoft.com/office/drawing/2014/main" id="{74310C65-4E68-4C04-A159-9EB407D44B82}"/>
            </a:ext>
          </a:extLst>
        </xdr:cNvPr>
        <xdr:cNvCxnSpPr/>
      </xdr:nvCxnSpPr>
      <xdr:spPr>
        <a:xfrm flipV="1">
          <a:off x="2142979" y="18596395"/>
          <a:ext cx="142852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51703</xdr:colOff>
      <xdr:row>7</xdr:row>
      <xdr:rowOff>26301</xdr:rowOff>
    </xdr:from>
    <xdr:to>
      <xdr:col>15</xdr:col>
      <xdr:colOff>5203</xdr:colOff>
      <xdr:row>7</xdr:row>
      <xdr:rowOff>26301</xdr:rowOff>
    </xdr:to>
    <xdr:cxnSp macro="">
      <xdr:nvCxnSpPr>
        <xdr:cNvPr id="306" name="직선 화살표 연결선 305">
          <a:extLst>
            <a:ext uri="{FF2B5EF4-FFF2-40B4-BE49-F238E27FC236}">
              <a16:creationId xmlns:a16="http://schemas.microsoft.com/office/drawing/2014/main" id="{F7A50266-304C-4BE4-9C95-A1195F6C237E}"/>
            </a:ext>
          </a:extLst>
        </xdr:cNvPr>
        <xdr:cNvCxnSpPr/>
      </xdr:nvCxnSpPr>
      <xdr:spPr>
        <a:xfrm flipV="1">
          <a:off x="2276116" y="18598138"/>
          <a:ext cx="142852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395</xdr:colOff>
      <xdr:row>6</xdr:row>
      <xdr:rowOff>102963</xdr:rowOff>
    </xdr:from>
    <xdr:ext cx="116955" cy="93936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9E14A388-CFD9-4451-83C1-CDFE087079BC}"/>
            </a:ext>
          </a:extLst>
        </xdr:cNvPr>
        <xdr:cNvSpPr txBox="1"/>
      </xdr:nvSpPr>
      <xdr:spPr>
        <a:xfrm>
          <a:off x="1909220" y="18491186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12</xdr:col>
      <xdr:colOff>53499</xdr:colOff>
      <xdr:row>6</xdr:row>
      <xdr:rowOff>101901</xdr:rowOff>
    </xdr:from>
    <xdr:ext cx="116955" cy="93936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A3052BE4-D39F-4AE9-8BE1-9B717366868D}"/>
            </a:ext>
          </a:extLst>
        </xdr:cNvPr>
        <xdr:cNvSpPr txBox="1"/>
      </xdr:nvSpPr>
      <xdr:spPr>
        <a:xfrm>
          <a:off x="2277912" y="18490124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56479</xdr:colOff>
      <xdr:row>10</xdr:row>
      <xdr:rowOff>89896</xdr:rowOff>
    </xdr:from>
    <xdr:to>
      <xdr:col>41</xdr:col>
      <xdr:colOff>43133</xdr:colOff>
      <xdr:row>10</xdr:row>
      <xdr:rowOff>89896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ECEEF451-B7B9-4631-9E8F-F29B20812794}"/>
            </a:ext>
          </a:extLst>
        </xdr:cNvPr>
        <xdr:cNvCxnSpPr/>
      </xdr:nvCxnSpPr>
      <xdr:spPr>
        <a:xfrm flipV="1">
          <a:off x="1775952" y="19227878"/>
          <a:ext cx="232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59173</xdr:colOff>
      <xdr:row>11</xdr:row>
      <xdr:rowOff>51644</xdr:rowOff>
    </xdr:from>
    <xdr:to>
      <xdr:col>43</xdr:col>
      <xdr:colOff>45592</xdr:colOff>
      <xdr:row>11</xdr:row>
      <xdr:rowOff>51644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480EC3CB-A578-4146-B6B8-2EE9B7A589F2}"/>
            </a:ext>
          </a:extLst>
        </xdr:cNvPr>
        <xdr:cNvCxnSpPr/>
      </xdr:nvCxnSpPr>
      <xdr:spPr>
        <a:xfrm flipV="1">
          <a:off x="1778646" y="19373240"/>
          <a:ext cx="24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4524</xdr:colOff>
      <xdr:row>9</xdr:row>
      <xdr:rowOff>58091</xdr:rowOff>
    </xdr:from>
    <xdr:ext cx="749244" cy="10958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8AD00B8-6D05-4211-9B62-E57F3B1EBA9E}"/>
            </a:ext>
          </a:extLst>
        </xdr:cNvPr>
        <xdr:cNvSpPr txBox="1"/>
      </xdr:nvSpPr>
      <xdr:spPr>
        <a:xfrm>
          <a:off x="2670759" y="19012458"/>
          <a:ext cx="74924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256*12 + 128 = 3200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19</xdr:col>
      <xdr:colOff>3020</xdr:colOff>
      <xdr:row>10</xdr:row>
      <xdr:rowOff>28660</xdr:rowOff>
    </xdr:from>
    <xdr:ext cx="703719" cy="109582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23D320C0-E30D-4377-9605-CB6EEED9EBF5}"/>
            </a:ext>
          </a:extLst>
        </xdr:cNvPr>
        <xdr:cNvSpPr txBox="1"/>
      </xdr:nvSpPr>
      <xdr:spPr>
        <a:xfrm>
          <a:off x="2669255" y="1916664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256*11 + 32 = 2848</a:t>
          </a:r>
        </a:p>
      </xdr:txBody>
    </xdr:sp>
    <xdr:clientData/>
  </xdr:oneCellAnchor>
  <xdr:oneCellAnchor>
    <xdr:from>
      <xdr:col>19</xdr:col>
      <xdr:colOff>404</xdr:colOff>
      <xdr:row>10</xdr:row>
      <xdr:rowOff>175649</xdr:rowOff>
    </xdr:from>
    <xdr:ext cx="703719" cy="109582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0E6BD6C-3DA6-43FB-8D67-F04B5F24F625}"/>
            </a:ext>
          </a:extLst>
        </xdr:cNvPr>
        <xdr:cNvSpPr txBox="1"/>
      </xdr:nvSpPr>
      <xdr:spPr>
        <a:xfrm>
          <a:off x="2666639" y="19313631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256*11 + 64 = 2880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3</xdr:row>
      <xdr:rowOff>122313</xdr:rowOff>
    </xdr:from>
    <xdr:to>
      <xdr:col>84</xdr:col>
      <xdr:colOff>58520</xdr:colOff>
      <xdr:row>3</xdr:row>
      <xdr:rowOff>122313</xdr:rowOff>
    </xdr:to>
    <xdr:cxnSp macro="">
      <xdr:nvCxnSpPr>
        <xdr:cNvPr id="314" name="직선 화살표 연결선 313">
          <a:extLst>
            <a:ext uri="{FF2B5EF4-FFF2-40B4-BE49-F238E27FC236}">
              <a16:creationId xmlns:a16="http://schemas.microsoft.com/office/drawing/2014/main" id="{8FEC4F12-2416-42A2-8884-1A91CBF16DC5}"/>
            </a:ext>
          </a:extLst>
        </xdr:cNvPr>
        <xdr:cNvCxnSpPr/>
      </xdr:nvCxnSpPr>
      <xdr:spPr>
        <a:xfrm flipV="1">
          <a:off x="1667329" y="27004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44841</xdr:colOff>
      <xdr:row>6</xdr:row>
      <xdr:rowOff>103588</xdr:rowOff>
    </xdr:from>
    <xdr:ext cx="116955" cy="93936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93CE16C4-84D8-4827-BD05-8618E870C6F9}"/>
            </a:ext>
          </a:extLst>
        </xdr:cNvPr>
        <xdr:cNvSpPr txBox="1"/>
      </xdr:nvSpPr>
      <xdr:spPr>
        <a:xfrm>
          <a:off x="2143019" y="18491811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40</xdr:col>
      <xdr:colOff>30640</xdr:colOff>
      <xdr:row>3</xdr:row>
      <xdr:rowOff>56725</xdr:rowOff>
    </xdr:from>
    <xdr:ext cx="42883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E1079690-FE55-4B8B-AE4A-1791805B5F61}"/>
            </a:ext>
          </a:extLst>
        </xdr:cNvPr>
        <xdr:cNvSpPr txBox="1"/>
      </xdr:nvSpPr>
      <xdr:spPr>
        <a:xfrm>
          <a:off x="4233735" y="628225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45835</xdr:colOff>
      <xdr:row>31</xdr:row>
      <xdr:rowOff>163911</xdr:rowOff>
    </xdr:from>
    <xdr:to>
      <xdr:col>4</xdr:col>
      <xdr:colOff>23953</xdr:colOff>
      <xdr:row>33</xdr:row>
      <xdr:rowOff>47007</xdr:rowOff>
    </xdr:to>
    <xdr:sp macro="" textlink="">
      <xdr:nvSpPr>
        <xdr:cNvPr id="319" name="자유형: 도형 318">
          <a:extLst>
            <a:ext uri="{FF2B5EF4-FFF2-40B4-BE49-F238E27FC236}">
              <a16:creationId xmlns:a16="http://schemas.microsoft.com/office/drawing/2014/main" id="{288749D5-86A9-4590-96D5-8A27B863392C}"/>
            </a:ext>
          </a:extLst>
        </xdr:cNvPr>
        <xdr:cNvSpPr/>
      </xdr:nvSpPr>
      <xdr:spPr>
        <a:xfrm>
          <a:off x="1595235" y="5688411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61</xdr:col>
      <xdr:colOff>50360</xdr:colOff>
      <xdr:row>31</xdr:row>
      <xdr:rowOff>16026</xdr:rowOff>
    </xdr:from>
    <xdr:to>
      <xdr:col>77</xdr:col>
      <xdr:colOff>6360</xdr:colOff>
      <xdr:row>31</xdr:row>
      <xdr:rowOff>16026</xdr:rowOff>
    </xdr:to>
    <xdr:cxnSp macro="">
      <xdr:nvCxnSpPr>
        <xdr:cNvPr id="323" name="직선 화살표 연결선 322">
          <a:extLst>
            <a:ext uri="{FF2B5EF4-FFF2-40B4-BE49-F238E27FC236}">
              <a16:creationId xmlns:a16="http://schemas.microsoft.com/office/drawing/2014/main" id="{2AEC5D30-D008-424B-8EE8-401EC17DFA42}"/>
            </a:ext>
          </a:extLst>
        </xdr:cNvPr>
        <xdr:cNvCxnSpPr/>
      </xdr:nvCxnSpPr>
      <xdr:spPr>
        <a:xfrm>
          <a:off x="5282760" y="5540526"/>
          <a:ext cx="97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54193</xdr:colOff>
      <xdr:row>31</xdr:row>
      <xdr:rowOff>153026</xdr:rowOff>
    </xdr:from>
    <xdr:to>
      <xdr:col>107</xdr:col>
      <xdr:colOff>32311</xdr:colOff>
      <xdr:row>33</xdr:row>
      <xdr:rowOff>36122</xdr:rowOff>
    </xdr:to>
    <xdr:sp macro="" textlink="">
      <xdr:nvSpPr>
        <xdr:cNvPr id="325" name="자유형: 도형 324">
          <a:extLst>
            <a:ext uri="{FF2B5EF4-FFF2-40B4-BE49-F238E27FC236}">
              <a16:creationId xmlns:a16="http://schemas.microsoft.com/office/drawing/2014/main" id="{8A51A4F4-4E20-4EB9-A8F6-656F0AF5D21F}"/>
            </a:ext>
          </a:extLst>
        </xdr:cNvPr>
        <xdr:cNvSpPr/>
      </xdr:nvSpPr>
      <xdr:spPr>
        <a:xfrm>
          <a:off x="8144093" y="5677526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13</xdr:col>
      <xdr:colOff>6876</xdr:colOff>
      <xdr:row>34</xdr:row>
      <xdr:rowOff>23432</xdr:rowOff>
    </xdr:from>
    <xdr:ext cx="251672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23228A24-5A71-49B8-8686-5C8B2F61FD03}"/>
            </a:ext>
          </a:extLst>
        </xdr:cNvPr>
        <xdr:cNvSpPr txBox="1"/>
      </xdr:nvSpPr>
      <xdr:spPr>
        <a:xfrm>
          <a:off x="2297412" y="6450539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42</xdr:col>
      <xdr:colOff>41028</xdr:colOff>
      <xdr:row>34</xdr:row>
      <xdr:rowOff>27666</xdr:rowOff>
    </xdr:from>
    <xdr:ext cx="251672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6DE91D0-CADA-44EC-89FE-BB77463D1BD9}"/>
            </a:ext>
          </a:extLst>
        </xdr:cNvPr>
        <xdr:cNvSpPr txBox="1"/>
      </xdr:nvSpPr>
      <xdr:spPr>
        <a:xfrm>
          <a:off x="4173064" y="6454773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CC00"/>
              </a:solidFill>
              <a:latin typeface="+mn-lt"/>
            </a:rPr>
            <a:t>vref 2</a:t>
          </a:r>
          <a:endParaRPr lang="ko-KR" altLang="en-US" sz="9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67</xdr:col>
      <xdr:colOff>56085</xdr:colOff>
      <xdr:row>34</xdr:row>
      <xdr:rowOff>19804</xdr:rowOff>
    </xdr:from>
    <xdr:ext cx="251672" cy="140872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799EB084-6E06-412B-98FA-4E1E2E81A84E}"/>
            </a:ext>
          </a:extLst>
        </xdr:cNvPr>
        <xdr:cNvSpPr txBox="1"/>
      </xdr:nvSpPr>
      <xdr:spPr>
        <a:xfrm>
          <a:off x="5775621" y="6446911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00FF"/>
              </a:solidFill>
              <a:latin typeface="+mn-lt"/>
            </a:rPr>
            <a:t>vref 3</a:t>
          </a:r>
          <a:endParaRPr lang="ko-KR" altLang="en-US" sz="9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39789</xdr:colOff>
      <xdr:row>34</xdr:row>
      <xdr:rowOff>17035</xdr:rowOff>
    </xdr:from>
    <xdr:ext cx="251672" cy="140872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36FEF496-9A2B-4FB0-9466-BDC80A6C5907}"/>
            </a:ext>
          </a:extLst>
        </xdr:cNvPr>
        <xdr:cNvSpPr txBox="1"/>
      </xdr:nvSpPr>
      <xdr:spPr>
        <a:xfrm>
          <a:off x="7473825" y="6444142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43059</xdr:colOff>
      <xdr:row>34</xdr:row>
      <xdr:rowOff>26919</xdr:rowOff>
    </xdr:from>
    <xdr:ext cx="561052" cy="125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DC0CE606-6224-4D15-8E5C-FB9694B1E36D}"/>
            </a:ext>
          </a:extLst>
        </xdr:cNvPr>
        <xdr:cNvSpPr txBox="1"/>
      </xdr:nvSpPr>
      <xdr:spPr>
        <a:xfrm>
          <a:off x="4810095" y="6454026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43191</xdr:colOff>
      <xdr:row>34</xdr:row>
      <xdr:rowOff>31063</xdr:rowOff>
    </xdr:from>
    <xdr:ext cx="561052" cy="125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48BBB6D8-89CB-47C4-9811-F9472492618F}"/>
            </a:ext>
          </a:extLst>
        </xdr:cNvPr>
        <xdr:cNvSpPr txBox="1"/>
      </xdr:nvSpPr>
      <xdr:spPr>
        <a:xfrm>
          <a:off x="6397727" y="6458170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52282</xdr:colOff>
      <xdr:row>38</xdr:row>
      <xdr:rowOff>26892</xdr:rowOff>
    </xdr:from>
    <xdr:ext cx="658194" cy="140872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F552871-AADE-4F60-AEF8-727D0A12E8AF}"/>
            </a:ext>
          </a:extLst>
        </xdr:cNvPr>
        <xdr:cNvSpPr txBox="1"/>
      </xdr:nvSpPr>
      <xdr:spPr>
        <a:xfrm>
          <a:off x="3168318" y="723867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50587</xdr:colOff>
      <xdr:row>40</xdr:row>
      <xdr:rowOff>33953</xdr:rowOff>
    </xdr:from>
    <xdr:ext cx="658194" cy="140872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3D7D1BCF-7F8B-494A-870D-ADAF9AD064DF}"/>
            </a:ext>
          </a:extLst>
        </xdr:cNvPr>
        <xdr:cNvSpPr txBox="1"/>
      </xdr:nvSpPr>
      <xdr:spPr>
        <a:xfrm>
          <a:off x="4754123" y="7635810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46425</xdr:colOff>
      <xdr:row>38</xdr:row>
      <xdr:rowOff>27362</xdr:rowOff>
    </xdr:from>
    <xdr:ext cx="658194" cy="140872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F244BFFB-E5AE-4C9E-8C04-E43A61504AA0}"/>
            </a:ext>
          </a:extLst>
        </xdr:cNvPr>
        <xdr:cNvSpPr txBox="1"/>
      </xdr:nvSpPr>
      <xdr:spPr>
        <a:xfrm>
          <a:off x="4749961" y="723914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49878</xdr:colOff>
      <xdr:row>36</xdr:row>
      <xdr:rowOff>25062</xdr:rowOff>
    </xdr:from>
    <xdr:ext cx="658194" cy="140872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A880B74A-33F8-455A-A33B-50CC59DE7152}"/>
            </a:ext>
          </a:extLst>
        </xdr:cNvPr>
        <xdr:cNvSpPr txBox="1"/>
      </xdr:nvSpPr>
      <xdr:spPr>
        <a:xfrm>
          <a:off x="3165914" y="6846776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76</xdr:col>
      <xdr:colOff>60861</xdr:colOff>
      <xdr:row>36</xdr:row>
      <xdr:rowOff>34317</xdr:rowOff>
    </xdr:from>
    <xdr:ext cx="658194" cy="140872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4B7944AE-90B8-4063-A255-9EFE4D361D9D}"/>
            </a:ext>
          </a:extLst>
        </xdr:cNvPr>
        <xdr:cNvSpPr txBox="1"/>
      </xdr:nvSpPr>
      <xdr:spPr>
        <a:xfrm>
          <a:off x="6351897" y="6856031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74</xdr:col>
      <xdr:colOff>53710</xdr:colOff>
      <xdr:row>5</xdr:row>
      <xdr:rowOff>54382</xdr:rowOff>
    </xdr:from>
    <xdr:ext cx="77970" cy="93936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C0B85A1-FBBA-40B1-AC6B-69B8C59E8B98}"/>
            </a:ext>
          </a:extLst>
        </xdr:cNvPr>
        <xdr:cNvSpPr txBox="1"/>
      </xdr:nvSpPr>
      <xdr:spPr>
        <a:xfrm>
          <a:off x="615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5</xdr:row>
      <xdr:rowOff>54382</xdr:rowOff>
    </xdr:from>
    <xdr:ext cx="77970" cy="93936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52478F1A-4EAA-449F-A087-21C04BE14FF1}"/>
            </a:ext>
          </a:extLst>
        </xdr:cNvPr>
        <xdr:cNvSpPr txBox="1"/>
      </xdr:nvSpPr>
      <xdr:spPr>
        <a:xfrm>
          <a:off x="552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5</xdr:row>
      <xdr:rowOff>54382</xdr:rowOff>
    </xdr:from>
    <xdr:ext cx="77970" cy="93936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2AD10185-78C2-4DF7-9CD2-25716FFA3642}"/>
            </a:ext>
          </a:extLst>
        </xdr:cNvPr>
        <xdr:cNvSpPr txBox="1"/>
      </xdr:nvSpPr>
      <xdr:spPr>
        <a:xfrm>
          <a:off x="488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5</xdr:row>
      <xdr:rowOff>54382</xdr:rowOff>
    </xdr:from>
    <xdr:ext cx="77970" cy="93936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6589BAC-F300-4CB2-B59D-B5D464158FF1}"/>
            </a:ext>
          </a:extLst>
        </xdr:cNvPr>
        <xdr:cNvSpPr txBox="1"/>
      </xdr:nvSpPr>
      <xdr:spPr>
        <a:xfrm>
          <a:off x="425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5</xdr:row>
      <xdr:rowOff>54382</xdr:rowOff>
    </xdr:from>
    <xdr:ext cx="77970" cy="93936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1C2D0CA1-1F49-4AC1-944D-01DEA94A1631}"/>
            </a:ext>
          </a:extLst>
        </xdr:cNvPr>
        <xdr:cNvSpPr txBox="1"/>
      </xdr:nvSpPr>
      <xdr:spPr>
        <a:xfrm>
          <a:off x="361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5</xdr:row>
      <xdr:rowOff>54382</xdr:rowOff>
    </xdr:from>
    <xdr:ext cx="77970" cy="93936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39A2F155-DDB6-40D2-837D-868FA82965F1}"/>
            </a:ext>
          </a:extLst>
        </xdr:cNvPr>
        <xdr:cNvSpPr txBox="1"/>
      </xdr:nvSpPr>
      <xdr:spPr>
        <a:xfrm>
          <a:off x="298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58516</xdr:colOff>
      <xdr:row>5</xdr:row>
      <xdr:rowOff>85665</xdr:rowOff>
    </xdr:from>
    <xdr:to>
      <xdr:col>20</xdr:col>
      <xdr:colOff>24666</xdr:colOff>
      <xdr:row>6</xdr:row>
      <xdr:rowOff>9851</xdr:rowOff>
    </xdr:to>
    <xdr:grpSp>
      <xdr:nvGrpSpPr>
        <xdr:cNvPr id="350" name="그룹 349">
          <a:extLst>
            <a:ext uri="{FF2B5EF4-FFF2-40B4-BE49-F238E27FC236}">
              <a16:creationId xmlns:a16="http://schemas.microsoft.com/office/drawing/2014/main" id="{767E8ACC-8971-4B5C-B6B3-53F8F072023C}"/>
            </a:ext>
          </a:extLst>
        </xdr:cNvPr>
        <xdr:cNvGrpSpPr/>
      </xdr:nvGrpSpPr>
      <xdr:grpSpPr>
        <a:xfrm>
          <a:off x="2999360" y="1030228"/>
          <a:ext cx="29650" cy="106748"/>
          <a:chOff x="11556979" y="1922463"/>
          <a:chExt cx="188140" cy="204787"/>
        </a:xfrm>
      </xdr:grpSpPr>
      <xdr:sp macro="" textlink="">
        <xdr:nvSpPr>
          <xdr:cNvPr id="351" name="자유형: 도형 350">
            <a:extLst>
              <a:ext uri="{FF2B5EF4-FFF2-40B4-BE49-F238E27FC236}">
                <a16:creationId xmlns:a16="http://schemas.microsoft.com/office/drawing/2014/main" id="{CFAC334C-5F90-29DC-2C05-97FAFFEC687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2" name="자유형: 도형 351">
            <a:extLst>
              <a:ext uri="{FF2B5EF4-FFF2-40B4-BE49-F238E27FC236}">
                <a16:creationId xmlns:a16="http://schemas.microsoft.com/office/drawing/2014/main" id="{16356917-8516-8F52-AA95-74188DC3558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55139</xdr:colOff>
      <xdr:row>2</xdr:row>
      <xdr:rowOff>105120</xdr:rowOff>
    </xdr:from>
    <xdr:to>
      <xdr:col>20</xdr:col>
      <xdr:colOff>21289</xdr:colOff>
      <xdr:row>3</xdr:row>
      <xdr:rowOff>29306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80876E54-6171-4C89-8A5C-5E7F1E0F1854}"/>
            </a:ext>
          </a:extLst>
        </xdr:cNvPr>
        <xdr:cNvGrpSpPr/>
      </xdr:nvGrpSpPr>
      <xdr:grpSpPr>
        <a:xfrm>
          <a:off x="2995983" y="478183"/>
          <a:ext cx="29650" cy="122623"/>
          <a:chOff x="11556979" y="1922463"/>
          <a:chExt cx="188140" cy="204787"/>
        </a:xfrm>
      </xdr:grpSpPr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7F14F907-253A-A66C-14EA-4458286142F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5" name="자유형: 도형 354">
            <a:extLst>
              <a:ext uri="{FF2B5EF4-FFF2-40B4-BE49-F238E27FC236}">
                <a16:creationId xmlns:a16="http://schemas.microsoft.com/office/drawing/2014/main" id="{7DF32242-35D5-F216-D399-2B5A93C49F3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66</xdr:col>
      <xdr:colOff>55329</xdr:colOff>
      <xdr:row>30</xdr:row>
      <xdr:rowOff>141590</xdr:rowOff>
    </xdr:from>
    <xdr:ext cx="353623" cy="125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145B5E7-DD8E-40A0-A03E-569D7EABEC9D}"/>
            </a:ext>
          </a:extLst>
        </xdr:cNvPr>
        <xdr:cNvSpPr txBox="1"/>
      </xdr:nvSpPr>
      <xdr:spPr>
        <a:xfrm>
          <a:off x="5711365" y="58066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00FF"/>
              </a:solidFill>
              <a:latin typeface="+mn-lt"/>
            </a:rPr>
            <a:t>256 step</a:t>
          </a:r>
          <a:endParaRPr lang="ko-KR" altLang="en-US" sz="8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36</xdr:col>
      <xdr:colOff>56710</xdr:colOff>
      <xdr:row>31</xdr:row>
      <xdr:rowOff>16026</xdr:rowOff>
    </xdr:from>
    <xdr:to>
      <xdr:col>52</xdr:col>
      <xdr:colOff>12710</xdr:colOff>
      <xdr:row>31</xdr:row>
      <xdr:rowOff>16026</xdr:rowOff>
    </xdr:to>
    <xdr:cxnSp macro="">
      <xdr:nvCxnSpPr>
        <xdr:cNvPr id="357" name="직선 화살표 연결선 356">
          <a:extLst>
            <a:ext uri="{FF2B5EF4-FFF2-40B4-BE49-F238E27FC236}">
              <a16:creationId xmlns:a16="http://schemas.microsoft.com/office/drawing/2014/main" id="{64FB5827-9F1C-4422-BA96-133444FBCD00}"/>
            </a:ext>
          </a:extLst>
        </xdr:cNvPr>
        <xdr:cNvCxnSpPr/>
      </xdr:nvCxnSpPr>
      <xdr:spPr>
        <a:xfrm>
          <a:off x="3701610" y="5540526"/>
          <a:ext cx="97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56772</xdr:colOff>
      <xdr:row>30</xdr:row>
      <xdr:rowOff>144932</xdr:rowOff>
    </xdr:from>
    <xdr:ext cx="353623" cy="125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96B2F68-741E-45F3-94D8-369690C05943}"/>
            </a:ext>
          </a:extLst>
        </xdr:cNvPr>
        <xdr:cNvSpPr txBox="1"/>
      </xdr:nvSpPr>
      <xdr:spPr>
        <a:xfrm>
          <a:off x="4125308" y="5810039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CC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00CC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00CC00"/>
              </a:solidFill>
              <a:latin typeface="+mn-lt"/>
            </a:rPr>
            <a:t>step</a:t>
          </a:r>
          <a:endParaRPr lang="ko-KR" altLang="en-US" sz="800" i="0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3</xdr:col>
      <xdr:colOff>0</xdr:colOff>
      <xdr:row>31</xdr:row>
      <xdr:rowOff>41426</xdr:rowOff>
    </xdr:from>
    <xdr:to>
      <xdr:col>26</xdr:col>
      <xdr:colOff>63510</xdr:colOff>
      <xdr:row>31</xdr:row>
      <xdr:rowOff>50800</xdr:rowOff>
    </xdr:to>
    <xdr:cxnSp macro="">
      <xdr:nvCxnSpPr>
        <xdr:cNvPr id="359" name="직선 화살표 연결선 358">
          <a:extLst>
            <a:ext uri="{FF2B5EF4-FFF2-40B4-BE49-F238E27FC236}">
              <a16:creationId xmlns:a16="http://schemas.microsoft.com/office/drawing/2014/main" id="{B48DC307-9DCE-47EF-A2EB-DF9A5726DF92}"/>
            </a:ext>
          </a:extLst>
        </xdr:cNvPr>
        <xdr:cNvCxnSpPr/>
      </xdr:nvCxnSpPr>
      <xdr:spPr>
        <a:xfrm flipV="1">
          <a:off x="1549400" y="5565926"/>
          <a:ext cx="1524010" cy="9374"/>
        </a:xfrm>
        <a:prstGeom prst="straightConnector1">
          <a:avLst/>
        </a:prstGeom>
        <a:ln w="3175">
          <a:solidFill>
            <a:srgbClr val="FF0000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20147</xdr:colOff>
      <xdr:row>30</xdr:row>
      <xdr:rowOff>166990</xdr:rowOff>
    </xdr:from>
    <xdr:ext cx="353623" cy="125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D997282-FD05-45F1-BBC9-D53B423D8414}"/>
            </a:ext>
          </a:extLst>
        </xdr:cNvPr>
        <xdr:cNvSpPr txBox="1"/>
      </xdr:nvSpPr>
      <xdr:spPr>
        <a:xfrm>
          <a:off x="2310683" y="58320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FF00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FF0000"/>
              </a:solidFill>
              <a:latin typeface="+mn-lt"/>
            </a:rPr>
            <a:t>step</a:t>
          </a:r>
          <a:endParaRPr lang="ko-KR" altLang="en-US" sz="8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74</xdr:col>
      <xdr:colOff>12727</xdr:colOff>
      <xdr:row>32</xdr:row>
      <xdr:rowOff>31376</xdr:rowOff>
    </xdr:from>
    <xdr:ext cx="104003" cy="125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FAD5E282-2731-41F6-9771-FBCA17770EE1}"/>
            </a:ext>
          </a:extLst>
        </xdr:cNvPr>
        <xdr:cNvSpPr txBox="1"/>
      </xdr:nvSpPr>
      <xdr:spPr>
        <a:xfrm>
          <a:off x="6176763" y="6068412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64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50</xdr:col>
      <xdr:colOff>13592</xdr:colOff>
      <xdr:row>32</xdr:row>
      <xdr:rowOff>36572</xdr:rowOff>
    </xdr:from>
    <xdr:ext cx="104003" cy="125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F6AE1D9-483C-41FD-A8EF-58C6E2417E38}"/>
            </a:ext>
          </a:extLst>
        </xdr:cNvPr>
        <xdr:cNvSpPr txBox="1"/>
      </xdr:nvSpPr>
      <xdr:spPr>
        <a:xfrm>
          <a:off x="4653628" y="6073608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32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12</xdr:col>
      <xdr:colOff>27424</xdr:colOff>
      <xdr:row>32</xdr:row>
      <xdr:rowOff>28779</xdr:rowOff>
    </xdr:from>
    <xdr:ext cx="156005" cy="125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7DA935D-B637-4309-9692-98EDF5D915C4}"/>
            </a:ext>
          </a:extLst>
        </xdr:cNvPr>
        <xdr:cNvSpPr txBox="1"/>
      </xdr:nvSpPr>
      <xdr:spPr>
        <a:xfrm>
          <a:off x="2254460" y="6065815"/>
          <a:ext cx="15600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256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27</xdr:col>
      <xdr:colOff>39985</xdr:colOff>
      <xdr:row>34</xdr:row>
      <xdr:rowOff>19308</xdr:rowOff>
    </xdr:from>
    <xdr:ext cx="561052" cy="125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22235160-1AC7-4227-9C48-D486CE5AAC03}"/>
            </a:ext>
          </a:extLst>
        </xdr:cNvPr>
        <xdr:cNvSpPr txBox="1"/>
      </xdr:nvSpPr>
      <xdr:spPr>
        <a:xfrm>
          <a:off x="3219521" y="6446415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52985</xdr:colOff>
      <xdr:row>38</xdr:row>
      <xdr:rowOff>27967</xdr:rowOff>
    </xdr:from>
    <xdr:ext cx="327590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428B222C-FFD7-4538-AA29-D408867F063B}"/>
            </a:ext>
          </a:extLst>
        </xdr:cNvPr>
        <xdr:cNvSpPr txBox="1"/>
      </xdr:nvSpPr>
      <xdr:spPr>
        <a:xfrm>
          <a:off x="4121521" y="7239753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66</xdr:col>
      <xdr:colOff>59525</xdr:colOff>
      <xdr:row>40</xdr:row>
      <xdr:rowOff>36655</xdr:rowOff>
    </xdr:from>
    <xdr:ext cx="327590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F6E13B3F-3976-45C5-9518-AE524C545E9C}"/>
            </a:ext>
          </a:extLst>
        </xdr:cNvPr>
        <xdr:cNvSpPr txBox="1"/>
      </xdr:nvSpPr>
      <xdr:spPr>
        <a:xfrm>
          <a:off x="5715561" y="7638512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12</xdr:col>
      <xdr:colOff>35748</xdr:colOff>
      <xdr:row>36</xdr:row>
      <xdr:rowOff>10970</xdr:rowOff>
    </xdr:from>
    <xdr:ext cx="327590" cy="140872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C23DEE84-5433-424F-A39D-A72682301F36}"/>
            </a:ext>
          </a:extLst>
        </xdr:cNvPr>
        <xdr:cNvSpPr txBox="1"/>
      </xdr:nvSpPr>
      <xdr:spPr>
        <a:xfrm>
          <a:off x="2262784" y="6832684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94</xdr:col>
      <xdr:colOff>11493</xdr:colOff>
      <xdr:row>36</xdr:row>
      <xdr:rowOff>17032</xdr:rowOff>
    </xdr:from>
    <xdr:ext cx="327590" cy="140872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E6DB173E-1D58-4BA1-A588-8E4E70FFADF5}"/>
            </a:ext>
          </a:extLst>
        </xdr:cNvPr>
        <xdr:cNvSpPr txBox="1"/>
      </xdr:nvSpPr>
      <xdr:spPr>
        <a:xfrm>
          <a:off x="7445529" y="6838746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82</xdr:colOff>
      <xdr:row>40</xdr:row>
      <xdr:rowOff>27967</xdr:rowOff>
    </xdr:from>
    <xdr:ext cx="658194" cy="140872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F8B2DD07-2C4C-424B-A22A-B3E65ECE8219}"/>
            </a:ext>
          </a:extLst>
        </xdr:cNvPr>
        <xdr:cNvSpPr txBox="1"/>
      </xdr:nvSpPr>
      <xdr:spPr>
        <a:xfrm>
          <a:off x="6354618" y="7629824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790599</xdr:colOff>
      <xdr:row>5</xdr:row>
      <xdr:rowOff>156961</xdr:rowOff>
    </xdr:from>
    <xdr:ext cx="413768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ED4AFAB7-6390-4745-B165-1A97167F77B9}"/>
            </a:ext>
          </a:extLst>
        </xdr:cNvPr>
        <xdr:cNvSpPr txBox="1"/>
      </xdr:nvSpPr>
      <xdr:spPr>
        <a:xfrm>
          <a:off x="1443742" y="1103413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20207</xdr:colOff>
      <xdr:row>6</xdr:row>
      <xdr:rowOff>74838</xdr:rowOff>
    </xdr:from>
    <xdr:to>
      <xdr:col>30</xdr:col>
      <xdr:colOff>27222</xdr:colOff>
      <xdr:row>7</xdr:row>
      <xdr:rowOff>116712</xdr:rowOff>
    </xdr:to>
    <xdr:grpSp>
      <xdr:nvGrpSpPr>
        <xdr:cNvPr id="376" name="그룹 375">
          <a:extLst>
            <a:ext uri="{FF2B5EF4-FFF2-40B4-BE49-F238E27FC236}">
              <a16:creationId xmlns:a16="http://schemas.microsoft.com/office/drawing/2014/main" id="{54E402D6-21F5-84DD-2B85-1268181A2670}"/>
            </a:ext>
          </a:extLst>
        </xdr:cNvPr>
        <xdr:cNvGrpSpPr/>
      </xdr:nvGrpSpPr>
      <xdr:grpSpPr>
        <a:xfrm>
          <a:off x="2770551" y="1201963"/>
          <a:ext cx="896015" cy="224437"/>
          <a:chOff x="6934889" y="14017701"/>
          <a:chExt cx="896015" cy="225689"/>
        </a:xfrm>
      </xdr:grpSpPr>
      <xdr:sp macro="" textlink="">
        <xdr:nvSpPr>
          <xdr:cNvPr id="374" name="TextBox 373">
            <a:extLst>
              <a:ext uri="{FF2B5EF4-FFF2-40B4-BE49-F238E27FC236}">
                <a16:creationId xmlns:a16="http://schemas.microsoft.com/office/drawing/2014/main" id="{0EB62BF3-E9C9-4AA3-BE0B-DFE921EB999D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86B026FE-24BA-4503-BDB1-D4F016F37E2C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85</xdr:col>
      <xdr:colOff>1</xdr:colOff>
      <xdr:row>3</xdr:row>
      <xdr:rowOff>45357</xdr:rowOff>
    </xdr:from>
    <xdr:to>
      <xdr:col>85</xdr:col>
      <xdr:colOff>1</xdr:colOff>
      <xdr:row>7</xdr:row>
      <xdr:rowOff>140322</xdr:rowOff>
    </xdr:to>
    <xdr:cxnSp macro="">
      <xdr:nvCxnSpPr>
        <xdr:cNvPr id="377" name="직선 연결선 376">
          <a:extLst>
            <a:ext uri="{FF2B5EF4-FFF2-40B4-BE49-F238E27FC236}">
              <a16:creationId xmlns:a16="http://schemas.microsoft.com/office/drawing/2014/main" id="{7534A3EB-1871-48BC-95A8-4571A1A0CD9F}"/>
            </a:ext>
          </a:extLst>
        </xdr:cNvPr>
        <xdr:cNvCxnSpPr/>
      </xdr:nvCxnSpPr>
      <xdr:spPr>
        <a:xfrm>
          <a:off x="7060596" y="616857"/>
          <a:ext cx="0" cy="8388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</xdr:row>
      <xdr:rowOff>47684</xdr:rowOff>
    </xdr:from>
    <xdr:to>
      <xdr:col>75</xdr:col>
      <xdr:colOff>668</xdr:colOff>
      <xdr:row>7</xdr:row>
      <xdr:rowOff>142327</xdr:rowOff>
    </xdr:to>
    <xdr:cxnSp macro="">
      <xdr:nvCxnSpPr>
        <xdr:cNvPr id="378" name="직선 연결선 377">
          <a:extLst>
            <a:ext uri="{FF2B5EF4-FFF2-40B4-BE49-F238E27FC236}">
              <a16:creationId xmlns:a16="http://schemas.microsoft.com/office/drawing/2014/main" id="{B903DE8E-719A-49DF-A2A7-227CA4DB4C5F}"/>
            </a:ext>
          </a:extLst>
        </xdr:cNvPr>
        <xdr:cNvCxnSpPr/>
      </xdr:nvCxnSpPr>
      <xdr:spPr>
        <a:xfrm flipH="1">
          <a:off x="6426261" y="80968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62479</xdr:colOff>
      <xdr:row>4</xdr:row>
      <xdr:rowOff>52363</xdr:rowOff>
    </xdr:from>
    <xdr:to>
      <xdr:col>64</xdr:col>
      <xdr:colOff>62481</xdr:colOff>
      <xdr:row>7</xdr:row>
      <xdr:rowOff>147006</xdr:rowOff>
    </xdr:to>
    <xdr:cxnSp macro="">
      <xdr:nvCxnSpPr>
        <xdr:cNvPr id="379" name="직선 연결선 378">
          <a:extLst>
            <a:ext uri="{FF2B5EF4-FFF2-40B4-BE49-F238E27FC236}">
              <a16:creationId xmlns:a16="http://schemas.microsoft.com/office/drawing/2014/main" id="{A428790B-33A0-49C8-9DCA-C5A9B06E7E25}"/>
            </a:ext>
          </a:extLst>
        </xdr:cNvPr>
        <xdr:cNvCxnSpPr/>
      </xdr:nvCxnSpPr>
      <xdr:spPr>
        <a:xfrm flipH="1">
          <a:off x="5789574" y="814363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348</xdr:colOff>
      <xdr:row>4</xdr:row>
      <xdr:rowOff>44341</xdr:rowOff>
    </xdr:from>
    <xdr:to>
      <xdr:col>55</xdr:col>
      <xdr:colOff>350</xdr:colOff>
      <xdr:row>7</xdr:row>
      <xdr:rowOff>138984</xdr:rowOff>
    </xdr:to>
    <xdr:cxnSp macro="">
      <xdr:nvCxnSpPr>
        <xdr:cNvPr id="380" name="직선 연결선 379">
          <a:extLst>
            <a:ext uri="{FF2B5EF4-FFF2-40B4-BE49-F238E27FC236}">
              <a16:creationId xmlns:a16="http://schemas.microsoft.com/office/drawing/2014/main" id="{D9C9D246-BF99-4248-8D99-288ED569F466}"/>
            </a:ext>
          </a:extLst>
        </xdr:cNvPr>
        <xdr:cNvCxnSpPr/>
      </xdr:nvCxnSpPr>
      <xdr:spPr>
        <a:xfrm flipH="1">
          <a:off x="5155943" y="806341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62193</xdr:colOff>
      <xdr:row>4</xdr:row>
      <xdr:rowOff>43004</xdr:rowOff>
    </xdr:from>
    <xdr:to>
      <xdr:col>44</xdr:col>
      <xdr:colOff>62195</xdr:colOff>
      <xdr:row>7</xdr:row>
      <xdr:rowOff>137647</xdr:rowOff>
    </xdr:to>
    <xdr:cxnSp macro="">
      <xdr:nvCxnSpPr>
        <xdr:cNvPr id="381" name="직선 연결선 380">
          <a:extLst>
            <a:ext uri="{FF2B5EF4-FFF2-40B4-BE49-F238E27FC236}">
              <a16:creationId xmlns:a16="http://schemas.microsoft.com/office/drawing/2014/main" id="{2EC95531-78FC-4861-830B-8024B93DBA0B}"/>
            </a:ext>
          </a:extLst>
        </xdr:cNvPr>
        <xdr:cNvCxnSpPr/>
      </xdr:nvCxnSpPr>
      <xdr:spPr>
        <a:xfrm flipH="1">
          <a:off x="4519288" y="80500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</xdr:row>
      <xdr:rowOff>41667</xdr:rowOff>
    </xdr:from>
    <xdr:to>
      <xdr:col>35</xdr:col>
      <xdr:colOff>1336</xdr:colOff>
      <xdr:row>7</xdr:row>
      <xdr:rowOff>136310</xdr:rowOff>
    </xdr:to>
    <xdr:cxnSp macro="">
      <xdr:nvCxnSpPr>
        <xdr:cNvPr id="382" name="직선 연결선 381">
          <a:extLst>
            <a:ext uri="{FF2B5EF4-FFF2-40B4-BE49-F238E27FC236}">
              <a16:creationId xmlns:a16="http://schemas.microsoft.com/office/drawing/2014/main" id="{42C22818-6B5D-47C8-B257-4F32AD355F07}"/>
            </a:ext>
          </a:extLst>
        </xdr:cNvPr>
        <xdr:cNvCxnSpPr/>
      </xdr:nvCxnSpPr>
      <xdr:spPr>
        <a:xfrm flipH="1">
          <a:off x="3886929" y="803667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15610</xdr:colOff>
      <xdr:row>29</xdr:row>
      <xdr:rowOff>45222</xdr:rowOff>
    </xdr:from>
    <xdr:ext cx="91051" cy="109582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84ECBE47-C322-4A04-A8AD-3EA02E1D6334}"/>
            </a:ext>
          </a:extLst>
        </xdr:cNvPr>
        <xdr:cNvSpPr txBox="1"/>
      </xdr:nvSpPr>
      <xdr:spPr>
        <a:xfrm>
          <a:off x="6308794" y="16618722"/>
          <a:ext cx="91051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tx1"/>
              </a:solidFill>
              <a:latin typeface="+mn-lt"/>
            </a:rPr>
            <a:t>14</a:t>
          </a:r>
          <a:endParaRPr lang="ko-KR" altLang="en-US" sz="7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6945</xdr:colOff>
      <xdr:row>105</xdr:row>
      <xdr:rowOff>56056</xdr:rowOff>
    </xdr:from>
    <xdr:to>
      <xdr:col>14</xdr:col>
      <xdr:colOff>4945</xdr:colOff>
      <xdr:row>105</xdr:row>
      <xdr:rowOff>56056</xdr:rowOff>
    </xdr:to>
    <xdr:cxnSp macro="">
      <xdr:nvCxnSpPr>
        <xdr:cNvPr id="390" name="직선 화살표 연결선 389">
          <a:extLst>
            <a:ext uri="{FF2B5EF4-FFF2-40B4-BE49-F238E27FC236}">
              <a16:creationId xmlns:a16="http://schemas.microsoft.com/office/drawing/2014/main" id="{7FEB862D-93C9-416F-A90D-375C6A0B00FD}"/>
            </a:ext>
          </a:extLst>
        </xdr:cNvPr>
        <xdr:cNvCxnSpPr/>
      </xdr:nvCxnSpPr>
      <xdr:spPr>
        <a:xfrm>
          <a:off x="2306083" y="19736677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26806</xdr:colOff>
      <xdr:row>33</xdr:row>
      <xdr:rowOff>39328</xdr:rowOff>
    </xdr:from>
    <xdr:ext cx="223523" cy="125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850FEB4B-709D-48B8-A132-772B7784621E}"/>
            </a:ext>
          </a:extLst>
        </xdr:cNvPr>
        <xdr:cNvSpPr txBox="1"/>
      </xdr:nvSpPr>
      <xdr:spPr>
        <a:xfrm>
          <a:off x="3336744" y="6190891"/>
          <a:ext cx="22352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b="1" i="0">
              <a:solidFill>
                <a:srgbClr val="FF0000"/>
              </a:solidFill>
              <a:latin typeface="+mn-lt"/>
            </a:rPr>
            <a:t>&lt; 5us</a:t>
          </a:r>
          <a:endParaRPr lang="ko-KR" altLang="en-US" sz="800" b="1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834307</xdr:colOff>
      <xdr:row>377</xdr:row>
      <xdr:rowOff>146421</xdr:rowOff>
    </xdr:from>
    <xdr:ext cx="368819" cy="140872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1D6B40C1-8AD4-4FAE-B34C-4404DC6F795E}"/>
            </a:ext>
          </a:extLst>
        </xdr:cNvPr>
        <xdr:cNvSpPr txBox="1"/>
      </xdr:nvSpPr>
      <xdr:spPr>
        <a:xfrm>
          <a:off x="1487983" y="61580803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731024</xdr:colOff>
      <xdr:row>375</xdr:row>
      <xdr:rowOff>142596</xdr:rowOff>
    </xdr:from>
    <xdr:ext cx="480068" cy="140872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B7F5F99-9FB6-4750-91FA-29B9BF5471F9}"/>
            </a:ext>
          </a:extLst>
        </xdr:cNvPr>
        <xdr:cNvSpPr txBox="1"/>
      </xdr:nvSpPr>
      <xdr:spPr>
        <a:xfrm>
          <a:off x="1384700" y="612109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vsnyc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865345</xdr:colOff>
      <xdr:row>373</xdr:row>
      <xdr:rowOff>154988</xdr:rowOff>
    </xdr:from>
    <xdr:ext cx="338811" cy="140872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BC3F10B-4408-4A4D-BB01-48DC849EEFF6}"/>
            </a:ext>
          </a:extLst>
        </xdr:cNvPr>
        <xdr:cNvSpPr txBox="1"/>
      </xdr:nvSpPr>
      <xdr:spPr>
        <a:xfrm>
          <a:off x="1519021" y="60857253"/>
          <a:ext cx="3388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Dx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</xdr:col>
      <xdr:colOff>56524</xdr:colOff>
      <xdr:row>368</xdr:row>
      <xdr:rowOff>66545</xdr:rowOff>
    </xdr:from>
    <xdr:ext cx="1007639" cy="125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52894BC7-404A-4AAE-A444-B2D6A9A7873C}"/>
            </a:ext>
          </a:extLst>
        </xdr:cNvPr>
        <xdr:cNvSpPr txBox="1"/>
      </xdr:nvSpPr>
      <xdr:spPr>
        <a:xfrm>
          <a:off x="2171868" y="60066108"/>
          <a:ext cx="1007639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sv_on, sv_delay</a:t>
          </a:r>
          <a:r>
            <a:rPr lang="en-US" altLang="ko-KR" sz="800" i="1">
              <a:solidFill>
                <a:srgbClr val="0000FF"/>
              </a:solidFill>
              <a:latin typeface="+mn-lt"/>
            </a:rPr>
            <a:t>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3820</xdr:colOff>
      <xdr:row>369</xdr:row>
      <xdr:rowOff>51819</xdr:rowOff>
    </xdr:from>
    <xdr:ext cx="835412" cy="125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BB8456D3-A123-7C89-B130-C87A78A33010}"/>
            </a:ext>
          </a:extLst>
        </xdr:cNvPr>
        <xdr:cNvSpPr txBox="1"/>
      </xdr:nvSpPr>
      <xdr:spPr>
        <a:xfrm>
          <a:off x="2301915" y="61032986"/>
          <a:ext cx="835412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 sv1/2/3_off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28398</xdr:colOff>
      <xdr:row>367</xdr:row>
      <xdr:rowOff>44827</xdr:rowOff>
    </xdr:from>
    <xdr:ext cx="125227" cy="666016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1EFFCA31-FF55-9961-FE1A-8F5002340804}"/>
            </a:ext>
          </a:extLst>
        </xdr:cNvPr>
        <xdr:cNvSpPr txBox="1"/>
      </xdr:nvSpPr>
      <xdr:spPr>
        <a:xfrm rot="16200000">
          <a:off x="5099942" y="3340665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37</xdr:col>
      <xdr:colOff>24784</xdr:colOff>
      <xdr:row>368</xdr:row>
      <xdr:rowOff>162612</xdr:rowOff>
    </xdr:from>
    <xdr:ext cx="125227" cy="336439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7BA755EB-2B0E-E910-0E0C-06C4BA106BD5}"/>
            </a:ext>
          </a:extLst>
        </xdr:cNvPr>
        <xdr:cNvSpPr txBox="1"/>
      </xdr:nvSpPr>
      <xdr:spPr>
        <a:xfrm rot="16200000">
          <a:off x="3737116" y="33542218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15</xdr:col>
      <xdr:colOff>15214</xdr:colOff>
      <xdr:row>371</xdr:row>
      <xdr:rowOff>60887</xdr:rowOff>
    </xdr:from>
    <xdr:ext cx="507639" cy="109582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EF6D4C78-84D7-4EE0-A42B-40E13B08D21E}"/>
            </a:ext>
          </a:extLst>
        </xdr:cNvPr>
        <xdr:cNvSpPr txBox="1"/>
      </xdr:nvSpPr>
      <xdr:spPr>
        <a:xfrm>
          <a:off x="2436152" y="33882575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63499</xdr:colOff>
      <xdr:row>371</xdr:row>
      <xdr:rowOff>46180</xdr:rowOff>
    </xdr:from>
    <xdr:to>
      <xdr:col>76</xdr:col>
      <xdr:colOff>63499</xdr:colOff>
      <xdr:row>384</xdr:row>
      <xdr:rowOff>128725</xdr:rowOff>
    </xdr:to>
    <xdr:cxnSp macro="">
      <xdr:nvCxnSpPr>
        <xdr:cNvPr id="522" name="직선 연결선 521">
          <a:extLst>
            <a:ext uri="{FF2B5EF4-FFF2-40B4-BE49-F238E27FC236}">
              <a16:creationId xmlns:a16="http://schemas.microsoft.com/office/drawing/2014/main" id="{5FBCD5AD-1CB2-4249-8879-2C1F1514D034}"/>
            </a:ext>
          </a:extLst>
        </xdr:cNvPr>
        <xdr:cNvCxnSpPr/>
      </xdr:nvCxnSpPr>
      <xdr:spPr>
        <a:xfrm>
          <a:off x="6295158" y="10566975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62694</xdr:colOff>
      <xdr:row>376</xdr:row>
      <xdr:rowOff>122726</xdr:rowOff>
    </xdr:from>
    <xdr:to>
      <xdr:col>13</xdr:col>
      <xdr:colOff>62694</xdr:colOff>
      <xdr:row>384</xdr:row>
      <xdr:rowOff>120908</xdr:rowOff>
    </xdr:to>
    <xdr:cxnSp macro="">
      <xdr:nvCxnSpPr>
        <xdr:cNvPr id="523" name="직선 연결선 522">
          <a:extLst>
            <a:ext uri="{FF2B5EF4-FFF2-40B4-BE49-F238E27FC236}">
              <a16:creationId xmlns:a16="http://schemas.microsoft.com/office/drawing/2014/main" id="{0F9B78F2-4AD6-4F2D-938F-AB02E619FDFD}"/>
            </a:ext>
          </a:extLst>
        </xdr:cNvPr>
        <xdr:cNvCxnSpPr/>
      </xdr:nvCxnSpPr>
      <xdr:spPr>
        <a:xfrm flipH="1">
          <a:off x="2293853" y="1156715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62117</xdr:colOff>
      <xdr:row>376</xdr:row>
      <xdr:rowOff>133695</xdr:rowOff>
    </xdr:from>
    <xdr:to>
      <xdr:col>22</xdr:col>
      <xdr:colOff>62117</xdr:colOff>
      <xdr:row>384</xdr:row>
      <xdr:rowOff>131877</xdr:rowOff>
    </xdr:to>
    <xdr:cxnSp macro="">
      <xdr:nvCxnSpPr>
        <xdr:cNvPr id="524" name="직선 연결선 523">
          <a:extLst>
            <a:ext uri="{FF2B5EF4-FFF2-40B4-BE49-F238E27FC236}">
              <a16:creationId xmlns:a16="http://schemas.microsoft.com/office/drawing/2014/main" id="{EDF726EB-B5EF-4A87-A0CF-A867123EC055}"/>
            </a:ext>
          </a:extLst>
        </xdr:cNvPr>
        <xdr:cNvCxnSpPr/>
      </xdr:nvCxnSpPr>
      <xdr:spPr>
        <a:xfrm flipH="1">
          <a:off x="2864776" y="11578127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926</xdr:colOff>
      <xdr:row>376</xdr:row>
      <xdr:rowOff>130230</xdr:rowOff>
    </xdr:from>
    <xdr:to>
      <xdr:col>32</xdr:col>
      <xdr:colOff>926</xdr:colOff>
      <xdr:row>384</xdr:row>
      <xdr:rowOff>128412</xdr:rowOff>
    </xdr:to>
    <xdr:cxnSp macro="">
      <xdr:nvCxnSpPr>
        <xdr:cNvPr id="525" name="직선 연결선 524">
          <a:extLst>
            <a:ext uri="{FF2B5EF4-FFF2-40B4-BE49-F238E27FC236}">
              <a16:creationId xmlns:a16="http://schemas.microsoft.com/office/drawing/2014/main" id="{E1105EC1-575E-4EE0-AE48-711C21B3EA4B}"/>
            </a:ext>
          </a:extLst>
        </xdr:cNvPr>
        <xdr:cNvCxnSpPr/>
      </xdr:nvCxnSpPr>
      <xdr:spPr>
        <a:xfrm flipH="1">
          <a:off x="3438585" y="1157466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350</xdr:colOff>
      <xdr:row>376</xdr:row>
      <xdr:rowOff>126767</xdr:rowOff>
    </xdr:from>
    <xdr:to>
      <xdr:col>41</xdr:col>
      <xdr:colOff>350</xdr:colOff>
      <xdr:row>384</xdr:row>
      <xdr:rowOff>124949</xdr:rowOff>
    </xdr:to>
    <xdr:cxnSp macro="">
      <xdr:nvCxnSpPr>
        <xdr:cNvPr id="526" name="직선 연결선 525">
          <a:extLst>
            <a:ext uri="{FF2B5EF4-FFF2-40B4-BE49-F238E27FC236}">
              <a16:creationId xmlns:a16="http://schemas.microsoft.com/office/drawing/2014/main" id="{A5E1A2F1-A91B-4C87-B6AB-5287C221D7F4}"/>
            </a:ext>
          </a:extLst>
        </xdr:cNvPr>
        <xdr:cNvCxnSpPr/>
      </xdr:nvCxnSpPr>
      <xdr:spPr>
        <a:xfrm flipH="1">
          <a:off x="4009509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63271</xdr:colOff>
      <xdr:row>376</xdr:row>
      <xdr:rowOff>129076</xdr:rowOff>
    </xdr:from>
    <xdr:to>
      <xdr:col>67</xdr:col>
      <xdr:colOff>63271</xdr:colOff>
      <xdr:row>384</xdr:row>
      <xdr:rowOff>127258</xdr:rowOff>
    </xdr:to>
    <xdr:cxnSp macro="">
      <xdr:nvCxnSpPr>
        <xdr:cNvPr id="527" name="직선 연결선 526">
          <a:extLst>
            <a:ext uri="{FF2B5EF4-FFF2-40B4-BE49-F238E27FC236}">
              <a16:creationId xmlns:a16="http://schemas.microsoft.com/office/drawing/2014/main" id="{681A1E3C-9F1F-475F-8672-0FBB9A5B37F0}"/>
            </a:ext>
          </a:extLst>
        </xdr:cNvPr>
        <xdr:cNvCxnSpPr/>
      </xdr:nvCxnSpPr>
      <xdr:spPr>
        <a:xfrm flipH="1">
          <a:off x="5723430" y="1157350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62693</xdr:colOff>
      <xdr:row>376</xdr:row>
      <xdr:rowOff>119839</xdr:rowOff>
    </xdr:from>
    <xdr:to>
      <xdr:col>49</xdr:col>
      <xdr:colOff>62693</xdr:colOff>
      <xdr:row>384</xdr:row>
      <xdr:rowOff>118021</xdr:rowOff>
    </xdr:to>
    <xdr:cxnSp macro="">
      <xdr:nvCxnSpPr>
        <xdr:cNvPr id="528" name="직선 연결선 527">
          <a:extLst>
            <a:ext uri="{FF2B5EF4-FFF2-40B4-BE49-F238E27FC236}">
              <a16:creationId xmlns:a16="http://schemas.microsoft.com/office/drawing/2014/main" id="{9A00F52A-B800-4CB5-8FA9-7618F43A68ED}"/>
            </a:ext>
          </a:extLst>
        </xdr:cNvPr>
        <xdr:cNvCxnSpPr/>
      </xdr:nvCxnSpPr>
      <xdr:spPr>
        <a:xfrm flipH="1">
          <a:off x="4579852" y="11564271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62116</xdr:colOff>
      <xdr:row>376</xdr:row>
      <xdr:rowOff>136581</xdr:rowOff>
    </xdr:from>
    <xdr:to>
      <xdr:col>58</xdr:col>
      <xdr:colOff>62116</xdr:colOff>
      <xdr:row>384</xdr:row>
      <xdr:rowOff>134763</xdr:rowOff>
    </xdr:to>
    <xdr:cxnSp macro="">
      <xdr:nvCxnSpPr>
        <xdr:cNvPr id="529" name="직선 연결선 528">
          <a:extLst>
            <a:ext uri="{FF2B5EF4-FFF2-40B4-BE49-F238E27FC236}">
              <a16:creationId xmlns:a16="http://schemas.microsoft.com/office/drawing/2014/main" id="{691D13DF-55CF-4651-B7F8-E3040F9C42F1}"/>
            </a:ext>
          </a:extLst>
        </xdr:cNvPr>
        <xdr:cNvCxnSpPr/>
      </xdr:nvCxnSpPr>
      <xdr:spPr>
        <a:xfrm flipH="1">
          <a:off x="5150775" y="11581013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62694</xdr:colOff>
      <xdr:row>376</xdr:row>
      <xdr:rowOff>128500</xdr:rowOff>
    </xdr:from>
    <xdr:to>
      <xdr:col>82</xdr:col>
      <xdr:colOff>62694</xdr:colOff>
      <xdr:row>384</xdr:row>
      <xdr:rowOff>126682</xdr:rowOff>
    </xdr:to>
    <xdr:cxnSp macro="">
      <xdr:nvCxnSpPr>
        <xdr:cNvPr id="530" name="직선 연결선 529">
          <a:extLst>
            <a:ext uri="{FF2B5EF4-FFF2-40B4-BE49-F238E27FC236}">
              <a16:creationId xmlns:a16="http://schemas.microsoft.com/office/drawing/2014/main" id="{1823BF27-AD9B-4F32-9331-A676D3B54B8D}"/>
            </a:ext>
          </a:extLst>
        </xdr:cNvPr>
        <xdr:cNvCxnSpPr/>
      </xdr:nvCxnSpPr>
      <xdr:spPr>
        <a:xfrm flipH="1">
          <a:off x="6675353" y="1157293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62118</xdr:colOff>
      <xdr:row>376</xdr:row>
      <xdr:rowOff>127922</xdr:rowOff>
    </xdr:from>
    <xdr:to>
      <xdr:col>88</xdr:col>
      <xdr:colOff>62118</xdr:colOff>
      <xdr:row>384</xdr:row>
      <xdr:rowOff>126104</xdr:rowOff>
    </xdr:to>
    <xdr:cxnSp macro="">
      <xdr:nvCxnSpPr>
        <xdr:cNvPr id="531" name="직선 연결선 530">
          <a:extLst>
            <a:ext uri="{FF2B5EF4-FFF2-40B4-BE49-F238E27FC236}">
              <a16:creationId xmlns:a16="http://schemas.microsoft.com/office/drawing/2014/main" id="{D8C5D16B-D1AF-43DB-82A7-D76E6C38B9E3}"/>
            </a:ext>
          </a:extLst>
        </xdr:cNvPr>
        <xdr:cNvCxnSpPr/>
      </xdr:nvCxnSpPr>
      <xdr:spPr>
        <a:xfrm flipH="1">
          <a:off x="7055777" y="1157235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927</xdr:colOff>
      <xdr:row>376</xdr:row>
      <xdr:rowOff>118687</xdr:rowOff>
    </xdr:from>
    <xdr:to>
      <xdr:col>95</xdr:col>
      <xdr:colOff>927</xdr:colOff>
      <xdr:row>384</xdr:row>
      <xdr:rowOff>116869</xdr:rowOff>
    </xdr:to>
    <xdr:cxnSp macro="">
      <xdr:nvCxnSpPr>
        <xdr:cNvPr id="532" name="직선 연결선 531">
          <a:extLst>
            <a:ext uri="{FF2B5EF4-FFF2-40B4-BE49-F238E27FC236}">
              <a16:creationId xmlns:a16="http://schemas.microsoft.com/office/drawing/2014/main" id="{67B74808-A36E-4C13-A6A8-13760D20D1C1}"/>
            </a:ext>
          </a:extLst>
        </xdr:cNvPr>
        <xdr:cNvCxnSpPr/>
      </xdr:nvCxnSpPr>
      <xdr:spPr>
        <a:xfrm flipH="1">
          <a:off x="7439086" y="1156311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348</xdr:colOff>
      <xdr:row>376</xdr:row>
      <xdr:rowOff>126767</xdr:rowOff>
    </xdr:from>
    <xdr:to>
      <xdr:col>107</xdr:col>
      <xdr:colOff>348</xdr:colOff>
      <xdr:row>384</xdr:row>
      <xdr:rowOff>124949</xdr:rowOff>
    </xdr:to>
    <xdr:cxnSp macro="">
      <xdr:nvCxnSpPr>
        <xdr:cNvPr id="533" name="직선 연결선 532">
          <a:extLst>
            <a:ext uri="{FF2B5EF4-FFF2-40B4-BE49-F238E27FC236}">
              <a16:creationId xmlns:a16="http://schemas.microsoft.com/office/drawing/2014/main" id="{5CE7D61E-7813-412D-9820-2F965BA8DF62}"/>
            </a:ext>
          </a:extLst>
        </xdr:cNvPr>
        <xdr:cNvCxnSpPr/>
      </xdr:nvCxnSpPr>
      <xdr:spPr>
        <a:xfrm flipH="1">
          <a:off x="8200507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63272</xdr:colOff>
      <xdr:row>376</xdr:row>
      <xdr:rowOff>126192</xdr:rowOff>
    </xdr:from>
    <xdr:to>
      <xdr:col>100</xdr:col>
      <xdr:colOff>63272</xdr:colOff>
      <xdr:row>384</xdr:row>
      <xdr:rowOff>124374</xdr:rowOff>
    </xdr:to>
    <xdr:cxnSp macro="">
      <xdr:nvCxnSpPr>
        <xdr:cNvPr id="534" name="직선 연결선 533">
          <a:extLst>
            <a:ext uri="{FF2B5EF4-FFF2-40B4-BE49-F238E27FC236}">
              <a16:creationId xmlns:a16="http://schemas.microsoft.com/office/drawing/2014/main" id="{456496C7-24D4-4C27-9E30-5A4C69426ECC}"/>
            </a:ext>
          </a:extLst>
        </xdr:cNvPr>
        <xdr:cNvCxnSpPr/>
      </xdr:nvCxnSpPr>
      <xdr:spPr>
        <a:xfrm flipH="1">
          <a:off x="7818931" y="1157062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62694</xdr:colOff>
      <xdr:row>376</xdr:row>
      <xdr:rowOff>122727</xdr:rowOff>
    </xdr:from>
    <xdr:to>
      <xdr:col>118</xdr:col>
      <xdr:colOff>62694</xdr:colOff>
      <xdr:row>384</xdr:row>
      <xdr:rowOff>120909</xdr:rowOff>
    </xdr:to>
    <xdr:cxnSp macro="">
      <xdr:nvCxnSpPr>
        <xdr:cNvPr id="535" name="직선 연결선 534">
          <a:extLst>
            <a:ext uri="{FF2B5EF4-FFF2-40B4-BE49-F238E27FC236}">
              <a16:creationId xmlns:a16="http://schemas.microsoft.com/office/drawing/2014/main" id="{D64F1ECA-79AB-4399-BA7A-527180B5B404}"/>
            </a:ext>
          </a:extLst>
        </xdr:cNvPr>
        <xdr:cNvCxnSpPr/>
      </xdr:nvCxnSpPr>
      <xdr:spPr>
        <a:xfrm flipH="1">
          <a:off x="8961353" y="1156715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62118</xdr:colOff>
      <xdr:row>376</xdr:row>
      <xdr:rowOff>119260</xdr:rowOff>
    </xdr:from>
    <xdr:to>
      <xdr:col>112</xdr:col>
      <xdr:colOff>62118</xdr:colOff>
      <xdr:row>384</xdr:row>
      <xdr:rowOff>117442</xdr:rowOff>
    </xdr:to>
    <xdr:cxnSp macro="">
      <xdr:nvCxnSpPr>
        <xdr:cNvPr id="536" name="직선 연결선 535">
          <a:extLst>
            <a:ext uri="{FF2B5EF4-FFF2-40B4-BE49-F238E27FC236}">
              <a16:creationId xmlns:a16="http://schemas.microsoft.com/office/drawing/2014/main" id="{50BCD41C-7478-45A7-A176-A7E1E257DD87}"/>
            </a:ext>
          </a:extLst>
        </xdr:cNvPr>
        <xdr:cNvCxnSpPr/>
      </xdr:nvCxnSpPr>
      <xdr:spPr>
        <a:xfrm flipH="1">
          <a:off x="8579777" y="1156369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30873</xdr:colOff>
      <xdr:row>373</xdr:row>
      <xdr:rowOff>43353</xdr:rowOff>
    </xdr:from>
    <xdr:ext cx="507639" cy="109582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13C74932-6C37-416A-8476-20D5CF87C712}"/>
            </a:ext>
          </a:extLst>
        </xdr:cNvPr>
        <xdr:cNvSpPr txBox="1"/>
      </xdr:nvSpPr>
      <xdr:spPr>
        <a:xfrm>
          <a:off x="2451811" y="34230166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29980</xdr:colOff>
      <xdr:row>368</xdr:row>
      <xdr:rowOff>163838</xdr:rowOff>
    </xdr:from>
    <xdr:ext cx="125227" cy="336439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6CFCDCE9-1B82-48A7-8172-010C307DF275}"/>
            </a:ext>
          </a:extLst>
        </xdr:cNvPr>
        <xdr:cNvSpPr txBox="1"/>
      </xdr:nvSpPr>
      <xdr:spPr>
        <a:xfrm rot="16200000">
          <a:off x="4123312" y="33543444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49</xdr:col>
      <xdr:colOff>29396</xdr:colOff>
      <xdr:row>368</xdr:row>
      <xdr:rowOff>164343</xdr:rowOff>
    </xdr:from>
    <xdr:ext cx="125227" cy="336439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6A1AAEFD-51F4-42AB-AA22-94A779697C26}"/>
            </a:ext>
          </a:extLst>
        </xdr:cNvPr>
        <xdr:cNvSpPr txBox="1"/>
      </xdr:nvSpPr>
      <xdr:spPr>
        <a:xfrm rot="16200000">
          <a:off x="4503728" y="33543949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67</xdr:col>
      <xdr:colOff>34672</xdr:colOff>
      <xdr:row>367</xdr:row>
      <xdr:rowOff>41363</xdr:rowOff>
    </xdr:from>
    <xdr:ext cx="125227" cy="666016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9215B11-D002-4DF7-95F1-303D7220375C}"/>
            </a:ext>
          </a:extLst>
        </xdr:cNvPr>
        <xdr:cNvSpPr txBox="1"/>
      </xdr:nvSpPr>
      <xdr:spPr>
        <a:xfrm rot="16200000">
          <a:off x="5487216" y="33403195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55</xdr:col>
      <xdr:colOff>34826</xdr:colOff>
      <xdr:row>367</xdr:row>
      <xdr:rowOff>40787</xdr:rowOff>
    </xdr:from>
    <xdr:ext cx="125227" cy="666016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D1763C0B-B5C1-4E26-ACDD-920888EBC813}"/>
            </a:ext>
          </a:extLst>
        </xdr:cNvPr>
        <xdr:cNvSpPr txBox="1"/>
      </xdr:nvSpPr>
      <xdr:spPr>
        <a:xfrm rot="16200000">
          <a:off x="4725370" y="3340261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39</xdr:col>
      <xdr:colOff>29763</xdr:colOff>
      <xdr:row>373</xdr:row>
      <xdr:rowOff>35896</xdr:rowOff>
    </xdr:from>
    <xdr:ext cx="277705" cy="109582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7B9784B-8CE5-47D3-B054-2490C09E64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62922</xdr:colOff>
      <xdr:row>371</xdr:row>
      <xdr:rowOff>45603</xdr:rowOff>
    </xdr:from>
    <xdr:to>
      <xdr:col>4</xdr:col>
      <xdr:colOff>62922</xdr:colOff>
      <xdr:row>384</xdr:row>
      <xdr:rowOff>128148</xdr:rowOff>
    </xdr:to>
    <xdr:cxnSp macro="">
      <xdr:nvCxnSpPr>
        <xdr:cNvPr id="551" name="직선 연결선 550">
          <a:extLst>
            <a:ext uri="{FF2B5EF4-FFF2-40B4-BE49-F238E27FC236}">
              <a16:creationId xmlns:a16="http://schemas.microsoft.com/office/drawing/2014/main" id="{789D877E-92AA-4A16-AADC-9E8176CC68D0}"/>
            </a:ext>
          </a:extLst>
        </xdr:cNvPr>
        <xdr:cNvCxnSpPr/>
      </xdr:nvCxnSpPr>
      <xdr:spPr>
        <a:xfrm>
          <a:off x="1722581" y="10566398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10814</xdr:colOff>
      <xdr:row>375</xdr:row>
      <xdr:rowOff>39168</xdr:rowOff>
    </xdr:from>
    <xdr:ext cx="45462" cy="10958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CD2C9C2-6EE5-4E61-8BE3-FA4D2A8608DF}"/>
            </a:ext>
          </a:extLst>
        </xdr:cNvPr>
        <xdr:cNvSpPr txBox="1"/>
      </xdr:nvSpPr>
      <xdr:spPr>
        <a:xfrm>
          <a:off x="6305973" y="11298873"/>
          <a:ext cx="4546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n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</xdr:col>
      <xdr:colOff>13122</xdr:colOff>
      <xdr:row>375</xdr:row>
      <xdr:rowOff>38591</xdr:rowOff>
    </xdr:from>
    <xdr:ext cx="70147" cy="109582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FFFB800-10BB-49E1-A80A-208146CD718D}"/>
            </a:ext>
          </a:extLst>
        </xdr:cNvPr>
        <xdr:cNvSpPr txBox="1"/>
      </xdr:nvSpPr>
      <xdr:spPr>
        <a:xfrm>
          <a:off x="1736281" y="11298296"/>
          <a:ext cx="70147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m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45</xdr:col>
      <xdr:colOff>29763</xdr:colOff>
      <xdr:row>373</xdr:row>
      <xdr:rowOff>35896</xdr:rowOff>
    </xdr:from>
    <xdr:ext cx="277705" cy="109582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60CB8066-56C7-43B8-8427-EF0606957AB5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29763</xdr:colOff>
      <xdr:row>373</xdr:row>
      <xdr:rowOff>35896</xdr:rowOff>
    </xdr:from>
    <xdr:ext cx="277705" cy="109582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637CBB4C-4BB6-4D04-9C99-95818A56CB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57</xdr:col>
      <xdr:colOff>29763</xdr:colOff>
      <xdr:row>373</xdr:row>
      <xdr:rowOff>35896</xdr:rowOff>
    </xdr:from>
    <xdr:ext cx="277705" cy="109582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86D960E4-D817-46C6-B23F-35AB7A64FB29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29763</xdr:colOff>
      <xdr:row>373</xdr:row>
      <xdr:rowOff>35896</xdr:rowOff>
    </xdr:from>
    <xdr:ext cx="277705" cy="109582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30E0D4B2-0586-489C-8A56-8CD47AFD280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29763</xdr:colOff>
      <xdr:row>373</xdr:row>
      <xdr:rowOff>35896</xdr:rowOff>
    </xdr:from>
    <xdr:ext cx="277705" cy="109582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BDE586C5-348E-48E0-BACA-050726591B5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0</xdr:colOff>
      <xdr:row>126</xdr:row>
      <xdr:rowOff>66977</xdr:rowOff>
    </xdr:from>
    <xdr:to>
      <xdr:col>5</xdr:col>
      <xdr:colOff>0</xdr:colOff>
      <xdr:row>148</xdr:row>
      <xdr:rowOff>0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705C394E-8FA5-4C6D-AE12-63DE5CB34ADC}"/>
            </a:ext>
          </a:extLst>
        </xdr:cNvPr>
        <xdr:cNvCxnSpPr/>
      </xdr:nvCxnSpPr>
      <xdr:spPr>
        <a:xfrm flipH="1">
          <a:off x="1784684" y="18224635"/>
          <a:ext cx="0" cy="401707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127</xdr:row>
      <xdr:rowOff>60475</xdr:rowOff>
    </xdr:from>
    <xdr:to>
      <xdr:col>9</xdr:col>
      <xdr:colOff>1</xdr:colOff>
      <xdr:row>131</xdr:row>
      <xdr:rowOff>66485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219258FB-B5A4-4F70-939D-E07A00449757}"/>
            </a:ext>
          </a:extLst>
        </xdr:cNvPr>
        <xdr:cNvCxnSpPr/>
      </xdr:nvCxnSpPr>
      <xdr:spPr>
        <a:xfrm>
          <a:off x="2310190" y="23872975"/>
          <a:ext cx="1" cy="74382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456</xdr:colOff>
      <xdr:row>130</xdr:row>
      <xdr:rowOff>53528</xdr:rowOff>
    </xdr:from>
    <xdr:to>
      <xdr:col>10</xdr:col>
      <xdr:colOff>456</xdr:colOff>
      <xdr:row>145</xdr:row>
      <xdr:rowOff>132052</xdr:rowOff>
    </xdr:to>
    <xdr:cxnSp macro="">
      <xdr:nvCxnSpPr>
        <xdr:cNvPr id="452" name="직선 연결선 451">
          <a:extLst>
            <a:ext uri="{FF2B5EF4-FFF2-40B4-BE49-F238E27FC236}">
              <a16:creationId xmlns:a16="http://schemas.microsoft.com/office/drawing/2014/main" id="{F80D27FC-9FEB-44E5-BD90-7186F4CE3940}"/>
            </a:ext>
          </a:extLst>
        </xdr:cNvPr>
        <xdr:cNvCxnSpPr/>
      </xdr:nvCxnSpPr>
      <xdr:spPr>
        <a:xfrm flipH="1">
          <a:off x="2038504" y="24298433"/>
          <a:ext cx="0" cy="306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130</xdr:row>
      <xdr:rowOff>58063</xdr:rowOff>
    </xdr:from>
    <xdr:to>
      <xdr:col>118</xdr:col>
      <xdr:colOff>457</xdr:colOff>
      <xdr:row>148</xdr:row>
      <xdr:rowOff>0</xdr:rowOff>
    </xdr:to>
    <xdr:cxnSp macro="">
      <xdr:nvCxnSpPr>
        <xdr:cNvPr id="453" name="직선 연결선 452">
          <a:extLst>
            <a:ext uri="{FF2B5EF4-FFF2-40B4-BE49-F238E27FC236}">
              <a16:creationId xmlns:a16="http://schemas.microsoft.com/office/drawing/2014/main" id="{662BDC91-2ABF-4585-92A2-655C70E083F4}"/>
            </a:ext>
          </a:extLst>
        </xdr:cNvPr>
        <xdr:cNvCxnSpPr/>
      </xdr:nvCxnSpPr>
      <xdr:spPr>
        <a:xfrm flipH="1">
          <a:off x="8898924" y="1196830"/>
          <a:ext cx="0" cy="350466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63290</xdr:colOff>
      <xdr:row>130</xdr:row>
      <xdr:rowOff>95316</xdr:rowOff>
    </xdr:from>
    <xdr:to>
      <xdr:col>118</xdr:col>
      <xdr:colOff>14524</xdr:colOff>
      <xdr:row>130</xdr:row>
      <xdr:rowOff>95316</xdr:rowOff>
    </xdr:to>
    <xdr:cxnSp macro="">
      <xdr:nvCxnSpPr>
        <xdr:cNvPr id="456" name="직선 화살표 연결선 455">
          <a:extLst>
            <a:ext uri="{FF2B5EF4-FFF2-40B4-BE49-F238E27FC236}">
              <a16:creationId xmlns:a16="http://schemas.microsoft.com/office/drawing/2014/main" id="{BAE124E1-1EF5-4977-8F89-533D90BA9BAF}"/>
            </a:ext>
          </a:extLst>
        </xdr:cNvPr>
        <xdr:cNvCxnSpPr/>
      </xdr:nvCxnSpPr>
      <xdr:spPr>
        <a:xfrm>
          <a:off x="2308758" y="24441486"/>
          <a:ext cx="702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829445</xdr:colOff>
      <xdr:row>132</xdr:row>
      <xdr:rowOff>147132</xdr:rowOff>
    </xdr:from>
    <xdr:ext cx="368819" cy="140872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18CA06E8-08A7-4ACB-8DE2-DB759F28FFEA}"/>
            </a:ext>
          </a:extLst>
        </xdr:cNvPr>
        <xdr:cNvSpPr txBox="1"/>
      </xdr:nvSpPr>
      <xdr:spPr>
        <a:xfrm>
          <a:off x="1482588" y="248818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130</xdr:row>
      <xdr:rowOff>28711</xdr:rowOff>
    </xdr:from>
    <xdr:ext cx="376385" cy="125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ECD5E7F-9FFA-43E5-8022-529DE7879822}"/>
            </a:ext>
          </a:extLst>
        </xdr:cNvPr>
        <xdr:cNvSpPr txBox="1"/>
      </xdr:nvSpPr>
      <xdr:spPr>
        <a:xfrm>
          <a:off x="5492701" y="24394568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10620</xdr:colOff>
      <xdr:row>142</xdr:row>
      <xdr:rowOff>24295</xdr:rowOff>
    </xdr:from>
    <xdr:ext cx="228204" cy="140872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4E84C685-6907-4753-97ED-7758C96C3313}"/>
            </a:ext>
          </a:extLst>
        </xdr:cNvPr>
        <xdr:cNvSpPr txBox="1"/>
      </xdr:nvSpPr>
      <xdr:spPr>
        <a:xfrm>
          <a:off x="3008727" y="2695283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23605</xdr:colOff>
      <xdr:row>142</xdr:row>
      <xdr:rowOff>23743</xdr:rowOff>
    </xdr:from>
    <xdr:ext cx="228204" cy="140872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C7424AD4-1BFE-4B1C-8966-A2AC7E5E8353}"/>
            </a:ext>
          </a:extLst>
        </xdr:cNvPr>
        <xdr:cNvSpPr txBox="1"/>
      </xdr:nvSpPr>
      <xdr:spPr>
        <a:xfrm>
          <a:off x="4164712" y="2695227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148</xdr:row>
      <xdr:rowOff>19803</xdr:rowOff>
    </xdr:from>
    <xdr:to>
      <xdr:col>63</xdr:col>
      <xdr:colOff>53993</xdr:colOff>
      <xdr:row>149</xdr:row>
      <xdr:rowOff>2953</xdr:rowOff>
    </xdr:to>
    <xdr:grpSp>
      <xdr:nvGrpSpPr>
        <xdr:cNvPr id="479" name="그룹 478">
          <a:extLst>
            <a:ext uri="{FF2B5EF4-FFF2-40B4-BE49-F238E27FC236}">
              <a16:creationId xmlns:a16="http://schemas.microsoft.com/office/drawing/2014/main" id="{941400AB-C3DD-4242-A9BA-8DFEE4FE2D0B}"/>
            </a:ext>
          </a:extLst>
        </xdr:cNvPr>
        <xdr:cNvGrpSpPr/>
      </xdr:nvGrpSpPr>
      <xdr:grpSpPr>
        <a:xfrm>
          <a:off x="5752837" y="27574834"/>
          <a:ext cx="36000" cy="193494"/>
          <a:chOff x="11556979" y="1922463"/>
          <a:chExt cx="188140" cy="204787"/>
        </a:xfrm>
      </xdr:grpSpPr>
      <xdr:sp macro="" textlink="">
        <xdr:nvSpPr>
          <xdr:cNvPr id="480" name="자유형: 도형 479">
            <a:extLst>
              <a:ext uri="{FF2B5EF4-FFF2-40B4-BE49-F238E27FC236}">
                <a16:creationId xmlns:a16="http://schemas.microsoft.com/office/drawing/2014/main" id="{A7AF5303-DC7C-3F58-3D9B-8E246C915C0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81" name="자유형: 도형 480">
            <a:extLst>
              <a:ext uri="{FF2B5EF4-FFF2-40B4-BE49-F238E27FC236}">
                <a16:creationId xmlns:a16="http://schemas.microsoft.com/office/drawing/2014/main" id="{F8A1C093-849A-F3BB-6F8B-7AF0EEE6794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13</xdr:col>
      <xdr:colOff>54792</xdr:colOff>
      <xdr:row>145</xdr:row>
      <xdr:rowOff>103005</xdr:rowOff>
    </xdr:from>
    <xdr:ext cx="1188000" cy="0"/>
    <xdr:cxnSp macro="">
      <xdr:nvCxnSpPr>
        <xdr:cNvPr id="486" name="직선 화살표 연결선 485">
          <a:extLst>
            <a:ext uri="{FF2B5EF4-FFF2-40B4-BE49-F238E27FC236}">
              <a16:creationId xmlns:a16="http://schemas.microsoft.com/office/drawing/2014/main" id="{9F23666E-92A9-4EAF-9673-9226C7AEC2B5}"/>
            </a:ext>
          </a:extLst>
        </xdr:cNvPr>
        <xdr:cNvCxnSpPr/>
      </xdr:nvCxnSpPr>
      <xdr:spPr>
        <a:xfrm flipV="1">
          <a:off x="2559664" y="2724587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145</xdr:row>
      <xdr:rowOff>101975</xdr:rowOff>
    </xdr:from>
    <xdr:ext cx="648000" cy="0"/>
    <xdr:cxnSp macro="">
      <xdr:nvCxnSpPr>
        <xdr:cNvPr id="488" name="직선 화살표 연결선 487">
          <a:extLst>
            <a:ext uri="{FF2B5EF4-FFF2-40B4-BE49-F238E27FC236}">
              <a16:creationId xmlns:a16="http://schemas.microsoft.com/office/drawing/2014/main" id="{5B3ADB36-0F67-4150-A29C-E84A09EEF327}"/>
            </a:ext>
          </a:extLst>
        </xdr:cNvPr>
        <xdr:cNvCxnSpPr/>
      </xdr:nvCxnSpPr>
      <xdr:spPr>
        <a:xfrm>
          <a:off x="3683499" y="27143904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10</xdr:col>
      <xdr:colOff>19990</xdr:colOff>
      <xdr:row>141</xdr:row>
      <xdr:rowOff>172551</xdr:rowOff>
    </xdr:from>
    <xdr:to>
      <xdr:col>13</xdr:col>
      <xdr:colOff>59618</xdr:colOff>
      <xdr:row>142</xdr:row>
      <xdr:rowOff>175625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1915F29D-0D44-F2B2-DAF0-FDF7378154F0}"/>
            </a:ext>
          </a:extLst>
        </xdr:cNvPr>
        <xdr:cNvGrpSpPr/>
      </xdr:nvGrpSpPr>
      <xdr:grpSpPr>
        <a:xfrm>
          <a:off x="2389334" y="26441707"/>
          <a:ext cx="230128" cy="185637"/>
          <a:chOff x="2051991" y="27772919"/>
          <a:chExt cx="230128" cy="187416"/>
        </a:xfrm>
      </xdr:grpSpPr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620E1576-EEB7-7C13-38A6-810DD14E682E}"/>
              </a:ext>
            </a:extLst>
          </xdr:cNvPr>
          <xdr:cNvSpPr txBox="1"/>
        </xdr:nvSpPr>
        <xdr:spPr>
          <a:xfrm>
            <a:off x="2051991" y="27850817"/>
            <a:ext cx="230128" cy="1095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411425FE-E6F3-E35B-CD33-99032F30ABF4}"/>
              </a:ext>
            </a:extLst>
          </xdr:cNvPr>
          <xdr:cNvSpPr txBox="1"/>
        </xdr:nvSpPr>
        <xdr:spPr>
          <a:xfrm>
            <a:off x="2094389" y="27772919"/>
            <a:ext cx="150298" cy="1095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22345</xdr:colOff>
      <xdr:row>140</xdr:row>
      <xdr:rowOff>24612</xdr:rowOff>
    </xdr:from>
    <xdr:ext cx="22820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1A1CF387-96E2-4370-BCC3-8E33CF3F09FA}"/>
            </a:ext>
          </a:extLst>
        </xdr:cNvPr>
        <xdr:cNvSpPr txBox="1"/>
      </xdr:nvSpPr>
      <xdr:spPr>
        <a:xfrm>
          <a:off x="3972952" y="2658121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136</xdr:row>
      <xdr:rowOff>243</xdr:rowOff>
    </xdr:from>
    <xdr:to>
      <xdr:col>63</xdr:col>
      <xdr:colOff>38889</xdr:colOff>
      <xdr:row>136</xdr:row>
      <xdr:rowOff>166192</xdr:rowOff>
    </xdr:to>
    <xdr:grpSp>
      <xdr:nvGrpSpPr>
        <xdr:cNvPr id="567" name="그룹 566">
          <a:extLst>
            <a:ext uri="{FF2B5EF4-FFF2-40B4-BE49-F238E27FC236}">
              <a16:creationId xmlns:a16="http://schemas.microsoft.com/office/drawing/2014/main" id="{7B8BCC66-25DC-4F43-B8B4-3A3D1FE8B783}"/>
            </a:ext>
          </a:extLst>
        </xdr:cNvPr>
        <xdr:cNvGrpSpPr/>
      </xdr:nvGrpSpPr>
      <xdr:grpSpPr>
        <a:xfrm>
          <a:off x="5737733" y="25332774"/>
          <a:ext cx="36000" cy="165949"/>
          <a:chOff x="11556979" y="1937259"/>
          <a:chExt cx="188140" cy="204787"/>
        </a:xfrm>
      </xdr:grpSpPr>
      <xdr:sp macro="" textlink="">
        <xdr:nvSpPr>
          <xdr:cNvPr id="568" name="자유형: 도형 567">
            <a:extLst>
              <a:ext uri="{FF2B5EF4-FFF2-40B4-BE49-F238E27FC236}">
                <a16:creationId xmlns:a16="http://schemas.microsoft.com/office/drawing/2014/main" id="{73D1257A-F38E-F686-1C88-9F0F282C596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9" name="자유형: 도형 568">
            <a:extLst>
              <a:ext uri="{FF2B5EF4-FFF2-40B4-BE49-F238E27FC236}">
                <a16:creationId xmlns:a16="http://schemas.microsoft.com/office/drawing/2014/main" id="{78C4D5B3-226E-F77D-2DE7-08DD6B028C4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14967</xdr:colOff>
      <xdr:row>150</xdr:row>
      <xdr:rowOff>16779</xdr:rowOff>
    </xdr:from>
    <xdr:to>
      <xdr:col>63</xdr:col>
      <xdr:colOff>50967</xdr:colOff>
      <xdr:row>150</xdr:row>
      <xdr:rowOff>190429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566CCC6D-B127-47C7-AF4E-4D65B87BEA95}"/>
            </a:ext>
          </a:extLst>
        </xdr:cNvPr>
        <xdr:cNvGrpSpPr/>
      </xdr:nvGrpSpPr>
      <xdr:grpSpPr>
        <a:xfrm>
          <a:off x="5749811" y="27972654"/>
          <a:ext cx="36000" cy="173650"/>
          <a:chOff x="11556979" y="1922463"/>
          <a:chExt cx="188140" cy="204787"/>
        </a:xfrm>
      </xdr:grpSpPr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639B7910-EF42-FAB9-891A-97607209F7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" name="자유형: 도형 142">
            <a:extLst>
              <a:ext uri="{FF2B5EF4-FFF2-40B4-BE49-F238E27FC236}">
                <a16:creationId xmlns:a16="http://schemas.microsoft.com/office/drawing/2014/main" id="{D5326787-C9AE-5960-032B-29D6575923A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140</xdr:row>
      <xdr:rowOff>6149</xdr:rowOff>
    </xdr:from>
    <xdr:to>
      <xdr:col>63</xdr:col>
      <xdr:colOff>43121</xdr:colOff>
      <xdr:row>140</xdr:row>
      <xdr:rowOff>173449</xdr:rowOff>
    </xdr:to>
    <xdr:grpSp>
      <xdr:nvGrpSpPr>
        <xdr:cNvPr id="163" name="그룹 162">
          <a:extLst>
            <a:ext uri="{FF2B5EF4-FFF2-40B4-BE49-F238E27FC236}">
              <a16:creationId xmlns:a16="http://schemas.microsoft.com/office/drawing/2014/main" id="{AED5E6E7-EAA0-43DC-A294-E6A1397CC8CB}"/>
            </a:ext>
          </a:extLst>
        </xdr:cNvPr>
        <xdr:cNvGrpSpPr/>
      </xdr:nvGrpSpPr>
      <xdr:grpSpPr>
        <a:xfrm>
          <a:off x="5741965" y="26092743"/>
          <a:ext cx="36000" cy="167300"/>
          <a:chOff x="11556979" y="1937259"/>
          <a:chExt cx="188140" cy="204787"/>
        </a:xfrm>
      </xdr:grpSpPr>
      <xdr:sp macro="" textlink="">
        <xdr:nvSpPr>
          <xdr:cNvPr id="164" name="자유형: 도형 163">
            <a:extLst>
              <a:ext uri="{FF2B5EF4-FFF2-40B4-BE49-F238E27FC236}">
                <a16:creationId xmlns:a16="http://schemas.microsoft.com/office/drawing/2014/main" id="{56A8554F-4AF0-5093-8AFA-46D2E0AC46E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98C3AD16-30F6-6BB9-016B-E63DAD91C1D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11355</xdr:colOff>
      <xdr:row>142</xdr:row>
      <xdr:rowOff>7360</xdr:rowOff>
    </xdr:from>
    <xdr:to>
      <xdr:col>63</xdr:col>
      <xdr:colOff>47355</xdr:colOff>
      <xdr:row>142</xdr:row>
      <xdr:rowOff>174660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8355378B-F4BB-4455-84DC-68B5CAF3487C}"/>
            </a:ext>
          </a:extLst>
        </xdr:cNvPr>
        <xdr:cNvGrpSpPr/>
      </xdr:nvGrpSpPr>
      <xdr:grpSpPr>
        <a:xfrm>
          <a:off x="5746199" y="26459079"/>
          <a:ext cx="36000" cy="167300"/>
          <a:chOff x="11556979" y="1937259"/>
          <a:chExt cx="188140" cy="204787"/>
        </a:xfrm>
      </xdr:grpSpPr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092D08E6-819D-9D29-38B7-BF4A0A6D883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4DB6556-0478-917B-9C92-EB37058C5A2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138</xdr:row>
      <xdr:rowOff>25502</xdr:rowOff>
    </xdr:from>
    <xdr:to>
      <xdr:col>63</xdr:col>
      <xdr:colOff>53403</xdr:colOff>
      <xdr:row>139</xdr:row>
      <xdr:rowOff>2302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B2E19372-A9C2-4C2D-BBFD-AE51BF38D1F5}"/>
            </a:ext>
          </a:extLst>
        </xdr:cNvPr>
        <xdr:cNvGrpSpPr/>
      </xdr:nvGrpSpPr>
      <xdr:grpSpPr>
        <a:xfrm>
          <a:off x="5752247" y="25739033"/>
          <a:ext cx="36000" cy="167300"/>
          <a:chOff x="11556979" y="1937259"/>
          <a:chExt cx="188140" cy="204787"/>
        </a:xfrm>
      </xdr:grpSpPr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FA146CB2-5F16-6560-A8FD-6F16D3C9FE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03C9319B-8A9F-C170-7BA6-10629AB189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34516</xdr:colOff>
      <xdr:row>115</xdr:row>
      <xdr:rowOff>165697</xdr:rowOff>
    </xdr:from>
    <xdr:to>
      <xdr:col>57</xdr:col>
      <xdr:colOff>10191</xdr:colOff>
      <xdr:row>117</xdr:row>
      <xdr:rowOff>0</xdr:rowOff>
    </xdr:to>
    <xdr:sp macro="" textlink="">
      <xdr:nvSpPr>
        <xdr:cNvPr id="191" name="자유형: 도형 190">
          <a:extLst>
            <a:ext uri="{FF2B5EF4-FFF2-40B4-BE49-F238E27FC236}">
              <a16:creationId xmlns:a16="http://schemas.microsoft.com/office/drawing/2014/main" id="{048FCDC5-43BB-426E-8E7B-818C333AFCC8}"/>
            </a:ext>
          </a:extLst>
        </xdr:cNvPr>
        <xdr:cNvSpPr/>
      </xdr:nvSpPr>
      <xdr:spPr>
        <a:xfrm>
          <a:off x="4993564" y="3773102"/>
          <a:ext cx="39175" cy="302515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56</xdr:col>
      <xdr:colOff>45508</xdr:colOff>
      <xdr:row>114</xdr:row>
      <xdr:rowOff>23658</xdr:rowOff>
    </xdr:from>
    <xdr:to>
      <xdr:col>57</xdr:col>
      <xdr:colOff>18008</xdr:colOff>
      <xdr:row>114</xdr:row>
      <xdr:rowOff>195701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AFB1716D-63E8-4161-94BB-0BC725F515E5}"/>
            </a:ext>
          </a:extLst>
        </xdr:cNvPr>
        <xdr:cNvGrpSpPr/>
      </xdr:nvGrpSpPr>
      <xdr:grpSpPr>
        <a:xfrm>
          <a:off x="5335852" y="21308064"/>
          <a:ext cx="36000" cy="159343"/>
          <a:chOff x="11556979" y="1937259"/>
          <a:chExt cx="188140" cy="204787"/>
        </a:xfrm>
      </xdr:grpSpPr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44C65FD3-753C-FD68-F203-88F59B13C8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B4F64076-7E54-4669-9589-F033F029D6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143</xdr:row>
      <xdr:rowOff>136071</xdr:rowOff>
    </xdr:from>
    <xdr:to>
      <xdr:col>63</xdr:col>
      <xdr:colOff>60342</xdr:colOff>
      <xdr:row>145</xdr:row>
      <xdr:rowOff>0</xdr:rowOff>
    </xdr:to>
    <xdr:sp macro="" textlink="">
      <xdr:nvSpPr>
        <xdr:cNvPr id="222" name="자유형: 도형 221">
          <a:extLst>
            <a:ext uri="{FF2B5EF4-FFF2-40B4-BE49-F238E27FC236}">
              <a16:creationId xmlns:a16="http://schemas.microsoft.com/office/drawing/2014/main" id="{E88E2564-5050-4471-965A-D3A5D0D5983D}"/>
            </a:ext>
          </a:extLst>
        </xdr:cNvPr>
        <xdr:cNvSpPr/>
      </xdr:nvSpPr>
      <xdr:spPr>
        <a:xfrm>
          <a:off x="5424715" y="28100261"/>
          <a:ext cx="39175" cy="24795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145</xdr:row>
      <xdr:rowOff>149376</xdr:rowOff>
    </xdr:from>
    <xdr:to>
      <xdr:col>63</xdr:col>
      <xdr:colOff>55505</xdr:colOff>
      <xdr:row>147</xdr:row>
      <xdr:rowOff>82986</xdr:rowOff>
    </xdr:to>
    <xdr:sp macro="" textlink="">
      <xdr:nvSpPr>
        <xdr:cNvPr id="224" name="자유형: 도형 223">
          <a:extLst>
            <a:ext uri="{FF2B5EF4-FFF2-40B4-BE49-F238E27FC236}">
              <a16:creationId xmlns:a16="http://schemas.microsoft.com/office/drawing/2014/main" id="{F33F8B03-0ED5-4A5E-BA03-6E05BF87B630}"/>
            </a:ext>
          </a:extLst>
        </xdr:cNvPr>
        <xdr:cNvSpPr/>
      </xdr:nvSpPr>
      <xdr:spPr>
        <a:xfrm>
          <a:off x="5419878" y="28666924"/>
          <a:ext cx="39175" cy="302514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25266</xdr:colOff>
      <xdr:row>132</xdr:row>
      <xdr:rowOff>21268</xdr:rowOff>
    </xdr:from>
    <xdr:to>
      <xdr:col>63</xdr:col>
      <xdr:colOff>61266</xdr:colOff>
      <xdr:row>133</xdr:row>
      <xdr:rowOff>4116</xdr:rowOff>
    </xdr:to>
    <xdr:grpSp>
      <xdr:nvGrpSpPr>
        <xdr:cNvPr id="241" name="그룹 240">
          <a:extLst>
            <a:ext uri="{FF2B5EF4-FFF2-40B4-BE49-F238E27FC236}">
              <a16:creationId xmlns:a16="http://schemas.microsoft.com/office/drawing/2014/main" id="{AB5D49AF-ED7B-487A-9585-DDA385023756}"/>
            </a:ext>
          </a:extLst>
        </xdr:cNvPr>
        <xdr:cNvGrpSpPr/>
      </xdr:nvGrpSpPr>
      <xdr:grpSpPr>
        <a:xfrm>
          <a:off x="5760110" y="24607674"/>
          <a:ext cx="36000" cy="165411"/>
          <a:chOff x="11556979" y="1937259"/>
          <a:chExt cx="188140" cy="204787"/>
        </a:xfrm>
      </xdr:grpSpPr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C8CB1F88-FCF8-6ECF-4E32-7C38DED9AE2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3" name="자유형: 도형 252">
            <a:extLst>
              <a:ext uri="{FF2B5EF4-FFF2-40B4-BE49-F238E27FC236}">
                <a16:creationId xmlns:a16="http://schemas.microsoft.com/office/drawing/2014/main" id="{AA884882-6C6E-9E05-00B8-3A00CD0477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32</xdr:col>
      <xdr:colOff>6081</xdr:colOff>
      <xdr:row>141</xdr:row>
      <xdr:rowOff>177214</xdr:rowOff>
    </xdr:from>
    <xdr:to>
      <xdr:col>35</xdr:col>
      <xdr:colOff>45709</xdr:colOff>
      <xdr:row>142</xdr:row>
      <xdr:rowOff>179705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52A89F42-22E3-440E-950C-8B6B699EA8C8}"/>
            </a:ext>
          </a:extLst>
        </xdr:cNvPr>
        <xdr:cNvGrpSpPr/>
      </xdr:nvGrpSpPr>
      <xdr:grpSpPr>
        <a:xfrm>
          <a:off x="3772425" y="26446370"/>
          <a:ext cx="230128" cy="185054"/>
          <a:chOff x="2051991" y="27772506"/>
          <a:chExt cx="230128" cy="188241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3CD28D0D-3DAC-0727-9A15-490AC6E4040A}"/>
              </a:ext>
            </a:extLst>
          </xdr:cNvPr>
          <xdr:cNvSpPr txBox="1"/>
        </xdr:nvSpPr>
        <xdr:spPr>
          <a:xfrm>
            <a:off x="2051991" y="27850405"/>
            <a:ext cx="23012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60" name="TextBox 259">
            <a:extLst>
              <a:ext uri="{FF2B5EF4-FFF2-40B4-BE49-F238E27FC236}">
                <a16:creationId xmlns:a16="http://schemas.microsoft.com/office/drawing/2014/main" id="{68730FEC-3AA2-B1E3-F5C4-9FD01A64E103}"/>
              </a:ext>
            </a:extLst>
          </xdr:cNvPr>
          <xdr:cNvSpPr txBox="1"/>
        </xdr:nvSpPr>
        <xdr:spPr>
          <a:xfrm>
            <a:off x="2094389" y="27772506"/>
            <a:ext cx="15029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52</xdr:col>
      <xdr:colOff>31871</xdr:colOff>
      <xdr:row>20</xdr:row>
      <xdr:rowOff>3344</xdr:rowOff>
    </xdr:from>
    <xdr:to>
      <xdr:col>52</xdr:col>
      <xdr:colOff>46271</xdr:colOff>
      <xdr:row>20</xdr:row>
      <xdr:rowOff>186944</xdr:rowOff>
    </xdr:to>
    <xdr:sp macro="" textlink="">
      <xdr:nvSpPr>
        <xdr:cNvPr id="593" name="직사각형 592">
          <a:extLst>
            <a:ext uri="{FF2B5EF4-FFF2-40B4-BE49-F238E27FC236}">
              <a16:creationId xmlns:a16="http://schemas.microsoft.com/office/drawing/2014/main" id="{F943C413-2456-4850-B41A-772F92AAC8FC}"/>
            </a:ext>
          </a:extLst>
        </xdr:cNvPr>
        <xdr:cNvSpPr/>
      </xdr:nvSpPr>
      <xdr:spPr>
        <a:xfrm>
          <a:off x="4801991" y="21324104"/>
          <a:ext cx="14400" cy="1836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20</xdr:row>
      <xdr:rowOff>3994</xdr:rowOff>
    </xdr:from>
    <xdr:to>
      <xdr:col>54</xdr:col>
      <xdr:colOff>60968</xdr:colOff>
      <xdr:row>20</xdr:row>
      <xdr:rowOff>187594</xdr:rowOff>
    </xdr:to>
    <xdr:sp macro="" textlink="">
      <xdr:nvSpPr>
        <xdr:cNvPr id="594" name="직사각형 593">
          <a:extLst>
            <a:ext uri="{FF2B5EF4-FFF2-40B4-BE49-F238E27FC236}">
              <a16:creationId xmlns:a16="http://schemas.microsoft.com/office/drawing/2014/main" id="{289A6B4B-E35A-4DD0-AB19-F1F88920DE4D}"/>
            </a:ext>
          </a:extLst>
        </xdr:cNvPr>
        <xdr:cNvSpPr/>
      </xdr:nvSpPr>
      <xdr:spPr>
        <a:xfrm>
          <a:off x="4904088" y="21324754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16</xdr:row>
      <xdr:rowOff>54329</xdr:rowOff>
    </xdr:from>
    <xdr:to>
      <xdr:col>85</xdr:col>
      <xdr:colOff>2280</xdr:colOff>
      <xdr:row>16</xdr:row>
      <xdr:rowOff>54329</xdr:rowOff>
    </xdr:to>
    <xdr:cxnSp macro="">
      <xdr:nvCxnSpPr>
        <xdr:cNvPr id="595" name="직선 화살표 연결선 594">
          <a:extLst>
            <a:ext uri="{FF2B5EF4-FFF2-40B4-BE49-F238E27FC236}">
              <a16:creationId xmlns:a16="http://schemas.microsoft.com/office/drawing/2014/main" id="{8887F5E8-F4E8-4FD5-9C88-506626F9E52B}"/>
            </a:ext>
          </a:extLst>
        </xdr:cNvPr>
        <xdr:cNvCxnSpPr/>
      </xdr:nvCxnSpPr>
      <xdr:spPr>
        <a:xfrm flipV="1">
          <a:off x="6220747" y="18274596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9379</xdr:colOff>
      <xdr:row>15</xdr:row>
      <xdr:rowOff>170691</xdr:rowOff>
    </xdr:from>
    <xdr:ext cx="248722" cy="125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ACCCD941-9F99-4B52-BB2A-FCA95C218CF1}"/>
            </a:ext>
          </a:extLst>
        </xdr:cNvPr>
        <xdr:cNvSpPr txBox="1"/>
      </xdr:nvSpPr>
      <xdr:spPr>
        <a:xfrm>
          <a:off x="6431346" y="182046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37</xdr:col>
      <xdr:colOff>58860</xdr:colOff>
      <xdr:row>21</xdr:row>
      <xdr:rowOff>103897</xdr:rowOff>
    </xdr:from>
    <xdr:to>
      <xdr:col>84</xdr:col>
      <xdr:colOff>62360</xdr:colOff>
      <xdr:row>21</xdr:row>
      <xdr:rowOff>103897</xdr:rowOff>
    </xdr:to>
    <xdr:cxnSp macro="">
      <xdr:nvCxnSpPr>
        <xdr:cNvPr id="597" name="직선 화살표 연결선 596">
          <a:extLst>
            <a:ext uri="{FF2B5EF4-FFF2-40B4-BE49-F238E27FC236}">
              <a16:creationId xmlns:a16="http://schemas.microsoft.com/office/drawing/2014/main" id="{E7BAD420-7941-408E-B38C-2846438D61F2}"/>
            </a:ext>
          </a:extLst>
        </xdr:cNvPr>
        <xdr:cNvCxnSpPr/>
      </xdr:nvCxnSpPr>
      <xdr:spPr>
        <a:xfrm flipV="1">
          <a:off x="3876480" y="21615157"/>
          <a:ext cx="298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58081</xdr:colOff>
      <xdr:row>19</xdr:row>
      <xdr:rowOff>19111</xdr:rowOff>
    </xdr:from>
    <xdr:to>
      <xdr:col>81</xdr:col>
      <xdr:colOff>9581</xdr:colOff>
      <xdr:row>19</xdr:row>
      <xdr:rowOff>19111</xdr:rowOff>
    </xdr:to>
    <xdr:cxnSp macro="">
      <xdr:nvCxnSpPr>
        <xdr:cNvPr id="598" name="직선 화살표 연결선 597">
          <a:extLst>
            <a:ext uri="{FF2B5EF4-FFF2-40B4-BE49-F238E27FC236}">
              <a16:creationId xmlns:a16="http://schemas.microsoft.com/office/drawing/2014/main" id="{EEA189DB-DDA5-499D-93FB-093F18163BDB}"/>
            </a:ext>
          </a:extLst>
        </xdr:cNvPr>
        <xdr:cNvCxnSpPr/>
      </xdr:nvCxnSpPr>
      <xdr:spPr>
        <a:xfrm flipV="1">
          <a:off x="6226048" y="18798178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19</xdr:row>
      <xdr:rowOff>16907</xdr:rowOff>
    </xdr:from>
    <xdr:to>
      <xdr:col>83</xdr:col>
      <xdr:colOff>4039</xdr:colOff>
      <xdr:row>19</xdr:row>
      <xdr:rowOff>16907</xdr:rowOff>
    </xdr:to>
    <xdr:cxnSp macro="">
      <xdr:nvCxnSpPr>
        <xdr:cNvPr id="599" name="직선 화살표 연결선 598">
          <a:extLst>
            <a:ext uri="{FF2B5EF4-FFF2-40B4-BE49-F238E27FC236}">
              <a16:creationId xmlns:a16="http://schemas.microsoft.com/office/drawing/2014/main" id="{CA545025-A1C5-4009-BA52-74C65E3D7120}"/>
            </a:ext>
          </a:extLst>
        </xdr:cNvPr>
        <xdr:cNvCxnSpPr/>
      </xdr:nvCxnSpPr>
      <xdr:spPr>
        <a:xfrm flipV="1">
          <a:off x="6599506" y="18795974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19</xdr:row>
      <xdr:rowOff>18650</xdr:rowOff>
    </xdr:from>
    <xdr:to>
      <xdr:col>85</xdr:col>
      <xdr:colOff>10941</xdr:colOff>
      <xdr:row>19</xdr:row>
      <xdr:rowOff>18650</xdr:rowOff>
    </xdr:to>
    <xdr:cxnSp macro="">
      <xdr:nvCxnSpPr>
        <xdr:cNvPr id="600" name="직선 화살표 연결선 599">
          <a:extLst>
            <a:ext uri="{FF2B5EF4-FFF2-40B4-BE49-F238E27FC236}">
              <a16:creationId xmlns:a16="http://schemas.microsoft.com/office/drawing/2014/main" id="{0EF6C5E1-504F-4B7B-A6A9-977B093F6AEF}"/>
            </a:ext>
          </a:extLst>
        </xdr:cNvPr>
        <xdr:cNvCxnSpPr/>
      </xdr:nvCxnSpPr>
      <xdr:spPr>
        <a:xfrm flipV="1">
          <a:off x="6733408" y="18797717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18</xdr:row>
      <xdr:rowOff>95312</xdr:rowOff>
    </xdr:from>
    <xdr:ext cx="116955" cy="93936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3F6C9678-1690-47DF-9C48-110E7FBCBBE6}"/>
            </a:ext>
          </a:extLst>
        </xdr:cNvPr>
        <xdr:cNvSpPr txBox="1"/>
      </xdr:nvSpPr>
      <xdr:spPr>
        <a:xfrm>
          <a:off x="6364600" y="18688112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18</xdr:row>
      <xdr:rowOff>94250</xdr:rowOff>
    </xdr:from>
    <xdr:ext cx="116955" cy="93936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DC653D9A-3FBA-4DBF-85CC-D333F5EB747C}"/>
            </a:ext>
          </a:extLst>
        </xdr:cNvPr>
        <xdr:cNvSpPr txBox="1"/>
      </xdr:nvSpPr>
      <xdr:spPr>
        <a:xfrm>
          <a:off x="6735204" y="186870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52</xdr:col>
      <xdr:colOff>10577</xdr:colOff>
      <xdr:row>22</xdr:row>
      <xdr:rowOff>61329</xdr:rowOff>
    </xdr:from>
    <xdr:to>
      <xdr:col>85</xdr:col>
      <xdr:colOff>3077</xdr:colOff>
      <xdr:row>22</xdr:row>
      <xdr:rowOff>61329</xdr:rowOff>
    </xdr:to>
    <xdr:cxnSp macro="">
      <xdr:nvCxnSpPr>
        <xdr:cNvPr id="603" name="직선 화살표 연결선 602">
          <a:extLst>
            <a:ext uri="{FF2B5EF4-FFF2-40B4-BE49-F238E27FC236}">
              <a16:creationId xmlns:a16="http://schemas.microsoft.com/office/drawing/2014/main" id="{3B64DD4F-69F7-4935-8B49-59324642ADF2}"/>
            </a:ext>
          </a:extLst>
        </xdr:cNvPr>
        <xdr:cNvCxnSpPr/>
      </xdr:nvCxnSpPr>
      <xdr:spPr>
        <a:xfrm flipV="1">
          <a:off x="4780697" y="21758009"/>
          <a:ext cx="2088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22834</xdr:colOff>
      <xdr:row>23</xdr:row>
      <xdr:rowOff>28880</xdr:rowOff>
    </xdr:from>
    <xdr:to>
      <xdr:col>85</xdr:col>
      <xdr:colOff>2548</xdr:colOff>
      <xdr:row>23</xdr:row>
      <xdr:rowOff>28880</xdr:rowOff>
    </xdr:to>
    <xdr:cxnSp macro="">
      <xdr:nvCxnSpPr>
        <xdr:cNvPr id="604" name="직선 화살표 연결선 603">
          <a:extLst>
            <a:ext uri="{FF2B5EF4-FFF2-40B4-BE49-F238E27FC236}">
              <a16:creationId xmlns:a16="http://schemas.microsoft.com/office/drawing/2014/main" id="{7BE32AC3-6BC9-4B71-B069-A82E467BA4F5}"/>
            </a:ext>
          </a:extLst>
        </xdr:cNvPr>
        <xdr:cNvCxnSpPr/>
      </xdr:nvCxnSpPr>
      <xdr:spPr>
        <a:xfrm>
          <a:off x="4919954" y="21910980"/>
          <a:ext cx="1948214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30674</xdr:colOff>
      <xdr:row>21</xdr:row>
      <xdr:rowOff>52262</xdr:rowOff>
    </xdr:from>
    <xdr:ext cx="703719" cy="109582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57283767-C438-471D-A2EA-146B7DD3EFAE}"/>
            </a:ext>
          </a:extLst>
        </xdr:cNvPr>
        <xdr:cNvSpPr txBox="1"/>
      </xdr:nvSpPr>
      <xdr:spPr>
        <a:xfrm>
          <a:off x="5499294" y="2156352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256*4 + 128 = 1152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63</xdr:col>
      <xdr:colOff>37447</xdr:colOff>
      <xdr:row>22</xdr:row>
      <xdr:rowOff>5694</xdr:rowOff>
    </xdr:from>
    <xdr:ext cx="612668" cy="10958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25312694-B4D5-4F5F-A35F-4FECB0DA77CB}"/>
            </a:ext>
          </a:extLst>
        </xdr:cNvPr>
        <xdr:cNvSpPr txBox="1"/>
      </xdr:nvSpPr>
      <xdr:spPr>
        <a:xfrm>
          <a:off x="5506067" y="21702374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256*3 + 32 = 800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63</xdr:col>
      <xdr:colOff>41197</xdr:colOff>
      <xdr:row>22</xdr:row>
      <xdr:rowOff>153738</xdr:rowOff>
    </xdr:from>
    <xdr:ext cx="612668" cy="10958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8CE3DC1E-5DF4-4E3D-833D-7159BB4E535E}"/>
            </a:ext>
          </a:extLst>
        </xdr:cNvPr>
        <xdr:cNvSpPr txBox="1"/>
      </xdr:nvSpPr>
      <xdr:spPr>
        <a:xfrm>
          <a:off x="5509817" y="21850418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256*3 + 64 = 832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15</xdr:row>
      <xdr:rowOff>122313</xdr:rowOff>
    </xdr:from>
    <xdr:to>
      <xdr:col>84</xdr:col>
      <xdr:colOff>58520</xdr:colOff>
      <xdr:row>15</xdr:row>
      <xdr:rowOff>122313</xdr:rowOff>
    </xdr:to>
    <xdr:cxnSp macro="">
      <xdr:nvCxnSpPr>
        <xdr:cNvPr id="608" name="직선 화살표 연결선 607">
          <a:extLst>
            <a:ext uri="{FF2B5EF4-FFF2-40B4-BE49-F238E27FC236}">
              <a16:creationId xmlns:a16="http://schemas.microsoft.com/office/drawing/2014/main" id="{10114D7F-D229-493B-B2DA-66A232C8CDB3}"/>
            </a:ext>
          </a:extLst>
        </xdr:cNvPr>
        <xdr:cNvCxnSpPr/>
      </xdr:nvCxnSpPr>
      <xdr:spPr>
        <a:xfrm flipV="1">
          <a:off x="1777396" y="181563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18</xdr:row>
      <xdr:rowOff>95937</xdr:rowOff>
    </xdr:from>
    <xdr:ext cx="116955" cy="93936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FCED3BE3-F9EB-407E-B5D1-BD38B6962F84}"/>
            </a:ext>
          </a:extLst>
        </xdr:cNvPr>
        <xdr:cNvSpPr txBox="1"/>
      </xdr:nvSpPr>
      <xdr:spPr>
        <a:xfrm>
          <a:off x="6599546" y="18688737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21569</xdr:colOff>
      <xdr:row>15</xdr:row>
      <xdr:rowOff>59748</xdr:rowOff>
    </xdr:from>
    <xdr:ext cx="428835" cy="125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7AE96FF7-DFBE-4C81-8919-67A0D947DB43}"/>
            </a:ext>
          </a:extLst>
        </xdr:cNvPr>
        <xdr:cNvSpPr txBox="1"/>
      </xdr:nvSpPr>
      <xdr:spPr>
        <a:xfrm>
          <a:off x="4097664" y="286281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17</xdr:row>
      <xdr:rowOff>54382</xdr:rowOff>
    </xdr:from>
    <xdr:ext cx="77970" cy="93936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942287F6-A470-4A36-B6FD-308078A4D5DD}"/>
            </a:ext>
          </a:extLst>
        </xdr:cNvPr>
        <xdr:cNvSpPr txBox="1"/>
      </xdr:nvSpPr>
      <xdr:spPr>
        <a:xfrm>
          <a:off x="431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17</xdr:row>
      <xdr:rowOff>54382</xdr:rowOff>
    </xdr:from>
    <xdr:ext cx="77970" cy="93936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87810D8B-459D-49FA-A1C4-4E1F75C1B998}"/>
            </a:ext>
          </a:extLst>
        </xdr:cNvPr>
        <xdr:cNvSpPr txBox="1"/>
      </xdr:nvSpPr>
      <xdr:spPr>
        <a:xfrm>
          <a:off x="3681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17</xdr:row>
      <xdr:rowOff>54382</xdr:rowOff>
    </xdr:from>
    <xdr:ext cx="77970" cy="93936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DBFCF3F3-C083-415A-AC60-FB09947A49E9}"/>
            </a:ext>
          </a:extLst>
        </xdr:cNvPr>
        <xdr:cNvSpPr txBox="1"/>
      </xdr:nvSpPr>
      <xdr:spPr>
        <a:xfrm>
          <a:off x="304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55138</xdr:colOff>
      <xdr:row>17</xdr:row>
      <xdr:rowOff>78910</xdr:rowOff>
    </xdr:from>
    <xdr:to>
      <xdr:col>20</xdr:col>
      <xdr:colOff>21288</xdr:colOff>
      <xdr:row>18</xdr:row>
      <xdr:rowOff>3096</xdr:rowOff>
    </xdr:to>
    <xdr:grpSp>
      <xdr:nvGrpSpPr>
        <xdr:cNvPr id="617" name="그룹 616">
          <a:extLst>
            <a:ext uri="{FF2B5EF4-FFF2-40B4-BE49-F238E27FC236}">
              <a16:creationId xmlns:a16="http://schemas.microsoft.com/office/drawing/2014/main" id="{69EA6CA2-CDAA-4B9B-861F-088368F92F62}"/>
            </a:ext>
          </a:extLst>
        </xdr:cNvPr>
        <xdr:cNvGrpSpPr/>
      </xdr:nvGrpSpPr>
      <xdr:grpSpPr>
        <a:xfrm>
          <a:off x="2995982" y="3249941"/>
          <a:ext cx="29650" cy="126593"/>
          <a:chOff x="11556979" y="1922463"/>
          <a:chExt cx="188140" cy="204787"/>
        </a:xfrm>
      </xdr:grpSpPr>
      <xdr:sp macro="" textlink="">
        <xdr:nvSpPr>
          <xdr:cNvPr id="618" name="자유형: 도형 617">
            <a:extLst>
              <a:ext uri="{FF2B5EF4-FFF2-40B4-BE49-F238E27FC236}">
                <a16:creationId xmlns:a16="http://schemas.microsoft.com/office/drawing/2014/main" id="{412D920C-4CC3-581C-655E-177720E695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EC538403-FEB8-E9B7-9DCE-24828B106D1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58516</xdr:colOff>
      <xdr:row>14</xdr:row>
      <xdr:rowOff>81476</xdr:rowOff>
    </xdr:from>
    <xdr:to>
      <xdr:col>20</xdr:col>
      <xdr:colOff>24666</xdr:colOff>
      <xdr:row>15</xdr:row>
      <xdr:rowOff>5662</xdr:rowOff>
    </xdr:to>
    <xdr:grpSp>
      <xdr:nvGrpSpPr>
        <xdr:cNvPr id="620" name="그룹 619">
          <a:extLst>
            <a:ext uri="{FF2B5EF4-FFF2-40B4-BE49-F238E27FC236}">
              <a16:creationId xmlns:a16="http://schemas.microsoft.com/office/drawing/2014/main" id="{3A572069-A659-4D4A-8055-2EC23F13D848}"/>
            </a:ext>
          </a:extLst>
        </xdr:cNvPr>
        <xdr:cNvGrpSpPr/>
      </xdr:nvGrpSpPr>
      <xdr:grpSpPr>
        <a:xfrm>
          <a:off x="2999360" y="2684976"/>
          <a:ext cx="29650" cy="106749"/>
          <a:chOff x="11556979" y="1922463"/>
          <a:chExt cx="188140" cy="204787"/>
        </a:xfrm>
      </xdr:grpSpPr>
      <xdr:sp macro="" textlink="">
        <xdr:nvSpPr>
          <xdr:cNvPr id="621" name="자유형: 도형 620">
            <a:extLst>
              <a:ext uri="{FF2B5EF4-FFF2-40B4-BE49-F238E27FC236}">
                <a16:creationId xmlns:a16="http://schemas.microsoft.com/office/drawing/2014/main" id="{7A48E28A-7A3A-01DD-563A-FDCCDF26D8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2" name="자유형: 도형 621">
            <a:extLst>
              <a:ext uri="{FF2B5EF4-FFF2-40B4-BE49-F238E27FC236}">
                <a16:creationId xmlns:a16="http://schemas.microsoft.com/office/drawing/2014/main" id="{C97DA286-0DF3-8AB5-3B37-E1DE5FA4C1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86</xdr:col>
      <xdr:colOff>10047</xdr:colOff>
      <xdr:row>15</xdr:row>
      <xdr:rowOff>107858</xdr:rowOff>
    </xdr:from>
    <xdr:to>
      <xdr:col>100</xdr:col>
      <xdr:colOff>17062</xdr:colOff>
      <xdr:row>16</xdr:row>
      <xdr:rowOff>149732</xdr:rowOff>
    </xdr:to>
    <xdr:grpSp>
      <xdr:nvGrpSpPr>
        <xdr:cNvPr id="624" name="그룹 623">
          <a:extLst>
            <a:ext uri="{FF2B5EF4-FFF2-40B4-BE49-F238E27FC236}">
              <a16:creationId xmlns:a16="http://schemas.microsoft.com/office/drawing/2014/main" id="{58831677-969C-4567-92DD-84C0DC2AA67E}"/>
            </a:ext>
          </a:extLst>
        </xdr:cNvPr>
        <xdr:cNvGrpSpPr/>
      </xdr:nvGrpSpPr>
      <xdr:grpSpPr>
        <a:xfrm>
          <a:off x="7205391" y="2893921"/>
          <a:ext cx="896015" cy="224436"/>
          <a:chOff x="6934889" y="14017701"/>
          <a:chExt cx="896015" cy="225689"/>
        </a:xfrm>
      </xdr:grpSpPr>
      <xdr:sp macro="" textlink="">
        <xdr:nvSpPr>
          <xdr:cNvPr id="625" name="TextBox 624">
            <a:extLst>
              <a:ext uri="{FF2B5EF4-FFF2-40B4-BE49-F238E27FC236}">
                <a16:creationId xmlns:a16="http://schemas.microsoft.com/office/drawing/2014/main" id="{058D581B-B181-0F28-9F49-693C8C97F185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26" name="TextBox 625">
            <a:extLst>
              <a:ext uri="{FF2B5EF4-FFF2-40B4-BE49-F238E27FC236}">
                <a16:creationId xmlns:a16="http://schemas.microsoft.com/office/drawing/2014/main" id="{238E706F-93C2-091B-5AEA-EBB7706E279E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18</xdr:row>
      <xdr:rowOff>45681</xdr:rowOff>
    </xdr:from>
    <xdr:to>
      <xdr:col>84</xdr:col>
      <xdr:colOff>62163</xdr:colOff>
      <xdr:row>19</xdr:row>
      <xdr:rowOff>149865</xdr:rowOff>
    </xdr:to>
    <xdr:cxnSp macro="">
      <xdr:nvCxnSpPr>
        <xdr:cNvPr id="627" name="직선 연결선 626">
          <a:extLst>
            <a:ext uri="{FF2B5EF4-FFF2-40B4-BE49-F238E27FC236}">
              <a16:creationId xmlns:a16="http://schemas.microsoft.com/office/drawing/2014/main" id="{6D9E9E20-B938-4F8B-AEC3-ECAC1A37F2BD}"/>
            </a:ext>
          </a:extLst>
        </xdr:cNvPr>
        <xdr:cNvCxnSpPr/>
      </xdr:nvCxnSpPr>
      <xdr:spPr>
        <a:xfrm flipH="1">
          <a:off x="6865128" y="18638481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18</xdr:row>
      <xdr:rowOff>47686</xdr:rowOff>
    </xdr:from>
    <xdr:to>
      <xdr:col>75</xdr:col>
      <xdr:colOff>668</xdr:colOff>
      <xdr:row>19</xdr:row>
      <xdr:rowOff>151870</xdr:rowOff>
    </xdr:to>
    <xdr:cxnSp macro="">
      <xdr:nvCxnSpPr>
        <xdr:cNvPr id="628" name="직선 연결선 627">
          <a:extLst>
            <a:ext uri="{FF2B5EF4-FFF2-40B4-BE49-F238E27FC236}">
              <a16:creationId xmlns:a16="http://schemas.microsoft.com/office/drawing/2014/main" id="{DC71851F-22DF-4B8F-A8DC-3D5F5E7B84C8}"/>
            </a:ext>
          </a:extLst>
        </xdr:cNvPr>
        <xdr:cNvCxnSpPr/>
      </xdr:nvCxnSpPr>
      <xdr:spPr>
        <a:xfrm flipH="1">
          <a:off x="6232133" y="1864048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18</xdr:row>
      <xdr:rowOff>52365</xdr:rowOff>
    </xdr:from>
    <xdr:to>
      <xdr:col>65</xdr:col>
      <xdr:colOff>2005</xdr:colOff>
      <xdr:row>19</xdr:row>
      <xdr:rowOff>156549</xdr:rowOff>
    </xdr:to>
    <xdr:cxnSp macro="">
      <xdr:nvCxnSpPr>
        <xdr:cNvPr id="629" name="직선 연결선 628">
          <a:extLst>
            <a:ext uri="{FF2B5EF4-FFF2-40B4-BE49-F238E27FC236}">
              <a16:creationId xmlns:a16="http://schemas.microsoft.com/office/drawing/2014/main" id="{3B765FAE-1BF0-4BB1-85EA-5C66DDF4B8D2}"/>
            </a:ext>
          </a:extLst>
        </xdr:cNvPr>
        <xdr:cNvCxnSpPr/>
      </xdr:nvCxnSpPr>
      <xdr:spPr>
        <a:xfrm flipH="1">
          <a:off x="5598470" y="18645165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60824</xdr:colOff>
      <xdr:row>18</xdr:row>
      <xdr:rowOff>44343</xdr:rowOff>
    </xdr:from>
    <xdr:to>
      <xdr:col>54</xdr:col>
      <xdr:colOff>60826</xdr:colOff>
      <xdr:row>19</xdr:row>
      <xdr:rowOff>148527</xdr:rowOff>
    </xdr:to>
    <xdr:cxnSp macro="">
      <xdr:nvCxnSpPr>
        <xdr:cNvPr id="630" name="직선 연결선 629">
          <a:extLst>
            <a:ext uri="{FF2B5EF4-FFF2-40B4-BE49-F238E27FC236}">
              <a16:creationId xmlns:a16="http://schemas.microsoft.com/office/drawing/2014/main" id="{035EC66C-F6EA-4107-9BE0-209AF021EF55}"/>
            </a:ext>
          </a:extLst>
        </xdr:cNvPr>
        <xdr:cNvCxnSpPr/>
      </xdr:nvCxnSpPr>
      <xdr:spPr>
        <a:xfrm flipH="1">
          <a:off x="4958791" y="18637143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56145</xdr:colOff>
      <xdr:row>18</xdr:row>
      <xdr:rowOff>43006</xdr:rowOff>
    </xdr:from>
    <xdr:to>
      <xdr:col>44</xdr:col>
      <xdr:colOff>56147</xdr:colOff>
      <xdr:row>19</xdr:row>
      <xdr:rowOff>147190</xdr:rowOff>
    </xdr:to>
    <xdr:cxnSp macro="">
      <xdr:nvCxnSpPr>
        <xdr:cNvPr id="631" name="직선 연결선 630">
          <a:extLst>
            <a:ext uri="{FF2B5EF4-FFF2-40B4-BE49-F238E27FC236}">
              <a16:creationId xmlns:a16="http://schemas.microsoft.com/office/drawing/2014/main" id="{73C63F4C-58BB-4D39-BF12-AA20522314A2}"/>
            </a:ext>
          </a:extLst>
        </xdr:cNvPr>
        <xdr:cNvCxnSpPr/>
      </xdr:nvCxnSpPr>
      <xdr:spPr>
        <a:xfrm flipH="1">
          <a:off x="4319112" y="1863580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18</xdr:row>
      <xdr:rowOff>41669</xdr:rowOff>
    </xdr:from>
    <xdr:to>
      <xdr:col>35</xdr:col>
      <xdr:colOff>1336</xdr:colOff>
      <xdr:row>19</xdr:row>
      <xdr:rowOff>145853</xdr:rowOff>
    </xdr:to>
    <xdr:cxnSp macro="">
      <xdr:nvCxnSpPr>
        <xdr:cNvPr id="632" name="직선 연결선 631">
          <a:extLst>
            <a:ext uri="{FF2B5EF4-FFF2-40B4-BE49-F238E27FC236}">
              <a16:creationId xmlns:a16="http://schemas.microsoft.com/office/drawing/2014/main" id="{D2013F71-6326-438B-BE06-FF3D4FE6D66F}"/>
            </a:ext>
          </a:extLst>
        </xdr:cNvPr>
        <xdr:cNvCxnSpPr/>
      </xdr:nvCxnSpPr>
      <xdr:spPr>
        <a:xfrm flipH="1">
          <a:off x="3692801" y="18634469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784853</xdr:colOff>
      <xdr:row>17</xdr:row>
      <xdr:rowOff>170266</xdr:rowOff>
    </xdr:from>
    <xdr:ext cx="413768" cy="140872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5414AA49-B8BA-4F76-9BD4-61ACED9E3DE1}"/>
            </a:ext>
          </a:extLst>
        </xdr:cNvPr>
        <xdr:cNvSpPr txBox="1"/>
      </xdr:nvSpPr>
      <xdr:spPr>
        <a:xfrm>
          <a:off x="1437996" y="3360385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61403</xdr:colOff>
      <xdr:row>6</xdr:row>
      <xdr:rowOff>57708</xdr:rowOff>
    </xdr:from>
    <xdr:to>
      <xdr:col>24</xdr:col>
      <xdr:colOff>61405</xdr:colOff>
      <xdr:row>7</xdr:row>
      <xdr:rowOff>161892</xdr:rowOff>
    </xdr:to>
    <xdr:cxnSp macro="">
      <xdr:nvCxnSpPr>
        <xdr:cNvPr id="640" name="직선 연결선 639">
          <a:extLst>
            <a:ext uri="{FF2B5EF4-FFF2-40B4-BE49-F238E27FC236}">
              <a16:creationId xmlns:a16="http://schemas.microsoft.com/office/drawing/2014/main" id="{D8FAF5B2-7B60-41B0-9B87-04894EF0EF78}"/>
            </a:ext>
          </a:extLst>
        </xdr:cNvPr>
        <xdr:cNvCxnSpPr/>
      </xdr:nvCxnSpPr>
      <xdr:spPr>
        <a:xfrm flipH="1">
          <a:off x="3043225" y="18445931"/>
          <a:ext cx="2" cy="28779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1259</xdr:colOff>
      <xdr:row>4</xdr:row>
      <xdr:rowOff>27214</xdr:rowOff>
    </xdr:from>
    <xdr:to>
      <xdr:col>15</xdr:col>
      <xdr:colOff>1259</xdr:colOff>
      <xdr:row>7</xdr:row>
      <xdr:rowOff>148459</xdr:rowOff>
    </xdr:to>
    <xdr:cxnSp macro="">
      <xdr:nvCxnSpPr>
        <xdr:cNvPr id="641" name="직선 연결선 640">
          <a:extLst>
            <a:ext uri="{FF2B5EF4-FFF2-40B4-BE49-F238E27FC236}">
              <a16:creationId xmlns:a16="http://schemas.microsoft.com/office/drawing/2014/main" id="{98F2A006-6DDB-4AC3-A9C0-414ECEC83D34}"/>
            </a:ext>
          </a:extLst>
        </xdr:cNvPr>
        <xdr:cNvCxnSpPr/>
      </xdr:nvCxnSpPr>
      <xdr:spPr>
        <a:xfrm flipH="1">
          <a:off x="2616854" y="789214"/>
          <a:ext cx="0" cy="67460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55034</xdr:rowOff>
    </xdr:from>
    <xdr:to>
      <xdr:col>5</xdr:col>
      <xdr:colOff>2</xdr:colOff>
      <xdr:row>7</xdr:row>
      <xdr:rowOff>159218</xdr:rowOff>
    </xdr:to>
    <xdr:cxnSp macro="">
      <xdr:nvCxnSpPr>
        <xdr:cNvPr id="642" name="직선 연결선 641">
          <a:extLst>
            <a:ext uri="{FF2B5EF4-FFF2-40B4-BE49-F238E27FC236}">
              <a16:creationId xmlns:a16="http://schemas.microsoft.com/office/drawing/2014/main" id="{7E25DE6A-B7DB-44EE-9517-5CA8A60F33EC}"/>
            </a:ext>
          </a:extLst>
        </xdr:cNvPr>
        <xdr:cNvCxnSpPr/>
      </xdr:nvCxnSpPr>
      <xdr:spPr>
        <a:xfrm flipH="1">
          <a:off x="1786467" y="18647834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53554</xdr:colOff>
      <xdr:row>7</xdr:row>
      <xdr:rowOff>128148</xdr:rowOff>
    </xdr:from>
    <xdr:to>
      <xdr:col>20</xdr:col>
      <xdr:colOff>29230</xdr:colOff>
      <xdr:row>9</xdr:row>
      <xdr:rowOff>49354</xdr:rowOff>
    </xdr:to>
    <xdr:sp macro="" textlink="">
      <xdr:nvSpPr>
        <xdr:cNvPr id="646" name="자유형: 도형 645">
          <a:extLst>
            <a:ext uri="{FF2B5EF4-FFF2-40B4-BE49-F238E27FC236}">
              <a16:creationId xmlns:a16="http://schemas.microsoft.com/office/drawing/2014/main" id="{0B8D3378-C56C-4A89-86BD-4F474F35D24B}"/>
            </a:ext>
          </a:extLst>
        </xdr:cNvPr>
        <xdr:cNvSpPr/>
      </xdr:nvSpPr>
      <xdr:spPr>
        <a:xfrm>
          <a:off x="2719789" y="18699985"/>
          <a:ext cx="38793" cy="30373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50</xdr:row>
      <xdr:rowOff>3994</xdr:rowOff>
    </xdr:from>
    <xdr:to>
      <xdr:col>54</xdr:col>
      <xdr:colOff>60968</xdr:colOff>
      <xdr:row>50</xdr:row>
      <xdr:rowOff>187594</xdr:rowOff>
    </xdr:to>
    <xdr:sp macro="" textlink="">
      <xdr:nvSpPr>
        <xdr:cNvPr id="649" name="직사각형 648">
          <a:extLst>
            <a:ext uri="{FF2B5EF4-FFF2-40B4-BE49-F238E27FC236}">
              <a16:creationId xmlns:a16="http://schemas.microsoft.com/office/drawing/2014/main" id="{B53D76EE-16E4-485B-BF34-586FC3C96A5A}"/>
            </a:ext>
          </a:extLst>
        </xdr:cNvPr>
        <xdr:cNvSpPr/>
      </xdr:nvSpPr>
      <xdr:spPr>
        <a:xfrm>
          <a:off x="4904406" y="21062182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46</xdr:row>
      <xdr:rowOff>54329</xdr:rowOff>
    </xdr:from>
    <xdr:to>
      <xdr:col>85</xdr:col>
      <xdr:colOff>2280</xdr:colOff>
      <xdr:row>46</xdr:row>
      <xdr:rowOff>54329</xdr:rowOff>
    </xdr:to>
    <xdr:cxnSp macro="">
      <xdr:nvCxnSpPr>
        <xdr:cNvPr id="650" name="직선 화살표 연결선 649">
          <a:extLst>
            <a:ext uri="{FF2B5EF4-FFF2-40B4-BE49-F238E27FC236}">
              <a16:creationId xmlns:a16="http://schemas.microsoft.com/office/drawing/2014/main" id="{C80AFF3D-3543-4CA0-8BA5-D8BB617A327E}"/>
            </a:ext>
          </a:extLst>
        </xdr:cNvPr>
        <xdr:cNvCxnSpPr/>
      </xdr:nvCxnSpPr>
      <xdr:spPr>
        <a:xfrm flipV="1">
          <a:off x="6220218" y="203743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76</xdr:col>
      <xdr:colOff>48499</xdr:colOff>
      <xdr:row>45</xdr:row>
      <xdr:rowOff>166837</xdr:rowOff>
    </xdr:from>
    <xdr:ext cx="408638" cy="140872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959DEF21-37BF-4397-A390-392FC7206F31}"/>
            </a:ext>
          </a:extLst>
        </xdr:cNvPr>
        <xdr:cNvSpPr txBox="1"/>
      </xdr:nvSpPr>
      <xdr:spPr>
        <a:xfrm>
          <a:off x="6339535" y="8730266"/>
          <a:ext cx="40863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step</a:t>
          </a:r>
          <a:r>
            <a:rPr lang="en-US" altLang="ko-KR" sz="800" i="0">
              <a:solidFill>
                <a:schemeClr val="tx1"/>
              </a:solidFill>
            </a:rPr>
            <a:t>=512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74</xdr:col>
      <xdr:colOff>58081</xdr:colOff>
      <xdr:row>49</xdr:row>
      <xdr:rowOff>19111</xdr:rowOff>
    </xdr:from>
    <xdr:to>
      <xdr:col>81</xdr:col>
      <xdr:colOff>9581</xdr:colOff>
      <xdr:row>49</xdr:row>
      <xdr:rowOff>19111</xdr:rowOff>
    </xdr:to>
    <xdr:cxnSp macro="">
      <xdr:nvCxnSpPr>
        <xdr:cNvPr id="653" name="직선 화살표 연결선 652">
          <a:extLst>
            <a:ext uri="{FF2B5EF4-FFF2-40B4-BE49-F238E27FC236}">
              <a16:creationId xmlns:a16="http://schemas.microsoft.com/office/drawing/2014/main" id="{B2E6CA16-C70D-4B7C-97E9-012ADE2B596F}"/>
            </a:ext>
          </a:extLst>
        </xdr:cNvPr>
        <xdr:cNvCxnSpPr/>
      </xdr:nvCxnSpPr>
      <xdr:spPr>
        <a:xfrm flipV="1">
          <a:off x="6225519" y="20886799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49</xdr:row>
      <xdr:rowOff>16907</xdr:rowOff>
    </xdr:from>
    <xdr:to>
      <xdr:col>83</xdr:col>
      <xdr:colOff>4039</xdr:colOff>
      <xdr:row>49</xdr:row>
      <xdr:rowOff>16907</xdr:rowOff>
    </xdr:to>
    <xdr:cxnSp macro="">
      <xdr:nvCxnSpPr>
        <xdr:cNvPr id="654" name="직선 화살표 연결선 653">
          <a:extLst>
            <a:ext uri="{FF2B5EF4-FFF2-40B4-BE49-F238E27FC236}">
              <a16:creationId xmlns:a16="http://schemas.microsoft.com/office/drawing/2014/main" id="{D8602C94-7949-4912-BC4D-DC46975F3D48}"/>
            </a:ext>
          </a:extLst>
        </xdr:cNvPr>
        <xdr:cNvCxnSpPr/>
      </xdr:nvCxnSpPr>
      <xdr:spPr>
        <a:xfrm flipV="1">
          <a:off x="6598977" y="20884595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49</xdr:row>
      <xdr:rowOff>18650</xdr:rowOff>
    </xdr:from>
    <xdr:to>
      <xdr:col>85</xdr:col>
      <xdr:colOff>10941</xdr:colOff>
      <xdr:row>49</xdr:row>
      <xdr:rowOff>18650</xdr:rowOff>
    </xdr:to>
    <xdr:cxnSp macro="">
      <xdr:nvCxnSpPr>
        <xdr:cNvPr id="655" name="직선 화살표 연결선 654">
          <a:extLst>
            <a:ext uri="{FF2B5EF4-FFF2-40B4-BE49-F238E27FC236}">
              <a16:creationId xmlns:a16="http://schemas.microsoft.com/office/drawing/2014/main" id="{0F6C7F61-1BAC-46DD-A300-91655D99B7DD}"/>
            </a:ext>
          </a:extLst>
        </xdr:cNvPr>
        <xdr:cNvCxnSpPr/>
      </xdr:nvCxnSpPr>
      <xdr:spPr>
        <a:xfrm flipV="1">
          <a:off x="6732879" y="2088633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48</xdr:row>
      <xdr:rowOff>95312</xdr:rowOff>
    </xdr:from>
    <xdr:ext cx="116955" cy="93936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B48C1D1-4119-4B9B-9B36-CA5AAF3B043D}"/>
            </a:ext>
          </a:extLst>
        </xdr:cNvPr>
        <xdr:cNvSpPr txBox="1"/>
      </xdr:nvSpPr>
      <xdr:spPr>
        <a:xfrm>
          <a:off x="6364071" y="23169625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512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48</xdr:row>
      <xdr:rowOff>94250</xdr:rowOff>
    </xdr:from>
    <xdr:ext cx="116955" cy="93936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663FB2FF-8FDB-45F2-A456-221602C245E1}"/>
            </a:ext>
          </a:extLst>
        </xdr:cNvPr>
        <xdr:cNvSpPr txBox="1"/>
      </xdr:nvSpPr>
      <xdr:spPr>
        <a:xfrm>
          <a:off x="6734675" y="23168563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512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45</xdr:row>
      <xdr:rowOff>122313</xdr:rowOff>
    </xdr:from>
    <xdr:to>
      <xdr:col>84</xdr:col>
      <xdr:colOff>58520</xdr:colOff>
      <xdr:row>45</xdr:row>
      <xdr:rowOff>122313</xdr:rowOff>
    </xdr:to>
    <xdr:cxnSp macro="">
      <xdr:nvCxnSpPr>
        <xdr:cNvPr id="663" name="직선 화살표 연결선 662">
          <a:extLst>
            <a:ext uri="{FF2B5EF4-FFF2-40B4-BE49-F238E27FC236}">
              <a16:creationId xmlns:a16="http://schemas.microsoft.com/office/drawing/2014/main" id="{D24E8344-5343-4542-9F42-4DF9A2BECAD4}"/>
            </a:ext>
          </a:extLst>
        </xdr:cNvPr>
        <xdr:cNvCxnSpPr/>
      </xdr:nvCxnSpPr>
      <xdr:spPr>
        <a:xfrm flipV="1">
          <a:off x="1776867" y="20259751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48</xdr:row>
      <xdr:rowOff>95937</xdr:rowOff>
    </xdr:from>
    <xdr:ext cx="116955" cy="93936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2ACF2AF6-7E18-4E28-90C7-5D3C75EFE3A1}"/>
            </a:ext>
          </a:extLst>
        </xdr:cNvPr>
        <xdr:cNvSpPr txBox="1"/>
      </xdr:nvSpPr>
      <xdr:spPr>
        <a:xfrm>
          <a:off x="6599017" y="231702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512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17033</xdr:colOff>
      <xdr:row>45</xdr:row>
      <xdr:rowOff>51926</xdr:rowOff>
    </xdr:from>
    <xdr:ext cx="735842" cy="140872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71FD696D-3A47-4C6C-9196-CCFE73EA259F}"/>
            </a:ext>
          </a:extLst>
        </xdr:cNvPr>
        <xdr:cNvSpPr txBox="1"/>
      </xdr:nvSpPr>
      <xdr:spPr>
        <a:xfrm>
          <a:off x="4093128" y="8582093"/>
          <a:ext cx="73584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sv_no = </a:t>
          </a:r>
          <a:r>
            <a:rPr lang="en-US" altLang="ko-KR" sz="900" b="1" i="0">
              <a:solidFill>
                <a:schemeClr val="tx1"/>
              </a:solidFill>
            </a:rPr>
            <a:t>8</a:t>
          </a:r>
          <a:r>
            <a:rPr lang="en-US" altLang="ko-KR" sz="900" i="0">
              <a:solidFill>
                <a:schemeClr val="tx1"/>
              </a:solidFill>
            </a:rPr>
            <a:t> (</a:t>
          </a:r>
          <a:r>
            <a:rPr lang="en-US" altLang="ko-KR" sz="900" i="0">
              <a:solidFill>
                <a:srgbClr val="FF0000"/>
              </a:solidFill>
            </a:rPr>
            <a:t>fixed</a:t>
          </a:r>
          <a:r>
            <a:rPr lang="en-US" altLang="ko-KR" sz="900" i="0">
              <a:solidFill>
                <a:schemeClr val="tx1"/>
              </a:solidFill>
            </a:rPr>
            <a:t>)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oneCellAnchor>
  <xdr:twoCellAnchor>
    <xdr:from>
      <xdr:col>86</xdr:col>
      <xdr:colOff>10047</xdr:colOff>
      <xdr:row>45</xdr:row>
      <xdr:rowOff>107839</xdr:rowOff>
    </xdr:from>
    <xdr:to>
      <xdr:col>100</xdr:col>
      <xdr:colOff>17062</xdr:colOff>
      <xdr:row>46</xdr:row>
      <xdr:rowOff>150016</xdr:rowOff>
    </xdr:to>
    <xdr:grpSp>
      <xdr:nvGrpSpPr>
        <xdr:cNvPr id="678" name="그룹 677">
          <a:extLst>
            <a:ext uri="{FF2B5EF4-FFF2-40B4-BE49-F238E27FC236}">
              <a16:creationId xmlns:a16="http://schemas.microsoft.com/office/drawing/2014/main" id="{79BB0CD3-B5E1-498D-87C0-7CEB9F59791B}"/>
            </a:ext>
          </a:extLst>
        </xdr:cNvPr>
        <xdr:cNvGrpSpPr/>
      </xdr:nvGrpSpPr>
      <xdr:grpSpPr>
        <a:xfrm>
          <a:off x="7205391" y="8604933"/>
          <a:ext cx="896015" cy="224739"/>
          <a:chOff x="6934889" y="14017701"/>
          <a:chExt cx="896015" cy="225994"/>
        </a:xfrm>
      </xdr:grpSpPr>
      <xdr:sp macro="" textlink="">
        <xdr:nvSpPr>
          <xdr:cNvPr id="679" name="TextBox 678">
            <a:extLst>
              <a:ext uri="{FF2B5EF4-FFF2-40B4-BE49-F238E27FC236}">
                <a16:creationId xmlns:a16="http://schemas.microsoft.com/office/drawing/2014/main" id="{3E7B03D4-1672-8F30-44B6-C0D89291808C}"/>
              </a:ext>
            </a:extLst>
          </xdr:cNvPr>
          <xdr:cNvSpPr txBox="1"/>
        </xdr:nvSpPr>
        <xdr:spPr>
          <a:xfrm>
            <a:off x="6939569" y="14133502"/>
            <a:ext cx="469552" cy="11019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/8=512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80" name="TextBox 679">
            <a:extLst>
              <a:ext uri="{FF2B5EF4-FFF2-40B4-BE49-F238E27FC236}">
                <a16:creationId xmlns:a16="http://schemas.microsoft.com/office/drawing/2014/main" id="{F0AF9CED-124A-A16C-4250-9EA196CAE62B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48</xdr:row>
      <xdr:rowOff>45681</xdr:rowOff>
    </xdr:from>
    <xdr:to>
      <xdr:col>84</xdr:col>
      <xdr:colOff>62163</xdr:colOff>
      <xdr:row>49</xdr:row>
      <xdr:rowOff>149865</xdr:rowOff>
    </xdr:to>
    <xdr:cxnSp macro="">
      <xdr:nvCxnSpPr>
        <xdr:cNvPr id="681" name="직선 연결선 680">
          <a:extLst>
            <a:ext uri="{FF2B5EF4-FFF2-40B4-BE49-F238E27FC236}">
              <a16:creationId xmlns:a16="http://schemas.microsoft.com/office/drawing/2014/main" id="{2E0CFD44-B8D0-4940-A50D-DD870DE12AF4}"/>
            </a:ext>
          </a:extLst>
        </xdr:cNvPr>
        <xdr:cNvCxnSpPr/>
      </xdr:nvCxnSpPr>
      <xdr:spPr>
        <a:xfrm flipH="1">
          <a:off x="6864599" y="20730806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48</xdr:row>
      <xdr:rowOff>47686</xdr:rowOff>
    </xdr:from>
    <xdr:to>
      <xdr:col>75</xdr:col>
      <xdr:colOff>668</xdr:colOff>
      <xdr:row>49</xdr:row>
      <xdr:rowOff>151870</xdr:rowOff>
    </xdr:to>
    <xdr:cxnSp macro="">
      <xdr:nvCxnSpPr>
        <xdr:cNvPr id="682" name="직선 연결선 681">
          <a:extLst>
            <a:ext uri="{FF2B5EF4-FFF2-40B4-BE49-F238E27FC236}">
              <a16:creationId xmlns:a16="http://schemas.microsoft.com/office/drawing/2014/main" id="{B8D210A0-A5B3-4320-9C9B-CDB862F71DEF}"/>
            </a:ext>
          </a:extLst>
        </xdr:cNvPr>
        <xdr:cNvCxnSpPr/>
      </xdr:nvCxnSpPr>
      <xdr:spPr>
        <a:xfrm flipH="1">
          <a:off x="6231604" y="20732811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48</xdr:row>
      <xdr:rowOff>52365</xdr:rowOff>
    </xdr:from>
    <xdr:to>
      <xdr:col>65</xdr:col>
      <xdr:colOff>2005</xdr:colOff>
      <xdr:row>49</xdr:row>
      <xdr:rowOff>156549</xdr:rowOff>
    </xdr:to>
    <xdr:cxnSp macro="">
      <xdr:nvCxnSpPr>
        <xdr:cNvPr id="683" name="직선 연결선 682">
          <a:extLst>
            <a:ext uri="{FF2B5EF4-FFF2-40B4-BE49-F238E27FC236}">
              <a16:creationId xmlns:a16="http://schemas.microsoft.com/office/drawing/2014/main" id="{067B0978-BADE-43C4-85B1-386933472394}"/>
            </a:ext>
          </a:extLst>
        </xdr:cNvPr>
        <xdr:cNvCxnSpPr/>
      </xdr:nvCxnSpPr>
      <xdr:spPr>
        <a:xfrm flipH="1">
          <a:off x="5597941" y="20737490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62692</xdr:colOff>
      <xdr:row>48</xdr:row>
      <xdr:rowOff>44343</xdr:rowOff>
    </xdr:from>
    <xdr:to>
      <xdr:col>54</xdr:col>
      <xdr:colOff>62694</xdr:colOff>
      <xdr:row>49</xdr:row>
      <xdr:rowOff>148527</xdr:rowOff>
    </xdr:to>
    <xdr:cxnSp macro="">
      <xdr:nvCxnSpPr>
        <xdr:cNvPr id="684" name="직선 연결선 683">
          <a:extLst>
            <a:ext uri="{FF2B5EF4-FFF2-40B4-BE49-F238E27FC236}">
              <a16:creationId xmlns:a16="http://schemas.microsoft.com/office/drawing/2014/main" id="{DA3063CE-9678-4FAE-BE90-B0C1D0AE43A4}"/>
            </a:ext>
          </a:extLst>
        </xdr:cNvPr>
        <xdr:cNvCxnSpPr/>
      </xdr:nvCxnSpPr>
      <xdr:spPr>
        <a:xfrm flipH="1">
          <a:off x="4957795" y="23354446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61749</xdr:colOff>
      <xdr:row>48</xdr:row>
      <xdr:rowOff>43006</xdr:rowOff>
    </xdr:from>
    <xdr:to>
      <xdr:col>44</xdr:col>
      <xdr:colOff>61751</xdr:colOff>
      <xdr:row>49</xdr:row>
      <xdr:rowOff>147190</xdr:rowOff>
    </xdr:to>
    <xdr:cxnSp macro="">
      <xdr:nvCxnSpPr>
        <xdr:cNvPr id="685" name="직선 연결선 684">
          <a:extLst>
            <a:ext uri="{FF2B5EF4-FFF2-40B4-BE49-F238E27FC236}">
              <a16:creationId xmlns:a16="http://schemas.microsoft.com/office/drawing/2014/main" id="{BAD26349-C7E9-4728-8E07-76BCBF48CCB4}"/>
            </a:ext>
          </a:extLst>
        </xdr:cNvPr>
        <xdr:cNvCxnSpPr/>
      </xdr:nvCxnSpPr>
      <xdr:spPr>
        <a:xfrm flipH="1">
          <a:off x="4321852" y="23353109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48</xdr:row>
      <xdr:rowOff>41669</xdr:rowOff>
    </xdr:from>
    <xdr:to>
      <xdr:col>35</xdr:col>
      <xdr:colOff>1336</xdr:colOff>
      <xdr:row>49</xdr:row>
      <xdr:rowOff>145853</xdr:rowOff>
    </xdr:to>
    <xdr:cxnSp macro="">
      <xdr:nvCxnSpPr>
        <xdr:cNvPr id="686" name="직선 연결선 685">
          <a:extLst>
            <a:ext uri="{FF2B5EF4-FFF2-40B4-BE49-F238E27FC236}">
              <a16:creationId xmlns:a16="http://schemas.microsoft.com/office/drawing/2014/main" id="{26F4A376-ACB0-452C-91C6-696D20F07EDB}"/>
            </a:ext>
          </a:extLst>
        </xdr:cNvPr>
        <xdr:cNvCxnSpPr/>
      </xdr:nvCxnSpPr>
      <xdr:spPr>
        <a:xfrm flipH="1">
          <a:off x="3692272" y="20726794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780317</xdr:colOff>
      <xdr:row>47</xdr:row>
      <xdr:rowOff>155146</xdr:rowOff>
    </xdr:from>
    <xdr:ext cx="413768" cy="140872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2D9C9A68-3A30-44DE-92D5-1523758B3024}"/>
            </a:ext>
          </a:extLst>
        </xdr:cNvPr>
        <xdr:cNvSpPr txBox="1"/>
      </xdr:nvSpPr>
      <xdr:spPr>
        <a:xfrm>
          <a:off x="1433460" y="9054217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63224</xdr:colOff>
      <xdr:row>48</xdr:row>
      <xdr:rowOff>58234</xdr:rowOff>
    </xdr:from>
    <xdr:to>
      <xdr:col>24</xdr:col>
      <xdr:colOff>63226</xdr:colOff>
      <xdr:row>49</xdr:row>
      <xdr:rowOff>162418</xdr:rowOff>
    </xdr:to>
    <xdr:cxnSp macro="">
      <xdr:nvCxnSpPr>
        <xdr:cNvPr id="688" name="직선 연결선 687">
          <a:extLst>
            <a:ext uri="{FF2B5EF4-FFF2-40B4-BE49-F238E27FC236}">
              <a16:creationId xmlns:a16="http://schemas.microsoft.com/office/drawing/2014/main" id="{62D07918-1877-4999-BA15-66A4120F6872}"/>
            </a:ext>
          </a:extLst>
        </xdr:cNvPr>
        <xdr:cNvCxnSpPr/>
      </xdr:nvCxnSpPr>
      <xdr:spPr>
        <a:xfrm flipH="1">
          <a:off x="3053327" y="23368337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2517</xdr:colOff>
      <xdr:row>48</xdr:row>
      <xdr:rowOff>56897</xdr:rowOff>
    </xdr:from>
    <xdr:to>
      <xdr:col>15</xdr:col>
      <xdr:colOff>2519</xdr:colOff>
      <xdr:row>49</xdr:row>
      <xdr:rowOff>161081</xdr:rowOff>
    </xdr:to>
    <xdr:cxnSp macro="">
      <xdr:nvCxnSpPr>
        <xdr:cNvPr id="689" name="직선 연결선 688">
          <a:extLst>
            <a:ext uri="{FF2B5EF4-FFF2-40B4-BE49-F238E27FC236}">
              <a16:creationId xmlns:a16="http://schemas.microsoft.com/office/drawing/2014/main" id="{A9B9AC35-DBAA-4EBA-8CEA-6D72784846E5}"/>
            </a:ext>
          </a:extLst>
        </xdr:cNvPr>
        <xdr:cNvCxnSpPr/>
      </xdr:nvCxnSpPr>
      <xdr:spPr>
        <a:xfrm flipH="1">
          <a:off x="2421120" y="23367000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63498</xdr:colOff>
      <xdr:row>48</xdr:row>
      <xdr:rowOff>55560</xdr:rowOff>
    </xdr:from>
    <xdr:to>
      <xdr:col>5</xdr:col>
      <xdr:colOff>0</xdr:colOff>
      <xdr:row>49</xdr:row>
      <xdr:rowOff>159744</xdr:rowOff>
    </xdr:to>
    <xdr:cxnSp macro="">
      <xdr:nvCxnSpPr>
        <xdr:cNvPr id="690" name="직선 연결선 689">
          <a:extLst>
            <a:ext uri="{FF2B5EF4-FFF2-40B4-BE49-F238E27FC236}">
              <a16:creationId xmlns:a16="http://schemas.microsoft.com/office/drawing/2014/main" id="{85D74577-9763-4A09-9950-A363D3E9A355}"/>
            </a:ext>
          </a:extLst>
        </xdr:cNvPr>
        <xdr:cNvCxnSpPr/>
      </xdr:nvCxnSpPr>
      <xdr:spPr>
        <a:xfrm flipH="1">
          <a:off x="1785936" y="23129873"/>
          <a:ext cx="2" cy="2867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0</xdr:colOff>
      <xdr:row>51</xdr:row>
      <xdr:rowOff>97953</xdr:rowOff>
    </xdr:from>
    <xdr:to>
      <xdr:col>81</xdr:col>
      <xdr:colOff>5474</xdr:colOff>
      <xdr:row>51</xdr:row>
      <xdr:rowOff>97953</xdr:rowOff>
    </xdr:to>
    <xdr:cxnSp macro="">
      <xdr:nvCxnSpPr>
        <xdr:cNvPr id="692" name="직선 화살표 연결선 691">
          <a:extLst>
            <a:ext uri="{FF2B5EF4-FFF2-40B4-BE49-F238E27FC236}">
              <a16:creationId xmlns:a16="http://schemas.microsoft.com/office/drawing/2014/main" id="{1637FA56-BE38-4354-A04F-D7DC1CB9B4C3}"/>
            </a:ext>
          </a:extLst>
        </xdr:cNvPr>
        <xdr:cNvCxnSpPr/>
      </xdr:nvCxnSpPr>
      <xdr:spPr>
        <a:xfrm flipV="1">
          <a:off x="6471596" y="24038804"/>
          <a:ext cx="19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44315</xdr:colOff>
      <xdr:row>51</xdr:row>
      <xdr:rowOff>94981</xdr:rowOff>
    </xdr:from>
    <xdr:to>
      <xdr:col>83</xdr:col>
      <xdr:colOff>23964</xdr:colOff>
      <xdr:row>51</xdr:row>
      <xdr:rowOff>94981</xdr:rowOff>
    </xdr:to>
    <xdr:cxnSp macro="">
      <xdr:nvCxnSpPr>
        <xdr:cNvPr id="693" name="직선 화살표 연결선 692">
          <a:extLst>
            <a:ext uri="{FF2B5EF4-FFF2-40B4-BE49-F238E27FC236}">
              <a16:creationId xmlns:a16="http://schemas.microsoft.com/office/drawing/2014/main" id="{DF0DC13E-772E-40A2-8ED8-404081F20CDE}"/>
            </a:ext>
          </a:extLst>
        </xdr:cNvPr>
        <xdr:cNvCxnSpPr/>
      </xdr:nvCxnSpPr>
      <xdr:spPr>
        <a:xfrm flipV="1">
          <a:off x="6708437" y="24035832"/>
          <a:ext cx="10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48098</xdr:colOff>
      <xdr:row>51</xdr:row>
      <xdr:rowOff>92008</xdr:rowOff>
    </xdr:from>
    <xdr:to>
      <xdr:col>85</xdr:col>
      <xdr:colOff>27747</xdr:colOff>
      <xdr:row>51</xdr:row>
      <xdr:rowOff>92008</xdr:rowOff>
    </xdr:to>
    <xdr:cxnSp macro="">
      <xdr:nvCxnSpPr>
        <xdr:cNvPr id="695" name="직선 화살표 연결선 694">
          <a:extLst>
            <a:ext uri="{FF2B5EF4-FFF2-40B4-BE49-F238E27FC236}">
              <a16:creationId xmlns:a16="http://schemas.microsoft.com/office/drawing/2014/main" id="{7DBFD299-40C0-4FED-A60E-CB721F043ACB}"/>
            </a:ext>
          </a:extLst>
        </xdr:cNvPr>
        <xdr:cNvCxnSpPr/>
      </xdr:nvCxnSpPr>
      <xdr:spPr>
        <a:xfrm flipV="1">
          <a:off x="6840571" y="24032859"/>
          <a:ext cx="10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27484</xdr:colOff>
      <xdr:row>51</xdr:row>
      <xdr:rowOff>139027</xdr:rowOff>
    </xdr:from>
    <xdr:ext cx="136576" cy="109582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3134DCA2-0C87-4509-88FB-9339ACFBDADD}"/>
            </a:ext>
          </a:extLst>
        </xdr:cNvPr>
        <xdr:cNvSpPr txBox="1"/>
      </xdr:nvSpPr>
      <xdr:spPr>
        <a:xfrm>
          <a:off x="6499080" y="2407987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81</xdr:col>
      <xdr:colOff>24125</xdr:colOff>
      <xdr:row>51</xdr:row>
      <xdr:rowOff>136368</xdr:rowOff>
    </xdr:from>
    <xdr:ext cx="136576" cy="109582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642CF0D-A8BB-483C-AA1D-E2D4C0340C8C}"/>
            </a:ext>
          </a:extLst>
        </xdr:cNvPr>
        <xdr:cNvSpPr txBox="1"/>
      </xdr:nvSpPr>
      <xdr:spPr>
        <a:xfrm>
          <a:off x="6688247" y="24077219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83</xdr:col>
      <xdr:colOff>61651</xdr:colOff>
      <xdr:row>51</xdr:row>
      <xdr:rowOff>132417</xdr:rowOff>
    </xdr:from>
    <xdr:ext cx="136576" cy="109582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EBB21DF8-EA4D-4C4C-82B2-E452429B2E0F}"/>
            </a:ext>
          </a:extLst>
        </xdr:cNvPr>
        <xdr:cNvSpPr txBox="1"/>
      </xdr:nvSpPr>
      <xdr:spPr>
        <a:xfrm>
          <a:off x="6854124" y="240732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45</xdr:col>
      <xdr:colOff>14658</xdr:colOff>
      <xdr:row>400</xdr:row>
      <xdr:rowOff>3344</xdr:rowOff>
    </xdr:from>
    <xdr:to>
      <xdr:col>45</xdr:col>
      <xdr:colOff>29058</xdr:colOff>
      <xdr:row>400</xdr:row>
      <xdr:rowOff>183344</xdr:rowOff>
    </xdr:to>
    <xdr:sp macro="" textlink="">
      <xdr:nvSpPr>
        <xdr:cNvPr id="448" name="직사각형 447">
          <a:extLst>
            <a:ext uri="{FF2B5EF4-FFF2-40B4-BE49-F238E27FC236}">
              <a16:creationId xmlns:a16="http://schemas.microsoft.com/office/drawing/2014/main" id="{C0865049-1476-49FA-897D-42D803818324}"/>
            </a:ext>
          </a:extLst>
        </xdr:cNvPr>
        <xdr:cNvSpPr/>
      </xdr:nvSpPr>
      <xdr:spPr>
        <a:xfrm>
          <a:off x="4087125" y="1518877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47</xdr:col>
      <xdr:colOff>1797</xdr:colOff>
      <xdr:row>400</xdr:row>
      <xdr:rowOff>3994</xdr:rowOff>
    </xdr:from>
    <xdr:to>
      <xdr:col>47</xdr:col>
      <xdr:colOff>44997</xdr:colOff>
      <xdr:row>400</xdr:row>
      <xdr:rowOff>191194</xdr:rowOff>
    </xdr:to>
    <xdr:sp macro="" textlink="">
      <xdr:nvSpPr>
        <xdr:cNvPr id="451" name="직사각형 450">
          <a:extLst>
            <a:ext uri="{FF2B5EF4-FFF2-40B4-BE49-F238E27FC236}">
              <a16:creationId xmlns:a16="http://schemas.microsoft.com/office/drawing/2014/main" id="{73120EC5-ECA9-447C-8911-77A99991DC75}"/>
            </a:ext>
          </a:extLst>
        </xdr:cNvPr>
        <xdr:cNvSpPr/>
      </xdr:nvSpPr>
      <xdr:spPr>
        <a:xfrm>
          <a:off x="4201264" y="1519527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</xdr:col>
      <xdr:colOff>50240</xdr:colOff>
      <xdr:row>396</xdr:row>
      <xdr:rowOff>84809</xdr:rowOff>
    </xdr:from>
    <xdr:to>
      <xdr:col>18</xdr:col>
      <xdr:colOff>63240</xdr:colOff>
      <xdr:row>396</xdr:row>
      <xdr:rowOff>84809</xdr:rowOff>
    </xdr:to>
    <xdr:cxnSp macro="">
      <xdr:nvCxnSpPr>
        <xdr:cNvPr id="457" name="직선 화살표 연결선 456">
          <a:extLst>
            <a:ext uri="{FF2B5EF4-FFF2-40B4-BE49-F238E27FC236}">
              <a16:creationId xmlns:a16="http://schemas.microsoft.com/office/drawing/2014/main" id="{343F0472-1ACE-4847-82FD-C9AED3ACB87A}"/>
            </a:ext>
          </a:extLst>
        </xdr:cNvPr>
        <xdr:cNvCxnSpPr/>
      </xdr:nvCxnSpPr>
      <xdr:spPr>
        <a:xfrm flipV="1">
          <a:off x="1773207" y="85104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1759</xdr:colOff>
      <xdr:row>396</xdr:row>
      <xdr:rowOff>13211</xdr:rowOff>
    </xdr:from>
    <xdr:ext cx="248722" cy="125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1A680306-B2F3-49EA-AB8D-E449F601A69A}"/>
            </a:ext>
          </a:extLst>
        </xdr:cNvPr>
        <xdr:cNvSpPr txBox="1"/>
      </xdr:nvSpPr>
      <xdr:spPr>
        <a:xfrm>
          <a:off x="1978726" y="779444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8</xdr:col>
      <xdr:colOff>54429</xdr:colOff>
      <xdr:row>395</xdr:row>
      <xdr:rowOff>122313</xdr:rowOff>
    </xdr:from>
    <xdr:to>
      <xdr:col>88</xdr:col>
      <xdr:colOff>58520</xdr:colOff>
      <xdr:row>395</xdr:row>
      <xdr:rowOff>122313</xdr:rowOff>
    </xdr:to>
    <xdr:cxnSp macro="">
      <xdr:nvCxnSpPr>
        <xdr:cNvPr id="487" name="직선 화살표 연결선 486">
          <a:extLst>
            <a:ext uri="{FF2B5EF4-FFF2-40B4-BE49-F238E27FC236}">
              <a16:creationId xmlns:a16="http://schemas.microsoft.com/office/drawing/2014/main" id="{31FBC240-0AE5-432B-9708-AEA4EA860749}"/>
            </a:ext>
          </a:extLst>
        </xdr:cNvPr>
        <xdr:cNvCxnSpPr/>
      </xdr:nvCxnSpPr>
      <xdr:spPr>
        <a:xfrm flipV="1">
          <a:off x="2031396" y="38916580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21569</xdr:colOff>
      <xdr:row>395</xdr:row>
      <xdr:rowOff>52277</xdr:rowOff>
    </xdr:from>
    <xdr:ext cx="428835" cy="125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98499806-F256-438C-99A0-3D12A87257F7}"/>
            </a:ext>
          </a:extLst>
        </xdr:cNvPr>
        <xdr:cNvSpPr txBox="1"/>
      </xdr:nvSpPr>
      <xdr:spPr>
        <a:xfrm>
          <a:off x="4492716" y="6478118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78</xdr:col>
      <xdr:colOff>53710</xdr:colOff>
      <xdr:row>397</xdr:row>
      <xdr:rowOff>54382</xdr:rowOff>
    </xdr:from>
    <xdr:ext cx="77970" cy="93936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1343B6A0-955D-4F82-A40C-277D92D92D07}"/>
            </a:ext>
          </a:extLst>
        </xdr:cNvPr>
        <xdr:cNvSpPr txBox="1"/>
      </xdr:nvSpPr>
      <xdr:spPr>
        <a:xfrm>
          <a:off x="622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68</xdr:col>
      <xdr:colOff>53710</xdr:colOff>
      <xdr:row>397</xdr:row>
      <xdr:rowOff>54382</xdr:rowOff>
    </xdr:from>
    <xdr:ext cx="77970" cy="93936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2CA8F3FA-A2FB-4A77-B053-143EC352E3D2}"/>
            </a:ext>
          </a:extLst>
        </xdr:cNvPr>
        <xdr:cNvSpPr txBox="1"/>
      </xdr:nvSpPr>
      <xdr:spPr>
        <a:xfrm>
          <a:off x="558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58</xdr:col>
      <xdr:colOff>53710</xdr:colOff>
      <xdr:row>397</xdr:row>
      <xdr:rowOff>54382</xdr:rowOff>
    </xdr:from>
    <xdr:ext cx="77970" cy="93936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E3FF720B-1A7B-436F-AD14-79F0A7DF3553}"/>
            </a:ext>
          </a:extLst>
        </xdr:cNvPr>
        <xdr:cNvSpPr txBox="1"/>
      </xdr:nvSpPr>
      <xdr:spPr>
        <a:xfrm>
          <a:off x="495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48</xdr:col>
      <xdr:colOff>53710</xdr:colOff>
      <xdr:row>397</xdr:row>
      <xdr:rowOff>54382</xdr:rowOff>
    </xdr:from>
    <xdr:ext cx="77970" cy="93936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DE7B46AC-BF15-46A3-89B0-149751A08036}"/>
            </a:ext>
          </a:extLst>
        </xdr:cNvPr>
        <xdr:cNvSpPr txBox="1"/>
      </xdr:nvSpPr>
      <xdr:spPr>
        <a:xfrm>
          <a:off x="431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38</xdr:col>
      <xdr:colOff>53710</xdr:colOff>
      <xdr:row>397</xdr:row>
      <xdr:rowOff>54382</xdr:rowOff>
    </xdr:from>
    <xdr:ext cx="77970" cy="93936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F4426A41-D797-4FFB-A4CF-50C16532F99E}"/>
            </a:ext>
          </a:extLst>
        </xdr:cNvPr>
        <xdr:cNvSpPr txBox="1"/>
      </xdr:nvSpPr>
      <xdr:spPr>
        <a:xfrm>
          <a:off x="368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53710</xdr:colOff>
      <xdr:row>397</xdr:row>
      <xdr:rowOff>54382</xdr:rowOff>
    </xdr:from>
    <xdr:ext cx="77970" cy="93936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505164B-959E-4725-B586-65F96EFF8E7D}"/>
            </a:ext>
          </a:extLst>
        </xdr:cNvPr>
        <xdr:cNvSpPr txBox="1"/>
      </xdr:nvSpPr>
      <xdr:spPr>
        <a:xfrm>
          <a:off x="304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23</xdr:col>
      <xdr:colOff>58516</xdr:colOff>
      <xdr:row>397</xdr:row>
      <xdr:rowOff>85665</xdr:rowOff>
    </xdr:from>
    <xdr:to>
      <xdr:col>24</xdr:col>
      <xdr:colOff>24666</xdr:colOff>
      <xdr:row>398</xdr:row>
      <xdr:rowOff>9851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3F38CF19-B8CB-4FDE-A1CE-031640CE243B}"/>
            </a:ext>
          </a:extLst>
        </xdr:cNvPr>
        <xdr:cNvGrpSpPr/>
      </xdr:nvGrpSpPr>
      <xdr:grpSpPr>
        <a:xfrm>
          <a:off x="3253360" y="70280946"/>
          <a:ext cx="29650" cy="106749"/>
          <a:chOff x="11556979" y="1922463"/>
          <a:chExt cx="188140" cy="204787"/>
        </a:xfrm>
      </xdr:grpSpPr>
      <xdr:sp macro="" textlink="">
        <xdr:nvSpPr>
          <xdr:cNvPr id="500" name="자유형: 도형 499">
            <a:extLst>
              <a:ext uri="{FF2B5EF4-FFF2-40B4-BE49-F238E27FC236}">
                <a16:creationId xmlns:a16="http://schemas.microsoft.com/office/drawing/2014/main" id="{7C5B5EC4-E098-7CE6-490D-F54B3E3591E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2" name="자유형: 도형 501">
            <a:extLst>
              <a:ext uri="{FF2B5EF4-FFF2-40B4-BE49-F238E27FC236}">
                <a16:creationId xmlns:a16="http://schemas.microsoft.com/office/drawing/2014/main" id="{7308B3C3-3AB4-1025-45EA-129936142CB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786685</xdr:colOff>
      <xdr:row>397</xdr:row>
      <xdr:rowOff>154650</xdr:rowOff>
    </xdr:from>
    <xdr:ext cx="413768" cy="140872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797DD699-4982-4549-8A5F-16E6F11BEF79}"/>
            </a:ext>
          </a:extLst>
        </xdr:cNvPr>
        <xdr:cNvSpPr txBox="1"/>
      </xdr:nvSpPr>
      <xdr:spPr>
        <a:xfrm>
          <a:off x="1440361" y="65249621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0</xdr:colOff>
      <xdr:row>395</xdr:row>
      <xdr:rowOff>75594</xdr:rowOff>
    </xdr:from>
    <xdr:to>
      <xdr:col>9</xdr:col>
      <xdr:colOff>0</xdr:colOff>
      <xdr:row>399</xdr:row>
      <xdr:rowOff>147122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221E7E70-5287-4F40-8684-A4B878B3B522}"/>
            </a:ext>
          </a:extLst>
        </xdr:cNvPr>
        <xdr:cNvCxnSpPr/>
      </xdr:nvCxnSpPr>
      <xdr:spPr>
        <a:xfrm>
          <a:off x="2234595" y="65852523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53554</xdr:colOff>
      <xdr:row>399</xdr:row>
      <xdr:rowOff>128148</xdr:rowOff>
    </xdr:from>
    <xdr:to>
      <xdr:col>24</xdr:col>
      <xdr:colOff>29230</xdr:colOff>
      <xdr:row>401</xdr:row>
      <xdr:rowOff>49354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4CBEC18D-9441-41F0-AD19-1CDBE1906565}"/>
            </a:ext>
          </a:extLst>
        </xdr:cNvPr>
        <xdr:cNvSpPr/>
      </xdr:nvSpPr>
      <xdr:spPr>
        <a:xfrm>
          <a:off x="2729021" y="1453181"/>
          <a:ext cx="39176" cy="30220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10</xdr:col>
      <xdr:colOff>23813</xdr:colOff>
      <xdr:row>113</xdr:row>
      <xdr:rowOff>47278</xdr:rowOff>
    </xdr:from>
    <xdr:ext cx="193002" cy="109582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C61CA7-062F-4DC9-8FA3-11580C4CBFB1}"/>
            </a:ext>
          </a:extLst>
        </xdr:cNvPr>
        <xdr:cNvSpPr txBox="1"/>
      </xdr:nvSpPr>
      <xdr:spPr>
        <a:xfrm>
          <a:off x="2321908" y="21265349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28</xdr:col>
      <xdr:colOff>21432</xdr:colOff>
      <xdr:row>113</xdr:row>
      <xdr:rowOff>56803</xdr:rowOff>
    </xdr:from>
    <xdr:ext cx="193002" cy="109582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F0BF63A-F1F6-4549-A624-AF9090E941F2}"/>
            </a:ext>
          </a:extLst>
        </xdr:cNvPr>
        <xdr:cNvSpPr txBox="1"/>
      </xdr:nvSpPr>
      <xdr:spPr>
        <a:xfrm>
          <a:off x="3462527" y="21274874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37</xdr:col>
      <xdr:colOff>30957</xdr:colOff>
      <xdr:row>113</xdr:row>
      <xdr:rowOff>58390</xdr:rowOff>
    </xdr:from>
    <xdr:ext cx="193002" cy="109582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3296A946-0034-4114-A0D9-3D4E1C5C462C}"/>
            </a:ext>
          </a:extLst>
        </xdr:cNvPr>
        <xdr:cNvSpPr txBox="1"/>
      </xdr:nvSpPr>
      <xdr:spPr>
        <a:xfrm>
          <a:off x="4043552" y="21276461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10</xdr:col>
      <xdr:colOff>32544</xdr:colOff>
      <xdr:row>141</xdr:row>
      <xdr:rowOff>40249</xdr:rowOff>
    </xdr:from>
    <xdr:ext cx="220445" cy="125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6725589C-9938-4A6E-8AB8-EB761D8895C7}"/>
            </a:ext>
          </a:extLst>
        </xdr:cNvPr>
        <xdr:cNvSpPr txBox="1"/>
      </xdr:nvSpPr>
      <xdr:spPr>
        <a:xfrm>
          <a:off x="2332151" y="26782820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32</xdr:col>
      <xdr:colOff>26194</xdr:colOff>
      <xdr:row>141</xdr:row>
      <xdr:rowOff>41836</xdr:rowOff>
    </xdr:from>
    <xdr:ext cx="220445" cy="125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7D946623-FEC4-478A-89AD-AA35242DCC1C}"/>
            </a:ext>
          </a:extLst>
        </xdr:cNvPr>
        <xdr:cNvSpPr txBox="1"/>
      </xdr:nvSpPr>
      <xdr:spPr>
        <a:xfrm>
          <a:off x="3722801" y="26784407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8</xdr:col>
      <xdr:colOff>31750</xdr:colOff>
      <xdr:row>369</xdr:row>
      <xdr:rowOff>3972</xdr:rowOff>
    </xdr:from>
    <xdr:to>
      <xdr:col>8</xdr:col>
      <xdr:colOff>31750</xdr:colOff>
      <xdr:row>370</xdr:row>
      <xdr:rowOff>181410</xdr:rowOff>
    </xdr:to>
    <xdr:cxnSp macro="">
      <xdr:nvCxnSpPr>
        <xdr:cNvPr id="476" name="직선 화살표 연결선 475">
          <a:extLst>
            <a:ext uri="{FF2B5EF4-FFF2-40B4-BE49-F238E27FC236}">
              <a16:creationId xmlns:a16="http://schemas.microsoft.com/office/drawing/2014/main" id="{652408C3-E3B1-58B5-2721-0E6F6A105853}"/>
            </a:ext>
          </a:extLst>
        </xdr:cNvPr>
        <xdr:cNvCxnSpPr/>
      </xdr:nvCxnSpPr>
      <xdr:spPr>
        <a:xfrm flipH="1">
          <a:off x="2008188" y="33460535"/>
          <a:ext cx="0" cy="36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41275</xdr:colOff>
      <xdr:row>370</xdr:row>
      <xdr:rowOff>1587</xdr:rowOff>
    </xdr:from>
    <xdr:to>
      <xdr:col>11</xdr:col>
      <xdr:colOff>41275</xdr:colOff>
      <xdr:row>370</xdr:row>
      <xdr:rowOff>181587</xdr:rowOff>
    </xdr:to>
    <xdr:cxnSp macro="">
      <xdr:nvCxnSpPr>
        <xdr:cNvPr id="482" name="직선 화살표 연결선 481">
          <a:extLst>
            <a:ext uri="{FF2B5EF4-FFF2-40B4-BE49-F238E27FC236}">
              <a16:creationId xmlns:a16="http://schemas.microsoft.com/office/drawing/2014/main" id="{FF746FC8-32FD-48FB-AB69-4AE6C9BA6271}"/>
            </a:ext>
          </a:extLst>
        </xdr:cNvPr>
        <xdr:cNvCxnSpPr/>
      </xdr:nvCxnSpPr>
      <xdr:spPr>
        <a:xfrm flipH="1">
          <a:off x="2208213" y="33640712"/>
          <a:ext cx="0" cy="18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3968</xdr:colOff>
      <xdr:row>368</xdr:row>
      <xdr:rowOff>55562</xdr:rowOff>
    </xdr:from>
    <xdr:to>
      <xdr:col>26</xdr:col>
      <xdr:colOff>15874</xdr:colOff>
      <xdr:row>370</xdr:row>
      <xdr:rowOff>23812</xdr:rowOff>
    </xdr:to>
    <xdr:sp macro="" textlink="">
      <xdr:nvSpPr>
        <xdr:cNvPr id="490" name="오른쪽 중괄호 489">
          <a:extLst>
            <a:ext uri="{FF2B5EF4-FFF2-40B4-BE49-F238E27FC236}">
              <a16:creationId xmlns:a16="http://schemas.microsoft.com/office/drawing/2014/main" id="{C052680C-B1F5-BF9F-1685-95E290D98BFF}"/>
            </a:ext>
          </a:extLst>
        </xdr:cNvPr>
        <xdr:cNvSpPr/>
      </xdr:nvSpPr>
      <xdr:spPr>
        <a:xfrm>
          <a:off x="3059906" y="33329562"/>
          <a:ext cx="75406" cy="333375"/>
        </a:xfrm>
        <a:prstGeom prst="rightBrace">
          <a:avLst/>
        </a:prstGeom>
        <a:ln w="3175"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7937</xdr:colOff>
      <xdr:row>369</xdr:row>
      <xdr:rowOff>47625</xdr:rowOff>
    </xdr:from>
    <xdr:to>
      <xdr:col>77</xdr:col>
      <xdr:colOff>7937</xdr:colOff>
      <xdr:row>374</xdr:row>
      <xdr:rowOff>174625</xdr:rowOff>
    </xdr:to>
    <xdr:sp macro="" textlink="">
      <xdr:nvSpPr>
        <xdr:cNvPr id="505" name="자유형: 도형 504">
          <a:extLst>
            <a:ext uri="{FF2B5EF4-FFF2-40B4-BE49-F238E27FC236}">
              <a16:creationId xmlns:a16="http://schemas.microsoft.com/office/drawing/2014/main" id="{23296B1C-C99B-3007-4ED9-5DBB0B0BD44D}"/>
            </a:ext>
          </a:extLst>
        </xdr:cNvPr>
        <xdr:cNvSpPr/>
      </xdr:nvSpPr>
      <xdr:spPr>
        <a:xfrm>
          <a:off x="3190875" y="33504188"/>
          <a:ext cx="3175000" cy="1039812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00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33</xdr:col>
      <xdr:colOff>29763</xdr:colOff>
      <xdr:row>373</xdr:row>
      <xdr:rowOff>35896</xdr:rowOff>
    </xdr:from>
    <xdr:ext cx="281039" cy="109582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10A2ED3-5ED8-4B60-8948-F1F81DA140A4}"/>
            </a:ext>
          </a:extLst>
        </xdr:cNvPr>
        <xdr:cNvSpPr txBox="1"/>
      </xdr:nvSpPr>
      <xdr:spPr>
        <a:xfrm>
          <a:off x="3339701" y="34222709"/>
          <a:ext cx="2810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fllcnt(n)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26371</xdr:colOff>
      <xdr:row>368</xdr:row>
      <xdr:rowOff>162244</xdr:rowOff>
    </xdr:from>
    <xdr:ext cx="125227" cy="34035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A1140A0D-804F-4BF4-9938-2F6F4D2EDA5E}"/>
            </a:ext>
          </a:extLst>
        </xdr:cNvPr>
        <xdr:cNvSpPr txBox="1"/>
      </xdr:nvSpPr>
      <xdr:spPr>
        <a:xfrm rot="16200000">
          <a:off x="3355748" y="33543805"/>
          <a:ext cx="3403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fllcnt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31</xdr:col>
      <xdr:colOff>15477</xdr:colOff>
      <xdr:row>366</xdr:row>
      <xdr:rowOff>114693</xdr:rowOff>
    </xdr:from>
    <xdr:to>
      <xdr:col>69</xdr:col>
      <xdr:colOff>59530</xdr:colOff>
      <xdr:row>367</xdr:row>
      <xdr:rowOff>35714</xdr:rowOff>
    </xdr:to>
    <xdr:sp macro="" textlink="">
      <xdr:nvSpPr>
        <xdr:cNvPr id="509" name="오른쪽 중괄호 508">
          <a:extLst>
            <a:ext uri="{FF2B5EF4-FFF2-40B4-BE49-F238E27FC236}">
              <a16:creationId xmlns:a16="http://schemas.microsoft.com/office/drawing/2014/main" id="{D92884CF-C372-4AC9-A86B-B1357B355058}"/>
            </a:ext>
          </a:extLst>
        </xdr:cNvPr>
        <xdr:cNvSpPr/>
      </xdr:nvSpPr>
      <xdr:spPr>
        <a:xfrm rot="16200000">
          <a:off x="4629150" y="31846833"/>
          <a:ext cx="103584" cy="2457053"/>
        </a:xfrm>
        <a:prstGeom prst="rightBrace">
          <a:avLst/>
        </a:prstGeom>
        <a:ln w="3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39686</xdr:colOff>
      <xdr:row>367</xdr:row>
      <xdr:rowOff>35718</xdr:rowOff>
    </xdr:from>
    <xdr:to>
      <xdr:col>76</xdr:col>
      <xdr:colOff>51593</xdr:colOff>
      <xdr:row>374</xdr:row>
      <xdr:rowOff>115094</xdr:rowOff>
    </xdr:to>
    <xdr:sp macro="" textlink="">
      <xdr:nvSpPr>
        <xdr:cNvPr id="510" name="자유형: 도형 509">
          <a:extLst>
            <a:ext uri="{FF2B5EF4-FFF2-40B4-BE49-F238E27FC236}">
              <a16:creationId xmlns:a16="http://schemas.microsoft.com/office/drawing/2014/main" id="{88FEB657-C295-4B8F-AA74-2BE5E0CF8DB3}"/>
            </a:ext>
          </a:extLst>
        </xdr:cNvPr>
        <xdr:cNvSpPr/>
      </xdr:nvSpPr>
      <xdr:spPr>
        <a:xfrm>
          <a:off x="5953124" y="33127156"/>
          <a:ext cx="392907" cy="1357313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FF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1981</xdr:colOff>
      <xdr:row>367</xdr:row>
      <xdr:rowOff>111417</xdr:rowOff>
    </xdr:from>
    <xdr:ext cx="117083" cy="125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B1919445-5A5A-4CE8-8727-321DDA6141D5}"/>
            </a:ext>
          </a:extLst>
        </xdr:cNvPr>
        <xdr:cNvSpPr txBox="1"/>
      </xdr:nvSpPr>
      <xdr:spPr>
        <a:xfrm>
          <a:off x="2359419" y="33202855"/>
          <a:ext cx="11708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XC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49</xdr:col>
      <xdr:colOff>38154</xdr:colOff>
      <xdr:row>365</xdr:row>
      <xdr:rowOff>171402</xdr:rowOff>
    </xdr:from>
    <xdr:ext cx="115929" cy="125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DA5F3D8-8A2B-4B5D-93CA-B8012FD35DE7}"/>
            </a:ext>
          </a:extLst>
        </xdr:cNvPr>
        <xdr:cNvSpPr txBox="1"/>
      </xdr:nvSpPr>
      <xdr:spPr>
        <a:xfrm>
          <a:off x="4882297" y="67789831"/>
          <a:ext cx="11592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XD</a:t>
          </a:r>
          <a:endParaRPr lang="ko-KR" altLang="en-US" sz="7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125</xdr:col>
      <xdr:colOff>181429</xdr:colOff>
      <xdr:row>370</xdr:row>
      <xdr:rowOff>13692</xdr:rowOff>
    </xdr:from>
    <xdr:to>
      <xdr:col>133</xdr:col>
      <xdr:colOff>129945</xdr:colOff>
      <xdr:row>382</xdr:row>
      <xdr:rowOff>168122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35761A2F-7757-C43F-729B-B061C56FCD4D}"/>
            </a:ext>
          </a:extLst>
        </xdr:cNvPr>
        <xdr:cNvGrpSpPr/>
      </xdr:nvGrpSpPr>
      <xdr:grpSpPr>
        <a:xfrm>
          <a:off x="10361273" y="65279786"/>
          <a:ext cx="3754547" cy="2345180"/>
          <a:chOff x="10371667" y="61179311"/>
          <a:chExt cx="3673849" cy="2367859"/>
        </a:xfrm>
      </xdr:grpSpPr>
      <xdr:sp macro="" textlink="">
        <xdr:nvSpPr>
          <xdr:cNvPr id="294" name="직사각형 293">
            <a:extLst>
              <a:ext uri="{FF2B5EF4-FFF2-40B4-BE49-F238E27FC236}">
                <a16:creationId xmlns:a16="http://schemas.microsoft.com/office/drawing/2014/main" id="{4AD32436-80D6-3772-9E9F-0DF8A1371141}"/>
              </a:ext>
            </a:extLst>
          </xdr:cNvPr>
          <xdr:cNvSpPr/>
        </xdr:nvSpPr>
        <xdr:spPr>
          <a:xfrm>
            <a:off x="12598364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5" name="직사각형 294">
            <a:extLst>
              <a:ext uri="{FF2B5EF4-FFF2-40B4-BE49-F238E27FC236}">
                <a16:creationId xmlns:a16="http://schemas.microsoft.com/office/drawing/2014/main" id="{98AB30FF-73FF-061D-E86C-5E6FDA181CA8}"/>
              </a:ext>
            </a:extLst>
          </xdr:cNvPr>
          <xdr:cNvSpPr/>
        </xdr:nvSpPr>
        <xdr:spPr>
          <a:xfrm>
            <a:off x="12601126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18364A12-EF06-4CEC-E847-4FB8D079107E}"/>
              </a:ext>
            </a:extLst>
          </xdr:cNvPr>
          <xdr:cNvSpPr/>
        </xdr:nvSpPr>
        <xdr:spPr>
          <a:xfrm>
            <a:off x="12596775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7" name="직사각형 296">
            <a:extLst>
              <a:ext uri="{FF2B5EF4-FFF2-40B4-BE49-F238E27FC236}">
                <a16:creationId xmlns:a16="http://schemas.microsoft.com/office/drawing/2014/main" id="{5A8043E9-5165-3F08-7593-C77773A9B866}"/>
              </a:ext>
            </a:extLst>
          </xdr:cNvPr>
          <xdr:cNvSpPr/>
        </xdr:nvSpPr>
        <xdr:spPr>
          <a:xfrm>
            <a:off x="12590229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>
                <a:solidFill>
                  <a:schemeClr val="tx1"/>
                </a:solidFill>
                <a:effectLst/>
              </a:rPr>
              <a:t>sv2_off</a:t>
            </a:r>
            <a:endParaRPr lang="ko-KR" altLang="ko-KR" sz="10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298" name="직사각형 297">
            <a:extLst>
              <a:ext uri="{FF2B5EF4-FFF2-40B4-BE49-F238E27FC236}">
                <a16:creationId xmlns:a16="http://schemas.microsoft.com/office/drawing/2014/main" id="{D7105CB0-FD5A-4FD1-D31D-40EEADB7419C}"/>
              </a:ext>
            </a:extLst>
          </xdr:cNvPr>
          <xdr:cNvSpPr/>
        </xdr:nvSpPr>
        <xdr:spPr>
          <a:xfrm>
            <a:off x="12590229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00" name="직사각형 299">
            <a:extLst>
              <a:ext uri="{FF2B5EF4-FFF2-40B4-BE49-F238E27FC236}">
                <a16:creationId xmlns:a16="http://schemas.microsoft.com/office/drawing/2014/main" id="{4CD8EB93-B529-D2F9-0DC7-CBE15682B3AB}"/>
              </a:ext>
            </a:extLst>
          </xdr:cNvPr>
          <xdr:cNvSpPr/>
        </xdr:nvSpPr>
        <xdr:spPr>
          <a:xfrm>
            <a:off x="12755091" y="61224323"/>
            <a:ext cx="605457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1DE1A878-8B4E-9303-A1F4-9762852EA103}"/>
              </a:ext>
            </a:extLst>
          </xdr:cNvPr>
          <xdr:cNvSpPr/>
        </xdr:nvSpPr>
        <xdr:spPr>
          <a:xfrm>
            <a:off x="10445637" y="62110741"/>
            <a:ext cx="425111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write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384" name="직사각형 383">
            <a:extLst>
              <a:ext uri="{FF2B5EF4-FFF2-40B4-BE49-F238E27FC236}">
                <a16:creationId xmlns:a16="http://schemas.microsoft.com/office/drawing/2014/main" id="{010769D3-84D0-F2DE-A745-C4EC5203F4C2}"/>
              </a:ext>
            </a:extLst>
          </xdr:cNvPr>
          <xdr:cNvSpPr/>
        </xdr:nvSpPr>
        <xdr:spPr>
          <a:xfrm>
            <a:off x="11019279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D05B1157-27CB-F378-3F58-E8095039A06E}"/>
              </a:ext>
            </a:extLst>
          </xdr:cNvPr>
          <xdr:cNvSpPr/>
        </xdr:nvSpPr>
        <xdr:spPr>
          <a:xfrm>
            <a:off x="11022042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 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91" name="직사각형 390">
            <a:extLst>
              <a:ext uri="{FF2B5EF4-FFF2-40B4-BE49-F238E27FC236}">
                <a16:creationId xmlns:a16="http://schemas.microsoft.com/office/drawing/2014/main" id="{DCD35EA1-6D6C-CCEE-C44A-D239C5D207B1}"/>
              </a:ext>
            </a:extLst>
          </xdr:cNvPr>
          <xdr:cNvSpPr/>
        </xdr:nvSpPr>
        <xdr:spPr>
          <a:xfrm>
            <a:off x="11017691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4" name="직사각형 403">
            <a:extLst>
              <a:ext uri="{FF2B5EF4-FFF2-40B4-BE49-F238E27FC236}">
                <a16:creationId xmlns:a16="http://schemas.microsoft.com/office/drawing/2014/main" id="{90505176-2A20-C573-74AE-A6554255AFFA}"/>
              </a:ext>
            </a:extLst>
          </xdr:cNvPr>
          <xdr:cNvSpPr/>
        </xdr:nvSpPr>
        <xdr:spPr>
          <a:xfrm>
            <a:off x="11011144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sv2_off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5" name="직사각형 404">
            <a:extLst>
              <a:ext uri="{FF2B5EF4-FFF2-40B4-BE49-F238E27FC236}">
                <a16:creationId xmlns:a16="http://schemas.microsoft.com/office/drawing/2014/main" id="{4E2EA566-7731-8C50-8FA0-A904BC4A1958}"/>
              </a:ext>
            </a:extLst>
          </xdr:cNvPr>
          <xdr:cNvSpPr/>
        </xdr:nvSpPr>
        <xdr:spPr>
          <a:xfrm>
            <a:off x="11011144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22" name="직사각형 421">
            <a:extLst>
              <a:ext uri="{FF2B5EF4-FFF2-40B4-BE49-F238E27FC236}">
                <a16:creationId xmlns:a16="http://schemas.microsoft.com/office/drawing/2014/main" id="{BD54FBED-F9A5-2563-1301-8BF3E67CBF9A}"/>
              </a:ext>
            </a:extLst>
          </xdr:cNvPr>
          <xdr:cNvSpPr/>
        </xdr:nvSpPr>
        <xdr:spPr>
          <a:xfrm>
            <a:off x="11010841" y="61179311"/>
            <a:ext cx="936862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423" name="직선 화살표 연결선 422">
            <a:extLst>
              <a:ext uri="{FF2B5EF4-FFF2-40B4-BE49-F238E27FC236}">
                <a16:creationId xmlns:a16="http://schemas.microsoft.com/office/drawing/2014/main" id="{DA0BE08A-EB2C-8BB3-1858-B64E09B24A04}"/>
              </a:ext>
            </a:extLst>
          </xdr:cNvPr>
          <xdr:cNvCxnSpPr/>
        </xdr:nvCxnSpPr>
        <xdr:spPr>
          <a:xfrm>
            <a:off x="10371667" y="62295135"/>
            <a:ext cx="57695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4" name="직선 화살표 연결선 423">
            <a:extLst>
              <a:ext uri="{FF2B5EF4-FFF2-40B4-BE49-F238E27FC236}">
                <a16:creationId xmlns:a16="http://schemas.microsoft.com/office/drawing/2014/main" id="{855F3943-A921-26CD-6060-1BCA8CFB17A5}"/>
              </a:ext>
            </a:extLst>
          </xdr:cNvPr>
          <xdr:cNvCxnSpPr/>
        </xdr:nvCxnSpPr>
        <xdr:spPr>
          <a:xfrm>
            <a:off x="11993586" y="62304532"/>
            <a:ext cx="54089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5" name="직사각형 424">
            <a:extLst>
              <a:ext uri="{FF2B5EF4-FFF2-40B4-BE49-F238E27FC236}">
                <a16:creationId xmlns:a16="http://schemas.microsoft.com/office/drawing/2014/main" id="{B5C3CA03-CB13-3E25-6DD3-07A087917913}"/>
              </a:ext>
            </a:extLst>
          </xdr:cNvPr>
          <xdr:cNvSpPr/>
        </xdr:nvSpPr>
        <xdr:spPr>
          <a:xfrm>
            <a:off x="11970991" y="61928375"/>
            <a:ext cx="626842" cy="32214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VSYNCI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4732FEE2-DF5C-56C4-8C48-EFBE17EA83BE}"/>
              </a:ext>
            </a:extLst>
          </xdr:cNvPr>
          <xdr:cNvSpPr/>
        </xdr:nvSpPr>
        <xdr:spPr>
          <a:xfrm>
            <a:off x="10550949" y="63370232"/>
            <a:ext cx="405008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read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548" name="직선 화살표 연결선 547">
            <a:extLst>
              <a:ext uri="{FF2B5EF4-FFF2-40B4-BE49-F238E27FC236}">
                <a16:creationId xmlns:a16="http://schemas.microsoft.com/office/drawing/2014/main" id="{56C6AF4D-3CC4-86C7-050B-4644EAAAAA2B}"/>
              </a:ext>
            </a:extLst>
          </xdr:cNvPr>
          <xdr:cNvCxnSpPr/>
        </xdr:nvCxnSpPr>
        <xdr:spPr>
          <a:xfrm flipH="1" flipV="1">
            <a:off x="10403520" y="63547170"/>
            <a:ext cx="364199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3" name="직선 화살표 연결선 562">
            <a:extLst>
              <a:ext uri="{FF2B5EF4-FFF2-40B4-BE49-F238E27FC236}">
                <a16:creationId xmlns:a16="http://schemas.microsoft.com/office/drawing/2014/main" id="{40D083F7-83AF-7516-D27A-326B82785483}"/>
              </a:ext>
            </a:extLst>
          </xdr:cNvPr>
          <xdr:cNvCxnSpPr/>
        </xdr:nvCxnSpPr>
        <xdr:spPr>
          <a:xfrm flipH="1" flipV="1">
            <a:off x="13574003" y="62296514"/>
            <a:ext cx="468772" cy="157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4" name="직선 화살표 연결선 583">
            <a:extLst>
              <a:ext uri="{FF2B5EF4-FFF2-40B4-BE49-F238E27FC236}">
                <a16:creationId xmlns:a16="http://schemas.microsoft.com/office/drawing/2014/main" id="{8FD39483-1161-20FF-7DB1-BB4832997529}"/>
              </a:ext>
            </a:extLst>
          </xdr:cNvPr>
          <xdr:cNvCxnSpPr/>
        </xdr:nvCxnSpPr>
        <xdr:spPr>
          <a:xfrm flipV="1">
            <a:off x="14041846" y="62290558"/>
            <a:ext cx="0" cy="125041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6" name="직사각형 635">
            <a:extLst>
              <a:ext uri="{FF2B5EF4-FFF2-40B4-BE49-F238E27FC236}">
                <a16:creationId xmlns:a16="http://schemas.microsoft.com/office/drawing/2014/main" id="{550EA4DA-01F9-09CD-CC8E-48710F5DF691}"/>
              </a:ext>
            </a:extLst>
          </xdr:cNvPr>
          <xdr:cNvSpPr/>
        </xdr:nvSpPr>
        <xdr:spPr>
          <a:xfrm>
            <a:off x="10999245" y="62824324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37" name="직사각형 636">
            <a:extLst>
              <a:ext uri="{FF2B5EF4-FFF2-40B4-BE49-F238E27FC236}">
                <a16:creationId xmlns:a16="http://schemas.microsoft.com/office/drawing/2014/main" id="{E9895B84-AD51-4D34-6B2B-F69FAADCA69F}"/>
              </a:ext>
            </a:extLst>
          </xdr:cNvPr>
          <xdr:cNvSpPr/>
        </xdr:nvSpPr>
        <xdr:spPr>
          <a:xfrm>
            <a:off x="12590316" y="63203478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previous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52" name="직사각형 651">
            <a:extLst>
              <a:ext uri="{FF2B5EF4-FFF2-40B4-BE49-F238E27FC236}">
                <a16:creationId xmlns:a16="http://schemas.microsoft.com/office/drawing/2014/main" id="{07B4AA12-D8F1-6C8C-D269-551AFA6E2B8B}"/>
              </a:ext>
            </a:extLst>
          </xdr:cNvPr>
          <xdr:cNvSpPr/>
        </xdr:nvSpPr>
        <xdr:spPr>
          <a:xfrm>
            <a:off x="12578331" y="62839377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677" name="직선 화살표 연결선 676">
            <a:extLst>
              <a:ext uri="{FF2B5EF4-FFF2-40B4-BE49-F238E27FC236}">
                <a16:creationId xmlns:a16="http://schemas.microsoft.com/office/drawing/2014/main" id="{A05B79D9-4237-8492-D57F-FD49C73DCC11}"/>
              </a:ext>
            </a:extLst>
          </xdr:cNvPr>
          <xdr:cNvCxnSpPr/>
        </xdr:nvCxnSpPr>
        <xdr:spPr>
          <a:xfrm>
            <a:off x="13065077" y="63058013"/>
            <a:ext cx="0" cy="142905"/>
          </a:xfrm>
          <a:prstGeom prst="straightConnector1">
            <a:avLst/>
          </a:prstGeom>
          <a:ln w="6350">
            <a:solidFill>
              <a:srgbClr val="FF0000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2" name="직사각형 701">
            <a:extLst>
              <a:ext uri="{FF2B5EF4-FFF2-40B4-BE49-F238E27FC236}">
                <a16:creationId xmlns:a16="http://schemas.microsoft.com/office/drawing/2014/main" id="{31192BD8-5785-28EE-E42D-84BFA3D4E140}"/>
              </a:ext>
            </a:extLst>
          </xdr:cNvPr>
          <xdr:cNvSpPr/>
        </xdr:nvSpPr>
        <xdr:spPr>
          <a:xfrm>
            <a:off x="13617082" y="61436132"/>
            <a:ext cx="419973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125</xdr:col>
      <xdr:colOff>282339</xdr:colOff>
      <xdr:row>385</xdr:row>
      <xdr:rowOff>140607</xdr:rowOff>
    </xdr:from>
    <xdr:to>
      <xdr:col>140</xdr:col>
      <xdr:colOff>165826</xdr:colOff>
      <xdr:row>397</xdr:row>
      <xdr:rowOff>145675</xdr:rowOff>
    </xdr:to>
    <xdr:grpSp>
      <xdr:nvGrpSpPr>
        <xdr:cNvPr id="447" name="그룹 446">
          <a:extLst>
            <a:ext uri="{FF2B5EF4-FFF2-40B4-BE49-F238E27FC236}">
              <a16:creationId xmlns:a16="http://schemas.microsoft.com/office/drawing/2014/main" id="{BC814B0B-DBA2-B95E-2DB1-9E4692BD6FD7}"/>
            </a:ext>
          </a:extLst>
        </xdr:cNvPr>
        <xdr:cNvGrpSpPr/>
      </xdr:nvGrpSpPr>
      <xdr:grpSpPr>
        <a:xfrm>
          <a:off x="10462183" y="68145138"/>
          <a:ext cx="5745331" cy="2195818"/>
          <a:chOff x="9789182" y="41964429"/>
          <a:chExt cx="5667759" cy="2236639"/>
        </a:xfrm>
      </xdr:grpSpPr>
      <xdr:sp macro="" textlink="">
        <xdr:nvSpPr>
          <xdr:cNvPr id="704" name="직사각형 703">
            <a:extLst>
              <a:ext uri="{FF2B5EF4-FFF2-40B4-BE49-F238E27FC236}">
                <a16:creationId xmlns:a16="http://schemas.microsoft.com/office/drawing/2014/main" id="{CFAD5069-0D77-9897-2815-1C7F47A6790E}"/>
              </a:ext>
            </a:extLst>
          </xdr:cNvPr>
          <xdr:cNvSpPr/>
        </xdr:nvSpPr>
        <xdr:spPr>
          <a:xfrm>
            <a:off x="11948694" y="4216425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1FA96FCD-C244-1203-3B8E-D8FCD27DEAED}"/>
              </a:ext>
            </a:extLst>
          </xdr:cNvPr>
          <xdr:cNvSpPr/>
        </xdr:nvSpPr>
        <xdr:spPr>
          <a:xfrm>
            <a:off x="11941560" y="4242926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6" name="직사각형 705">
            <a:extLst>
              <a:ext uri="{FF2B5EF4-FFF2-40B4-BE49-F238E27FC236}">
                <a16:creationId xmlns:a16="http://schemas.microsoft.com/office/drawing/2014/main" id="{31386CEC-1105-764B-C5A9-7A88CB591DAD}"/>
              </a:ext>
            </a:extLst>
          </xdr:cNvPr>
          <xdr:cNvSpPr/>
        </xdr:nvSpPr>
        <xdr:spPr>
          <a:xfrm>
            <a:off x="11938452" y="4321067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7" name="직사각형 706">
            <a:extLst>
              <a:ext uri="{FF2B5EF4-FFF2-40B4-BE49-F238E27FC236}">
                <a16:creationId xmlns:a16="http://schemas.microsoft.com/office/drawing/2014/main" id="{35EB7011-D6E2-1ADD-2B10-3DFD5A5E5A52}"/>
              </a:ext>
            </a:extLst>
          </xdr:cNvPr>
          <xdr:cNvSpPr/>
        </xdr:nvSpPr>
        <xdr:spPr>
          <a:xfrm>
            <a:off x="11941560" y="42680664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8" name="직사각형 707">
            <a:extLst>
              <a:ext uri="{FF2B5EF4-FFF2-40B4-BE49-F238E27FC236}">
                <a16:creationId xmlns:a16="http://schemas.microsoft.com/office/drawing/2014/main" id="{3F206C8D-4E42-EDF7-CA1B-0D34FE9D5130}"/>
              </a:ext>
            </a:extLst>
          </xdr:cNvPr>
          <xdr:cNvSpPr/>
        </xdr:nvSpPr>
        <xdr:spPr>
          <a:xfrm>
            <a:off x="11941560" y="42945672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9" name="직사각형 708">
            <a:extLst>
              <a:ext uri="{FF2B5EF4-FFF2-40B4-BE49-F238E27FC236}">
                <a16:creationId xmlns:a16="http://schemas.microsoft.com/office/drawing/2014/main" id="{EF4B98D2-127F-6A5B-F412-02E8AFB043F4}"/>
              </a:ext>
            </a:extLst>
          </xdr:cNvPr>
          <xdr:cNvSpPr/>
        </xdr:nvSpPr>
        <xdr:spPr>
          <a:xfrm>
            <a:off x="11945225" y="4347264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0" name="직사각형 709">
            <a:extLst>
              <a:ext uri="{FF2B5EF4-FFF2-40B4-BE49-F238E27FC236}">
                <a16:creationId xmlns:a16="http://schemas.microsoft.com/office/drawing/2014/main" id="{C5B552DC-30C3-A4B4-F7B6-D4133932A75C}"/>
              </a:ext>
            </a:extLst>
          </xdr:cNvPr>
          <xdr:cNvSpPr/>
        </xdr:nvSpPr>
        <xdr:spPr>
          <a:xfrm>
            <a:off x="11945225" y="4374369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F07A6AF0-168B-10F0-4F37-F798EDE01298}"/>
              </a:ext>
            </a:extLst>
          </xdr:cNvPr>
          <xdr:cNvSpPr/>
        </xdr:nvSpPr>
        <xdr:spPr>
          <a:xfrm>
            <a:off x="12050897" y="41973967"/>
            <a:ext cx="604460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2" name="직사각형 711">
            <a:extLst>
              <a:ext uri="{FF2B5EF4-FFF2-40B4-BE49-F238E27FC236}">
                <a16:creationId xmlns:a16="http://schemas.microsoft.com/office/drawing/2014/main" id="{369976D9-7794-6D0B-542F-BDB45848D9D3}"/>
              </a:ext>
            </a:extLst>
          </xdr:cNvPr>
          <xdr:cNvSpPr/>
        </xdr:nvSpPr>
        <xdr:spPr>
          <a:xfrm>
            <a:off x="10435567" y="4217486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3" name="직사각형 712">
            <a:extLst>
              <a:ext uri="{FF2B5EF4-FFF2-40B4-BE49-F238E27FC236}">
                <a16:creationId xmlns:a16="http://schemas.microsoft.com/office/drawing/2014/main" id="{7D4268FF-10F5-CA62-648C-F33AA7454D5A}"/>
              </a:ext>
            </a:extLst>
          </xdr:cNvPr>
          <xdr:cNvSpPr/>
        </xdr:nvSpPr>
        <xdr:spPr>
          <a:xfrm>
            <a:off x="10437505" y="4243080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DA986346-F2BE-38B5-F700-132AE36E4C40}"/>
              </a:ext>
            </a:extLst>
          </xdr:cNvPr>
          <xdr:cNvSpPr/>
        </xdr:nvSpPr>
        <xdr:spPr>
          <a:xfrm>
            <a:off x="10438933" y="43225826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5" name="직사각형 714">
            <a:extLst>
              <a:ext uri="{FF2B5EF4-FFF2-40B4-BE49-F238E27FC236}">
                <a16:creationId xmlns:a16="http://schemas.microsoft.com/office/drawing/2014/main" id="{A3B1EF70-9A16-56C9-E0B9-1C256909FBCF}"/>
              </a:ext>
            </a:extLst>
          </xdr:cNvPr>
          <xdr:cNvSpPr/>
        </xdr:nvSpPr>
        <xdr:spPr>
          <a:xfrm>
            <a:off x="10437505" y="4269581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6" name="직사각형 715">
            <a:extLst>
              <a:ext uri="{FF2B5EF4-FFF2-40B4-BE49-F238E27FC236}">
                <a16:creationId xmlns:a16="http://schemas.microsoft.com/office/drawing/2014/main" id="{CE3FBB2B-58D7-8AD8-9AA9-A69D13F99383}"/>
              </a:ext>
            </a:extLst>
          </xdr:cNvPr>
          <xdr:cNvSpPr/>
        </xdr:nvSpPr>
        <xdr:spPr>
          <a:xfrm>
            <a:off x="10437505" y="4296082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7" name="직사각형 716">
            <a:extLst>
              <a:ext uri="{FF2B5EF4-FFF2-40B4-BE49-F238E27FC236}">
                <a16:creationId xmlns:a16="http://schemas.microsoft.com/office/drawing/2014/main" id="{F239CF55-75D4-FCA3-8F63-C94B153FFF02}"/>
              </a:ext>
            </a:extLst>
          </xdr:cNvPr>
          <xdr:cNvSpPr/>
        </xdr:nvSpPr>
        <xdr:spPr>
          <a:xfrm>
            <a:off x="10441170" y="4348779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8" name="직사각형 717">
            <a:extLst>
              <a:ext uri="{FF2B5EF4-FFF2-40B4-BE49-F238E27FC236}">
                <a16:creationId xmlns:a16="http://schemas.microsoft.com/office/drawing/2014/main" id="{9CDA7E40-B9A1-0725-2C7F-6A33FFE54513}"/>
              </a:ext>
            </a:extLst>
          </xdr:cNvPr>
          <xdr:cNvSpPr/>
        </xdr:nvSpPr>
        <xdr:spPr>
          <a:xfrm>
            <a:off x="10441170" y="4375883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9" name="직사각형 718">
            <a:extLst>
              <a:ext uri="{FF2B5EF4-FFF2-40B4-BE49-F238E27FC236}">
                <a16:creationId xmlns:a16="http://schemas.microsoft.com/office/drawing/2014/main" id="{504E6ADB-DB1A-A1A7-82C2-6A6C2077B954}"/>
              </a:ext>
            </a:extLst>
          </xdr:cNvPr>
          <xdr:cNvSpPr/>
        </xdr:nvSpPr>
        <xdr:spPr>
          <a:xfrm>
            <a:off x="9823078" y="42699214"/>
            <a:ext cx="520527" cy="32463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write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0" name="직선 화살표 연결선 719">
            <a:extLst>
              <a:ext uri="{FF2B5EF4-FFF2-40B4-BE49-F238E27FC236}">
                <a16:creationId xmlns:a16="http://schemas.microsoft.com/office/drawing/2014/main" id="{69C655E9-CCE0-809C-3612-29168DF2CD33}"/>
              </a:ext>
            </a:extLst>
          </xdr:cNvPr>
          <xdr:cNvCxnSpPr/>
        </xdr:nvCxnSpPr>
        <xdr:spPr>
          <a:xfrm>
            <a:off x="9820931" y="43068332"/>
            <a:ext cx="576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1" name="직선 화살표 연결선 720">
            <a:extLst>
              <a:ext uri="{FF2B5EF4-FFF2-40B4-BE49-F238E27FC236}">
                <a16:creationId xmlns:a16="http://schemas.microsoft.com/office/drawing/2014/main" id="{57FBF906-4C1B-CFD0-C346-7ACF925F540D}"/>
              </a:ext>
            </a:extLst>
          </xdr:cNvPr>
          <xdr:cNvCxnSpPr/>
        </xdr:nvCxnSpPr>
        <xdr:spPr>
          <a:xfrm>
            <a:off x="11393205" y="43047150"/>
            <a:ext cx="504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2" name="직사각형 721">
            <a:extLst>
              <a:ext uri="{FF2B5EF4-FFF2-40B4-BE49-F238E27FC236}">
                <a16:creationId xmlns:a16="http://schemas.microsoft.com/office/drawing/2014/main" id="{027615BB-5313-176A-3557-E45C15853644}"/>
              </a:ext>
            </a:extLst>
          </xdr:cNvPr>
          <xdr:cNvSpPr/>
        </xdr:nvSpPr>
        <xdr:spPr>
          <a:xfrm>
            <a:off x="11407975" y="42689631"/>
            <a:ext cx="418000" cy="35429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3" name="직사각형 722">
            <a:extLst>
              <a:ext uri="{FF2B5EF4-FFF2-40B4-BE49-F238E27FC236}">
                <a16:creationId xmlns:a16="http://schemas.microsoft.com/office/drawing/2014/main" id="{E0F302C2-09AA-FDA9-6ED7-E6DB7903D61B}"/>
              </a:ext>
            </a:extLst>
          </xdr:cNvPr>
          <xdr:cNvSpPr/>
        </xdr:nvSpPr>
        <xdr:spPr>
          <a:xfrm>
            <a:off x="9850018" y="44024451"/>
            <a:ext cx="774699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read 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4" name="직선 화살표 연결선 723">
            <a:extLst>
              <a:ext uri="{FF2B5EF4-FFF2-40B4-BE49-F238E27FC236}">
                <a16:creationId xmlns:a16="http://schemas.microsoft.com/office/drawing/2014/main" id="{9F1DB657-165E-E36A-4E6B-321933380F83}"/>
              </a:ext>
            </a:extLst>
          </xdr:cNvPr>
          <xdr:cNvCxnSpPr/>
        </xdr:nvCxnSpPr>
        <xdr:spPr>
          <a:xfrm flipH="1" flipV="1">
            <a:off x="9789182" y="44201068"/>
            <a:ext cx="3492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5" name="직선 화살표 연결선 724">
            <a:extLst>
              <a:ext uri="{FF2B5EF4-FFF2-40B4-BE49-F238E27FC236}">
                <a16:creationId xmlns:a16="http://schemas.microsoft.com/office/drawing/2014/main" id="{18794270-D247-62CC-A742-7593AE858F41}"/>
              </a:ext>
            </a:extLst>
          </xdr:cNvPr>
          <xdr:cNvCxnSpPr/>
        </xdr:nvCxnSpPr>
        <xdr:spPr>
          <a:xfrm flipH="1" flipV="1">
            <a:off x="12872282" y="43032046"/>
            <a:ext cx="396000" cy="158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6" name="직선 화살표 연결선 725">
            <a:extLst>
              <a:ext uri="{FF2B5EF4-FFF2-40B4-BE49-F238E27FC236}">
                <a16:creationId xmlns:a16="http://schemas.microsoft.com/office/drawing/2014/main" id="{8427D2DB-9EE1-3137-F1FC-A04BCF5A8CF0}"/>
              </a:ext>
            </a:extLst>
          </xdr:cNvPr>
          <xdr:cNvCxnSpPr/>
        </xdr:nvCxnSpPr>
        <xdr:spPr>
          <a:xfrm flipV="1">
            <a:off x="13264707" y="43033627"/>
            <a:ext cx="0" cy="1152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7" name="직사각형 726">
            <a:extLst>
              <a:ext uri="{FF2B5EF4-FFF2-40B4-BE49-F238E27FC236}">
                <a16:creationId xmlns:a16="http://schemas.microsoft.com/office/drawing/2014/main" id="{D8025DCC-57CD-C337-17C7-4418FBC317FB}"/>
              </a:ext>
            </a:extLst>
          </xdr:cNvPr>
          <xdr:cNvSpPr/>
        </xdr:nvSpPr>
        <xdr:spPr>
          <a:xfrm>
            <a:off x="10404151" y="41964429"/>
            <a:ext cx="935320" cy="16152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28" name="직사각형 727">
            <a:extLst>
              <a:ext uri="{FF2B5EF4-FFF2-40B4-BE49-F238E27FC236}">
                <a16:creationId xmlns:a16="http://schemas.microsoft.com/office/drawing/2014/main" id="{FF7E6E0E-BFD9-858C-DA03-46FB8ABA4B4C}"/>
              </a:ext>
            </a:extLst>
          </xdr:cNvPr>
          <xdr:cNvSpPr/>
        </xdr:nvSpPr>
        <xdr:spPr>
          <a:xfrm>
            <a:off x="12895488" y="42208298"/>
            <a:ext cx="41928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9" name="직사각형 728">
            <a:extLst>
              <a:ext uri="{FF2B5EF4-FFF2-40B4-BE49-F238E27FC236}">
                <a16:creationId xmlns:a16="http://schemas.microsoft.com/office/drawing/2014/main" id="{32DB0E04-950A-034B-05E7-3F2AF8EBCFA1}"/>
              </a:ext>
            </a:extLst>
          </xdr:cNvPr>
          <xdr:cNvSpPr/>
        </xdr:nvSpPr>
        <xdr:spPr>
          <a:xfrm>
            <a:off x="13459486" y="42254680"/>
            <a:ext cx="1997455" cy="216459"/>
          </a:xfrm>
          <a:prstGeom prst="rect">
            <a:avLst/>
          </a:prstGeom>
          <a:solidFill>
            <a:srgbClr val="FFFF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rgbClr val="FF0000"/>
                </a:solidFill>
              </a:rPr>
              <a:t>*</a:t>
            </a:r>
            <a:r>
              <a:rPr lang="en-US" altLang="ko-KR" sz="1000" i="1" baseline="0">
                <a:solidFill>
                  <a:srgbClr val="FF0000"/>
                </a:solidFill>
              </a:rPr>
              <a:t> fllcnt sync trigger</a:t>
            </a:r>
            <a:r>
              <a:rPr lang="ko-KR" altLang="en-US" sz="1000" i="1" baseline="0">
                <a:solidFill>
                  <a:srgbClr val="FF0000"/>
                </a:solidFill>
              </a:rPr>
              <a:t>에서 </a:t>
            </a:r>
            <a:r>
              <a:rPr lang="en-US" altLang="ko-KR" sz="1000" i="1" baseline="0">
                <a:solidFill>
                  <a:srgbClr val="FF0000"/>
                </a:solidFill>
              </a:rPr>
              <a:t>svsync</a:t>
            </a:r>
            <a:r>
              <a:rPr lang="ko-KR" altLang="en-US" sz="1000" i="1" baseline="0">
                <a:solidFill>
                  <a:srgbClr val="FF0000"/>
                </a:solidFill>
              </a:rPr>
              <a:t>는 삭제</a:t>
            </a:r>
            <a:endParaRPr lang="ko-KR" altLang="en-US" sz="1000" i="1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1</xdr:col>
      <xdr:colOff>789215</xdr:colOff>
      <xdr:row>24</xdr:row>
      <xdr:rowOff>149680</xdr:rowOff>
    </xdr:from>
    <xdr:ext cx="7202714" cy="2217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C48EA8-AA9E-46BB-B366-B3D3C7307CE1}"/>
            </a:ext>
          </a:extLst>
        </xdr:cNvPr>
        <xdr:cNvSpPr txBox="1"/>
      </xdr:nvSpPr>
      <xdr:spPr>
        <a:xfrm>
          <a:off x="1442358" y="4699001"/>
          <a:ext cx="7202714" cy="2217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 anchorCtr="0">
          <a:spAutoFit/>
        </a:bodyPr>
        <a:lstStyle/>
        <a:p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dimming sequence</a:t>
          </a:r>
          <a:r>
            <a:rPr lang="ko-KR" altLang="en-US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에서  </a:t>
          </a:r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recovery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를 위해 필요한 변수들은 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vsync or svsync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마다 초기화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: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예를 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, svsync_no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가 중간에 변경된다면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....</a:t>
          </a:r>
          <a:endParaRPr lang="en-US" altLang="ko-KR" sz="1000" b="1" i="1" baseline="0">
            <a:solidFill>
              <a:srgbClr val="FF00FF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0</xdr:colOff>
      <xdr:row>158</xdr:row>
      <xdr:rowOff>62744</xdr:rowOff>
    </xdr:from>
    <xdr:to>
      <xdr:col>5</xdr:col>
      <xdr:colOff>0</xdr:colOff>
      <xdr:row>174</xdr:row>
      <xdr:rowOff>186267</xdr:rowOff>
    </xdr:to>
    <xdr:cxnSp macro="">
      <xdr:nvCxnSpPr>
        <xdr:cNvPr id="225" name="직선 연결선 224">
          <a:extLst>
            <a:ext uri="{FF2B5EF4-FFF2-40B4-BE49-F238E27FC236}">
              <a16:creationId xmlns:a16="http://schemas.microsoft.com/office/drawing/2014/main" id="{BFB3C031-FAD9-47A9-9123-A305E7514271}"/>
            </a:ext>
          </a:extLst>
        </xdr:cNvPr>
        <xdr:cNvCxnSpPr/>
      </xdr:nvCxnSpPr>
      <xdr:spPr>
        <a:xfrm flipH="1">
          <a:off x="1786467" y="29188077"/>
          <a:ext cx="0" cy="31207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159</xdr:row>
      <xdr:rowOff>57452</xdr:rowOff>
    </xdr:from>
    <xdr:to>
      <xdr:col>9</xdr:col>
      <xdr:colOff>1</xdr:colOff>
      <xdr:row>163</xdr:row>
      <xdr:rowOff>69510</xdr:rowOff>
    </xdr:to>
    <xdr:cxnSp macro="">
      <xdr:nvCxnSpPr>
        <xdr:cNvPr id="227" name="직선 연결선 226">
          <a:extLst>
            <a:ext uri="{FF2B5EF4-FFF2-40B4-BE49-F238E27FC236}">
              <a16:creationId xmlns:a16="http://schemas.microsoft.com/office/drawing/2014/main" id="{32BAB3EE-76D1-4FC1-B848-FFD26AC9C8D2}"/>
            </a:ext>
          </a:extLst>
        </xdr:cNvPr>
        <xdr:cNvCxnSpPr/>
      </xdr:nvCxnSpPr>
      <xdr:spPr>
        <a:xfrm flipH="1">
          <a:off x="2310191" y="29863142"/>
          <a:ext cx="0" cy="74986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</xdr:colOff>
      <xdr:row>162</xdr:row>
      <xdr:rowOff>53528</xdr:rowOff>
    </xdr:from>
    <xdr:to>
      <xdr:col>10</xdr:col>
      <xdr:colOff>274</xdr:colOff>
      <xdr:row>172</xdr:row>
      <xdr:rowOff>132052</xdr:rowOff>
    </xdr:to>
    <xdr:cxnSp macro="">
      <xdr:nvCxnSpPr>
        <xdr:cNvPr id="643" name="직선 연결선 642">
          <a:extLst>
            <a:ext uri="{FF2B5EF4-FFF2-40B4-BE49-F238E27FC236}">
              <a16:creationId xmlns:a16="http://schemas.microsoft.com/office/drawing/2014/main" id="{1A24F548-17AF-48C3-88C9-127AC66D94FF}"/>
            </a:ext>
          </a:extLst>
        </xdr:cNvPr>
        <xdr:cNvCxnSpPr/>
      </xdr:nvCxnSpPr>
      <xdr:spPr>
        <a:xfrm flipH="1">
          <a:off x="2310593" y="30574060"/>
          <a:ext cx="0" cy="194839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162</xdr:row>
      <xdr:rowOff>58063</xdr:rowOff>
    </xdr:from>
    <xdr:to>
      <xdr:col>118</xdr:col>
      <xdr:colOff>457</xdr:colOff>
      <xdr:row>175</xdr:row>
      <xdr:rowOff>0</xdr:rowOff>
    </xdr:to>
    <xdr:cxnSp macro="">
      <xdr:nvCxnSpPr>
        <xdr:cNvPr id="644" name="직선 연결선 643">
          <a:extLst>
            <a:ext uri="{FF2B5EF4-FFF2-40B4-BE49-F238E27FC236}">
              <a16:creationId xmlns:a16="http://schemas.microsoft.com/office/drawing/2014/main" id="{83C1814B-49CA-4B8C-873E-DCAEABA9CFAC}"/>
            </a:ext>
          </a:extLst>
        </xdr:cNvPr>
        <xdr:cNvCxnSpPr/>
      </xdr:nvCxnSpPr>
      <xdr:spPr>
        <a:xfrm flipH="1">
          <a:off x="8962424" y="29928463"/>
          <a:ext cx="0" cy="23845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162</xdr:row>
      <xdr:rowOff>81974</xdr:rowOff>
    </xdr:from>
    <xdr:to>
      <xdr:col>118</xdr:col>
      <xdr:colOff>9684</xdr:colOff>
      <xdr:row>162</xdr:row>
      <xdr:rowOff>81974</xdr:rowOff>
    </xdr:to>
    <xdr:cxnSp macro="">
      <xdr:nvCxnSpPr>
        <xdr:cNvPr id="648" name="직선 화살표 연결선 647">
          <a:extLst>
            <a:ext uri="{FF2B5EF4-FFF2-40B4-BE49-F238E27FC236}">
              <a16:creationId xmlns:a16="http://schemas.microsoft.com/office/drawing/2014/main" id="{40BFA32E-1977-4AA4-BDDF-945DAD224474}"/>
            </a:ext>
          </a:extLst>
        </xdr:cNvPr>
        <xdr:cNvCxnSpPr/>
      </xdr:nvCxnSpPr>
      <xdr:spPr>
        <a:xfrm>
          <a:off x="2361028" y="30256380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827933</xdr:colOff>
      <xdr:row>164</xdr:row>
      <xdr:rowOff>154690</xdr:rowOff>
    </xdr:from>
    <xdr:ext cx="368819" cy="140872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D3FAFED2-4A30-4945-96B5-E4574A6F60E8}"/>
            </a:ext>
          </a:extLst>
        </xdr:cNvPr>
        <xdr:cNvSpPr txBox="1"/>
      </xdr:nvSpPr>
      <xdr:spPr>
        <a:xfrm>
          <a:off x="1481076" y="3088264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162</xdr:row>
      <xdr:rowOff>16501</xdr:rowOff>
    </xdr:from>
    <xdr:ext cx="376385" cy="125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FEE85B2E-E5DF-465D-B671-D20E62C0F2AB}"/>
            </a:ext>
          </a:extLst>
        </xdr:cNvPr>
        <xdr:cNvSpPr txBox="1"/>
      </xdr:nvSpPr>
      <xdr:spPr>
        <a:xfrm>
          <a:off x="5492701" y="3056000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175</xdr:row>
      <xdr:rowOff>19803</xdr:rowOff>
    </xdr:from>
    <xdr:to>
      <xdr:col>63</xdr:col>
      <xdr:colOff>53993</xdr:colOff>
      <xdr:row>176</xdr:row>
      <xdr:rowOff>2953</xdr:rowOff>
    </xdr:to>
    <xdr:grpSp>
      <xdr:nvGrpSpPr>
        <xdr:cNvPr id="671" name="그룹 670">
          <a:extLst>
            <a:ext uri="{FF2B5EF4-FFF2-40B4-BE49-F238E27FC236}">
              <a16:creationId xmlns:a16="http://schemas.microsoft.com/office/drawing/2014/main" id="{90320499-2112-416B-99F1-3F907077BB73}"/>
            </a:ext>
          </a:extLst>
        </xdr:cNvPr>
        <xdr:cNvGrpSpPr/>
      </xdr:nvGrpSpPr>
      <xdr:grpSpPr>
        <a:xfrm>
          <a:off x="5752837" y="32607209"/>
          <a:ext cx="36000" cy="193494"/>
          <a:chOff x="11556979" y="1922463"/>
          <a:chExt cx="188140" cy="204787"/>
        </a:xfrm>
      </xdr:grpSpPr>
      <xdr:sp macro="" textlink="">
        <xdr:nvSpPr>
          <xdr:cNvPr id="672" name="자유형: 도형 671">
            <a:extLst>
              <a:ext uri="{FF2B5EF4-FFF2-40B4-BE49-F238E27FC236}">
                <a16:creationId xmlns:a16="http://schemas.microsoft.com/office/drawing/2014/main" id="{5028A2B8-36BF-119A-7705-82E8323B584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73" name="자유형: 도형 672">
            <a:extLst>
              <a:ext uri="{FF2B5EF4-FFF2-40B4-BE49-F238E27FC236}">
                <a16:creationId xmlns:a16="http://schemas.microsoft.com/office/drawing/2014/main" id="{77010511-CD34-0A63-061B-21877C16FB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20</xdr:col>
      <xdr:colOff>58726</xdr:colOff>
      <xdr:row>171</xdr:row>
      <xdr:rowOff>163724</xdr:rowOff>
    </xdr:from>
    <xdr:ext cx="287515" cy="125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305A94A-407D-406E-9AA5-81B80E21D753}"/>
            </a:ext>
          </a:extLst>
        </xdr:cNvPr>
        <xdr:cNvSpPr txBox="1"/>
      </xdr:nvSpPr>
      <xdr:spPr>
        <a:xfrm>
          <a:off x="2983389" y="32288211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62018</xdr:colOff>
      <xdr:row>171</xdr:row>
      <xdr:rowOff>164116</xdr:rowOff>
    </xdr:from>
    <xdr:ext cx="287515" cy="125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4138FF48-9207-44F9-A20F-0FD2580478E4}"/>
            </a:ext>
          </a:extLst>
        </xdr:cNvPr>
        <xdr:cNvSpPr txBox="1"/>
      </xdr:nvSpPr>
      <xdr:spPr>
        <a:xfrm>
          <a:off x="4122355" y="3228860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172</xdr:row>
      <xdr:rowOff>103005</xdr:rowOff>
    </xdr:from>
    <xdr:ext cx="1152000" cy="0"/>
    <xdr:cxnSp macro="">
      <xdr:nvCxnSpPr>
        <xdr:cNvPr id="676" name="직선 화살표 연결선 675">
          <a:extLst>
            <a:ext uri="{FF2B5EF4-FFF2-40B4-BE49-F238E27FC236}">
              <a16:creationId xmlns:a16="http://schemas.microsoft.com/office/drawing/2014/main" id="{0497C795-18E8-4BDB-A2B2-2D83AD4B9AEC}"/>
            </a:ext>
          </a:extLst>
        </xdr:cNvPr>
        <xdr:cNvCxnSpPr/>
      </xdr:nvCxnSpPr>
      <xdr:spPr>
        <a:xfrm flipV="1">
          <a:off x="2343855" y="2201050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172</xdr:row>
      <xdr:rowOff>101975</xdr:rowOff>
    </xdr:from>
    <xdr:ext cx="648000" cy="0"/>
    <xdr:cxnSp macro="">
      <xdr:nvCxnSpPr>
        <xdr:cNvPr id="691" name="직선 화살표 연결선 690">
          <a:extLst>
            <a:ext uri="{FF2B5EF4-FFF2-40B4-BE49-F238E27FC236}">
              <a16:creationId xmlns:a16="http://schemas.microsoft.com/office/drawing/2014/main" id="{75663C46-3282-4DCE-B9BF-52549F3730A0}"/>
            </a:ext>
          </a:extLst>
        </xdr:cNvPr>
        <xdr:cNvCxnSpPr/>
      </xdr:nvCxnSpPr>
      <xdr:spPr>
        <a:xfrm>
          <a:off x="3749418" y="2200947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36</xdr:col>
      <xdr:colOff>38162</xdr:colOff>
      <xdr:row>170</xdr:row>
      <xdr:rowOff>20076</xdr:rowOff>
    </xdr:from>
    <xdr:ext cx="228204" cy="140872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139F9986-C5F0-42B4-8558-02356BC6901C}"/>
            </a:ext>
          </a:extLst>
        </xdr:cNvPr>
        <xdr:cNvSpPr txBox="1"/>
      </xdr:nvSpPr>
      <xdr:spPr>
        <a:xfrm>
          <a:off x="3972313" y="3196139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chemeClr val="tx1"/>
              </a:solidFill>
              <a:latin typeface="+mn-lt"/>
            </a:rPr>
            <a:t>vref1</a:t>
          </a:r>
          <a:endParaRPr lang="ko-KR" altLang="en-US" sz="9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166</xdr:row>
      <xdr:rowOff>243</xdr:rowOff>
    </xdr:from>
    <xdr:to>
      <xdr:col>63</xdr:col>
      <xdr:colOff>38889</xdr:colOff>
      <xdr:row>166</xdr:row>
      <xdr:rowOff>166192</xdr:rowOff>
    </xdr:to>
    <xdr:grpSp>
      <xdr:nvGrpSpPr>
        <xdr:cNvPr id="737" name="그룹 736">
          <a:extLst>
            <a:ext uri="{FF2B5EF4-FFF2-40B4-BE49-F238E27FC236}">
              <a16:creationId xmlns:a16="http://schemas.microsoft.com/office/drawing/2014/main" id="{107115FB-51D1-4C7F-B3B1-8FB1E7E7B129}"/>
            </a:ext>
          </a:extLst>
        </xdr:cNvPr>
        <xdr:cNvGrpSpPr/>
      </xdr:nvGrpSpPr>
      <xdr:grpSpPr>
        <a:xfrm>
          <a:off x="5737733" y="30912837"/>
          <a:ext cx="36000" cy="165949"/>
          <a:chOff x="11556979" y="1937259"/>
          <a:chExt cx="188140" cy="204787"/>
        </a:xfrm>
      </xdr:grpSpPr>
      <xdr:sp macro="" textlink="">
        <xdr:nvSpPr>
          <xdr:cNvPr id="738" name="자유형: 도형 737">
            <a:extLst>
              <a:ext uri="{FF2B5EF4-FFF2-40B4-BE49-F238E27FC236}">
                <a16:creationId xmlns:a16="http://schemas.microsoft.com/office/drawing/2014/main" id="{CBE74BC9-8F46-98C7-339A-C070F85E0C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9" name="자유형: 도형 738">
            <a:extLst>
              <a:ext uri="{FF2B5EF4-FFF2-40B4-BE49-F238E27FC236}">
                <a16:creationId xmlns:a16="http://schemas.microsoft.com/office/drawing/2014/main" id="{071866DD-ACFC-E36B-C1E4-6129D6197FA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170</xdr:row>
      <xdr:rowOff>6149</xdr:rowOff>
    </xdr:from>
    <xdr:to>
      <xdr:col>63</xdr:col>
      <xdr:colOff>43121</xdr:colOff>
      <xdr:row>170</xdr:row>
      <xdr:rowOff>173449</xdr:rowOff>
    </xdr:to>
    <xdr:grpSp>
      <xdr:nvGrpSpPr>
        <xdr:cNvPr id="743" name="그룹 742">
          <a:extLst>
            <a:ext uri="{FF2B5EF4-FFF2-40B4-BE49-F238E27FC236}">
              <a16:creationId xmlns:a16="http://schemas.microsoft.com/office/drawing/2014/main" id="{FEDE0E33-38D1-45BD-BF64-053599050A6C}"/>
            </a:ext>
          </a:extLst>
        </xdr:cNvPr>
        <xdr:cNvGrpSpPr/>
      </xdr:nvGrpSpPr>
      <xdr:grpSpPr>
        <a:xfrm>
          <a:off x="5741965" y="31672805"/>
          <a:ext cx="36000" cy="167300"/>
          <a:chOff x="11556979" y="1937259"/>
          <a:chExt cx="188140" cy="204787"/>
        </a:xfrm>
      </xdr:grpSpPr>
      <xdr:sp macro="" textlink="">
        <xdr:nvSpPr>
          <xdr:cNvPr id="744" name="자유형: 도형 743">
            <a:extLst>
              <a:ext uri="{FF2B5EF4-FFF2-40B4-BE49-F238E27FC236}">
                <a16:creationId xmlns:a16="http://schemas.microsoft.com/office/drawing/2014/main" id="{26968DDA-2F84-F8BE-7BA1-F4C316586BD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5" name="자유형: 도형 744">
            <a:extLst>
              <a:ext uri="{FF2B5EF4-FFF2-40B4-BE49-F238E27FC236}">
                <a16:creationId xmlns:a16="http://schemas.microsoft.com/office/drawing/2014/main" id="{BC838AD3-FCCA-D974-E758-051A1F11521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168</xdr:row>
      <xdr:rowOff>25502</xdr:rowOff>
    </xdr:from>
    <xdr:to>
      <xdr:col>63</xdr:col>
      <xdr:colOff>53403</xdr:colOff>
      <xdr:row>169</xdr:row>
      <xdr:rowOff>2302</xdr:rowOff>
    </xdr:to>
    <xdr:grpSp>
      <xdr:nvGrpSpPr>
        <xdr:cNvPr id="749" name="그룹 748">
          <a:extLst>
            <a:ext uri="{FF2B5EF4-FFF2-40B4-BE49-F238E27FC236}">
              <a16:creationId xmlns:a16="http://schemas.microsoft.com/office/drawing/2014/main" id="{0E56A0F7-0CAA-48BE-B16B-7B3D34A68ADE}"/>
            </a:ext>
          </a:extLst>
        </xdr:cNvPr>
        <xdr:cNvGrpSpPr/>
      </xdr:nvGrpSpPr>
      <xdr:grpSpPr>
        <a:xfrm>
          <a:off x="5752247" y="31319096"/>
          <a:ext cx="36000" cy="167300"/>
          <a:chOff x="11556979" y="1937259"/>
          <a:chExt cx="188140" cy="204787"/>
        </a:xfrm>
      </xdr:grpSpPr>
      <xdr:sp macro="" textlink="">
        <xdr:nvSpPr>
          <xdr:cNvPr id="750" name="자유형: 도형 749">
            <a:extLst>
              <a:ext uri="{FF2B5EF4-FFF2-40B4-BE49-F238E27FC236}">
                <a16:creationId xmlns:a16="http://schemas.microsoft.com/office/drawing/2014/main" id="{38F76C16-9191-3B24-BF38-CBA65B33836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1" name="자유형: 도형 750">
            <a:extLst>
              <a:ext uri="{FF2B5EF4-FFF2-40B4-BE49-F238E27FC236}">
                <a16:creationId xmlns:a16="http://schemas.microsoft.com/office/drawing/2014/main" id="{4DF9BA52-D4F1-D06C-7CB4-4854FB0A24B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171</xdr:row>
      <xdr:rowOff>136071</xdr:rowOff>
    </xdr:from>
    <xdr:to>
      <xdr:col>63</xdr:col>
      <xdr:colOff>60342</xdr:colOff>
      <xdr:row>172</xdr:row>
      <xdr:rowOff>0</xdr:rowOff>
    </xdr:to>
    <xdr:sp macro="" textlink="">
      <xdr:nvSpPr>
        <xdr:cNvPr id="752" name="자유형: 도형 751">
          <a:extLst>
            <a:ext uri="{FF2B5EF4-FFF2-40B4-BE49-F238E27FC236}">
              <a16:creationId xmlns:a16="http://schemas.microsoft.com/office/drawing/2014/main" id="{AF7C38D6-6DC1-4DEF-A96F-5D0D359E146D}"/>
            </a:ext>
          </a:extLst>
        </xdr:cNvPr>
        <xdr:cNvSpPr/>
      </xdr:nvSpPr>
      <xdr:spPr>
        <a:xfrm>
          <a:off x="5490634" y="21671038"/>
          <a:ext cx="39175" cy="236462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172</xdr:row>
      <xdr:rowOff>149376</xdr:rowOff>
    </xdr:from>
    <xdr:to>
      <xdr:col>63</xdr:col>
      <xdr:colOff>55505</xdr:colOff>
      <xdr:row>174</xdr:row>
      <xdr:rowOff>82986</xdr:rowOff>
    </xdr:to>
    <xdr:sp macro="" textlink="">
      <xdr:nvSpPr>
        <xdr:cNvPr id="753" name="자유형: 도형 752">
          <a:extLst>
            <a:ext uri="{FF2B5EF4-FFF2-40B4-BE49-F238E27FC236}">
              <a16:creationId xmlns:a16="http://schemas.microsoft.com/office/drawing/2014/main" id="{37BB9DE1-5DAD-4686-8134-FC27D9370969}"/>
            </a:ext>
          </a:extLst>
        </xdr:cNvPr>
        <xdr:cNvSpPr/>
      </xdr:nvSpPr>
      <xdr:spPr>
        <a:xfrm>
          <a:off x="5485797" y="22056876"/>
          <a:ext cx="39175" cy="30614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11658</xdr:colOff>
      <xdr:row>164</xdr:row>
      <xdr:rowOff>21268</xdr:rowOff>
    </xdr:from>
    <xdr:to>
      <xdr:col>63</xdr:col>
      <xdr:colOff>47658</xdr:colOff>
      <xdr:row>165</xdr:row>
      <xdr:rowOff>4116</xdr:rowOff>
    </xdr:to>
    <xdr:grpSp>
      <xdr:nvGrpSpPr>
        <xdr:cNvPr id="754" name="그룹 753">
          <a:extLst>
            <a:ext uri="{FF2B5EF4-FFF2-40B4-BE49-F238E27FC236}">
              <a16:creationId xmlns:a16="http://schemas.microsoft.com/office/drawing/2014/main" id="{BF61AADC-82E9-45C7-943B-0B3FD7FD92B0}"/>
            </a:ext>
          </a:extLst>
        </xdr:cNvPr>
        <xdr:cNvGrpSpPr/>
      </xdr:nvGrpSpPr>
      <xdr:grpSpPr>
        <a:xfrm>
          <a:off x="5746502" y="30560799"/>
          <a:ext cx="36000" cy="165411"/>
          <a:chOff x="11556979" y="1937259"/>
          <a:chExt cx="188140" cy="204787"/>
        </a:xfrm>
      </xdr:grpSpPr>
      <xdr:sp macro="" textlink="">
        <xdr:nvSpPr>
          <xdr:cNvPr id="755" name="자유형: 도형 754">
            <a:extLst>
              <a:ext uri="{FF2B5EF4-FFF2-40B4-BE49-F238E27FC236}">
                <a16:creationId xmlns:a16="http://schemas.microsoft.com/office/drawing/2014/main" id="{CBB5E97B-6A7F-BE8F-BF7B-30FFF930EF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6" name="자유형: 도형 755">
            <a:extLst>
              <a:ext uri="{FF2B5EF4-FFF2-40B4-BE49-F238E27FC236}">
                <a16:creationId xmlns:a16="http://schemas.microsoft.com/office/drawing/2014/main" id="{CDF2DAA4-59A0-31E6-49D7-F9ECF36E75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99</xdr:col>
      <xdr:colOff>40828</xdr:colOff>
      <xdr:row>51</xdr:row>
      <xdr:rowOff>105732</xdr:rowOff>
    </xdr:from>
    <xdr:to>
      <xdr:col>101</xdr:col>
      <xdr:colOff>21828</xdr:colOff>
      <xdr:row>51</xdr:row>
      <xdr:rowOff>105732</xdr:rowOff>
    </xdr:to>
    <xdr:cxnSp macro="">
      <xdr:nvCxnSpPr>
        <xdr:cNvPr id="485" name="직선 화살표 연결선 484">
          <a:extLst>
            <a:ext uri="{FF2B5EF4-FFF2-40B4-BE49-F238E27FC236}">
              <a16:creationId xmlns:a16="http://schemas.microsoft.com/office/drawing/2014/main" id="{2DE02A04-C61F-47CB-9E87-F6BBFAA773C7}"/>
            </a:ext>
          </a:extLst>
        </xdr:cNvPr>
        <xdr:cNvCxnSpPr/>
      </xdr:nvCxnSpPr>
      <xdr:spPr>
        <a:xfrm flipV="1">
          <a:off x="7991935" y="9798553"/>
          <a:ext cx="10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62454</xdr:colOff>
      <xdr:row>51</xdr:row>
      <xdr:rowOff>102760</xdr:rowOff>
    </xdr:from>
    <xdr:to>
      <xdr:col>103</xdr:col>
      <xdr:colOff>15954</xdr:colOff>
      <xdr:row>51</xdr:row>
      <xdr:rowOff>102760</xdr:rowOff>
    </xdr:to>
    <xdr:cxnSp macro="">
      <xdr:nvCxnSpPr>
        <xdr:cNvPr id="489" name="직선 화살표 연결선 488">
          <a:extLst>
            <a:ext uri="{FF2B5EF4-FFF2-40B4-BE49-F238E27FC236}">
              <a16:creationId xmlns:a16="http://schemas.microsoft.com/office/drawing/2014/main" id="{5B97EC24-F618-4E86-B449-3245FBD6095C}"/>
            </a:ext>
          </a:extLst>
        </xdr:cNvPr>
        <xdr:cNvCxnSpPr/>
      </xdr:nvCxnSpPr>
      <xdr:spPr>
        <a:xfrm flipV="1">
          <a:off x="8077061" y="9795581"/>
          <a:ext cx="14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61701</xdr:colOff>
      <xdr:row>51</xdr:row>
      <xdr:rowOff>99787</xdr:rowOff>
    </xdr:from>
    <xdr:to>
      <xdr:col>105</xdr:col>
      <xdr:colOff>15201</xdr:colOff>
      <xdr:row>51</xdr:row>
      <xdr:rowOff>99787</xdr:rowOff>
    </xdr:to>
    <xdr:cxnSp macro="">
      <xdr:nvCxnSpPr>
        <xdr:cNvPr id="491" name="직선 화살표 연결선 490">
          <a:extLst>
            <a:ext uri="{FF2B5EF4-FFF2-40B4-BE49-F238E27FC236}">
              <a16:creationId xmlns:a16="http://schemas.microsoft.com/office/drawing/2014/main" id="{39C44AD9-C3BB-482F-ADB5-4E8A5439126A}"/>
            </a:ext>
          </a:extLst>
        </xdr:cNvPr>
        <xdr:cNvCxnSpPr/>
      </xdr:nvCxnSpPr>
      <xdr:spPr>
        <a:xfrm flipV="1">
          <a:off x="8203308" y="979260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99</xdr:col>
      <xdr:colOff>50166</xdr:colOff>
      <xdr:row>51</xdr:row>
      <xdr:rowOff>146806</xdr:rowOff>
    </xdr:from>
    <xdr:ext cx="91051" cy="109582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C1965FB-7665-414F-9A0F-F3F065935D49}"/>
            </a:ext>
          </a:extLst>
        </xdr:cNvPr>
        <xdr:cNvSpPr txBox="1"/>
      </xdr:nvSpPr>
      <xdr:spPr>
        <a:xfrm>
          <a:off x="8001273" y="9839627"/>
          <a:ext cx="91051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64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101</xdr:col>
      <xdr:colOff>28661</xdr:colOff>
      <xdr:row>51</xdr:row>
      <xdr:rowOff>144147</xdr:rowOff>
    </xdr:from>
    <xdr:ext cx="136576" cy="109582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B11322F-F8E5-4EAD-94DF-72A6913314A0}"/>
            </a:ext>
          </a:extLst>
        </xdr:cNvPr>
        <xdr:cNvSpPr txBox="1"/>
      </xdr:nvSpPr>
      <xdr:spPr>
        <a:xfrm>
          <a:off x="8106768" y="98369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512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104</xdr:col>
      <xdr:colOff>2687</xdr:colOff>
      <xdr:row>51</xdr:row>
      <xdr:rowOff>140196</xdr:rowOff>
    </xdr:from>
    <xdr:ext cx="136576" cy="109582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EEBDED4-4D8B-4134-B107-774AA3A3DB50}"/>
            </a:ext>
          </a:extLst>
        </xdr:cNvPr>
        <xdr:cNvSpPr txBox="1"/>
      </xdr:nvSpPr>
      <xdr:spPr>
        <a:xfrm>
          <a:off x="8271294" y="9833017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512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26065</xdr:colOff>
      <xdr:row>75</xdr:row>
      <xdr:rowOff>137742</xdr:rowOff>
    </xdr:from>
    <xdr:ext cx="532453" cy="125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815A608-B239-4DC1-8066-5992A3900688}"/>
            </a:ext>
          </a:extLst>
        </xdr:cNvPr>
        <xdr:cNvSpPr txBox="1"/>
      </xdr:nvSpPr>
      <xdr:spPr>
        <a:xfrm>
          <a:off x="2324160" y="14237766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108</xdr:col>
      <xdr:colOff>62314</xdr:colOff>
      <xdr:row>68</xdr:row>
      <xdr:rowOff>54429</xdr:rowOff>
    </xdr:from>
    <xdr:to>
      <xdr:col>108</xdr:col>
      <xdr:colOff>62314</xdr:colOff>
      <xdr:row>80</xdr:row>
      <xdr:rowOff>120644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6D839095-915A-4FA1-A9DF-0BAD60E8CF13}"/>
            </a:ext>
          </a:extLst>
        </xdr:cNvPr>
        <xdr:cNvCxnSpPr/>
      </xdr:nvCxnSpPr>
      <xdr:spPr>
        <a:xfrm flipH="1">
          <a:off x="8385350" y="13108215"/>
          <a:ext cx="0" cy="19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23025</xdr:colOff>
      <xdr:row>72</xdr:row>
      <xdr:rowOff>158750</xdr:rowOff>
    </xdr:from>
    <xdr:to>
      <xdr:col>50</xdr:col>
      <xdr:colOff>62200</xdr:colOff>
      <xdr:row>74</xdr:row>
      <xdr:rowOff>19481</xdr:rowOff>
    </xdr:to>
    <xdr:sp macro="" textlink="">
      <xdr:nvSpPr>
        <xdr:cNvPr id="112" name="자유형: 도형 111">
          <a:extLst>
            <a:ext uri="{FF2B5EF4-FFF2-40B4-BE49-F238E27FC236}">
              <a16:creationId xmlns:a16="http://schemas.microsoft.com/office/drawing/2014/main" id="{A501C1EF-F503-4998-8107-3D7DCEC6927D}"/>
            </a:ext>
          </a:extLst>
        </xdr:cNvPr>
        <xdr:cNvSpPr/>
      </xdr:nvSpPr>
      <xdr:spPr>
        <a:xfrm>
          <a:off x="4663061" y="13770429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50</xdr:col>
      <xdr:colOff>18037</xdr:colOff>
      <xdr:row>70</xdr:row>
      <xdr:rowOff>154214</xdr:rowOff>
    </xdr:from>
    <xdr:to>
      <xdr:col>50</xdr:col>
      <xdr:colOff>54037</xdr:colOff>
      <xdr:row>72</xdr:row>
      <xdr:rowOff>27648</xdr:rowOff>
    </xdr:to>
    <xdr:sp macro="" textlink="">
      <xdr:nvSpPr>
        <xdr:cNvPr id="119" name="자유형: 도형 118">
          <a:extLst>
            <a:ext uri="{FF2B5EF4-FFF2-40B4-BE49-F238E27FC236}">
              <a16:creationId xmlns:a16="http://schemas.microsoft.com/office/drawing/2014/main" id="{8048A6E1-6C11-4A0B-AD28-7871642BF791}"/>
            </a:ext>
          </a:extLst>
        </xdr:cNvPr>
        <xdr:cNvSpPr/>
      </xdr:nvSpPr>
      <xdr:spPr>
        <a:xfrm>
          <a:off x="4658073" y="13393964"/>
          <a:ext cx="36000" cy="24536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12827</xdr:colOff>
      <xdr:row>72</xdr:row>
      <xdr:rowOff>158750</xdr:rowOff>
    </xdr:from>
    <xdr:to>
      <xdr:col>94</xdr:col>
      <xdr:colOff>52002</xdr:colOff>
      <xdr:row>74</xdr:row>
      <xdr:rowOff>33243</xdr:rowOff>
    </xdr:to>
    <xdr:sp macro="" textlink="">
      <xdr:nvSpPr>
        <xdr:cNvPr id="121" name="자유형: 도형 120">
          <a:extLst>
            <a:ext uri="{FF2B5EF4-FFF2-40B4-BE49-F238E27FC236}">
              <a16:creationId xmlns:a16="http://schemas.microsoft.com/office/drawing/2014/main" id="{8C0A9797-F881-4538-A261-2847174EED39}"/>
            </a:ext>
          </a:extLst>
        </xdr:cNvPr>
        <xdr:cNvSpPr/>
      </xdr:nvSpPr>
      <xdr:spPr>
        <a:xfrm>
          <a:off x="7446863" y="137704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805064</xdr:colOff>
      <xdr:row>67</xdr:row>
      <xdr:rowOff>143773</xdr:rowOff>
    </xdr:from>
    <xdr:ext cx="392159" cy="140872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267F6C76-D018-41DF-B198-5DE9AD65E00A}"/>
            </a:ext>
          </a:extLst>
        </xdr:cNvPr>
        <xdr:cNvSpPr txBox="1"/>
      </xdr:nvSpPr>
      <xdr:spPr>
        <a:xfrm>
          <a:off x="1458207" y="12768178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22</xdr:col>
      <xdr:colOff>56641</xdr:colOff>
      <xdr:row>80</xdr:row>
      <xdr:rowOff>84058</xdr:rowOff>
    </xdr:from>
    <xdr:to>
      <xdr:col>27</xdr:col>
      <xdr:colOff>9141</xdr:colOff>
      <xdr:row>80</xdr:row>
      <xdr:rowOff>84058</xdr:rowOff>
    </xdr:to>
    <xdr:cxnSp macro="">
      <xdr:nvCxnSpPr>
        <xdr:cNvPr id="544" name="직선 화살표 연결선 543">
          <a:extLst>
            <a:ext uri="{FF2B5EF4-FFF2-40B4-BE49-F238E27FC236}">
              <a16:creationId xmlns:a16="http://schemas.microsoft.com/office/drawing/2014/main" id="{0161519B-9EA9-4442-83B1-9414B7E593AC}"/>
            </a:ext>
          </a:extLst>
        </xdr:cNvPr>
        <xdr:cNvCxnSpPr/>
      </xdr:nvCxnSpPr>
      <xdr:spPr>
        <a:xfrm flipV="1">
          <a:off x="2918677" y="1501562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0</xdr:colOff>
      <xdr:row>68</xdr:row>
      <xdr:rowOff>81643</xdr:rowOff>
    </xdr:from>
    <xdr:to>
      <xdr:col>72</xdr:col>
      <xdr:colOff>0</xdr:colOff>
      <xdr:row>80</xdr:row>
      <xdr:rowOff>180499</xdr:rowOff>
    </xdr:to>
    <xdr:cxnSp macro="">
      <xdr:nvCxnSpPr>
        <xdr:cNvPr id="546" name="직선 연결선 545">
          <a:extLst>
            <a:ext uri="{FF2B5EF4-FFF2-40B4-BE49-F238E27FC236}">
              <a16:creationId xmlns:a16="http://schemas.microsoft.com/office/drawing/2014/main" id="{9B65E146-C32E-44E9-87EB-C8B8CCF86B6F}"/>
            </a:ext>
          </a:extLst>
        </xdr:cNvPr>
        <xdr:cNvCxnSpPr/>
      </xdr:nvCxnSpPr>
      <xdr:spPr>
        <a:xfrm>
          <a:off x="6235095" y="12890500"/>
          <a:ext cx="0" cy="23364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68</xdr:row>
      <xdr:rowOff>63500</xdr:rowOff>
    </xdr:from>
    <xdr:to>
      <xdr:col>59</xdr:col>
      <xdr:colOff>789</xdr:colOff>
      <xdr:row>80</xdr:row>
      <xdr:rowOff>137146</xdr:rowOff>
    </xdr:to>
    <xdr:cxnSp macro="">
      <xdr:nvCxnSpPr>
        <xdr:cNvPr id="547" name="직선 연결선 546">
          <a:extLst>
            <a:ext uri="{FF2B5EF4-FFF2-40B4-BE49-F238E27FC236}">
              <a16:creationId xmlns:a16="http://schemas.microsoft.com/office/drawing/2014/main" id="{530651D8-AB01-4014-BC23-08724D082241}"/>
            </a:ext>
          </a:extLst>
        </xdr:cNvPr>
        <xdr:cNvCxnSpPr/>
      </xdr:nvCxnSpPr>
      <xdr:spPr>
        <a:xfrm>
          <a:off x="5409595" y="12872357"/>
          <a:ext cx="789" cy="231126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4534</xdr:colOff>
      <xdr:row>79</xdr:row>
      <xdr:rowOff>166692</xdr:rowOff>
    </xdr:from>
    <xdr:to>
      <xdr:col>27</xdr:col>
      <xdr:colOff>4933</xdr:colOff>
      <xdr:row>80</xdr:row>
      <xdr:rowOff>162337</xdr:rowOff>
    </xdr:to>
    <xdr:cxnSp macro="">
      <xdr:nvCxnSpPr>
        <xdr:cNvPr id="549" name="직선 연결선 548">
          <a:extLst>
            <a:ext uri="{FF2B5EF4-FFF2-40B4-BE49-F238E27FC236}">
              <a16:creationId xmlns:a16="http://schemas.microsoft.com/office/drawing/2014/main" id="{3C77C19B-A8AE-4A9C-BB04-B879431D3866}"/>
            </a:ext>
          </a:extLst>
        </xdr:cNvPr>
        <xdr:cNvCxnSpPr/>
      </xdr:nvCxnSpPr>
      <xdr:spPr>
        <a:xfrm>
          <a:off x="3184070" y="14903228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37902</xdr:colOff>
      <xdr:row>79</xdr:row>
      <xdr:rowOff>114588</xdr:rowOff>
    </xdr:from>
    <xdr:ext cx="532453" cy="125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85EE121F-9F00-49DE-B6DE-5FD69927A848}"/>
            </a:ext>
          </a:extLst>
        </xdr:cNvPr>
        <xdr:cNvSpPr txBox="1"/>
      </xdr:nvSpPr>
      <xdr:spPr>
        <a:xfrm>
          <a:off x="2963438" y="14860195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1477</xdr:colOff>
      <xdr:row>75</xdr:row>
      <xdr:rowOff>0</xdr:rowOff>
    </xdr:from>
    <xdr:to>
      <xdr:col>109</xdr:col>
      <xdr:colOff>4536</xdr:colOff>
      <xdr:row>75</xdr:row>
      <xdr:rowOff>0</xdr:rowOff>
    </xdr:to>
    <xdr:cxnSp macro="">
      <xdr:nvCxnSpPr>
        <xdr:cNvPr id="575" name="직선 화살표 연결선 574">
          <a:extLst>
            <a:ext uri="{FF2B5EF4-FFF2-40B4-BE49-F238E27FC236}">
              <a16:creationId xmlns:a16="http://schemas.microsoft.com/office/drawing/2014/main" id="{4A67BA89-7C84-4C7B-964F-3F87F2D60CF9}"/>
            </a:ext>
          </a:extLst>
        </xdr:cNvPr>
        <xdr:cNvCxnSpPr/>
      </xdr:nvCxnSpPr>
      <xdr:spPr>
        <a:xfrm flipV="1">
          <a:off x="2101513" y="14355536"/>
          <a:ext cx="628955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1510</xdr:colOff>
      <xdr:row>79</xdr:row>
      <xdr:rowOff>1937</xdr:rowOff>
    </xdr:from>
    <xdr:to>
      <xdr:col>109</xdr:col>
      <xdr:colOff>10010</xdr:colOff>
      <xdr:row>79</xdr:row>
      <xdr:rowOff>1937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863C84D9-AA8D-473E-BF5E-8F89F36E6606}"/>
            </a:ext>
          </a:extLst>
        </xdr:cNvPr>
        <xdr:cNvCxnSpPr/>
      </xdr:nvCxnSpPr>
      <xdr:spPr>
        <a:xfrm flipV="1">
          <a:off x="6236605" y="14863961"/>
          <a:ext cx="235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79</xdr:row>
      <xdr:rowOff>3855</xdr:rowOff>
    </xdr:from>
    <xdr:to>
      <xdr:col>59</xdr:col>
      <xdr:colOff>11087</xdr:colOff>
      <xdr:row>79</xdr:row>
      <xdr:rowOff>3855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A307B9E9-279A-4718-ADBC-6D1223A6BC85}"/>
            </a:ext>
          </a:extLst>
        </xdr:cNvPr>
        <xdr:cNvCxnSpPr/>
      </xdr:nvCxnSpPr>
      <xdr:spPr>
        <a:xfrm flipV="1">
          <a:off x="2918623" y="14749462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78</xdr:row>
      <xdr:rowOff>63923</xdr:rowOff>
    </xdr:from>
    <xdr:to>
      <xdr:col>47</xdr:col>
      <xdr:colOff>23511</xdr:colOff>
      <xdr:row>79</xdr:row>
      <xdr:rowOff>92703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D6F6E79F-247A-417A-9F10-369E0BCD65C6}"/>
            </a:ext>
          </a:extLst>
        </xdr:cNvPr>
        <xdr:cNvGrpSpPr/>
      </xdr:nvGrpSpPr>
      <xdr:grpSpPr>
        <a:xfrm>
          <a:off x="3846340" y="14657017"/>
          <a:ext cx="896015" cy="219280"/>
          <a:chOff x="3077530" y="6888003"/>
          <a:chExt cx="896015" cy="216979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DBAA5C29-DAA8-7708-08C3-ADEFAE03DBC2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65FC9D39-2CD5-55C1-E62E-FF992AD6DE66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78</xdr:row>
      <xdr:rowOff>94424</xdr:rowOff>
    </xdr:from>
    <xdr:to>
      <xdr:col>97</xdr:col>
      <xdr:colOff>4748</xdr:colOff>
      <xdr:row>79</xdr:row>
      <xdr:rowOff>126444</xdr:rowOff>
    </xdr:to>
    <xdr:grpSp>
      <xdr:nvGrpSpPr>
        <xdr:cNvPr id="147" name="그룹 146">
          <a:extLst>
            <a:ext uri="{FF2B5EF4-FFF2-40B4-BE49-F238E27FC236}">
              <a16:creationId xmlns:a16="http://schemas.microsoft.com/office/drawing/2014/main" id="{3270E848-7FAF-4D5D-AEFD-5CD50594BCF1}"/>
            </a:ext>
          </a:extLst>
        </xdr:cNvPr>
        <xdr:cNvGrpSpPr/>
      </xdr:nvGrpSpPr>
      <xdr:grpSpPr>
        <a:xfrm>
          <a:off x="7002577" y="14687518"/>
          <a:ext cx="896015" cy="222520"/>
          <a:chOff x="3077530" y="6889258"/>
          <a:chExt cx="896015" cy="215724"/>
        </a:xfrm>
      </xdr:grpSpPr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6EEE3EEC-32E9-DC66-7CAF-B6C2EE2E4ACF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EEB31DB1-7FDE-37E7-98D3-63BB6DBB9293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23</xdr:col>
      <xdr:colOff>0</xdr:colOff>
      <xdr:row>86</xdr:row>
      <xdr:rowOff>75596</xdr:rowOff>
    </xdr:from>
    <xdr:to>
      <xdr:col>23</xdr:col>
      <xdr:colOff>0</xdr:colOff>
      <xdr:row>92</xdr:row>
      <xdr:rowOff>117812</xdr:rowOff>
    </xdr:to>
    <xdr:cxnSp macro="">
      <xdr:nvCxnSpPr>
        <xdr:cNvPr id="170" name="직선 연결선 169">
          <a:extLst>
            <a:ext uri="{FF2B5EF4-FFF2-40B4-BE49-F238E27FC236}">
              <a16:creationId xmlns:a16="http://schemas.microsoft.com/office/drawing/2014/main" id="{E1DF61F6-8A51-4554-ABD4-6E8A54A1DBC6}"/>
            </a:ext>
          </a:extLst>
        </xdr:cNvPr>
        <xdr:cNvCxnSpPr/>
      </xdr:nvCxnSpPr>
      <xdr:spPr>
        <a:xfrm>
          <a:off x="3123595" y="16252977"/>
          <a:ext cx="0" cy="114893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62313</xdr:colOff>
      <xdr:row>86</xdr:row>
      <xdr:rowOff>45357</xdr:rowOff>
    </xdr:from>
    <xdr:to>
      <xdr:col>109</xdr:col>
      <xdr:colOff>3024</xdr:colOff>
      <xdr:row>92</xdr:row>
      <xdr:rowOff>88825</xdr:rowOff>
    </xdr:to>
    <xdr:cxnSp macro="">
      <xdr:nvCxnSpPr>
        <xdr:cNvPr id="171" name="직선 연결선 170">
          <a:extLst>
            <a:ext uri="{FF2B5EF4-FFF2-40B4-BE49-F238E27FC236}">
              <a16:creationId xmlns:a16="http://schemas.microsoft.com/office/drawing/2014/main" id="{A349A1E8-602C-4A32-A173-C69FEA955234}"/>
            </a:ext>
          </a:extLst>
        </xdr:cNvPr>
        <xdr:cNvCxnSpPr/>
      </xdr:nvCxnSpPr>
      <xdr:spPr>
        <a:xfrm flipH="1">
          <a:off x="8583408" y="16222738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805064</xdr:colOff>
      <xdr:row>85</xdr:row>
      <xdr:rowOff>149821</xdr:rowOff>
    </xdr:from>
    <xdr:ext cx="392159" cy="140872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BF1405BC-AFD7-49DB-B6CC-916D936C9C57}"/>
            </a:ext>
          </a:extLst>
        </xdr:cNvPr>
        <xdr:cNvSpPr txBox="1"/>
      </xdr:nvSpPr>
      <xdr:spPr>
        <a:xfrm>
          <a:off x="1458207" y="16142750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27</xdr:col>
      <xdr:colOff>9068</xdr:colOff>
      <xdr:row>92</xdr:row>
      <xdr:rowOff>35157</xdr:rowOff>
    </xdr:from>
    <xdr:to>
      <xdr:col>27</xdr:col>
      <xdr:colOff>9467</xdr:colOff>
      <xdr:row>92</xdr:row>
      <xdr:rowOff>143157</xdr:rowOff>
    </xdr:to>
    <xdr:cxnSp macro="">
      <xdr:nvCxnSpPr>
        <xdr:cNvPr id="635" name="직선 연결선 634">
          <a:extLst>
            <a:ext uri="{FF2B5EF4-FFF2-40B4-BE49-F238E27FC236}">
              <a16:creationId xmlns:a16="http://schemas.microsoft.com/office/drawing/2014/main" id="{029D98E2-A4F2-48FA-8A55-92BB5632D608}"/>
            </a:ext>
          </a:extLst>
        </xdr:cNvPr>
        <xdr:cNvCxnSpPr/>
      </xdr:nvCxnSpPr>
      <xdr:spPr>
        <a:xfrm>
          <a:off x="3188604" y="17774336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1418</xdr:colOff>
      <xdr:row>86</xdr:row>
      <xdr:rowOff>51405</xdr:rowOff>
    </xdr:from>
    <xdr:to>
      <xdr:col>59</xdr:col>
      <xdr:colOff>3024</xdr:colOff>
      <xdr:row>92</xdr:row>
      <xdr:rowOff>102762</xdr:rowOff>
    </xdr:to>
    <xdr:cxnSp macro="">
      <xdr:nvCxnSpPr>
        <xdr:cNvPr id="639" name="직선 연결선 638">
          <a:extLst>
            <a:ext uri="{FF2B5EF4-FFF2-40B4-BE49-F238E27FC236}">
              <a16:creationId xmlns:a16="http://schemas.microsoft.com/office/drawing/2014/main" id="{0134A740-D64C-4B45-AC10-99696972F124}"/>
            </a:ext>
          </a:extLst>
        </xdr:cNvPr>
        <xdr:cNvCxnSpPr/>
      </xdr:nvCxnSpPr>
      <xdr:spPr>
        <a:xfrm flipH="1">
          <a:off x="5411013" y="16228786"/>
          <a:ext cx="1606" cy="11580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56</xdr:row>
      <xdr:rowOff>75596</xdr:rowOff>
    </xdr:from>
    <xdr:to>
      <xdr:col>23</xdr:col>
      <xdr:colOff>399</xdr:colOff>
      <xdr:row>62</xdr:row>
      <xdr:rowOff>127660</xdr:rowOff>
    </xdr:to>
    <xdr:cxnSp macro="">
      <xdr:nvCxnSpPr>
        <xdr:cNvPr id="782" name="직선 연결선 781">
          <a:extLst>
            <a:ext uri="{FF2B5EF4-FFF2-40B4-BE49-F238E27FC236}">
              <a16:creationId xmlns:a16="http://schemas.microsoft.com/office/drawing/2014/main" id="{4AC19229-E121-42AD-8844-83C97CF4F887}"/>
            </a:ext>
          </a:extLst>
        </xdr:cNvPr>
        <xdr:cNvCxnSpPr/>
      </xdr:nvCxnSpPr>
      <xdr:spPr>
        <a:xfrm flipH="1">
          <a:off x="3123994" y="10658929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68</xdr:row>
      <xdr:rowOff>86173</xdr:rowOff>
    </xdr:from>
    <xdr:to>
      <xdr:col>10</xdr:col>
      <xdr:colOff>0</xdr:colOff>
      <xdr:row>76</xdr:row>
      <xdr:rowOff>146459</xdr:rowOff>
    </xdr:to>
    <xdr:cxnSp macro="">
      <xdr:nvCxnSpPr>
        <xdr:cNvPr id="783" name="직선 연결선 782">
          <a:extLst>
            <a:ext uri="{FF2B5EF4-FFF2-40B4-BE49-F238E27FC236}">
              <a16:creationId xmlns:a16="http://schemas.microsoft.com/office/drawing/2014/main" id="{C898EF23-42AC-4473-9BC7-00B50C91C096}"/>
            </a:ext>
          </a:extLst>
        </xdr:cNvPr>
        <xdr:cNvCxnSpPr/>
      </xdr:nvCxnSpPr>
      <xdr:spPr>
        <a:xfrm flipH="1">
          <a:off x="2100036" y="13139959"/>
          <a:ext cx="0" cy="15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76</xdr:row>
      <xdr:rowOff>108858</xdr:rowOff>
    </xdr:from>
    <xdr:to>
      <xdr:col>19</xdr:col>
      <xdr:colOff>4501</xdr:colOff>
      <xdr:row>76</xdr:row>
      <xdr:rowOff>108858</xdr:rowOff>
    </xdr:to>
    <xdr:cxnSp macro="">
      <xdr:nvCxnSpPr>
        <xdr:cNvPr id="785" name="직선 화살표 연결선 784">
          <a:extLst>
            <a:ext uri="{FF2B5EF4-FFF2-40B4-BE49-F238E27FC236}">
              <a16:creationId xmlns:a16="http://schemas.microsoft.com/office/drawing/2014/main" id="{ECFBCEA2-A3F0-4E05-A504-31ED29436B36}"/>
            </a:ext>
          </a:extLst>
        </xdr:cNvPr>
        <xdr:cNvCxnSpPr/>
      </xdr:nvCxnSpPr>
      <xdr:spPr>
        <a:xfrm flipV="1">
          <a:off x="2100037" y="14464394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62585</xdr:colOff>
      <xdr:row>80</xdr:row>
      <xdr:rowOff>102514</xdr:rowOff>
    </xdr:from>
    <xdr:to>
      <xdr:col>77</xdr:col>
      <xdr:colOff>5585</xdr:colOff>
      <xdr:row>80</xdr:row>
      <xdr:rowOff>102514</xdr:rowOff>
    </xdr:to>
    <xdr:cxnSp macro="">
      <xdr:nvCxnSpPr>
        <xdr:cNvPr id="787" name="직선 화살표 연결선 786">
          <a:extLst>
            <a:ext uri="{FF2B5EF4-FFF2-40B4-BE49-F238E27FC236}">
              <a16:creationId xmlns:a16="http://schemas.microsoft.com/office/drawing/2014/main" id="{465F5CB8-C64E-4DFA-B5B8-F8767481F42A}"/>
            </a:ext>
          </a:extLst>
        </xdr:cNvPr>
        <xdr:cNvCxnSpPr/>
      </xdr:nvCxnSpPr>
      <xdr:spPr>
        <a:xfrm flipV="1">
          <a:off x="6234180" y="1514899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4429</xdr:colOff>
      <xdr:row>79</xdr:row>
      <xdr:rowOff>162471</xdr:rowOff>
    </xdr:from>
    <xdr:to>
      <xdr:col>77</xdr:col>
      <xdr:colOff>4828</xdr:colOff>
      <xdr:row>80</xdr:row>
      <xdr:rowOff>159628</xdr:rowOff>
    </xdr:to>
    <xdr:cxnSp macro="">
      <xdr:nvCxnSpPr>
        <xdr:cNvPr id="788" name="직선 연결선 787">
          <a:extLst>
            <a:ext uri="{FF2B5EF4-FFF2-40B4-BE49-F238E27FC236}">
              <a16:creationId xmlns:a16="http://schemas.microsoft.com/office/drawing/2014/main" id="{5F9186C7-B4A5-4298-A825-9B72972DB6F1}"/>
            </a:ext>
          </a:extLst>
        </xdr:cNvPr>
        <xdr:cNvCxnSpPr/>
      </xdr:nvCxnSpPr>
      <xdr:spPr>
        <a:xfrm>
          <a:off x="6557024" y="15024495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69</xdr:col>
      <xdr:colOff>45358</xdr:colOff>
      <xdr:row>79</xdr:row>
      <xdr:rowOff>108857</xdr:rowOff>
    </xdr:from>
    <xdr:ext cx="532453" cy="125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C31E6E8E-00FD-40B6-BB55-4B9439290334}"/>
            </a:ext>
          </a:extLst>
        </xdr:cNvPr>
        <xdr:cNvSpPr txBox="1"/>
      </xdr:nvSpPr>
      <xdr:spPr>
        <a:xfrm>
          <a:off x="5891894" y="14854464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22</xdr:col>
      <xdr:colOff>62474</xdr:colOff>
      <xdr:row>68</xdr:row>
      <xdr:rowOff>87395</xdr:rowOff>
    </xdr:from>
    <xdr:to>
      <xdr:col>22</xdr:col>
      <xdr:colOff>62474</xdr:colOff>
      <xdr:row>80</xdr:row>
      <xdr:rowOff>189776</xdr:rowOff>
    </xdr:to>
    <xdr:cxnSp macro="">
      <xdr:nvCxnSpPr>
        <xdr:cNvPr id="791" name="직선 연결선 790">
          <a:extLst>
            <a:ext uri="{FF2B5EF4-FFF2-40B4-BE49-F238E27FC236}">
              <a16:creationId xmlns:a16="http://schemas.microsoft.com/office/drawing/2014/main" id="{168EC773-6D5B-4401-B9ED-FF6D74D8FA7E}"/>
            </a:ext>
          </a:extLst>
        </xdr:cNvPr>
        <xdr:cNvCxnSpPr/>
      </xdr:nvCxnSpPr>
      <xdr:spPr>
        <a:xfrm>
          <a:off x="3122569" y="12896252"/>
          <a:ext cx="0" cy="234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63499</xdr:colOff>
      <xdr:row>76</xdr:row>
      <xdr:rowOff>27210</xdr:rowOff>
    </xdr:from>
    <xdr:to>
      <xdr:col>19</xdr:col>
      <xdr:colOff>398</xdr:colOff>
      <xdr:row>76</xdr:row>
      <xdr:rowOff>171210</xdr:rowOff>
    </xdr:to>
    <xdr:cxnSp macro="">
      <xdr:nvCxnSpPr>
        <xdr:cNvPr id="793" name="직선 연결선 792">
          <a:extLst>
            <a:ext uri="{FF2B5EF4-FFF2-40B4-BE49-F238E27FC236}">
              <a16:creationId xmlns:a16="http://schemas.microsoft.com/office/drawing/2014/main" id="{B568925C-DCEB-4C8A-91DD-2F73E3D1BAA0}"/>
            </a:ext>
          </a:extLst>
        </xdr:cNvPr>
        <xdr:cNvCxnSpPr/>
      </xdr:nvCxnSpPr>
      <xdr:spPr>
        <a:xfrm>
          <a:off x="2671535" y="14568710"/>
          <a:ext cx="399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36740</xdr:colOff>
      <xdr:row>74</xdr:row>
      <xdr:rowOff>65396</xdr:rowOff>
    </xdr:from>
    <xdr:to>
      <xdr:col>49</xdr:col>
      <xdr:colOff>43755</xdr:colOff>
      <xdr:row>75</xdr:row>
      <xdr:rowOff>101951</xdr:rowOff>
    </xdr:to>
    <xdr:grpSp>
      <xdr:nvGrpSpPr>
        <xdr:cNvPr id="795" name="그룹 794">
          <a:extLst>
            <a:ext uri="{FF2B5EF4-FFF2-40B4-BE49-F238E27FC236}">
              <a16:creationId xmlns:a16="http://schemas.microsoft.com/office/drawing/2014/main" id="{A22D655F-F1E9-4257-9D2D-FCC9758E9A89}"/>
            </a:ext>
          </a:extLst>
        </xdr:cNvPr>
        <xdr:cNvGrpSpPr/>
      </xdr:nvGrpSpPr>
      <xdr:grpSpPr>
        <a:xfrm>
          <a:off x="3993584" y="13904427"/>
          <a:ext cx="896015" cy="219118"/>
          <a:chOff x="3077530" y="6889258"/>
          <a:chExt cx="896015" cy="215724"/>
        </a:xfrm>
      </xdr:grpSpPr>
      <xdr:sp macro="" textlink="">
        <xdr:nvSpPr>
          <xdr:cNvPr id="796" name="TextBox 795">
            <a:extLst>
              <a:ext uri="{FF2B5EF4-FFF2-40B4-BE49-F238E27FC236}">
                <a16:creationId xmlns:a16="http://schemas.microsoft.com/office/drawing/2014/main" id="{99B262E4-BA75-7CEF-85B5-A73444A71629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797" name="TextBox 796">
            <a:extLst>
              <a:ext uri="{FF2B5EF4-FFF2-40B4-BE49-F238E27FC236}">
                <a16:creationId xmlns:a16="http://schemas.microsoft.com/office/drawing/2014/main" id="{90CD7C41-CC18-C8C2-586D-4AE81F371DC9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pwmclk1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22</xdr:col>
      <xdr:colOff>52105</xdr:colOff>
      <xdr:row>92</xdr:row>
      <xdr:rowOff>81034</xdr:rowOff>
    </xdr:from>
    <xdr:to>
      <xdr:col>27</xdr:col>
      <xdr:colOff>22605</xdr:colOff>
      <xdr:row>92</xdr:row>
      <xdr:rowOff>81034</xdr:rowOff>
    </xdr:to>
    <xdr:cxnSp macro="">
      <xdr:nvCxnSpPr>
        <xdr:cNvPr id="826" name="직선 화살표 연결선 825">
          <a:extLst>
            <a:ext uri="{FF2B5EF4-FFF2-40B4-BE49-F238E27FC236}">
              <a16:creationId xmlns:a16="http://schemas.microsoft.com/office/drawing/2014/main" id="{8885DF14-2F31-4E03-BE31-F584567D3826}"/>
            </a:ext>
          </a:extLst>
        </xdr:cNvPr>
        <xdr:cNvCxnSpPr/>
      </xdr:nvCxnSpPr>
      <xdr:spPr>
        <a:xfrm flipV="1">
          <a:off x="3112200" y="173651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13711</xdr:colOff>
      <xdr:row>92</xdr:row>
      <xdr:rowOff>11778</xdr:rowOff>
    </xdr:from>
    <xdr:ext cx="532453" cy="125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3C3C15B1-6AA0-4066-AF32-883CE48A0167}"/>
            </a:ext>
          </a:extLst>
        </xdr:cNvPr>
        <xdr:cNvSpPr txBox="1"/>
      </xdr:nvSpPr>
      <xdr:spPr>
        <a:xfrm>
          <a:off x="2565806" y="17295873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72</xdr:col>
      <xdr:colOff>7558</xdr:colOff>
      <xdr:row>91</xdr:row>
      <xdr:rowOff>7985</xdr:rowOff>
    </xdr:from>
    <xdr:to>
      <xdr:col>108</xdr:col>
      <xdr:colOff>61558</xdr:colOff>
      <xdr:row>91</xdr:row>
      <xdr:rowOff>7985</xdr:rowOff>
    </xdr:to>
    <xdr:cxnSp macro="">
      <xdr:nvCxnSpPr>
        <xdr:cNvPr id="829" name="직선 화살표 연결선 828">
          <a:extLst>
            <a:ext uri="{FF2B5EF4-FFF2-40B4-BE49-F238E27FC236}">
              <a16:creationId xmlns:a16="http://schemas.microsoft.com/office/drawing/2014/main" id="{AFDC16CB-EF63-4301-B7BF-7D8AF686EA55}"/>
            </a:ext>
          </a:extLst>
        </xdr:cNvPr>
        <xdr:cNvCxnSpPr/>
      </xdr:nvCxnSpPr>
      <xdr:spPr>
        <a:xfrm flipV="1">
          <a:off x="6242653" y="17107628"/>
          <a:ext cx="234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91</xdr:row>
      <xdr:rowOff>3855</xdr:rowOff>
    </xdr:from>
    <xdr:to>
      <xdr:col>59</xdr:col>
      <xdr:colOff>11087</xdr:colOff>
      <xdr:row>91</xdr:row>
      <xdr:rowOff>3855</xdr:rowOff>
    </xdr:to>
    <xdr:cxnSp macro="">
      <xdr:nvCxnSpPr>
        <xdr:cNvPr id="830" name="직선 화살표 연결선 829">
          <a:extLst>
            <a:ext uri="{FF2B5EF4-FFF2-40B4-BE49-F238E27FC236}">
              <a16:creationId xmlns:a16="http://schemas.microsoft.com/office/drawing/2014/main" id="{1432047C-C7F2-419B-936E-5E3C2C909A07}"/>
            </a:ext>
          </a:extLst>
        </xdr:cNvPr>
        <xdr:cNvCxnSpPr/>
      </xdr:nvCxnSpPr>
      <xdr:spPr>
        <a:xfrm flipV="1">
          <a:off x="2918623" y="15121391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90</xdr:row>
      <xdr:rowOff>63923</xdr:rowOff>
    </xdr:from>
    <xdr:to>
      <xdr:col>47</xdr:col>
      <xdr:colOff>23511</xdr:colOff>
      <xdr:row>91</xdr:row>
      <xdr:rowOff>92703</xdr:rowOff>
    </xdr:to>
    <xdr:grpSp>
      <xdr:nvGrpSpPr>
        <xdr:cNvPr id="831" name="그룹 830">
          <a:extLst>
            <a:ext uri="{FF2B5EF4-FFF2-40B4-BE49-F238E27FC236}">
              <a16:creationId xmlns:a16="http://schemas.microsoft.com/office/drawing/2014/main" id="{A4B6C94E-7EEF-4914-93EC-3FA0026CF02E}"/>
            </a:ext>
          </a:extLst>
        </xdr:cNvPr>
        <xdr:cNvGrpSpPr/>
      </xdr:nvGrpSpPr>
      <xdr:grpSpPr>
        <a:xfrm>
          <a:off x="3846340" y="16887454"/>
          <a:ext cx="896015" cy="211343"/>
          <a:chOff x="3077530" y="6888003"/>
          <a:chExt cx="896015" cy="216979"/>
        </a:xfrm>
      </xdr:grpSpPr>
      <xdr:sp macro="" textlink="">
        <xdr:nvSpPr>
          <xdr:cNvPr id="832" name="TextBox 831">
            <a:extLst>
              <a:ext uri="{FF2B5EF4-FFF2-40B4-BE49-F238E27FC236}">
                <a16:creationId xmlns:a16="http://schemas.microsoft.com/office/drawing/2014/main" id="{118B5561-E35C-1FEB-3B34-13AB03C40651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3" name="TextBox 832">
            <a:extLst>
              <a:ext uri="{FF2B5EF4-FFF2-40B4-BE49-F238E27FC236}">
                <a16:creationId xmlns:a16="http://schemas.microsoft.com/office/drawing/2014/main" id="{DFAD59FA-0FF6-B84F-5AA7-2543F8D269A7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90</xdr:row>
      <xdr:rowOff>92727</xdr:rowOff>
    </xdr:from>
    <xdr:to>
      <xdr:col>97</xdr:col>
      <xdr:colOff>4748</xdr:colOff>
      <xdr:row>91</xdr:row>
      <xdr:rowOff>126448</xdr:rowOff>
    </xdr:to>
    <xdr:grpSp>
      <xdr:nvGrpSpPr>
        <xdr:cNvPr id="834" name="그룹 833">
          <a:extLst>
            <a:ext uri="{FF2B5EF4-FFF2-40B4-BE49-F238E27FC236}">
              <a16:creationId xmlns:a16="http://schemas.microsoft.com/office/drawing/2014/main" id="{D39F3B39-6A87-4DC0-8398-33501FF95971}"/>
            </a:ext>
          </a:extLst>
        </xdr:cNvPr>
        <xdr:cNvGrpSpPr/>
      </xdr:nvGrpSpPr>
      <xdr:grpSpPr>
        <a:xfrm>
          <a:off x="7002577" y="16916258"/>
          <a:ext cx="896015" cy="216284"/>
          <a:chOff x="3077530" y="6887563"/>
          <a:chExt cx="896015" cy="217419"/>
        </a:xfrm>
      </xdr:grpSpPr>
      <xdr:sp macro="" textlink="">
        <xdr:nvSpPr>
          <xdr:cNvPr id="835" name="TextBox 834">
            <a:extLst>
              <a:ext uri="{FF2B5EF4-FFF2-40B4-BE49-F238E27FC236}">
                <a16:creationId xmlns:a16="http://schemas.microsoft.com/office/drawing/2014/main" id="{1C300FB3-32A5-C8A3-5761-BCB9288ED670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6" name="TextBox 835">
            <a:extLst>
              <a:ext uri="{FF2B5EF4-FFF2-40B4-BE49-F238E27FC236}">
                <a16:creationId xmlns:a16="http://schemas.microsoft.com/office/drawing/2014/main" id="{D38E6D7E-14AF-227D-F211-698C553F861E}"/>
              </a:ext>
            </a:extLst>
          </xdr:cNvPr>
          <xdr:cNvSpPr txBox="1"/>
        </xdr:nvSpPr>
        <xdr:spPr>
          <a:xfrm>
            <a:off x="3172612" y="6887563"/>
            <a:ext cx="709298" cy="12479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71</xdr:col>
      <xdr:colOff>53513</xdr:colOff>
      <xdr:row>92</xdr:row>
      <xdr:rowOff>84372</xdr:rowOff>
    </xdr:from>
    <xdr:to>
      <xdr:col>76</xdr:col>
      <xdr:colOff>60013</xdr:colOff>
      <xdr:row>92</xdr:row>
      <xdr:rowOff>84372</xdr:rowOff>
    </xdr:to>
    <xdr:cxnSp macro="">
      <xdr:nvCxnSpPr>
        <xdr:cNvPr id="837" name="직선 화살표 연결선 836">
          <a:extLst>
            <a:ext uri="{FF2B5EF4-FFF2-40B4-BE49-F238E27FC236}">
              <a16:creationId xmlns:a16="http://schemas.microsoft.com/office/drawing/2014/main" id="{653F1D97-09D2-414E-BA97-B758A7FFE80B}"/>
            </a:ext>
          </a:extLst>
        </xdr:cNvPr>
        <xdr:cNvCxnSpPr/>
      </xdr:nvCxnSpPr>
      <xdr:spPr>
        <a:xfrm flipV="1">
          <a:off x="6225108" y="1736846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61882</xdr:colOff>
      <xdr:row>92</xdr:row>
      <xdr:rowOff>29423</xdr:rowOff>
    </xdr:from>
    <xdr:to>
      <xdr:col>76</xdr:col>
      <xdr:colOff>62281</xdr:colOff>
      <xdr:row>92</xdr:row>
      <xdr:rowOff>137423</xdr:rowOff>
    </xdr:to>
    <xdr:cxnSp macro="">
      <xdr:nvCxnSpPr>
        <xdr:cNvPr id="838" name="직선 연결선 837">
          <a:extLst>
            <a:ext uri="{FF2B5EF4-FFF2-40B4-BE49-F238E27FC236}">
              <a16:creationId xmlns:a16="http://schemas.microsoft.com/office/drawing/2014/main" id="{301B452A-26BE-47D9-B9CA-913C8D8B96F7}"/>
            </a:ext>
          </a:extLst>
        </xdr:cNvPr>
        <xdr:cNvCxnSpPr/>
      </xdr:nvCxnSpPr>
      <xdr:spPr>
        <a:xfrm>
          <a:off x="6550977" y="17313518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6049</xdr:colOff>
      <xdr:row>92</xdr:row>
      <xdr:rowOff>18143</xdr:rowOff>
    </xdr:from>
    <xdr:ext cx="532453" cy="125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F7BC5F66-2625-4E52-A58B-43877B56BAB2}"/>
            </a:ext>
          </a:extLst>
        </xdr:cNvPr>
        <xdr:cNvSpPr txBox="1"/>
      </xdr:nvSpPr>
      <xdr:spPr>
        <a:xfrm>
          <a:off x="5669644" y="17302238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1210</xdr:colOff>
      <xdr:row>86</xdr:row>
      <xdr:rowOff>88894</xdr:rowOff>
    </xdr:from>
    <xdr:to>
      <xdr:col>10</xdr:col>
      <xdr:colOff>1210</xdr:colOff>
      <xdr:row>92</xdr:row>
      <xdr:rowOff>125108</xdr:rowOff>
    </xdr:to>
    <xdr:cxnSp macro="">
      <xdr:nvCxnSpPr>
        <xdr:cNvPr id="840" name="직선 연결선 839">
          <a:extLst>
            <a:ext uri="{FF2B5EF4-FFF2-40B4-BE49-F238E27FC236}">
              <a16:creationId xmlns:a16="http://schemas.microsoft.com/office/drawing/2014/main" id="{3B7D8540-B51D-4814-B37A-86E3ED259D70}"/>
            </a:ext>
          </a:extLst>
        </xdr:cNvPr>
        <xdr:cNvCxnSpPr/>
      </xdr:nvCxnSpPr>
      <xdr:spPr>
        <a:xfrm flipH="1">
          <a:off x="2299305" y="16266275"/>
          <a:ext cx="0" cy="114292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</xdr:colOff>
      <xdr:row>86</xdr:row>
      <xdr:rowOff>45057</xdr:rowOff>
    </xdr:from>
    <xdr:to>
      <xdr:col>72</xdr:col>
      <xdr:colOff>1</xdr:colOff>
      <xdr:row>92</xdr:row>
      <xdr:rowOff>136072</xdr:rowOff>
    </xdr:to>
    <xdr:cxnSp macro="">
      <xdr:nvCxnSpPr>
        <xdr:cNvPr id="841" name="직선 연결선 840">
          <a:extLst>
            <a:ext uri="{FF2B5EF4-FFF2-40B4-BE49-F238E27FC236}">
              <a16:creationId xmlns:a16="http://schemas.microsoft.com/office/drawing/2014/main" id="{E24B3FEF-13EB-4772-9704-EBA602049205}"/>
            </a:ext>
          </a:extLst>
        </xdr:cNvPr>
        <xdr:cNvCxnSpPr/>
      </xdr:nvCxnSpPr>
      <xdr:spPr>
        <a:xfrm flipH="1">
          <a:off x="6235096" y="16222438"/>
          <a:ext cx="0" cy="119772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11012</xdr:colOff>
      <xdr:row>75</xdr:row>
      <xdr:rowOff>70758</xdr:rowOff>
    </xdr:from>
    <xdr:to>
      <xdr:col>96</xdr:col>
      <xdr:colOff>50187</xdr:colOff>
      <xdr:row>76</xdr:row>
      <xdr:rowOff>131214</xdr:rowOff>
    </xdr:to>
    <xdr:sp macro="" textlink="">
      <xdr:nvSpPr>
        <xdr:cNvPr id="842" name="자유형: 도형 841">
          <a:extLst>
            <a:ext uri="{FF2B5EF4-FFF2-40B4-BE49-F238E27FC236}">
              <a16:creationId xmlns:a16="http://schemas.microsoft.com/office/drawing/2014/main" id="{5992C1CD-BCFA-4460-A915-F61F07908AA7}"/>
            </a:ext>
          </a:extLst>
        </xdr:cNvPr>
        <xdr:cNvSpPr/>
      </xdr:nvSpPr>
      <xdr:spPr>
        <a:xfrm>
          <a:off x="7572048" y="142403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4663</xdr:colOff>
      <xdr:row>70</xdr:row>
      <xdr:rowOff>155122</xdr:rowOff>
    </xdr:from>
    <xdr:to>
      <xdr:col>94</xdr:col>
      <xdr:colOff>43838</xdr:colOff>
      <xdr:row>72</xdr:row>
      <xdr:rowOff>29614</xdr:rowOff>
    </xdr:to>
    <xdr:sp macro="" textlink="">
      <xdr:nvSpPr>
        <xdr:cNvPr id="843" name="자유형: 도형 842">
          <a:extLst>
            <a:ext uri="{FF2B5EF4-FFF2-40B4-BE49-F238E27FC236}">
              <a16:creationId xmlns:a16="http://schemas.microsoft.com/office/drawing/2014/main" id="{9AF66E97-F724-4E28-ACD6-E5932348E5BC}"/>
            </a:ext>
          </a:extLst>
        </xdr:cNvPr>
        <xdr:cNvSpPr/>
      </xdr:nvSpPr>
      <xdr:spPr>
        <a:xfrm>
          <a:off x="7638270" y="13394872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82</xdr:col>
      <xdr:colOff>63499</xdr:colOff>
      <xdr:row>399</xdr:row>
      <xdr:rowOff>27212</xdr:rowOff>
    </xdr:from>
    <xdr:to>
      <xdr:col>83</xdr:col>
      <xdr:colOff>1</xdr:colOff>
      <xdr:row>401</xdr:row>
      <xdr:rowOff>150212</xdr:rowOff>
    </xdr:to>
    <xdr:cxnSp macro="">
      <xdr:nvCxnSpPr>
        <xdr:cNvPr id="849" name="직선 연결선 848">
          <a:extLst>
            <a:ext uri="{FF2B5EF4-FFF2-40B4-BE49-F238E27FC236}">
              <a16:creationId xmlns:a16="http://schemas.microsoft.com/office/drawing/2014/main" id="{82240850-C787-48CB-87A3-CF59CEDE3077}"/>
            </a:ext>
          </a:extLst>
        </xdr:cNvPr>
        <xdr:cNvCxnSpPr/>
      </xdr:nvCxnSpPr>
      <xdr:spPr>
        <a:xfrm flipH="1">
          <a:off x="6935106" y="50192212"/>
          <a:ext cx="2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13606</xdr:colOff>
      <xdr:row>77</xdr:row>
      <xdr:rowOff>113392</xdr:rowOff>
    </xdr:from>
    <xdr:to>
      <xdr:col>50</xdr:col>
      <xdr:colOff>43256</xdr:colOff>
      <xdr:row>78</xdr:row>
      <xdr:rowOff>28508</xdr:rowOff>
    </xdr:to>
    <xdr:grpSp>
      <xdr:nvGrpSpPr>
        <xdr:cNvPr id="850" name="그룹 849">
          <a:extLst>
            <a:ext uri="{FF2B5EF4-FFF2-40B4-BE49-F238E27FC236}">
              <a16:creationId xmlns:a16="http://schemas.microsoft.com/office/drawing/2014/main" id="{29BE9676-CF94-4B63-83A9-2675841C1F4E}"/>
            </a:ext>
          </a:extLst>
        </xdr:cNvPr>
        <xdr:cNvGrpSpPr/>
      </xdr:nvGrpSpPr>
      <xdr:grpSpPr>
        <a:xfrm>
          <a:off x="4922950" y="14508048"/>
          <a:ext cx="29650" cy="113554"/>
          <a:chOff x="11556979" y="1922463"/>
          <a:chExt cx="188140" cy="204787"/>
        </a:xfrm>
      </xdr:grpSpPr>
      <xdr:sp macro="" textlink="">
        <xdr:nvSpPr>
          <xdr:cNvPr id="851" name="자유형: 도형 850">
            <a:extLst>
              <a:ext uri="{FF2B5EF4-FFF2-40B4-BE49-F238E27FC236}">
                <a16:creationId xmlns:a16="http://schemas.microsoft.com/office/drawing/2014/main" id="{83C6653E-D094-642C-2856-BFFD1100181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2" name="자유형: 도형 851">
            <a:extLst>
              <a:ext uri="{FF2B5EF4-FFF2-40B4-BE49-F238E27FC236}">
                <a16:creationId xmlns:a16="http://schemas.microsoft.com/office/drawing/2014/main" id="{AC1F3FCE-4704-9E41-94DD-C069D520CE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50</xdr:col>
      <xdr:colOff>16327</xdr:colOff>
      <xdr:row>81</xdr:row>
      <xdr:rowOff>107042</xdr:rowOff>
    </xdr:from>
    <xdr:to>
      <xdr:col>50</xdr:col>
      <xdr:colOff>45977</xdr:colOff>
      <xdr:row>82</xdr:row>
      <xdr:rowOff>22158</xdr:rowOff>
    </xdr:to>
    <xdr:grpSp>
      <xdr:nvGrpSpPr>
        <xdr:cNvPr id="853" name="그룹 852">
          <a:extLst>
            <a:ext uri="{FF2B5EF4-FFF2-40B4-BE49-F238E27FC236}">
              <a16:creationId xmlns:a16="http://schemas.microsoft.com/office/drawing/2014/main" id="{DA5664BA-737F-4FE5-8013-21323860E401}"/>
            </a:ext>
          </a:extLst>
        </xdr:cNvPr>
        <xdr:cNvGrpSpPr/>
      </xdr:nvGrpSpPr>
      <xdr:grpSpPr>
        <a:xfrm>
          <a:off x="4925671" y="15263698"/>
          <a:ext cx="29650" cy="113554"/>
          <a:chOff x="11556979" y="1922463"/>
          <a:chExt cx="188140" cy="204787"/>
        </a:xfrm>
      </xdr:grpSpPr>
      <xdr:sp macro="" textlink="">
        <xdr:nvSpPr>
          <xdr:cNvPr id="854" name="자유형: 도형 853">
            <a:extLst>
              <a:ext uri="{FF2B5EF4-FFF2-40B4-BE49-F238E27FC236}">
                <a16:creationId xmlns:a16="http://schemas.microsoft.com/office/drawing/2014/main" id="{86E8969C-0ADD-D3D3-BE67-F9FE3859F13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5" name="자유형: 도형 854">
            <a:extLst>
              <a:ext uri="{FF2B5EF4-FFF2-40B4-BE49-F238E27FC236}">
                <a16:creationId xmlns:a16="http://schemas.microsoft.com/office/drawing/2014/main" id="{EADA2799-055D-3D78-CA47-E519F29FBE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23584</xdr:colOff>
      <xdr:row>77</xdr:row>
      <xdr:rowOff>114299</xdr:rowOff>
    </xdr:from>
    <xdr:to>
      <xdr:col>94</xdr:col>
      <xdr:colOff>53234</xdr:colOff>
      <xdr:row>78</xdr:row>
      <xdr:rowOff>29415</xdr:rowOff>
    </xdr:to>
    <xdr:grpSp>
      <xdr:nvGrpSpPr>
        <xdr:cNvPr id="856" name="그룹 855">
          <a:extLst>
            <a:ext uri="{FF2B5EF4-FFF2-40B4-BE49-F238E27FC236}">
              <a16:creationId xmlns:a16="http://schemas.microsoft.com/office/drawing/2014/main" id="{2EDBF4FD-DA7E-4636-9C1F-A962E79B8ED9}"/>
            </a:ext>
          </a:extLst>
        </xdr:cNvPr>
        <xdr:cNvGrpSpPr/>
      </xdr:nvGrpSpPr>
      <xdr:grpSpPr>
        <a:xfrm>
          <a:off x="7726928" y="14508955"/>
          <a:ext cx="29650" cy="113554"/>
          <a:chOff x="11556979" y="1922463"/>
          <a:chExt cx="188140" cy="204787"/>
        </a:xfrm>
      </xdr:grpSpPr>
      <xdr:sp macro="" textlink="">
        <xdr:nvSpPr>
          <xdr:cNvPr id="857" name="자유형: 도형 856">
            <a:extLst>
              <a:ext uri="{FF2B5EF4-FFF2-40B4-BE49-F238E27FC236}">
                <a16:creationId xmlns:a16="http://schemas.microsoft.com/office/drawing/2014/main" id="{64935C67-9789-3819-9FCC-CF46A514606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8" name="자유형: 도형 857">
            <a:extLst>
              <a:ext uri="{FF2B5EF4-FFF2-40B4-BE49-F238E27FC236}">
                <a16:creationId xmlns:a16="http://schemas.microsoft.com/office/drawing/2014/main" id="{F8C5EFAA-936B-B49B-9507-7AD4CDE4D71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21770</xdr:colOff>
      <xdr:row>81</xdr:row>
      <xdr:rowOff>117021</xdr:rowOff>
    </xdr:from>
    <xdr:to>
      <xdr:col>94</xdr:col>
      <xdr:colOff>51420</xdr:colOff>
      <xdr:row>82</xdr:row>
      <xdr:rowOff>32137</xdr:rowOff>
    </xdr:to>
    <xdr:grpSp>
      <xdr:nvGrpSpPr>
        <xdr:cNvPr id="859" name="그룹 858">
          <a:extLst>
            <a:ext uri="{FF2B5EF4-FFF2-40B4-BE49-F238E27FC236}">
              <a16:creationId xmlns:a16="http://schemas.microsoft.com/office/drawing/2014/main" id="{06EECCA8-C2D0-4A76-A352-4F3C1A30238F}"/>
            </a:ext>
          </a:extLst>
        </xdr:cNvPr>
        <xdr:cNvGrpSpPr/>
      </xdr:nvGrpSpPr>
      <xdr:grpSpPr>
        <a:xfrm>
          <a:off x="7725114" y="15273677"/>
          <a:ext cx="29650" cy="113554"/>
          <a:chOff x="11556979" y="1922463"/>
          <a:chExt cx="188140" cy="204787"/>
        </a:xfrm>
      </xdr:grpSpPr>
      <xdr:sp macro="" textlink="">
        <xdr:nvSpPr>
          <xdr:cNvPr id="860" name="자유형: 도형 859">
            <a:extLst>
              <a:ext uri="{FF2B5EF4-FFF2-40B4-BE49-F238E27FC236}">
                <a16:creationId xmlns:a16="http://schemas.microsoft.com/office/drawing/2014/main" id="{7A687544-9DB6-4EA2-81B5-43196929B9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1" name="자유형: 도형 860">
            <a:extLst>
              <a:ext uri="{FF2B5EF4-FFF2-40B4-BE49-F238E27FC236}">
                <a16:creationId xmlns:a16="http://schemas.microsoft.com/office/drawing/2014/main" id="{79F90A0D-5D1C-0071-3D72-A44B4660A3A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51</xdr:col>
      <xdr:colOff>0</xdr:colOff>
      <xdr:row>88</xdr:row>
      <xdr:rowOff>176892</xdr:rowOff>
    </xdr:from>
    <xdr:to>
      <xdr:col>51</xdr:col>
      <xdr:colOff>39175</xdr:colOff>
      <xdr:row>90</xdr:row>
      <xdr:rowOff>37623</xdr:rowOff>
    </xdr:to>
    <xdr:sp macro="" textlink="">
      <xdr:nvSpPr>
        <xdr:cNvPr id="862" name="자유형: 도형 861">
          <a:extLst>
            <a:ext uri="{FF2B5EF4-FFF2-40B4-BE49-F238E27FC236}">
              <a16:creationId xmlns:a16="http://schemas.microsoft.com/office/drawing/2014/main" id="{82FE1DD3-CADB-4485-91A6-84464ECE64B6}"/>
            </a:ext>
          </a:extLst>
        </xdr:cNvPr>
        <xdr:cNvSpPr/>
      </xdr:nvSpPr>
      <xdr:spPr>
        <a:xfrm>
          <a:off x="4903107" y="16800285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2722</xdr:colOff>
      <xdr:row>88</xdr:row>
      <xdr:rowOff>175077</xdr:rowOff>
    </xdr:from>
    <xdr:to>
      <xdr:col>94</xdr:col>
      <xdr:colOff>41897</xdr:colOff>
      <xdr:row>90</xdr:row>
      <xdr:rowOff>35808</xdr:rowOff>
    </xdr:to>
    <xdr:sp macro="" textlink="">
      <xdr:nvSpPr>
        <xdr:cNvPr id="863" name="자유형: 도형 862">
          <a:extLst>
            <a:ext uri="{FF2B5EF4-FFF2-40B4-BE49-F238E27FC236}">
              <a16:creationId xmlns:a16="http://schemas.microsoft.com/office/drawing/2014/main" id="{581CC040-9F4A-48D8-A91B-857C374E46B5}"/>
            </a:ext>
          </a:extLst>
        </xdr:cNvPr>
        <xdr:cNvSpPr/>
      </xdr:nvSpPr>
      <xdr:spPr>
        <a:xfrm>
          <a:off x="7636329" y="16798470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51</xdr:col>
      <xdr:colOff>17233</xdr:colOff>
      <xdr:row>93</xdr:row>
      <xdr:rowOff>103414</xdr:rowOff>
    </xdr:from>
    <xdr:to>
      <xdr:col>51</xdr:col>
      <xdr:colOff>46883</xdr:colOff>
      <xdr:row>94</xdr:row>
      <xdr:rowOff>18529</xdr:rowOff>
    </xdr:to>
    <xdr:grpSp>
      <xdr:nvGrpSpPr>
        <xdr:cNvPr id="864" name="그룹 863">
          <a:extLst>
            <a:ext uri="{FF2B5EF4-FFF2-40B4-BE49-F238E27FC236}">
              <a16:creationId xmlns:a16="http://schemas.microsoft.com/office/drawing/2014/main" id="{43D8E7B7-8A9D-4B6D-B9EC-11A662A05C98}"/>
            </a:ext>
          </a:extLst>
        </xdr:cNvPr>
        <xdr:cNvGrpSpPr/>
      </xdr:nvGrpSpPr>
      <xdr:grpSpPr>
        <a:xfrm>
          <a:off x="4990077" y="17482570"/>
          <a:ext cx="29650" cy="113553"/>
          <a:chOff x="11556979" y="1922463"/>
          <a:chExt cx="188140" cy="204787"/>
        </a:xfrm>
      </xdr:grpSpPr>
      <xdr:sp macro="" textlink="">
        <xdr:nvSpPr>
          <xdr:cNvPr id="865" name="자유형: 도형 864">
            <a:extLst>
              <a:ext uri="{FF2B5EF4-FFF2-40B4-BE49-F238E27FC236}">
                <a16:creationId xmlns:a16="http://schemas.microsoft.com/office/drawing/2014/main" id="{2A8B762D-6550-A3D6-26D4-3CE82C5F185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6" name="자유형: 도형 865">
            <a:extLst>
              <a:ext uri="{FF2B5EF4-FFF2-40B4-BE49-F238E27FC236}">
                <a16:creationId xmlns:a16="http://schemas.microsoft.com/office/drawing/2014/main" id="{876F4DF1-ABC9-E6EA-5023-951CC255DAC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51704</xdr:colOff>
      <xdr:row>93</xdr:row>
      <xdr:rowOff>106135</xdr:rowOff>
    </xdr:from>
    <xdr:to>
      <xdr:col>94</xdr:col>
      <xdr:colOff>17854</xdr:colOff>
      <xdr:row>94</xdr:row>
      <xdr:rowOff>21250</xdr:rowOff>
    </xdr:to>
    <xdr:grpSp>
      <xdr:nvGrpSpPr>
        <xdr:cNvPr id="867" name="그룹 866">
          <a:extLst>
            <a:ext uri="{FF2B5EF4-FFF2-40B4-BE49-F238E27FC236}">
              <a16:creationId xmlns:a16="http://schemas.microsoft.com/office/drawing/2014/main" id="{F388A399-6C44-450C-BB4B-FB327B82BEEA}"/>
            </a:ext>
          </a:extLst>
        </xdr:cNvPr>
        <xdr:cNvGrpSpPr/>
      </xdr:nvGrpSpPr>
      <xdr:grpSpPr>
        <a:xfrm>
          <a:off x="7691548" y="17485291"/>
          <a:ext cx="29650" cy="113553"/>
          <a:chOff x="11556979" y="1922463"/>
          <a:chExt cx="188140" cy="204787"/>
        </a:xfrm>
      </xdr:grpSpPr>
      <xdr:sp macro="" textlink="">
        <xdr:nvSpPr>
          <xdr:cNvPr id="868" name="자유형: 도형 867">
            <a:extLst>
              <a:ext uri="{FF2B5EF4-FFF2-40B4-BE49-F238E27FC236}">
                <a16:creationId xmlns:a16="http://schemas.microsoft.com/office/drawing/2014/main" id="{A6C08260-9D30-0D8A-34F0-7F30AA58072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9" name="자유형: 도형 868">
            <a:extLst>
              <a:ext uri="{FF2B5EF4-FFF2-40B4-BE49-F238E27FC236}">
                <a16:creationId xmlns:a16="http://schemas.microsoft.com/office/drawing/2014/main" id="{C2C85F8D-DAF0-3C94-9863-D975BFCDF7F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78</xdr:col>
      <xdr:colOff>58964</xdr:colOff>
      <xdr:row>399</xdr:row>
      <xdr:rowOff>82865</xdr:rowOff>
    </xdr:from>
    <xdr:to>
      <xdr:col>82</xdr:col>
      <xdr:colOff>56964</xdr:colOff>
      <xdr:row>399</xdr:row>
      <xdr:rowOff>82865</xdr:rowOff>
    </xdr:to>
    <xdr:cxnSp macro="">
      <xdr:nvCxnSpPr>
        <xdr:cNvPr id="870" name="직선 화살표 연결선 869">
          <a:extLst>
            <a:ext uri="{FF2B5EF4-FFF2-40B4-BE49-F238E27FC236}">
              <a16:creationId xmlns:a16="http://schemas.microsoft.com/office/drawing/2014/main" id="{48E32B93-DC31-4BE0-BB62-77BF5483E6AB}"/>
            </a:ext>
          </a:extLst>
        </xdr:cNvPr>
        <xdr:cNvCxnSpPr/>
      </xdr:nvCxnSpPr>
      <xdr:spPr>
        <a:xfrm flipV="1">
          <a:off x="6676571" y="50247865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79</xdr:col>
      <xdr:colOff>31154</xdr:colOff>
      <xdr:row>398</xdr:row>
      <xdr:rowOff>81642</xdr:rowOff>
    </xdr:from>
    <xdr:ext cx="237244" cy="125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CD7EBD6-0CB4-4606-94F4-1996C6A83C0E}"/>
            </a:ext>
          </a:extLst>
        </xdr:cNvPr>
        <xdr:cNvSpPr txBox="1"/>
      </xdr:nvSpPr>
      <xdr:spPr>
        <a:xfrm>
          <a:off x="6712261" y="50060678"/>
          <a:ext cx="2372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rstcnt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39</xdr:col>
      <xdr:colOff>5032</xdr:colOff>
      <xdr:row>145</xdr:row>
      <xdr:rowOff>31825</xdr:rowOff>
    </xdr:from>
    <xdr:ext cx="287515" cy="125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6B9B4630-9CC4-4AA7-9181-85B3365F727F}"/>
            </a:ext>
          </a:extLst>
        </xdr:cNvPr>
        <xdr:cNvSpPr txBox="1"/>
      </xdr:nvSpPr>
      <xdr:spPr>
        <a:xfrm>
          <a:off x="4146139" y="2751825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24126</xdr:colOff>
      <xdr:row>145</xdr:row>
      <xdr:rowOff>37539</xdr:rowOff>
    </xdr:from>
    <xdr:ext cx="287515" cy="125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1029051-CA14-4CDC-9AFD-265B96C56F51}"/>
            </a:ext>
          </a:extLst>
        </xdr:cNvPr>
        <xdr:cNvSpPr txBox="1"/>
      </xdr:nvSpPr>
      <xdr:spPr>
        <a:xfrm>
          <a:off x="3022233" y="2752396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32</xdr:col>
      <xdr:colOff>25637</xdr:colOff>
      <xdr:row>115</xdr:row>
      <xdr:rowOff>138595</xdr:rowOff>
    </xdr:from>
    <xdr:ext cx="287515" cy="125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33238BB-7D10-4B15-B461-514D19F7CAB6}"/>
            </a:ext>
          </a:extLst>
        </xdr:cNvPr>
        <xdr:cNvSpPr txBox="1"/>
      </xdr:nvSpPr>
      <xdr:spPr>
        <a:xfrm>
          <a:off x="3722244" y="2201434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721994</xdr:colOff>
      <xdr:row>402</xdr:row>
      <xdr:rowOff>160484</xdr:rowOff>
    </xdr:from>
    <xdr:ext cx="479106" cy="140872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92F37C8D-69EC-4F98-B2EB-B7A1CBF61CA5}"/>
            </a:ext>
          </a:extLst>
        </xdr:cNvPr>
        <xdr:cNvSpPr txBox="1"/>
      </xdr:nvSpPr>
      <xdr:spPr>
        <a:xfrm>
          <a:off x="1375670" y="66185543"/>
          <a:ext cx="47910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E_RST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56</xdr:col>
      <xdr:colOff>49894</xdr:colOff>
      <xdr:row>117</xdr:row>
      <xdr:rowOff>0</xdr:rowOff>
    </xdr:from>
    <xdr:to>
      <xdr:col>57</xdr:col>
      <xdr:colOff>25569</xdr:colOff>
      <xdr:row>118</xdr:row>
      <xdr:rowOff>9072</xdr:rowOff>
    </xdr:to>
    <xdr:sp macro="" textlink="">
      <xdr:nvSpPr>
        <xdr:cNvPr id="877" name="자유형: 도형 876">
          <a:extLst>
            <a:ext uri="{FF2B5EF4-FFF2-40B4-BE49-F238E27FC236}">
              <a16:creationId xmlns:a16="http://schemas.microsoft.com/office/drawing/2014/main" id="{C3132AE8-00A2-450D-9344-DD3836DFAC6A}"/>
            </a:ext>
          </a:extLst>
        </xdr:cNvPr>
        <xdr:cNvSpPr/>
      </xdr:nvSpPr>
      <xdr:spPr>
        <a:xfrm>
          <a:off x="5270501" y="22392821"/>
          <a:ext cx="39175" cy="235858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</xdr:col>
      <xdr:colOff>821567</xdr:colOff>
      <xdr:row>230</xdr:row>
      <xdr:rowOff>152792</xdr:rowOff>
    </xdr:from>
    <xdr:ext cx="368819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2109F1F-465C-425D-AAEF-42325BF59A4F}"/>
            </a:ext>
          </a:extLst>
        </xdr:cNvPr>
        <xdr:cNvSpPr txBox="1"/>
      </xdr:nvSpPr>
      <xdr:spPr>
        <a:xfrm>
          <a:off x="1474710" y="43109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47926</xdr:colOff>
      <xdr:row>230</xdr:row>
      <xdr:rowOff>22571</xdr:rowOff>
    </xdr:from>
    <xdr:to>
      <xdr:col>77</xdr:col>
      <xdr:colOff>20426</xdr:colOff>
      <xdr:row>231</xdr:row>
      <xdr:rowOff>18755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D6B61C9-34E9-487C-9913-ADE3D43D8524}"/>
            </a:ext>
          </a:extLst>
        </xdr:cNvPr>
        <xdr:cNvGrpSpPr/>
      </xdr:nvGrpSpPr>
      <xdr:grpSpPr>
        <a:xfrm>
          <a:off x="6608270" y="42678696"/>
          <a:ext cx="36000" cy="178747"/>
          <a:chOff x="11556979" y="1922463"/>
          <a:chExt cx="188140" cy="204787"/>
        </a:xfrm>
      </xdr:grpSpPr>
      <xdr:sp macro="" textlink="">
        <xdr:nvSpPr>
          <xdr:cNvPr id="30" name="자유형: 도형 29">
            <a:extLst>
              <a:ext uri="{FF2B5EF4-FFF2-40B4-BE49-F238E27FC236}">
                <a16:creationId xmlns:a16="http://schemas.microsoft.com/office/drawing/2014/main" id="{84CFB08F-0AC8-D96A-0F9D-66FE5BCB164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9738F568-A062-04CE-97A8-6B690CE674C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1347</xdr:colOff>
      <xdr:row>224</xdr:row>
      <xdr:rowOff>55126</xdr:rowOff>
    </xdr:from>
    <xdr:to>
      <xdr:col>19</xdr:col>
      <xdr:colOff>1348</xdr:colOff>
      <xdr:row>228</xdr:row>
      <xdr:rowOff>73317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EC622228-3D0E-4D2F-9D13-AE1EB3367292}"/>
            </a:ext>
          </a:extLst>
        </xdr:cNvPr>
        <xdr:cNvCxnSpPr/>
      </xdr:nvCxnSpPr>
      <xdr:spPr>
        <a:xfrm flipH="1">
          <a:off x="2946537" y="41904650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63492</xdr:colOff>
      <xdr:row>227</xdr:row>
      <xdr:rowOff>149129</xdr:rowOff>
    </xdr:from>
    <xdr:to>
      <xdr:col>111</xdr:col>
      <xdr:colOff>61992</xdr:colOff>
      <xdr:row>227</xdr:row>
      <xdr:rowOff>149129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24A85321-9B1E-423C-A7E0-DFE07D03EAF4}"/>
            </a:ext>
          </a:extLst>
        </xdr:cNvPr>
        <xdr:cNvCxnSpPr/>
      </xdr:nvCxnSpPr>
      <xdr:spPr>
        <a:xfrm>
          <a:off x="2869587" y="42552010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61</xdr:col>
      <xdr:colOff>2115</xdr:colOff>
      <xdr:row>227</xdr:row>
      <xdr:rowOff>66443</xdr:rowOff>
    </xdr:from>
    <xdr:ext cx="428066" cy="125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CAEA6B4C-3233-47BC-9994-21AFDDCCCED0}"/>
            </a:ext>
          </a:extLst>
        </xdr:cNvPr>
        <xdr:cNvSpPr txBox="1"/>
      </xdr:nvSpPr>
      <xdr:spPr>
        <a:xfrm>
          <a:off x="5538710" y="4246932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228</xdr:row>
      <xdr:rowOff>123802</xdr:rowOff>
    </xdr:from>
    <xdr:to>
      <xdr:col>29</xdr:col>
      <xdr:colOff>1133</xdr:colOff>
      <xdr:row>229</xdr:row>
      <xdr:rowOff>155871</xdr:rowOff>
    </xdr:to>
    <xdr:cxnSp macro="">
      <xdr:nvCxnSpPr>
        <xdr:cNvPr id="264" name="직선 연결선 263">
          <a:extLst>
            <a:ext uri="{FF2B5EF4-FFF2-40B4-BE49-F238E27FC236}">
              <a16:creationId xmlns:a16="http://schemas.microsoft.com/office/drawing/2014/main" id="{4DC2287C-D437-4FC6-90CC-FE9485159FAA}"/>
            </a:ext>
          </a:extLst>
        </xdr:cNvPr>
        <xdr:cNvCxnSpPr/>
      </xdr:nvCxnSpPr>
      <xdr:spPr>
        <a:xfrm flipH="1">
          <a:off x="3506771" y="3895952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228</xdr:row>
      <xdr:rowOff>10925</xdr:rowOff>
    </xdr:from>
    <xdr:ext cx="285784" cy="125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AEE850CE-CD9A-42BD-8FA9-148959D1A20F}"/>
            </a:ext>
          </a:extLst>
        </xdr:cNvPr>
        <xdr:cNvSpPr txBox="1"/>
      </xdr:nvSpPr>
      <xdr:spPr>
        <a:xfrm>
          <a:off x="2879703" y="4098656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22</xdr:col>
      <xdr:colOff>61045</xdr:colOff>
      <xdr:row>229</xdr:row>
      <xdr:rowOff>8127</xdr:rowOff>
    </xdr:from>
    <xdr:to>
      <xdr:col>29</xdr:col>
      <xdr:colOff>12545</xdr:colOff>
      <xdr:row>229</xdr:row>
      <xdr:rowOff>8127</xdr:rowOff>
    </xdr:to>
    <xdr:cxnSp macro="">
      <xdr:nvCxnSpPr>
        <xdr:cNvPr id="277" name="직선 화살표 연결선 276">
          <a:extLst>
            <a:ext uri="{FF2B5EF4-FFF2-40B4-BE49-F238E27FC236}">
              <a16:creationId xmlns:a16="http://schemas.microsoft.com/office/drawing/2014/main" id="{6786E1A9-987E-477A-8151-8CF019F2C3D6}"/>
            </a:ext>
          </a:extLst>
        </xdr:cNvPr>
        <xdr:cNvCxnSpPr/>
      </xdr:nvCxnSpPr>
      <xdr:spPr>
        <a:xfrm>
          <a:off x="3122183" y="39027782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52145</xdr:colOff>
      <xdr:row>229</xdr:row>
      <xdr:rowOff>9557</xdr:rowOff>
    </xdr:from>
    <xdr:to>
      <xdr:col>23</xdr:col>
      <xdr:colOff>14145</xdr:colOff>
      <xdr:row>229</xdr:row>
      <xdr:rowOff>9557</xdr:rowOff>
    </xdr:to>
    <xdr:cxnSp macro="">
      <xdr:nvCxnSpPr>
        <xdr:cNvPr id="283" name="직선 화살표 연결선 282">
          <a:extLst>
            <a:ext uri="{FF2B5EF4-FFF2-40B4-BE49-F238E27FC236}">
              <a16:creationId xmlns:a16="http://schemas.microsoft.com/office/drawing/2014/main" id="{B5A1AF90-A932-4AA6-B882-5E2BBF37A66E}"/>
            </a:ext>
          </a:extLst>
        </xdr:cNvPr>
        <xdr:cNvCxnSpPr/>
      </xdr:nvCxnSpPr>
      <xdr:spPr>
        <a:xfrm>
          <a:off x="2922783" y="39029212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63021</xdr:colOff>
      <xdr:row>228</xdr:row>
      <xdr:rowOff>127397</xdr:rowOff>
    </xdr:from>
    <xdr:to>
      <xdr:col>19</xdr:col>
      <xdr:colOff>63022</xdr:colOff>
      <xdr:row>235</xdr:row>
      <xdr:rowOff>139504</xdr:rowOff>
    </xdr:to>
    <xdr:cxnSp macro="">
      <xdr:nvCxnSpPr>
        <xdr:cNvPr id="284" name="직선 연결선 283">
          <a:extLst>
            <a:ext uri="{FF2B5EF4-FFF2-40B4-BE49-F238E27FC236}">
              <a16:creationId xmlns:a16="http://schemas.microsoft.com/office/drawing/2014/main" id="{7162A90F-C15B-4860-8BD9-F5EDB73230BB}"/>
            </a:ext>
          </a:extLst>
        </xdr:cNvPr>
        <xdr:cNvCxnSpPr/>
      </xdr:nvCxnSpPr>
      <xdr:spPr>
        <a:xfrm flipH="1">
          <a:off x="2933659" y="38963121"/>
          <a:ext cx="1" cy="13259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228</xdr:row>
      <xdr:rowOff>125582</xdr:rowOff>
    </xdr:from>
    <xdr:to>
      <xdr:col>23</xdr:col>
      <xdr:colOff>902</xdr:colOff>
      <xdr:row>229</xdr:row>
      <xdr:rowOff>157651</xdr:rowOff>
    </xdr:to>
    <xdr:cxnSp macro="">
      <xdr:nvCxnSpPr>
        <xdr:cNvPr id="317" name="직선 연결선 316">
          <a:extLst>
            <a:ext uri="{FF2B5EF4-FFF2-40B4-BE49-F238E27FC236}">
              <a16:creationId xmlns:a16="http://schemas.microsoft.com/office/drawing/2014/main" id="{52976D84-A265-44A5-B83A-1629BF819564}"/>
            </a:ext>
          </a:extLst>
        </xdr:cNvPr>
        <xdr:cNvCxnSpPr/>
      </xdr:nvCxnSpPr>
      <xdr:spPr>
        <a:xfrm flipH="1">
          <a:off x="3125540" y="3896130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20604</xdr:colOff>
      <xdr:row>229</xdr:row>
      <xdr:rowOff>36325</xdr:rowOff>
    </xdr:from>
    <xdr:ext cx="340094" cy="125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2C8E75A1-FFB9-443F-BAFE-598FAD3AD707}"/>
            </a:ext>
          </a:extLst>
        </xdr:cNvPr>
        <xdr:cNvSpPr txBox="1"/>
      </xdr:nvSpPr>
      <xdr:spPr>
        <a:xfrm>
          <a:off x="3145242" y="3905598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76</xdr:col>
      <xdr:colOff>47926</xdr:colOff>
      <xdr:row>232</xdr:row>
      <xdr:rowOff>22571</xdr:rowOff>
    </xdr:from>
    <xdr:to>
      <xdr:col>77</xdr:col>
      <xdr:colOff>20426</xdr:colOff>
      <xdr:row>233</xdr:row>
      <xdr:rowOff>18755</xdr:rowOff>
    </xdr:to>
    <xdr:grpSp>
      <xdr:nvGrpSpPr>
        <xdr:cNvPr id="576" name="그룹 575">
          <a:extLst>
            <a:ext uri="{FF2B5EF4-FFF2-40B4-BE49-F238E27FC236}">
              <a16:creationId xmlns:a16="http://schemas.microsoft.com/office/drawing/2014/main" id="{F3BC9535-3E0E-40FE-8E64-B4D965297E0C}"/>
            </a:ext>
          </a:extLst>
        </xdr:cNvPr>
        <xdr:cNvGrpSpPr/>
      </xdr:nvGrpSpPr>
      <xdr:grpSpPr>
        <a:xfrm>
          <a:off x="6608270" y="43051759"/>
          <a:ext cx="36000" cy="186684"/>
          <a:chOff x="11556979" y="1922463"/>
          <a:chExt cx="188140" cy="204787"/>
        </a:xfrm>
      </xdr:grpSpPr>
      <xdr:sp macro="" textlink="">
        <xdr:nvSpPr>
          <xdr:cNvPr id="577" name="자유형: 도형 576">
            <a:extLst>
              <a:ext uri="{FF2B5EF4-FFF2-40B4-BE49-F238E27FC236}">
                <a16:creationId xmlns:a16="http://schemas.microsoft.com/office/drawing/2014/main" id="{F75A094F-845D-41DD-8A17-8C2EDA9334C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78" name="자유형: 도형 577">
            <a:extLst>
              <a:ext uri="{FF2B5EF4-FFF2-40B4-BE49-F238E27FC236}">
                <a16:creationId xmlns:a16="http://schemas.microsoft.com/office/drawing/2014/main" id="{F619C5C9-B687-6F96-2578-AD3EDF61A27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86" name="그룹 585">
          <a:extLst>
            <a:ext uri="{FF2B5EF4-FFF2-40B4-BE49-F238E27FC236}">
              <a16:creationId xmlns:a16="http://schemas.microsoft.com/office/drawing/2014/main" id="{A9510748-88E9-430D-9546-82BD7FD548B6}"/>
            </a:ext>
          </a:extLst>
        </xdr:cNvPr>
        <xdr:cNvGrpSpPr/>
      </xdr:nvGrpSpPr>
      <xdr:grpSpPr>
        <a:xfrm>
          <a:off x="6608270" y="43432759"/>
          <a:ext cx="36000" cy="186684"/>
          <a:chOff x="11556979" y="1922463"/>
          <a:chExt cx="188140" cy="204787"/>
        </a:xfrm>
      </xdr:grpSpPr>
      <xdr:sp macro="" textlink="">
        <xdr:nvSpPr>
          <xdr:cNvPr id="587" name="자유형: 도형 586">
            <a:extLst>
              <a:ext uri="{FF2B5EF4-FFF2-40B4-BE49-F238E27FC236}">
                <a16:creationId xmlns:a16="http://schemas.microsoft.com/office/drawing/2014/main" id="{5072A3D2-31CE-6652-7DBB-9C9A525D7A4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8" name="자유형: 도형 587">
            <a:extLst>
              <a:ext uri="{FF2B5EF4-FFF2-40B4-BE49-F238E27FC236}">
                <a16:creationId xmlns:a16="http://schemas.microsoft.com/office/drawing/2014/main" id="{F4874527-03ED-B76E-CF37-8D355F9F6C2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91" name="그룹 590">
          <a:extLst>
            <a:ext uri="{FF2B5EF4-FFF2-40B4-BE49-F238E27FC236}">
              <a16:creationId xmlns:a16="http://schemas.microsoft.com/office/drawing/2014/main" id="{D8138D78-B068-44FD-828D-40123DA99B3C}"/>
            </a:ext>
          </a:extLst>
        </xdr:cNvPr>
        <xdr:cNvGrpSpPr/>
      </xdr:nvGrpSpPr>
      <xdr:grpSpPr>
        <a:xfrm>
          <a:off x="6608270" y="43432759"/>
          <a:ext cx="36000" cy="186684"/>
          <a:chOff x="11556979" y="1922463"/>
          <a:chExt cx="188140" cy="204787"/>
        </a:xfrm>
      </xdr:grpSpPr>
      <xdr:sp macro="" textlink="">
        <xdr:nvSpPr>
          <xdr:cNvPr id="592" name="자유형: 도형 591">
            <a:extLst>
              <a:ext uri="{FF2B5EF4-FFF2-40B4-BE49-F238E27FC236}">
                <a16:creationId xmlns:a16="http://schemas.microsoft.com/office/drawing/2014/main" id="{4145E949-DDA0-7E99-9C98-225C58D8228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3" name="자유형: 도형 622">
            <a:extLst>
              <a:ext uri="{FF2B5EF4-FFF2-40B4-BE49-F238E27FC236}">
                <a16:creationId xmlns:a16="http://schemas.microsoft.com/office/drawing/2014/main" id="{520D3416-F41F-110C-3BF6-16B27F2FC1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03" name="그룹 702">
          <a:extLst>
            <a:ext uri="{FF2B5EF4-FFF2-40B4-BE49-F238E27FC236}">
              <a16:creationId xmlns:a16="http://schemas.microsoft.com/office/drawing/2014/main" id="{177FF6E3-B0E2-4085-B0F5-BFA1E2DDCFE0}"/>
            </a:ext>
          </a:extLst>
        </xdr:cNvPr>
        <xdr:cNvGrpSpPr/>
      </xdr:nvGrpSpPr>
      <xdr:grpSpPr>
        <a:xfrm>
          <a:off x="6608270" y="43813759"/>
          <a:ext cx="36000" cy="186684"/>
          <a:chOff x="11556979" y="1922463"/>
          <a:chExt cx="188140" cy="204787"/>
        </a:xfrm>
      </xdr:grpSpPr>
      <xdr:sp macro="" textlink="">
        <xdr:nvSpPr>
          <xdr:cNvPr id="730" name="자유형: 도형 729">
            <a:extLst>
              <a:ext uri="{FF2B5EF4-FFF2-40B4-BE49-F238E27FC236}">
                <a16:creationId xmlns:a16="http://schemas.microsoft.com/office/drawing/2014/main" id="{52034A4A-92D7-B6B5-13A0-D518E5C79FF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1" name="자유형: 도형 730">
            <a:extLst>
              <a:ext uri="{FF2B5EF4-FFF2-40B4-BE49-F238E27FC236}">
                <a16:creationId xmlns:a16="http://schemas.microsoft.com/office/drawing/2014/main" id="{66F5F42F-C129-8AE4-55ED-24D0F75CBB9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33" name="그룹 732">
          <a:extLst>
            <a:ext uri="{FF2B5EF4-FFF2-40B4-BE49-F238E27FC236}">
              <a16:creationId xmlns:a16="http://schemas.microsoft.com/office/drawing/2014/main" id="{8BE957D6-3A97-4C31-8C4F-D5E1E473215B}"/>
            </a:ext>
          </a:extLst>
        </xdr:cNvPr>
        <xdr:cNvGrpSpPr/>
      </xdr:nvGrpSpPr>
      <xdr:grpSpPr>
        <a:xfrm>
          <a:off x="6608270" y="43813759"/>
          <a:ext cx="36000" cy="186684"/>
          <a:chOff x="11556979" y="1922463"/>
          <a:chExt cx="188140" cy="204787"/>
        </a:xfrm>
      </xdr:grpSpPr>
      <xdr:sp macro="" textlink="">
        <xdr:nvSpPr>
          <xdr:cNvPr id="740" name="자유형: 도형 739">
            <a:extLst>
              <a:ext uri="{FF2B5EF4-FFF2-40B4-BE49-F238E27FC236}">
                <a16:creationId xmlns:a16="http://schemas.microsoft.com/office/drawing/2014/main" id="{0BECC5FE-C104-B486-7C13-E66C62F59D0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1" name="자유형: 도형 740">
            <a:extLst>
              <a:ext uri="{FF2B5EF4-FFF2-40B4-BE49-F238E27FC236}">
                <a16:creationId xmlns:a16="http://schemas.microsoft.com/office/drawing/2014/main" id="{2BB5CBAC-B749-E107-2700-38CDFFEA1E5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228</xdr:row>
      <xdr:rowOff>136732</xdr:rowOff>
    </xdr:from>
    <xdr:to>
      <xdr:col>121</xdr:col>
      <xdr:colOff>59418</xdr:colOff>
      <xdr:row>229</xdr:row>
      <xdr:rowOff>94768</xdr:rowOff>
    </xdr:to>
    <xdr:cxnSp macro="">
      <xdr:nvCxnSpPr>
        <xdr:cNvPr id="771" name="직선 연결선 770">
          <a:extLst>
            <a:ext uri="{FF2B5EF4-FFF2-40B4-BE49-F238E27FC236}">
              <a16:creationId xmlns:a16="http://schemas.microsoft.com/office/drawing/2014/main" id="{E04636C5-D09C-49E8-AF94-5B58988450F8}"/>
            </a:ext>
          </a:extLst>
        </xdr:cNvPr>
        <xdr:cNvCxnSpPr/>
      </xdr:nvCxnSpPr>
      <xdr:spPr>
        <a:xfrm flipH="1">
          <a:off x="9272587" y="4082775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5648</xdr:colOff>
      <xdr:row>228</xdr:row>
      <xdr:rowOff>23855</xdr:rowOff>
    </xdr:from>
    <xdr:ext cx="285784" cy="125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9602DD1C-0701-4FAB-84E1-175B1EF86E04}"/>
            </a:ext>
          </a:extLst>
        </xdr:cNvPr>
        <xdr:cNvSpPr txBox="1"/>
      </xdr:nvSpPr>
      <xdr:spPr>
        <a:xfrm>
          <a:off x="8657523" y="4071488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229</xdr:row>
      <xdr:rowOff>21057</xdr:rowOff>
    </xdr:from>
    <xdr:to>
      <xdr:col>121</xdr:col>
      <xdr:colOff>57863</xdr:colOff>
      <xdr:row>229</xdr:row>
      <xdr:rowOff>21057</xdr:rowOff>
    </xdr:to>
    <xdr:cxnSp macro="">
      <xdr:nvCxnSpPr>
        <xdr:cNvPr id="775" name="직선 화살표 연결선 774">
          <a:extLst>
            <a:ext uri="{FF2B5EF4-FFF2-40B4-BE49-F238E27FC236}">
              <a16:creationId xmlns:a16="http://schemas.microsoft.com/office/drawing/2014/main" id="{831981F2-2A44-4212-B802-128906009253}"/>
            </a:ext>
          </a:extLst>
        </xdr:cNvPr>
        <xdr:cNvCxnSpPr/>
      </xdr:nvCxnSpPr>
      <xdr:spPr>
        <a:xfrm>
          <a:off x="8917836" y="40896347"/>
          <a:ext cx="35319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229</xdr:row>
      <xdr:rowOff>22487</xdr:rowOff>
    </xdr:from>
    <xdr:to>
      <xdr:col>116</xdr:col>
      <xdr:colOff>17767</xdr:colOff>
      <xdr:row>229</xdr:row>
      <xdr:rowOff>22487</xdr:rowOff>
    </xdr:to>
    <xdr:cxnSp macro="">
      <xdr:nvCxnSpPr>
        <xdr:cNvPr id="776" name="직선 화살표 연결선 775">
          <a:extLst>
            <a:ext uri="{FF2B5EF4-FFF2-40B4-BE49-F238E27FC236}">
              <a16:creationId xmlns:a16="http://schemas.microsoft.com/office/drawing/2014/main" id="{7DC1F03C-1800-4A53-8E76-EB32394574B6}"/>
            </a:ext>
          </a:extLst>
        </xdr:cNvPr>
        <xdr:cNvCxnSpPr/>
      </xdr:nvCxnSpPr>
      <xdr:spPr>
        <a:xfrm>
          <a:off x="8707642" y="40897777"/>
          <a:ext cx="21146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228</xdr:row>
      <xdr:rowOff>132842</xdr:rowOff>
    </xdr:from>
    <xdr:to>
      <xdr:col>115</xdr:col>
      <xdr:colOff>60322</xdr:colOff>
      <xdr:row>229</xdr:row>
      <xdr:rowOff>90878</xdr:rowOff>
    </xdr:to>
    <xdr:cxnSp macro="">
      <xdr:nvCxnSpPr>
        <xdr:cNvPr id="777" name="직선 연결선 776">
          <a:extLst>
            <a:ext uri="{FF2B5EF4-FFF2-40B4-BE49-F238E27FC236}">
              <a16:creationId xmlns:a16="http://schemas.microsoft.com/office/drawing/2014/main" id="{337F9F23-AE3F-447E-8924-C548EA9003ED}"/>
            </a:ext>
          </a:extLst>
        </xdr:cNvPr>
        <xdr:cNvCxnSpPr/>
      </xdr:nvCxnSpPr>
      <xdr:spPr>
        <a:xfrm flipH="1">
          <a:off x="8899294" y="4082386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229</xdr:row>
      <xdr:rowOff>49255</xdr:rowOff>
    </xdr:from>
    <xdr:ext cx="340094" cy="125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6371126F-BCCC-4EAA-954E-5D0A224AAE72}"/>
            </a:ext>
          </a:extLst>
        </xdr:cNvPr>
        <xdr:cNvSpPr txBox="1"/>
      </xdr:nvSpPr>
      <xdr:spPr>
        <a:xfrm>
          <a:off x="9052174" y="390689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228</xdr:row>
      <xdr:rowOff>143503</xdr:rowOff>
    </xdr:from>
    <xdr:to>
      <xdr:col>113</xdr:col>
      <xdr:colOff>111</xdr:colOff>
      <xdr:row>235</xdr:row>
      <xdr:rowOff>160146</xdr:rowOff>
    </xdr:to>
    <xdr:cxnSp macro="">
      <xdr:nvCxnSpPr>
        <xdr:cNvPr id="808" name="직선 연결선 807">
          <a:extLst>
            <a:ext uri="{FF2B5EF4-FFF2-40B4-BE49-F238E27FC236}">
              <a16:creationId xmlns:a16="http://schemas.microsoft.com/office/drawing/2014/main" id="{FD07485D-B0AF-4F49-9D6E-EBAB64A7FEC1}"/>
            </a:ext>
          </a:extLst>
        </xdr:cNvPr>
        <xdr:cNvCxnSpPr/>
      </xdr:nvCxnSpPr>
      <xdr:spPr>
        <a:xfrm flipH="1">
          <a:off x="8838705" y="42730836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824591</xdr:colOff>
      <xdr:row>247</xdr:row>
      <xdr:rowOff>146744</xdr:rowOff>
    </xdr:from>
    <xdr:ext cx="368819" cy="140872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CE81C626-BEE3-428B-8176-E688E27205E6}"/>
            </a:ext>
          </a:extLst>
        </xdr:cNvPr>
        <xdr:cNvSpPr txBox="1"/>
      </xdr:nvSpPr>
      <xdr:spPr>
        <a:xfrm>
          <a:off x="1477734" y="46274958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91</xdr:col>
      <xdr:colOff>54982</xdr:colOff>
      <xdr:row>247</xdr:row>
      <xdr:rowOff>15515</xdr:rowOff>
    </xdr:from>
    <xdr:to>
      <xdr:col>92</xdr:col>
      <xdr:colOff>27482</xdr:colOff>
      <xdr:row>248</xdr:row>
      <xdr:rowOff>11699</xdr:rowOff>
    </xdr:to>
    <xdr:grpSp>
      <xdr:nvGrpSpPr>
        <xdr:cNvPr id="811" name="그룹 810">
          <a:extLst>
            <a:ext uri="{FF2B5EF4-FFF2-40B4-BE49-F238E27FC236}">
              <a16:creationId xmlns:a16="http://schemas.microsoft.com/office/drawing/2014/main" id="{149222ED-A724-4C6B-81D8-14517ADDF4D5}"/>
            </a:ext>
          </a:extLst>
        </xdr:cNvPr>
        <xdr:cNvGrpSpPr/>
      </xdr:nvGrpSpPr>
      <xdr:grpSpPr>
        <a:xfrm>
          <a:off x="7567826" y="45822828"/>
          <a:ext cx="36000" cy="178746"/>
          <a:chOff x="11556979" y="1922463"/>
          <a:chExt cx="188140" cy="204787"/>
        </a:xfrm>
      </xdr:grpSpPr>
      <xdr:sp macro="" textlink="">
        <xdr:nvSpPr>
          <xdr:cNvPr id="812" name="자유형: 도형 811">
            <a:extLst>
              <a:ext uri="{FF2B5EF4-FFF2-40B4-BE49-F238E27FC236}">
                <a16:creationId xmlns:a16="http://schemas.microsoft.com/office/drawing/2014/main" id="{13953A2D-B313-A17D-6223-5BD9CC8D62F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13" name="자유형: 도형 812">
            <a:extLst>
              <a:ext uri="{FF2B5EF4-FFF2-40B4-BE49-F238E27FC236}">
                <a16:creationId xmlns:a16="http://schemas.microsoft.com/office/drawing/2014/main" id="{3DBB9C8D-DADE-37F7-BB92-F2A9EE5BC05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1349</xdr:colOff>
      <xdr:row>241</xdr:row>
      <xdr:rowOff>61174</xdr:rowOff>
    </xdr:from>
    <xdr:to>
      <xdr:col>19</xdr:col>
      <xdr:colOff>1350</xdr:colOff>
      <xdr:row>245</xdr:row>
      <xdr:rowOff>37317</xdr:rowOff>
    </xdr:to>
    <xdr:cxnSp macro="">
      <xdr:nvCxnSpPr>
        <xdr:cNvPr id="814" name="직선 연결선 813">
          <a:extLst>
            <a:ext uri="{FF2B5EF4-FFF2-40B4-BE49-F238E27FC236}">
              <a16:creationId xmlns:a16="http://schemas.microsoft.com/office/drawing/2014/main" id="{E6F43FAE-E710-4ABA-A022-06D54BF270E6}"/>
            </a:ext>
          </a:extLst>
        </xdr:cNvPr>
        <xdr:cNvCxnSpPr/>
      </xdr:nvCxnSpPr>
      <xdr:spPr>
        <a:xfrm flipH="1">
          <a:off x="2946539" y="45082674"/>
          <a:ext cx="1" cy="71395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3717</xdr:colOff>
      <xdr:row>244</xdr:row>
      <xdr:rowOff>112911</xdr:rowOff>
    </xdr:from>
    <xdr:to>
      <xdr:col>112</xdr:col>
      <xdr:colOff>2217</xdr:colOff>
      <xdr:row>244</xdr:row>
      <xdr:rowOff>112911</xdr:rowOff>
    </xdr:to>
    <xdr:cxnSp macro="">
      <xdr:nvCxnSpPr>
        <xdr:cNvPr id="815" name="직선 화살표 연결선 814">
          <a:extLst>
            <a:ext uri="{FF2B5EF4-FFF2-40B4-BE49-F238E27FC236}">
              <a16:creationId xmlns:a16="http://schemas.microsoft.com/office/drawing/2014/main" id="{42CBAB7E-2CF9-4DB7-8356-BAE2CDC410D6}"/>
            </a:ext>
          </a:extLst>
        </xdr:cNvPr>
        <xdr:cNvCxnSpPr/>
      </xdr:nvCxnSpPr>
      <xdr:spPr>
        <a:xfrm>
          <a:off x="2873312" y="45687768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58</xdr:col>
      <xdr:colOff>59567</xdr:colOff>
      <xdr:row>244</xdr:row>
      <xdr:rowOff>50105</xdr:rowOff>
    </xdr:from>
    <xdr:ext cx="428066" cy="125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24AA4907-572E-43F4-871D-A3D4A5B48423}"/>
            </a:ext>
          </a:extLst>
        </xdr:cNvPr>
        <xdr:cNvSpPr txBox="1"/>
      </xdr:nvSpPr>
      <xdr:spPr>
        <a:xfrm>
          <a:off x="5482737" y="4189525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245</xdr:row>
      <xdr:rowOff>96781</xdr:rowOff>
    </xdr:from>
    <xdr:to>
      <xdr:col>29</xdr:col>
      <xdr:colOff>1133</xdr:colOff>
      <xdr:row>246</xdr:row>
      <xdr:rowOff>128850</xdr:rowOff>
    </xdr:to>
    <xdr:cxnSp macro="">
      <xdr:nvCxnSpPr>
        <xdr:cNvPr id="818" name="직선 연결선 817">
          <a:extLst>
            <a:ext uri="{FF2B5EF4-FFF2-40B4-BE49-F238E27FC236}">
              <a16:creationId xmlns:a16="http://schemas.microsoft.com/office/drawing/2014/main" id="{FE18CB58-FF80-4BE6-A913-07872EF3C48D}"/>
            </a:ext>
          </a:extLst>
        </xdr:cNvPr>
        <xdr:cNvCxnSpPr/>
      </xdr:nvCxnSpPr>
      <xdr:spPr>
        <a:xfrm flipH="1">
          <a:off x="3543622" y="4212567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244</xdr:row>
      <xdr:rowOff>173054</xdr:rowOff>
    </xdr:from>
    <xdr:ext cx="285784" cy="125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9759457D-86B7-433E-9F0E-F1B41CC6CD84}"/>
            </a:ext>
          </a:extLst>
        </xdr:cNvPr>
        <xdr:cNvSpPr txBox="1"/>
      </xdr:nvSpPr>
      <xdr:spPr>
        <a:xfrm>
          <a:off x="2902575" y="4201820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23</xdr:col>
      <xdr:colOff>4115</xdr:colOff>
      <xdr:row>245</xdr:row>
      <xdr:rowOff>164851</xdr:rowOff>
    </xdr:from>
    <xdr:to>
      <xdr:col>29</xdr:col>
      <xdr:colOff>19115</xdr:colOff>
      <xdr:row>245</xdr:row>
      <xdr:rowOff>164851</xdr:rowOff>
    </xdr:to>
    <xdr:cxnSp macro="">
      <xdr:nvCxnSpPr>
        <xdr:cNvPr id="845" name="직선 화살표 연결선 844">
          <a:extLst>
            <a:ext uri="{FF2B5EF4-FFF2-40B4-BE49-F238E27FC236}">
              <a16:creationId xmlns:a16="http://schemas.microsoft.com/office/drawing/2014/main" id="{F727FA8C-77CA-4EEB-83D0-7993666C9780}"/>
            </a:ext>
          </a:extLst>
        </xdr:cNvPr>
        <xdr:cNvCxnSpPr/>
      </xdr:nvCxnSpPr>
      <xdr:spPr>
        <a:xfrm>
          <a:off x="3157498" y="42193745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58715</xdr:colOff>
      <xdr:row>245</xdr:row>
      <xdr:rowOff>166281</xdr:rowOff>
    </xdr:from>
    <xdr:to>
      <xdr:col>23</xdr:col>
      <xdr:colOff>20715</xdr:colOff>
      <xdr:row>245</xdr:row>
      <xdr:rowOff>166281</xdr:rowOff>
    </xdr:to>
    <xdr:cxnSp macro="">
      <xdr:nvCxnSpPr>
        <xdr:cNvPr id="847" name="직선 화살표 연결선 846">
          <a:extLst>
            <a:ext uri="{FF2B5EF4-FFF2-40B4-BE49-F238E27FC236}">
              <a16:creationId xmlns:a16="http://schemas.microsoft.com/office/drawing/2014/main" id="{B8F14CBF-589A-40EA-9676-1F5547C67698}"/>
            </a:ext>
          </a:extLst>
        </xdr:cNvPr>
        <xdr:cNvCxnSpPr/>
      </xdr:nvCxnSpPr>
      <xdr:spPr>
        <a:xfrm>
          <a:off x="2952694" y="42195175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62187</xdr:colOff>
      <xdr:row>245</xdr:row>
      <xdr:rowOff>127397</xdr:rowOff>
    </xdr:from>
    <xdr:to>
      <xdr:col>19</xdr:col>
      <xdr:colOff>62188</xdr:colOff>
      <xdr:row>252</xdr:row>
      <xdr:rowOff>139504</xdr:rowOff>
    </xdr:to>
    <xdr:cxnSp macro="">
      <xdr:nvCxnSpPr>
        <xdr:cNvPr id="872" name="직선 연결선 871">
          <a:extLst>
            <a:ext uri="{FF2B5EF4-FFF2-40B4-BE49-F238E27FC236}">
              <a16:creationId xmlns:a16="http://schemas.microsoft.com/office/drawing/2014/main" id="{52EE10CB-9374-497F-A103-9AA6CD7079B2}"/>
            </a:ext>
          </a:extLst>
        </xdr:cNvPr>
        <xdr:cNvCxnSpPr/>
      </xdr:nvCxnSpPr>
      <xdr:spPr>
        <a:xfrm flipH="1">
          <a:off x="2931782" y="45886707"/>
          <a:ext cx="1" cy="132141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245</xdr:row>
      <xdr:rowOff>98561</xdr:rowOff>
    </xdr:from>
    <xdr:to>
      <xdr:col>23</xdr:col>
      <xdr:colOff>902</xdr:colOff>
      <xdr:row>246</xdr:row>
      <xdr:rowOff>130630</xdr:rowOff>
    </xdr:to>
    <xdr:cxnSp macro="">
      <xdr:nvCxnSpPr>
        <xdr:cNvPr id="873" name="직선 연결선 872">
          <a:extLst>
            <a:ext uri="{FF2B5EF4-FFF2-40B4-BE49-F238E27FC236}">
              <a16:creationId xmlns:a16="http://schemas.microsoft.com/office/drawing/2014/main" id="{D8CF5927-90F6-489F-89F2-59320272EB1A}"/>
            </a:ext>
          </a:extLst>
        </xdr:cNvPr>
        <xdr:cNvCxnSpPr/>
      </xdr:nvCxnSpPr>
      <xdr:spPr>
        <a:xfrm flipH="1">
          <a:off x="3154285" y="4212745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1208</xdr:colOff>
      <xdr:row>241</xdr:row>
      <xdr:rowOff>33661</xdr:rowOff>
    </xdr:from>
    <xdr:to>
      <xdr:col>112</xdr:col>
      <xdr:colOff>1209</xdr:colOff>
      <xdr:row>245</xdr:row>
      <xdr:rowOff>51851</xdr:rowOff>
    </xdr:to>
    <xdr:cxnSp macro="">
      <xdr:nvCxnSpPr>
        <xdr:cNvPr id="875" name="직선 연결선 874">
          <a:extLst>
            <a:ext uri="{FF2B5EF4-FFF2-40B4-BE49-F238E27FC236}">
              <a16:creationId xmlns:a16="http://schemas.microsoft.com/office/drawing/2014/main" id="{DCC7BA0B-688D-47BD-8434-78BCE0DC27FA}"/>
            </a:ext>
          </a:extLst>
        </xdr:cNvPr>
        <xdr:cNvCxnSpPr/>
      </xdr:nvCxnSpPr>
      <xdr:spPr>
        <a:xfrm flipH="1">
          <a:off x="8851898" y="45055161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24984</xdr:colOff>
      <xdr:row>246</xdr:row>
      <xdr:rowOff>9305</xdr:rowOff>
    </xdr:from>
    <xdr:ext cx="340094" cy="125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E79F1CFD-3790-4FCE-9B22-3558C252F419}"/>
            </a:ext>
          </a:extLst>
        </xdr:cNvPr>
        <xdr:cNvSpPr txBox="1"/>
      </xdr:nvSpPr>
      <xdr:spPr>
        <a:xfrm>
          <a:off x="3178367" y="42221943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91</xdr:col>
      <xdr:colOff>44398</xdr:colOff>
      <xdr:row>251</xdr:row>
      <xdr:rowOff>15515</xdr:rowOff>
    </xdr:from>
    <xdr:to>
      <xdr:col>92</xdr:col>
      <xdr:colOff>16898</xdr:colOff>
      <xdr:row>252</xdr:row>
      <xdr:rowOff>4644</xdr:rowOff>
    </xdr:to>
    <xdr:grpSp>
      <xdr:nvGrpSpPr>
        <xdr:cNvPr id="881" name="그룹 880">
          <a:extLst>
            <a:ext uri="{FF2B5EF4-FFF2-40B4-BE49-F238E27FC236}">
              <a16:creationId xmlns:a16="http://schemas.microsoft.com/office/drawing/2014/main" id="{56E422A5-F9D1-4C40-A6FF-A6A4A37F6317}"/>
            </a:ext>
          </a:extLst>
        </xdr:cNvPr>
        <xdr:cNvGrpSpPr/>
      </xdr:nvGrpSpPr>
      <xdr:grpSpPr>
        <a:xfrm>
          <a:off x="7557242" y="46568953"/>
          <a:ext cx="36000" cy="179629"/>
          <a:chOff x="11556979" y="1922463"/>
          <a:chExt cx="188140" cy="204787"/>
        </a:xfrm>
      </xdr:grpSpPr>
      <xdr:sp macro="" textlink="">
        <xdr:nvSpPr>
          <xdr:cNvPr id="882" name="자유형: 도형 881">
            <a:extLst>
              <a:ext uri="{FF2B5EF4-FFF2-40B4-BE49-F238E27FC236}">
                <a16:creationId xmlns:a16="http://schemas.microsoft.com/office/drawing/2014/main" id="{AE063573-224C-6B79-8B38-2833C9618C3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3" name="자유형: 도형 882">
            <a:extLst>
              <a:ext uri="{FF2B5EF4-FFF2-40B4-BE49-F238E27FC236}">
                <a16:creationId xmlns:a16="http://schemas.microsoft.com/office/drawing/2014/main" id="{E94D4544-8E3B-C096-1468-85EB069745A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91</xdr:col>
      <xdr:colOff>62037</xdr:colOff>
      <xdr:row>252</xdr:row>
      <xdr:rowOff>188376</xdr:rowOff>
    </xdr:from>
    <xdr:to>
      <xdr:col>92</xdr:col>
      <xdr:colOff>34537</xdr:colOff>
      <xdr:row>253</xdr:row>
      <xdr:rowOff>184560</xdr:rowOff>
    </xdr:to>
    <xdr:grpSp>
      <xdr:nvGrpSpPr>
        <xdr:cNvPr id="887" name="그룹 886">
          <a:extLst>
            <a:ext uri="{FF2B5EF4-FFF2-40B4-BE49-F238E27FC236}">
              <a16:creationId xmlns:a16="http://schemas.microsoft.com/office/drawing/2014/main" id="{D5212AE7-B06B-453B-956A-B5C73D39FC15}"/>
            </a:ext>
          </a:extLst>
        </xdr:cNvPr>
        <xdr:cNvGrpSpPr/>
      </xdr:nvGrpSpPr>
      <xdr:grpSpPr>
        <a:xfrm>
          <a:off x="7574881" y="46932314"/>
          <a:ext cx="36000" cy="186684"/>
          <a:chOff x="11556979" y="1922463"/>
          <a:chExt cx="188140" cy="204787"/>
        </a:xfrm>
      </xdr:grpSpPr>
      <xdr:sp macro="" textlink="">
        <xdr:nvSpPr>
          <xdr:cNvPr id="888" name="자유형: 도형 887">
            <a:extLst>
              <a:ext uri="{FF2B5EF4-FFF2-40B4-BE49-F238E27FC236}">
                <a16:creationId xmlns:a16="http://schemas.microsoft.com/office/drawing/2014/main" id="{3262CBB8-4918-E6C5-A82F-9FF86B2AA9D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9" name="자유형: 도형 888">
            <a:extLst>
              <a:ext uri="{FF2B5EF4-FFF2-40B4-BE49-F238E27FC236}">
                <a16:creationId xmlns:a16="http://schemas.microsoft.com/office/drawing/2014/main" id="{0045F64D-079E-89B0-C543-9FFC6095132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245</xdr:row>
      <xdr:rowOff>117818</xdr:rowOff>
    </xdr:from>
    <xdr:to>
      <xdr:col>121</xdr:col>
      <xdr:colOff>59418</xdr:colOff>
      <xdr:row>246</xdr:row>
      <xdr:rowOff>150074</xdr:rowOff>
    </xdr:to>
    <xdr:cxnSp macro="">
      <xdr:nvCxnSpPr>
        <xdr:cNvPr id="900" name="직선 연결선 899">
          <a:extLst>
            <a:ext uri="{FF2B5EF4-FFF2-40B4-BE49-F238E27FC236}">
              <a16:creationId xmlns:a16="http://schemas.microsoft.com/office/drawing/2014/main" id="{AC070BA8-99A0-433C-AEF8-DF7866BD8E84}"/>
            </a:ext>
          </a:extLst>
        </xdr:cNvPr>
        <xdr:cNvCxnSpPr/>
      </xdr:nvCxnSpPr>
      <xdr:spPr>
        <a:xfrm flipH="1">
          <a:off x="9568204" y="4214671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21860</xdr:colOff>
      <xdr:row>245</xdr:row>
      <xdr:rowOff>21153</xdr:rowOff>
    </xdr:from>
    <xdr:ext cx="285784" cy="125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B370EC0E-3F40-4CF4-A7EE-BE54429E0473}"/>
            </a:ext>
          </a:extLst>
        </xdr:cNvPr>
        <xdr:cNvSpPr txBox="1"/>
      </xdr:nvSpPr>
      <xdr:spPr>
        <a:xfrm>
          <a:off x="8946988" y="4205004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246</xdr:row>
      <xdr:rowOff>2143</xdr:rowOff>
    </xdr:from>
    <xdr:to>
      <xdr:col>121</xdr:col>
      <xdr:colOff>57863</xdr:colOff>
      <xdr:row>246</xdr:row>
      <xdr:rowOff>2143</xdr:rowOff>
    </xdr:to>
    <xdr:cxnSp macro="">
      <xdr:nvCxnSpPr>
        <xdr:cNvPr id="904" name="직선 화살표 연결선 903">
          <a:extLst>
            <a:ext uri="{FF2B5EF4-FFF2-40B4-BE49-F238E27FC236}">
              <a16:creationId xmlns:a16="http://schemas.microsoft.com/office/drawing/2014/main" id="{6DC47DB6-205C-479A-9A89-C9EAED6E45D6}"/>
            </a:ext>
          </a:extLst>
        </xdr:cNvPr>
        <xdr:cNvCxnSpPr/>
      </xdr:nvCxnSpPr>
      <xdr:spPr>
        <a:xfrm>
          <a:off x="9201029" y="42214781"/>
          <a:ext cx="36562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246</xdr:row>
      <xdr:rowOff>3573</xdr:rowOff>
    </xdr:from>
    <xdr:to>
      <xdr:col>116</xdr:col>
      <xdr:colOff>17767</xdr:colOff>
      <xdr:row>246</xdr:row>
      <xdr:rowOff>3573</xdr:rowOff>
    </xdr:to>
    <xdr:cxnSp macro="">
      <xdr:nvCxnSpPr>
        <xdr:cNvPr id="905" name="직선 화살표 연결선 904">
          <a:extLst>
            <a:ext uri="{FF2B5EF4-FFF2-40B4-BE49-F238E27FC236}">
              <a16:creationId xmlns:a16="http://schemas.microsoft.com/office/drawing/2014/main" id="{94B6AE71-F567-4CE5-B2F1-D802E040A013}"/>
            </a:ext>
          </a:extLst>
        </xdr:cNvPr>
        <xdr:cNvCxnSpPr/>
      </xdr:nvCxnSpPr>
      <xdr:spPr>
        <a:xfrm>
          <a:off x="8980895" y="42216211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245</xdr:row>
      <xdr:rowOff>113928</xdr:rowOff>
    </xdr:from>
    <xdr:to>
      <xdr:col>115</xdr:col>
      <xdr:colOff>60322</xdr:colOff>
      <xdr:row>246</xdr:row>
      <xdr:rowOff>146184</xdr:rowOff>
    </xdr:to>
    <xdr:cxnSp macro="">
      <xdr:nvCxnSpPr>
        <xdr:cNvPr id="906" name="직선 연결선 905">
          <a:extLst>
            <a:ext uri="{FF2B5EF4-FFF2-40B4-BE49-F238E27FC236}">
              <a16:creationId xmlns:a16="http://schemas.microsoft.com/office/drawing/2014/main" id="{6B062D2A-BF76-4FEB-AC8E-85C8E68B4C8C}"/>
            </a:ext>
          </a:extLst>
        </xdr:cNvPr>
        <xdr:cNvCxnSpPr/>
      </xdr:nvCxnSpPr>
      <xdr:spPr>
        <a:xfrm flipH="1">
          <a:off x="9180002" y="4214282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246</xdr:row>
      <xdr:rowOff>30341</xdr:rowOff>
    </xdr:from>
    <xdr:ext cx="340094" cy="125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C061BB2D-9E42-479C-88DA-D64429D7756A}"/>
            </a:ext>
          </a:extLst>
        </xdr:cNvPr>
        <xdr:cNvSpPr txBox="1"/>
      </xdr:nvSpPr>
      <xdr:spPr>
        <a:xfrm>
          <a:off x="9206568" y="4224297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245</xdr:row>
      <xdr:rowOff>124590</xdr:rowOff>
    </xdr:from>
    <xdr:to>
      <xdr:col>113</xdr:col>
      <xdr:colOff>111</xdr:colOff>
      <xdr:row>252</xdr:row>
      <xdr:rowOff>147281</xdr:rowOff>
    </xdr:to>
    <xdr:cxnSp macro="">
      <xdr:nvCxnSpPr>
        <xdr:cNvPr id="908" name="직선 연결선 907">
          <a:extLst>
            <a:ext uri="{FF2B5EF4-FFF2-40B4-BE49-F238E27FC236}">
              <a16:creationId xmlns:a16="http://schemas.microsoft.com/office/drawing/2014/main" id="{A028DF1D-E5A2-4E2B-B714-E77E90EAB2A5}"/>
            </a:ext>
          </a:extLst>
        </xdr:cNvPr>
        <xdr:cNvCxnSpPr/>
      </xdr:nvCxnSpPr>
      <xdr:spPr>
        <a:xfrm flipH="1">
          <a:off x="8838705" y="45883900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830639</xdr:colOff>
      <xdr:row>262</xdr:row>
      <xdr:rowOff>152792</xdr:rowOff>
    </xdr:from>
    <xdr:ext cx="368819" cy="140872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6B3EEF53-D428-4620-8005-A65A63F6C229}"/>
            </a:ext>
          </a:extLst>
        </xdr:cNvPr>
        <xdr:cNvSpPr txBox="1"/>
      </xdr:nvSpPr>
      <xdr:spPr>
        <a:xfrm>
          <a:off x="1483782" y="49078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74</xdr:col>
      <xdr:colOff>51454</xdr:colOff>
      <xdr:row>262</xdr:row>
      <xdr:rowOff>4931</xdr:rowOff>
    </xdr:from>
    <xdr:to>
      <xdr:col>75</xdr:col>
      <xdr:colOff>23954</xdr:colOff>
      <xdr:row>263</xdr:row>
      <xdr:rowOff>1116</xdr:rowOff>
    </xdr:to>
    <xdr:grpSp>
      <xdr:nvGrpSpPr>
        <xdr:cNvPr id="914" name="그룹 913">
          <a:extLst>
            <a:ext uri="{FF2B5EF4-FFF2-40B4-BE49-F238E27FC236}">
              <a16:creationId xmlns:a16="http://schemas.microsoft.com/office/drawing/2014/main" id="{104883EF-CC28-4B81-BCF7-A6E5592DFFDF}"/>
            </a:ext>
          </a:extLst>
        </xdr:cNvPr>
        <xdr:cNvGrpSpPr/>
      </xdr:nvGrpSpPr>
      <xdr:grpSpPr>
        <a:xfrm>
          <a:off x="6484798" y="48590369"/>
          <a:ext cx="36000" cy="178747"/>
          <a:chOff x="11556979" y="1922463"/>
          <a:chExt cx="188140" cy="204787"/>
        </a:xfrm>
      </xdr:grpSpPr>
      <xdr:sp macro="" textlink="">
        <xdr:nvSpPr>
          <xdr:cNvPr id="915" name="자유형: 도형 914">
            <a:extLst>
              <a:ext uri="{FF2B5EF4-FFF2-40B4-BE49-F238E27FC236}">
                <a16:creationId xmlns:a16="http://schemas.microsoft.com/office/drawing/2014/main" id="{59425566-3157-9EDD-FF9F-C240E844C78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16" name="자유형: 도형 915">
            <a:extLst>
              <a:ext uri="{FF2B5EF4-FFF2-40B4-BE49-F238E27FC236}">
                <a16:creationId xmlns:a16="http://schemas.microsoft.com/office/drawing/2014/main" id="{5BF59C24-ACC5-B72A-8D46-6809D530780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56088</xdr:colOff>
      <xdr:row>259</xdr:row>
      <xdr:rowOff>100751</xdr:rowOff>
    </xdr:from>
    <xdr:to>
      <xdr:col>108</xdr:col>
      <xdr:colOff>6088</xdr:colOff>
      <xdr:row>259</xdr:row>
      <xdr:rowOff>100751</xdr:rowOff>
    </xdr:to>
    <xdr:cxnSp macro="">
      <xdr:nvCxnSpPr>
        <xdr:cNvPr id="918" name="직선 화살표 연결선 917">
          <a:extLst>
            <a:ext uri="{FF2B5EF4-FFF2-40B4-BE49-F238E27FC236}">
              <a16:creationId xmlns:a16="http://schemas.microsoft.com/office/drawing/2014/main" id="{B66F9F75-D013-477E-972C-469FD724B193}"/>
            </a:ext>
          </a:extLst>
        </xdr:cNvPr>
        <xdr:cNvCxnSpPr/>
      </xdr:nvCxnSpPr>
      <xdr:spPr>
        <a:xfrm>
          <a:off x="2302778" y="48472632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259</xdr:row>
      <xdr:rowOff>37719</xdr:rowOff>
    </xdr:from>
    <xdr:ext cx="428066" cy="125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673A9FB8-7C2E-4067-9B25-F6384E52C10A}"/>
            </a:ext>
          </a:extLst>
        </xdr:cNvPr>
        <xdr:cNvSpPr txBox="1"/>
      </xdr:nvSpPr>
      <xdr:spPr>
        <a:xfrm>
          <a:off x="5090178" y="46770191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1134</xdr:colOff>
      <xdr:row>260</xdr:row>
      <xdr:rowOff>25241</xdr:rowOff>
    </xdr:from>
    <xdr:to>
      <xdr:col>24</xdr:col>
      <xdr:colOff>1134</xdr:colOff>
      <xdr:row>261</xdr:row>
      <xdr:rowOff>93497</xdr:rowOff>
    </xdr:to>
    <xdr:cxnSp macro="">
      <xdr:nvCxnSpPr>
        <xdr:cNvPr id="921" name="직선 연결선 920">
          <a:extLst>
            <a:ext uri="{FF2B5EF4-FFF2-40B4-BE49-F238E27FC236}">
              <a16:creationId xmlns:a16="http://schemas.microsoft.com/office/drawing/2014/main" id="{8B4A9B00-AFAA-40AA-B898-5F875E97D7EA}"/>
            </a:ext>
          </a:extLst>
        </xdr:cNvPr>
        <xdr:cNvCxnSpPr/>
      </xdr:nvCxnSpPr>
      <xdr:spPr>
        <a:xfrm flipH="1">
          <a:off x="3219368" y="44850837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50451</xdr:colOff>
      <xdr:row>260</xdr:row>
      <xdr:rowOff>79266</xdr:rowOff>
    </xdr:from>
    <xdr:to>
      <xdr:col>16</xdr:col>
      <xdr:colOff>12451</xdr:colOff>
      <xdr:row>260</xdr:row>
      <xdr:rowOff>79266</xdr:rowOff>
    </xdr:to>
    <xdr:cxnSp macro="">
      <xdr:nvCxnSpPr>
        <xdr:cNvPr id="922" name="직선 화살표 연결선 921">
          <a:extLst>
            <a:ext uri="{FF2B5EF4-FFF2-40B4-BE49-F238E27FC236}">
              <a16:creationId xmlns:a16="http://schemas.microsoft.com/office/drawing/2014/main" id="{823C81C7-87D0-4C4C-AC6B-99467B34AF1F}"/>
            </a:ext>
          </a:extLst>
        </xdr:cNvPr>
        <xdr:cNvCxnSpPr/>
      </xdr:nvCxnSpPr>
      <xdr:spPr>
        <a:xfrm>
          <a:off x="2490472" y="4490486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1807</xdr:colOff>
      <xdr:row>260</xdr:row>
      <xdr:rowOff>78680</xdr:rowOff>
    </xdr:from>
    <xdr:to>
      <xdr:col>23</xdr:col>
      <xdr:colOff>61307</xdr:colOff>
      <xdr:row>260</xdr:row>
      <xdr:rowOff>78680</xdr:rowOff>
    </xdr:to>
    <xdr:cxnSp macro="">
      <xdr:nvCxnSpPr>
        <xdr:cNvPr id="925" name="직선 화살표 연결선 924">
          <a:extLst>
            <a:ext uri="{FF2B5EF4-FFF2-40B4-BE49-F238E27FC236}">
              <a16:creationId xmlns:a16="http://schemas.microsoft.com/office/drawing/2014/main" id="{3E403ECE-3963-4723-8214-1F0DA6AE35C1}"/>
            </a:ext>
          </a:extLst>
        </xdr:cNvPr>
        <xdr:cNvCxnSpPr/>
      </xdr:nvCxnSpPr>
      <xdr:spPr>
        <a:xfrm>
          <a:off x="2679390" y="46994597"/>
          <a:ext cx="5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2272</xdr:colOff>
      <xdr:row>261</xdr:row>
      <xdr:rowOff>100269</xdr:rowOff>
    </xdr:from>
    <xdr:to>
      <xdr:col>11</xdr:col>
      <xdr:colOff>1272</xdr:colOff>
      <xdr:row>261</xdr:row>
      <xdr:rowOff>100269</xdr:rowOff>
    </xdr:to>
    <xdr:cxnSp macro="">
      <xdr:nvCxnSpPr>
        <xdr:cNvPr id="927" name="직선 화살표 연결선 926">
          <a:extLst>
            <a:ext uri="{FF2B5EF4-FFF2-40B4-BE49-F238E27FC236}">
              <a16:creationId xmlns:a16="http://schemas.microsoft.com/office/drawing/2014/main" id="{4D76FCD8-FEBD-40B2-B651-06530C7DAC10}"/>
            </a:ext>
          </a:extLst>
        </xdr:cNvPr>
        <xdr:cNvCxnSpPr/>
      </xdr:nvCxnSpPr>
      <xdr:spPr>
        <a:xfrm>
          <a:off x="2312462" y="4884105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360</xdr:colOff>
      <xdr:row>259</xdr:row>
      <xdr:rowOff>40212</xdr:rowOff>
    </xdr:from>
    <xdr:to>
      <xdr:col>9</xdr:col>
      <xdr:colOff>361</xdr:colOff>
      <xdr:row>261</xdr:row>
      <xdr:rowOff>175307</xdr:rowOff>
    </xdr:to>
    <xdr:cxnSp macro="">
      <xdr:nvCxnSpPr>
        <xdr:cNvPr id="930" name="직선 연결선 929">
          <a:extLst>
            <a:ext uri="{FF2B5EF4-FFF2-40B4-BE49-F238E27FC236}">
              <a16:creationId xmlns:a16="http://schemas.microsoft.com/office/drawing/2014/main" id="{FA0CA390-7C32-49E6-AF6A-A62479CE39A7}"/>
            </a:ext>
          </a:extLst>
        </xdr:cNvPr>
        <xdr:cNvCxnSpPr/>
      </xdr:nvCxnSpPr>
      <xdr:spPr>
        <a:xfrm flipH="1">
          <a:off x="2310550" y="48412093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47926</xdr:colOff>
      <xdr:row>264</xdr:row>
      <xdr:rowOff>8460</xdr:rowOff>
    </xdr:from>
    <xdr:to>
      <xdr:col>75</xdr:col>
      <xdr:colOff>20426</xdr:colOff>
      <xdr:row>265</xdr:row>
      <xdr:rowOff>4644</xdr:rowOff>
    </xdr:to>
    <xdr:grpSp>
      <xdr:nvGrpSpPr>
        <xdr:cNvPr id="934" name="그룹 933">
          <a:extLst>
            <a:ext uri="{FF2B5EF4-FFF2-40B4-BE49-F238E27FC236}">
              <a16:creationId xmlns:a16="http://schemas.microsoft.com/office/drawing/2014/main" id="{85D8A802-1D96-4262-A385-F8BD00A4F51D}"/>
            </a:ext>
          </a:extLst>
        </xdr:cNvPr>
        <xdr:cNvGrpSpPr/>
      </xdr:nvGrpSpPr>
      <xdr:grpSpPr>
        <a:xfrm>
          <a:off x="6481270" y="48966960"/>
          <a:ext cx="36000" cy="186684"/>
          <a:chOff x="11556979" y="1922463"/>
          <a:chExt cx="188140" cy="204787"/>
        </a:xfrm>
      </xdr:grpSpPr>
      <xdr:sp macro="" textlink="">
        <xdr:nvSpPr>
          <xdr:cNvPr id="935" name="자유형: 도형 934">
            <a:extLst>
              <a:ext uri="{FF2B5EF4-FFF2-40B4-BE49-F238E27FC236}">
                <a16:creationId xmlns:a16="http://schemas.microsoft.com/office/drawing/2014/main" id="{AE7BDF41-47F2-790C-AF07-751171D0AA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6" name="자유형: 도형 935">
            <a:extLst>
              <a:ext uri="{FF2B5EF4-FFF2-40B4-BE49-F238E27FC236}">
                <a16:creationId xmlns:a16="http://schemas.microsoft.com/office/drawing/2014/main" id="{94E26974-CB49-3D7F-DDD7-275B70CFE0B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40871</xdr:colOff>
      <xdr:row>267</xdr:row>
      <xdr:rowOff>188376</xdr:rowOff>
    </xdr:from>
    <xdr:to>
      <xdr:col>75</xdr:col>
      <xdr:colOff>13371</xdr:colOff>
      <xdr:row>268</xdr:row>
      <xdr:rowOff>184561</xdr:rowOff>
    </xdr:to>
    <xdr:grpSp>
      <xdr:nvGrpSpPr>
        <xdr:cNvPr id="937" name="그룹 936">
          <a:extLst>
            <a:ext uri="{FF2B5EF4-FFF2-40B4-BE49-F238E27FC236}">
              <a16:creationId xmlns:a16="http://schemas.microsoft.com/office/drawing/2014/main" id="{CD0720A3-D9C2-44F1-9F08-7E99C865CC6A}"/>
            </a:ext>
          </a:extLst>
        </xdr:cNvPr>
        <xdr:cNvGrpSpPr/>
      </xdr:nvGrpSpPr>
      <xdr:grpSpPr>
        <a:xfrm>
          <a:off x="6474215" y="49718376"/>
          <a:ext cx="36000" cy="186685"/>
          <a:chOff x="11556979" y="1922463"/>
          <a:chExt cx="188140" cy="204787"/>
        </a:xfrm>
      </xdr:grpSpPr>
      <xdr:sp macro="" textlink="">
        <xdr:nvSpPr>
          <xdr:cNvPr id="938" name="자유형: 도형 937">
            <a:extLst>
              <a:ext uri="{FF2B5EF4-FFF2-40B4-BE49-F238E27FC236}">
                <a16:creationId xmlns:a16="http://schemas.microsoft.com/office/drawing/2014/main" id="{EA9DE1EF-619C-79D3-594C-CE6EB1B83C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9" name="자유형: 도형 938">
            <a:extLst>
              <a:ext uri="{FF2B5EF4-FFF2-40B4-BE49-F238E27FC236}">
                <a16:creationId xmlns:a16="http://schemas.microsoft.com/office/drawing/2014/main" id="{17923CAE-7010-7A4D-1F63-EABD2546502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47927</xdr:colOff>
      <xdr:row>266</xdr:row>
      <xdr:rowOff>8460</xdr:rowOff>
    </xdr:from>
    <xdr:to>
      <xdr:col>75</xdr:col>
      <xdr:colOff>20427</xdr:colOff>
      <xdr:row>267</xdr:row>
      <xdr:rowOff>4645</xdr:rowOff>
    </xdr:to>
    <xdr:grpSp>
      <xdr:nvGrpSpPr>
        <xdr:cNvPr id="940" name="그룹 939">
          <a:extLst>
            <a:ext uri="{FF2B5EF4-FFF2-40B4-BE49-F238E27FC236}">
              <a16:creationId xmlns:a16="http://schemas.microsoft.com/office/drawing/2014/main" id="{91EC87DF-625D-42FC-8E84-EBD5EF041D2B}"/>
            </a:ext>
          </a:extLst>
        </xdr:cNvPr>
        <xdr:cNvGrpSpPr/>
      </xdr:nvGrpSpPr>
      <xdr:grpSpPr>
        <a:xfrm>
          <a:off x="6481271" y="49347960"/>
          <a:ext cx="36000" cy="186685"/>
          <a:chOff x="11556979" y="1922463"/>
          <a:chExt cx="188140" cy="204787"/>
        </a:xfrm>
      </xdr:grpSpPr>
      <xdr:sp macro="" textlink="">
        <xdr:nvSpPr>
          <xdr:cNvPr id="941" name="자유형: 도형 940">
            <a:extLst>
              <a:ext uri="{FF2B5EF4-FFF2-40B4-BE49-F238E27FC236}">
                <a16:creationId xmlns:a16="http://schemas.microsoft.com/office/drawing/2014/main" id="{B27DEBF9-FB57-5931-0390-56C50FC91C4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42" name="자유형: 도형 941">
            <a:extLst>
              <a:ext uri="{FF2B5EF4-FFF2-40B4-BE49-F238E27FC236}">
                <a16:creationId xmlns:a16="http://schemas.microsoft.com/office/drawing/2014/main" id="{F969F6AD-3475-1FCB-3118-A6ECF5747D32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112</xdr:col>
      <xdr:colOff>884</xdr:colOff>
      <xdr:row>224</xdr:row>
      <xdr:rowOff>66924</xdr:rowOff>
    </xdr:from>
    <xdr:to>
      <xdr:col>112</xdr:col>
      <xdr:colOff>885</xdr:colOff>
      <xdr:row>228</xdr:row>
      <xdr:rowOff>85115</xdr:rowOff>
    </xdr:to>
    <xdr:cxnSp macro="">
      <xdr:nvCxnSpPr>
        <xdr:cNvPr id="965" name="직선 연결선 964">
          <a:extLst>
            <a:ext uri="{FF2B5EF4-FFF2-40B4-BE49-F238E27FC236}">
              <a16:creationId xmlns:a16="http://schemas.microsoft.com/office/drawing/2014/main" id="{641B9B19-6FF0-4737-A401-5C1FC9FE0ADC}"/>
            </a:ext>
          </a:extLst>
        </xdr:cNvPr>
        <xdr:cNvCxnSpPr/>
      </xdr:nvCxnSpPr>
      <xdr:spPr>
        <a:xfrm flipH="1">
          <a:off x="8851574" y="41916448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1610</xdr:colOff>
      <xdr:row>260</xdr:row>
      <xdr:rowOff>31037</xdr:rowOff>
    </xdr:from>
    <xdr:to>
      <xdr:col>13</xdr:col>
      <xdr:colOff>1611</xdr:colOff>
      <xdr:row>261</xdr:row>
      <xdr:rowOff>170584</xdr:rowOff>
    </xdr:to>
    <xdr:cxnSp macro="">
      <xdr:nvCxnSpPr>
        <xdr:cNvPr id="972" name="직선 연결선 971">
          <a:extLst>
            <a:ext uri="{FF2B5EF4-FFF2-40B4-BE49-F238E27FC236}">
              <a16:creationId xmlns:a16="http://schemas.microsoft.com/office/drawing/2014/main" id="{FFF3E69B-F459-4876-B91E-8A5D5B8F94A4}"/>
            </a:ext>
          </a:extLst>
        </xdr:cNvPr>
        <xdr:cNvCxnSpPr/>
      </xdr:nvCxnSpPr>
      <xdr:spPr>
        <a:xfrm flipH="1">
          <a:off x="2565800" y="4858737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62290</xdr:colOff>
      <xdr:row>260</xdr:row>
      <xdr:rowOff>31737</xdr:rowOff>
    </xdr:from>
    <xdr:to>
      <xdr:col>15</xdr:col>
      <xdr:colOff>62291</xdr:colOff>
      <xdr:row>261</xdr:row>
      <xdr:rowOff>27284</xdr:rowOff>
    </xdr:to>
    <xdr:cxnSp macro="">
      <xdr:nvCxnSpPr>
        <xdr:cNvPr id="973" name="직선 연결선 972">
          <a:extLst>
            <a:ext uri="{FF2B5EF4-FFF2-40B4-BE49-F238E27FC236}">
              <a16:creationId xmlns:a16="http://schemas.microsoft.com/office/drawing/2014/main" id="{6D06CC6E-B31E-4A0A-BB15-5BCCF1801529}"/>
            </a:ext>
          </a:extLst>
        </xdr:cNvPr>
        <xdr:cNvCxnSpPr/>
      </xdr:nvCxnSpPr>
      <xdr:spPr>
        <a:xfrm flipH="1">
          <a:off x="2753480" y="4858807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259</xdr:row>
      <xdr:rowOff>43366</xdr:rowOff>
    </xdr:from>
    <xdr:to>
      <xdr:col>107</xdr:col>
      <xdr:colOff>61812</xdr:colOff>
      <xdr:row>261</xdr:row>
      <xdr:rowOff>108477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F91F8B77-029A-4B0E-9EAD-34A53698EFDC}"/>
            </a:ext>
          </a:extLst>
        </xdr:cNvPr>
        <xdr:cNvCxnSpPr/>
      </xdr:nvCxnSpPr>
      <xdr:spPr>
        <a:xfrm flipH="1">
          <a:off x="8517895" y="46775838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261</xdr:row>
      <xdr:rowOff>32449</xdr:rowOff>
    </xdr:from>
    <xdr:to>
      <xdr:col>11</xdr:col>
      <xdr:colOff>3022</xdr:colOff>
      <xdr:row>261</xdr:row>
      <xdr:rowOff>176449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1A65FDB-2496-4060-A4A3-ED8F3062841C}"/>
            </a:ext>
          </a:extLst>
        </xdr:cNvPr>
        <xdr:cNvCxnSpPr/>
      </xdr:nvCxnSpPr>
      <xdr:spPr>
        <a:xfrm flipH="1">
          <a:off x="2363104" y="47131810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816275</xdr:colOff>
      <xdr:row>277</xdr:row>
      <xdr:rowOff>151280</xdr:rowOff>
    </xdr:from>
    <xdr:ext cx="368819" cy="140872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07F5D1F-DA5D-4E9D-9EBB-C70155647B49}"/>
            </a:ext>
          </a:extLst>
        </xdr:cNvPr>
        <xdr:cNvSpPr txBox="1"/>
      </xdr:nvSpPr>
      <xdr:spPr>
        <a:xfrm>
          <a:off x="1476221" y="5355251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85</xdr:col>
      <xdr:colOff>51455</xdr:colOff>
      <xdr:row>277</xdr:row>
      <xdr:rowOff>29625</xdr:rowOff>
    </xdr:from>
    <xdr:to>
      <xdr:col>86</xdr:col>
      <xdr:colOff>23955</xdr:colOff>
      <xdr:row>278</xdr:row>
      <xdr:rowOff>25810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AD07B8DF-50F5-4E41-86CD-8AFECD295A97}"/>
            </a:ext>
          </a:extLst>
        </xdr:cNvPr>
        <xdr:cNvGrpSpPr/>
      </xdr:nvGrpSpPr>
      <xdr:grpSpPr>
        <a:xfrm>
          <a:off x="7183299" y="51401125"/>
          <a:ext cx="36000" cy="178748"/>
          <a:chOff x="11556979" y="1922463"/>
          <a:chExt cx="188140" cy="204787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537DD09E-43E4-54E0-5CA0-78A3CF50401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E77AFC87-7E05-9A2B-A806-CFBE57208A3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59112</xdr:colOff>
      <xdr:row>274</xdr:row>
      <xdr:rowOff>100751</xdr:rowOff>
    </xdr:from>
    <xdr:to>
      <xdr:col>108</xdr:col>
      <xdr:colOff>9112</xdr:colOff>
      <xdr:row>274</xdr:row>
      <xdr:rowOff>100751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DEF03EC7-CF01-46FD-A03D-C9B4EC50251E}"/>
            </a:ext>
          </a:extLst>
        </xdr:cNvPr>
        <xdr:cNvCxnSpPr/>
      </xdr:nvCxnSpPr>
      <xdr:spPr>
        <a:xfrm>
          <a:off x="2305802" y="51275703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274</xdr:row>
      <xdr:rowOff>37719</xdr:rowOff>
    </xdr:from>
    <xdr:ext cx="428066" cy="125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C56BAEC9-D721-4E3F-A630-4C4B5C8E7D83}"/>
            </a:ext>
          </a:extLst>
        </xdr:cNvPr>
        <xdr:cNvSpPr txBox="1"/>
      </xdr:nvSpPr>
      <xdr:spPr>
        <a:xfrm>
          <a:off x="5090178" y="44568858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274</xdr:row>
      <xdr:rowOff>40212</xdr:rowOff>
    </xdr:from>
    <xdr:to>
      <xdr:col>9</xdr:col>
      <xdr:colOff>361</xdr:colOff>
      <xdr:row>276</xdr:row>
      <xdr:rowOff>175307</xdr:rowOff>
    </xdr:to>
    <xdr:cxnSp macro="">
      <xdr:nvCxnSpPr>
        <xdr:cNvPr id="278" name="직선 연결선 277">
          <a:extLst>
            <a:ext uri="{FF2B5EF4-FFF2-40B4-BE49-F238E27FC236}">
              <a16:creationId xmlns:a16="http://schemas.microsoft.com/office/drawing/2014/main" id="{3F399F09-42BF-4453-AA88-E54780591FD5}"/>
            </a:ext>
          </a:extLst>
        </xdr:cNvPr>
        <xdr:cNvCxnSpPr/>
      </xdr:nvCxnSpPr>
      <xdr:spPr>
        <a:xfrm flipH="1">
          <a:off x="2310550" y="51215164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47927</xdr:colOff>
      <xdr:row>278</xdr:row>
      <xdr:rowOff>174262</xdr:rowOff>
    </xdr:from>
    <xdr:to>
      <xdr:col>86</xdr:col>
      <xdr:colOff>20427</xdr:colOff>
      <xdr:row>279</xdr:row>
      <xdr:rowOff>163390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BB31D2DA-5763-4EC0-B0D6-2D695DEA9D29}"/>
            </a:ext>
          </a:extLst>
        </xdr:cNvPr>
        <xdr:cNvGrpSpPr/>
      </xdr:nvGrpSpPr>
      <xdr:grpSpPr>
        <a:xfrm>
          <a:off x="7179771" y="51728325"/>
          <a:ext cx="36000" cy="179628"/>
          <a:chOff x="11556979" y="1922463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827959AB-4B22-9A21-E16E-F4975DF845E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BDB4A93B-0F15-C268-694F-BAF5BEFC51F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40872</xdr:colOff>
      <xdr:row>282</xdr:row>
      <xdr:rowOff>182024</xdr:rowOff>
    </xdr:from>
    <xdr:to>
      <xdr:col>86</xdr:col>
      <xdr:colOff>13372</xdr:colOff>
      <xdr:row>284</xdr:row>
      <xdr:rowOff>1115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73E0E6EB-F7E7-47D0-AC22-46004FCF16B5}"/>
            </a:ext>
          </a:extLst>
        </xdr:cNvPr>
        <xdr:cNvGrpSpPr/>
      </xdr:nvGrpSpPr>
      <xdr:grpSpPr>
        <a:xfrm>
          <a:off x="7172716" y="52490149"/>
          <a:ext cx="36000" cy="200091"/>
          <a:chOff x="11556979" y="1922463"/>
          <a:chExt cx="188140" cy="204787"/>
        </a:xfrm>
      </xdr:grpSpPr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BCC3518B-AE51-EB33-E024-6D5AAA80350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6" name="자유형: 도형 385">
            <a:extLst>
              <a:ext uri="{FF2B5EF4-FFF2-40B4-BE49-F238E27FC236}">
                <a16:creationId xmlns:a16="http://schemas.microsoft.com/office/drawing/2014/main" id="{77B6F0AD-4631-EAEF-EB50-457752A4936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47928</xdr:colOff>
      <xdr:row>281</xdr:row>
      <xdr:rowOff>8458</xdr:rowOff>
    </xdr:from>
    <xdr:to>
      <xdr:col>86</xdr:col>
      <xdr:colOff>20428</xdr:colOff>
      <xdr:row>282</xdr:row>
      <xdr:rowOff>4643</xdr:rowOff>
    </xdr:to>
    <xdr:grpSp>
      <xdr:nvGrpSpPr>
        <xdr:cNvPr id="388" name="그룹 387">
          <a:extLst>
            <a:ext uri="{FF2B5EF4-FFF2-40B4-BE49-F238E27FC236}">
              <a16:creationId xmlns:a16="http://schemas.microsoft.com/office/drawing/2014/main" id="{E48B02E3-1432-4B3C-A3D3-9D5FEBC34015}"/>
            </a:ext>
          </a:extLst>
        </xdr:cNvPr>
        <xdr:cNvGrpSpPr/>
      </xdr:nvGrpSpPr>
      <xdr:grpSpPr>
        <a:xfrm>
          <a:off x="7179772" y="52126083"/>
          <a:ext cx="36000" cy="186685"/>
          <a:chOff x="11556979" y="1922463"/>
          <a:chExt cx="188140" cy="204787"/>
        </a:xfrm>
      </xdr:grpSpPr>
      <xdr:sp macro="" textlink="">
        <xdr:nvSpPr>
          <xdr:cNvPr id="389" name="자유형: 도형 388">
            <a:extLst>
              <a:ext uri="{FF2B5EF4-FFF2-40B4-BE49-F238E27FC236}">
                <a16:creationId xmlns:a16="http://schemas.microsoft.com/office/drawing/2014/main" id="{DBC81D73-22C0-2706-9B38-BBADDBE4522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92" name="자유형: 도형 391">
            <a:extLst>
              <a:ext uri="{FF2B5EF4-FFF2-40B4-BE49-F238E27FC236}">
                <a16:creationId xmlns:a16="http://schemas.microsoft.com/office/drawing/2014/main" id="{89609819-706C-1D43-7A9B-99449F6CC3E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47629</xdr:colOff>
      <xdr:row>275</xdr:row>
      <xdr:rowOff>74568</xdr:rowOff>
    </xdr:from>
    <xdr:to>
      <xdr:col>13</xdr:col>
      <xdr:colOff>11374</xdr:colOff>
      <xdr:row>275</xdr:row>
      <xdr:rowOff>74568</xdr:rowOff>
    </xdr:to>
    <xdr:cxnSp macro="">
      <xdr:nvCxnSpPr>
        <xdr:cNvPr id="418" name="직선 화살표 연결선 417">
          <a:extLst>
            <a:ext uri="{FF2B5EF4-FFF2-40B4-BE49-F238E27FC236}">
              <a16:creationId xmlns:a16="http://schemas.microsoft.com/office/drawing/2014/main" id="{26F1C490-B87C-4309-A428-3C5A29BBFCB8}"/>
            </a:ext>
          </a:extLst>
        </xdr:cNvPr>
        <xdr:cNvCxnSpPr/>
      </xdr:nvCxnSpPr>
      <xdr:spPr>
        <a:xfrm>
          <a:off x="2228246" y="47704972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274</xdr:row>
      <xdr:rowOff>43366</xdr:rowOff>
    </xdr:from>
    <xdr:to>
      <xdr:col>107</xdr:col>
      <xdr:colOff>61812</xdr:colOff>
      <xdr:row>276</xdr:row>
      <xdr:rowOff>108477</xdr:rowOff>
    </xdr:to>
    <xdr:cxnSp macro="">
      <xdr:nvCxnSpPr>
        <xdr:cNvPr id="419" name="직선 연결선 418">
          <a:extLst>
            <a:ext uri="{FF2B5EF4-FFF2-40B4-BE49-F238E27FC236}">
              <a16:creationId xmlns:a16="http://schemas.microsoft.com/office/drawing/2014/main" id="{D1F1B66D-53C8-490E-8DBA-D2CD730ADE90}"/>
            </a:ext>
          </a:extLst>
        </xdr:cNvPr>
        <xdr:cNvCxnSpPr/>
      </xdr:nvCxnSpPr>
      <xdr:spPr>
        <a:xfrm flipH="1">
          <a:off x="8517895" y="44574505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32449</xdr:rowOff>
    </xdr:from>
    <xdr:to>
      <xdr:col>11</xdr:col>
      <xdr:colOff>3022</xdr:colOff>
      <xdr:row>276</xdr:row>
      <xdr:rowOff>176449</xdr:rowOff>
    </xdr:to>
    <xdr:cxnSp macro="">
      <xdr:nvCxnSpPr>
        <xdr:cNvPr id="428" name="직선 연결선 427">
          <a:extLst>
            <a:ext uri="{FF2B5EF4-FFF2-40B4-BE49-F238E27FC236}">
              <a16:creationId xmlns:a16="http://schemas.microsoft.com/office/drawing/2014/main" id="{0853DFBC-D7F2-4EC3-88B5-2B0F20BB9F7A}"/>
            </a:ext>
          </a:extLst>
        </xdr:cNvPr>
        <xdr:cNvCxnSpPr/>
      </xdr:nvCxnSpPr>
      <xdr:spPr>
        <a:xfrm flipH="1">
          <a:off x="2363104" y="4493047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61990</xdr:colOff>
      <xdr:row>3</xdr:row>
      <xdr:rowOff>45357</xdr:rowOff>
    </xdr:from>
    <xdr:to>
      <xdr:col>4</xdr:col>
      <xdr:colOff>61990</xdr:colOff>
      <xdr:row>7</xdr:row>
      <xdr:rowOff>135175</xdr:rowOff>
    </xdr:to>
    <xdr:cxnSp macro="">
      <xdr:nvCxnSpPr>
        <xdr:cNvPr id="435" name="직선 연결선 434">
          <a:extLst>
            <a:ext uri="{FF2B5EF4-FFF2-40B4-BE49-F238E27FC236}">
              <a16:creationId xmlns:a16="http://schemas.microsoft.com/office/drawing/2014/main" id="{9C193EBE-6B32-4E99-993E-D44723752E78}"/>
            </a:ext>
          </a:extLst>
        </xdr:cNvPr>
        <xdr:cNvCxnSpPr/>
      </xdr:nvCxnSpPr>
      <xdr:spPr>
        <a:xfrm flipH="1">
          <a:off x="1979085" y="616857"/>
          <a:ext cx="0" cy="8336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104</xdr:row>
      <xdr:rowOff>167741</xdr:rowOff>
    </xdr:from>
    <xdr:to>
      <xdr:col>14</xdr:col>
      <xdr:colOff>0</xdr:colOff>
      <xdr:row>117</xdr:row>
      <xdr:rowOff>0</xdr:rowOff>
    </xdr:to>
    <xdr:cxnSp macro="">
      <xdr:nvCxnSpPr>
        <xdr:cNvPr id="436" name="직선 연결선 435">
          <a:extLst>
            <a:ext uri="{FF2B5EF4-FFF2-40B4-BE49-F238E27FC236}">
              <a16:creationId xmlns:a16="http://schemas.microsoft.com/office/drawing/2014/main" id="{D88C11DF-A2B4-46B6-AB87-E1273018CDD1}"/>
            </a:ext>
          </a:extLst>
        </xdr:cNvPr>
        <xdr:cNvCxnSpPr/>
      </xdr:nvCxnSpPr>
      <xdr:spPr>
        <a:xfrm flipH="1">
          <a:off x="2553138" y="19664431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1323</xdr:colOff>
      <xdr:row>104</xdr:row>
      <xdr:rowOff>176209</xdr:rowOff>
    </xdr:from>
    <xdr:to>
      <xdr:col>28</xdr:col>
      <xdr:colOff>1323</xdr:colOff>
      <xdr:row>117</xdr:row>
      <xdr:rowOff>0</xdr:rowOff>
    </xdr:to>
    <xdr:cxnSp macro="">
      <xdr:nvCxnSpPr>
        <xdr:cNvPr id="437" name="직선 연결선 436">
          <a:extLst>
            <a:ext uri="{FF2B5EF4-FFF2-40B4-BE49-F238E27FC236}">
              <a16:creationId xmlns:a16="http://schemas.microsoft.com/office/drawing/2014/main" id="{6D046077-9EFC-48A4-BD67-F9CAC7A83593}"/>
            </a:ext>
          </a:extLst>
        </xdr:cNvPr>
        <xdr:cNvCxnSpPr/>
      </xdr:nvCxnSpPr>
      <xdr:spPr>
        <a:xfrm flipH="1">
          <a:off x="3478961" y="19680166"/>
          <a:ext cx="0" cy="226111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950</xdr:colOff>
      <xdr:row>104</xdr:row>
      <xdr:rowOff>172303</xdr:rowOff>
    </xdr:from>
    <xdr:to>
      <xdr:col>37</xdr:col>
      <xdr:colOff>950</xdr:colOff>
      <xdr:row>117</xdr:row>
      <xdr:rowOff>0</xdr:rowOff>
    </xdr:to>
    <xdr:cxnSp macro="">
      <xdr:nvCxnSpPr>
        <xdr:cNvPr id="439" name="직선 연결선 438">
          <a:extLst>
            <a:ext uri="{FF2B5EF4-FFF2-40B4-BE49-F238E27FC236}">
              <a16:creationId xmlns:a16="http://schemas.microsoft.com/office/drawing/2014/main" id="{F2E2DE12-3F68-4528-BB08-500B7FC5CCD9}"/>
            </a:ext>
          </a:extLst>
        </xdr:cNvPr>
        <xdr:cNvCxnSpPr/>
      </xdr:nvCxnSpPr>
      <xdr:spPr>
        <a:xfrm flipH="1">
          <a:off x="4014588" y="19668993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834</xdr:colOff>
      <xdr:row>104</xdr:row>
      <xdr:rowOff>173284</xdr:rowOff>
    </xdr:from>
    <xdr:to>
      <xdr:col>32</xdr:col>
      <xdr:colOff>834</xdr:colOff>
      <xdr:row>117</xdr:row>
      <xdr:rowOff>0</xdr:rowOff>
    </xdr:to>
    <xdr:cxnSp macro="">
      <xdr:nvCxnSpPr>
        <xdr:cNvPr id="440" name="직선 연결선 439">
          <a:extLst>
            <a:ext uri="{FF2B5EF4-FFF2-40B4-BE49-F238E27FC236}">
              <a16:creationId xmlns:a16="http://schemas.microsoft.com/office/drawing/2014/main" id="{AB3CEFD2-7A9A-45B1-8401-A280B0DF346C}"/>
            </a:ext>
          </a:extLst>
        </xdr:cNvPr>
        <xdr:cNvCxnSpPr/>
      </xdr:nvCxnSpPr>
      <xdr:spPr>
        <a:xfrm flipH="1">
          <a:off x="3737877" y="19677241"/>
          <a:ext cx="0" cy="22640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461</xdr:colOff>
      <xdr:row>105</xdr:row>
      <xdr:rowOff>2544</xdr:rowOff>
    </xdr:from>
    <xdr:to>
      <xdr:col>41</xdr:col>
      <xdr:colOff>461</xdr:colOff>
      <xdr:row>117</xdr:row>
      <xdr:rowOff>0</xdr:rowOff>
    </xdr:to>
    <xdr:cxnSp macro="">
      <xdr:nvCxnSpPr>
        <xdr:cNvPr id="441" name="직선 연결선 440">
          <a:extLst>
            <a:ext uri="{FF2B5EF4-FFF2-40B4-BE49-F238E27FC236}">
              <a16:creationId xmlns:a16="http://schemas.microsoft.com/office/drawing/2014/main" id="{936AEA72-AD1F-4A14-80D4-FDA68701E679}"/>
            </a:ext>
          </a:extLst>
        </xdr:cNvPr>
        <xdr:cNvCxnSpPr/>
      </xdr:nvCxnSpPr>
      <xdr:spPr>
        <a:xfrm flipH="1">
          <a:off x="4268099" y="19683165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347</xdr:colOff>
      <xdr:row>104</xdr:row>
      <xdr:rowOff>172798</xdr:rowOff>
    </xdr:from>
    <xdr:to>
      <xdr:col>46</xdr:col>
      <xdr:colOff>347</xdr:colOff>
      <xdr:row>117</xdr:row>
      <xdr:rowOff>0</xdr:rowOff>
    </xdr:to>
    <xdr:cxnSp macro="">
      <xdr:nvCxnSpPr>
        <xdr:cNvPr id="442" name="직선 연결선 441">
          <a:extLst>
            <a:ext uri="{FF2B5EF4-FFF2-40B4-BE49-F238E27FC236}">
              <a16:creationId xmlns:a16="http://schemas.microsoft.com/office/drawing/2014/main" id="{72AF061B-320E-4D05-9D77-21CF7CD5681A}"/>
            </a:ext>
          </a:extLst>
        </xdr:cNvPr>
        <xdr:cNvCxnSpPr/>
      </xdr:nvCxnSpPr>
      <xdr:spPr>
        <a:xfrm flipH="1">
          <a:off x="4645304" y="19676755"/>
          <a:ext cx="0" cy="22645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2549</xdr:colOff>
      <xdr:row>105</xdr:row>
      <xdr:rowOff>59712</xdr:rowOff>
    </xdr:from>
    <xdr:to>
      <xdr:col>32</xdr:col>
      <xdr:colOff>549</xdr:colOff>
      <xdr:row>105</xdr:row>
      <xdr:rowOff>59712</xdr:rowOff>
    </xdr:to>
    <xdr:cxnSp macro="">
      <xdr:nvCxnSpPr>
        <xdr:cNvPr id="443" name="직선 화살표 연결선 442">
          <a:extLst>
            <a:ext uri="{FF2B5EF4-FFF2-40B4-BE49-F238E27FC236}">
              <a16:creationId xmlns:a16="http://schemas.microsoft.com/office/drawing/2014/main" id="{853722A7-6DF2-4CD4-87DA-9F20E33D8D6A}"/>
            </a:ext>
          </a:extLst>
        </xdr:cNvPr>
        <xdr:cNvCxnSpPr/>
      </xdr:nvCxnSpPr>
      <xdr:spPr>
        <a:xfrm>
          <a:off x="3444687" y="19740333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1337</xdr:colOff>
      <xdr:row>105</xdr:row>
      <xdr:rowOff>58751</xdr:rowOff>
    </xdr:from>
    <xdr:to>
      <xdr:col>37</xdr:col>
      <xdr:colOff>7837</xdr:colOff>
      <xdr:row>105</xdr:row>
      <xdr:rowOff>58751</xdr:rowOff>
    </xdr:to>
    <xdr:cxnSp macro="">
      <xdr:nvCxnSpPr>
        <xdr:cNvPr id="444" name="직선 화살표 연결선 443">
          <a:extLst>
            <a:ext uri="{FF2B5EF4-FFF2-40B4-BE49-F238E27FC236}">
              <a16:creationId xmlns:a16="http://schemas.microsoft.com/office/drawing/2014/main" id="{D6D69580-9A3E-4F11-8037-80F57A915997}"/>
            </a:ext>
          </a:extLst>
        </xdr:cNvPr>
        <xdr:cNvCxnSpPr/>
      </xdr:nvCxnSpPr>
      <xdr:spPr>
        <a:xfrm>
          <a:off x="3697475" y="1973937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63118</xdr:colOff>
      <xdr:row>105</xdr:row>
      <xdr:rowOff>61919</xdr:rowOff>
    </xdr:from>
    <xdr:to>
      <xdr:col>40</xdr:col>
      <xdr:colOff>61118</xdr:colOff>
      <xdr:row>105</xdr:row>
      <xdr:rowOff>61919</xdr:rowOff>
    </xdr:to>
    <xdr:cxnSp macro="">
      <xdr:nvCxnSpPr>
        <xdr:cNvPr id="445" name="직선 화살표 연결선 444">
          <a:extLst>
            <a:ext uri="{FF2B5EF4-FFF2-40B4-BE49-F238E27FC236}">
              <a16:creationId xmlns:a16="http://schemas.microsoft.com/office/drawing/2014/main" id="{B9A6D13C-5960-4FB0-A29F-2DBFDB32D51B}"/>
            </a:ext>
          </a:extLst>
        </xdr:cNvPr>
        <xdr:cNvCxnSpPr/>
      </xdr:nvCxnSpPr>
      <xdr:spPr>
        <a:xfrm>
          <a:off x="4013256" y="19742540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61654</xdr:colOff>
      <xdr:row>105</xdr:row>
      <xdr:rowOff>62895</xdr:rowOff>
    </xdr:from>
    <xdr:to>
      <xdr:col>46</xdr:col>
      <xdr:colOff>4654</xdr:colOff>
      <xdr:row>105</xdr:row>
      <xdr:rowOff>62895</xdr:rowOff>
    </xdr:to>
    <xdr:cxnSp macro="">
      <xdr:nvCxnSpPr>
        <xdr:cNvPr id="449" name="직선 화살표 연결선 448">
          <a:extLst>
            <a:ext uri="{FF2B5EF4-FFF2-40B4-BE49-F238E27FC236}">
              <a16:creationId xmlns:a16="http://schemas.microsoft.com/office/drawing/2014/main" id="{116FE391-192F-4F6E-A222-FACEDE84026C}"/>
            </a:ext>
          </a:extLst>
        </xdr:cNvPr>
        <xdr:cNvCxnSpPr/>
      </xdr:nvCxnSpPr>
      <xdr:spPr>
        <a:xfrm>
          <a:off x="4265792" y="19743516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5981</xdr:colOff>
      <xdr:row>228</xdr:row>
      <xdr:rowOff>125116</xdr:rowOff>
    </xdr:from>
    <xdr:to>
      <xdr:col>38</xdr:col>
      <xdr:colOff>5981</xdr:colOff>
      <xdr:row>229</xdr:row>
      <xdr:rowOff>157185</xdr:rowOff>
    </xdr:to>
    <xdr:cxnSp macro="">
      <xdr:nvCxnSpPr>
        <xdr:cNvPr id="516" name="직선 연결선 515">
          <a:extLst>
            <a:ext uri="{FF2B5EF4-FFF2-40B4-BE49-F238E27FC236}">
              <a16:creationId xmlns:a16="http://schemas.microsoft.com/office/drawing/2014/main" id="{944722F2-354A-4C81-B124-79A45E6F0DA2}"/>
            </a:ext>
          </a:extLst>
        </xdr:cNvPr>
        <xdr:cNvCxnSpPr/>
      </xdr:nvCxnSpPr>
      <xdr:spPr>
        <a:xfrm flipH="1">
          <a:off x="4083119" y="3896084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17824</xdr:colOff>
      <xdr:row>228</xdr:row>
      <xdr:rowOff>12239</xdr:rowOff>
    </xdr:from>
    <xdr:ext cx="285784" cy="125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CDE3BF08-9A8D-41A8-8B39-FF7B6BA955AA}"/>
            </a:ext>
          </a:extLst>
        </xdr:cNvPr>
        <xdr:cNvSpPr txBox="1"/>
      </xdr:nvSpPr>
      <xdr:spPr>
        <a:xfrm>
          <a:off x="3459962" y="3884796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32</xdr:col>
      <xdr:colOff>8963</xdr:colOff>
      <xdr:row>229</xdr:row>
      <xdr:rowOff>9441</xdr:rowOff>
    </xdr:from>
    <xdr:to>
      <xdr:col>38</xdr:col>
      <xdr:colOff>23963</xdr:colOff>
      <xdr:row>229</xdr:row>
      <xdr:rowOff>9441</xdr:rowOff>
    </xdr:to>
    <xdr:cxnSp macro="">
      <xdr:nvCxnSpPr>
        <xdr:cNvPr id="518" name="직선 화살표 연결선 517">
          <a:extLst>
            <a:ext uri="{FF2B5EF4-FFF2-40B4-BE49-F238E27FC236}">
              <a16:creationId xmlns:a16="http://schemas.microsoft.com/office/drawing/2014/main" id="{2C10D083-A78E-45FD-A142-2A2D0457CCE1}"/>
            </a:ext>
          </a:extLst>
        </xdr:cNvPr>
        <xdr:cNvCxnSpPr/>
      </xdr:nvCxnSpPr>
      <xdr:spPr>
        <a:xfrm>
          <a:off x="3705101" y="39029096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59183</xdr:colOff>
      <xdr:row>229</xdr:row>
      <xdr:rowOff>8681</xdr:rowOff>
    </xdr:from>
    <xdr:to>
      <xdr:col>32</xdr:col>
      <xdr:colOff>21183</xdr:colOff>
      <xdr:row>229</xdr:row>
      <xdr:rowOff>8681</xdr:rowOff>
    </xdr:to>
    <xdr:cxnSp macro="">
      <xdr:nvCxnSpPr>
        <xdr:cNvPr id="542" name="직선 화살표 연결선 541">
          <a:extLst>
            <a:ext uri="{FF2B5EF4-FFF2-40B4-BE49-F238E27FC236}">
              <a16:creationId xmlns:a16="http://schemas.microsoft.com/office/drawing/2014/main" id="{CF157FFB-8453-4E0B-A9F3-EA93C25F04F1}"/>
            </a:ext>
          </a:extLst>
        </xdr:cNvPr>
        <xdr:cNvCxnSpPr/>
      </xdr:nvCxnSpPr>
      <xdr:spPr>
        <a:xfrm>
          <a:off x="3501321" y="39028336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3560</xdr:colOff>
      <xdr:row>228</xdr:row>
      <xdr:rowOff>126896</xdr:rowOff>
    </xdr:from>
    <xdr:to>
      <xdr:col>32</xdr:col>
      <xdr:colOff>3560</xdr:colOff>
      <xdr:row>229</xdr:row>
      <xdr:rowOff>158965</xdr:rowOff>
    </xdr:to>
    <xdr:cxnSp macro="">
      <xdr:nvCxnSpPr>
        <xdr:cNvPr id="545" name="직선 연결선 544">
          <a:extLst>
            <a:ext uri="{FF2B5EF4-FFF2-40B4-BE49-F238E27FC236}">
              <a16:creationId xmlns:a16="http://schemas.microsoft.com/office/drawing/2014/main" id="{A6ADC20B-4F38-4CA0-B9E1-B38252094D6F}"/>
            </a:ext>
          </a:extLst>
        </xdr:cNvPr>
        <xdr:cNvCxnSpPr/>
      </xdr:nvCxnSpPr>
      <xdr:spPr>
        <a:xfrm flipH="1">
          <a:off x="3699698" y="3896262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29832</xdr:colOff>
      <xdr:row>229</xdr:row>
      <xdr:rowOff>37639</xdr:rowOff>
    </xdr:from>
    <xdr:ext cx="340094" cy="125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F2E5BE39-D753-4144-BCD0-912E659AF5C0}"/>
            </a:ext>
          </a:extLst>
        </xdr:cNvPr>
        <xdr:cNvSpPr txBox="1"/>
      </xdr:nvSpPr>
      <xdr:spPr>
        <a:xfrm>
          <a:off x="3725970" y="3905729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47</xdr:col>
      <xdr:colOff>2914</xdr:colOff>
      <xdr:row>228</xdr:row>
      <xdr:rowOff>122050</xdr:rowOff>
    </xdr:from>
    <xdr:to>
      <xdr:col>47</xdr:col>
      <xdr:colOff>2914</xdr:colOff>
      <xdr:row>229</xdr:row>
      <xdr:rowOff>154119</xdr:rowOff>
    </xdr:to>
    <xdr:cxnSp macro="">
      <xdr:nvCxnSpPr>
        <xdr:cNvPr id="560" name="직선 연결선 559">
          <a:extLst>
            <a:ext uri="{FF2B5EF4-FFF2-40B4-BE49-F238E27FC236}">
              <a16:creationId xmlns:a16="http://schemas.microsoft.com/office/drawing/2014/main" id="{82369366-125A-4C0E-9C06-C27ABC7052A2}"/>
            </a:ext>
          </a:extLst>
        </xdr:cNvPr>
        <xdr:cNvCxnSpPr/>
      </xdr:nvCxnSpPr>
      <xdr:spPr>
        <a:xfrm flipH="1">
          <a:off x="4651552" y="3895777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19137</xdr:colOff>
      <xdr:row>228</xdr:row>
      <xdr:rowOff>9173</xdr:rowOff>
    </xdr:from>
    <xdr:ext cx="285784" cy="125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453ABBE6-1612-4DB5-BB7D-4E290201833E}"/>
            </a:ext>
          </a:extLst>
        </xdr:cNvPr>
        <xdr:cNvSpPr txBox="1"/>
      </xdr:nvSpPr>
      <xdr:spPr>
        <a:xfrm>
          <a:off x="4032775" y="3884489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40</xdr:col>
      <xdr:colOff>62826</xdr:colOff>
      <xdr:row>229</xdr:row>
      <xdr:rowOff>8565</xdr:rowOff>
    </xdr:from>
    <xdr:to>
      <xdr:col>47</xdr:col>
      <xdr:colOff>14326</xdr:colOff>
      <xdr:row>229</xdr:row>
      <xdr:rowOff>8565</xdr:rowOff>
    </xdr:to>
    <xdr:cxnSp macro="">
      <xdr:nvCxnSpPr>
        <xdr:cNvPr id="566" name="직선 화살표 연결선 565">
          <a:extLst>
            <a:ext uri="{FF2B5EF4-FFF2-40B4-BE49-F238E27FC236}">
              <a16:creationId xmlns:a16="http://schemas.microsoft.com/office/drawing/2014/main" id="{B6AEB9B0-F8E0-410D-841B-16A52BD8108D}"/>
            </a:ext>
          </a:extLst>
        </xdr:cNvPr>
        <xdr:cNvCxnSpPr/>
      </xdr:nvCxnSpPr>
      <xdr:spPr>
        <a:xfrm>
          <a:off x="4266964" y="39028220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60496</xdr:colOff>
      <xdr:row>229</xdr:row>
      <xdr:rowOff>7805</xdr:rowOff>
    </xdr:from>
    <xdr:to>
      <xdr:col>41</xdr:col>
      <xdr:colOff>22496</xdr:colOff>
      <xdr:row>229</xdr:row>
      <xdr:rowOff>7805</xdr:rowOff>
    </xdr:to>
    <xdr:cxnSp macro="">
      <xdr:nvCxnSpPr>
        <xdr:cNvPr id="570" name="직선 화살표 연결선 569">
          <a:extLst>
            <a:ext uri="{FF2B5EF4-FFF2-40B4-BE49-F238E27FC236}">
              <a16:creationId xmlns:a16="http://schemas.microsoft.com/office/drawing/2014/main" id="{BABFF6EA-FE32-4FC8-A05C-E34652C9E849}"/>
            </a:ext>
          </a:extLst>
        </xdr:cNvPr>
        <xdr:cNvCxnSpPr/>
      </xdr:nvCxnSpPr>
      <xdr:spPr>
        <a:xfrm>
          <a:off x="4074134" y="39027460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2683</xdr:colOff>
      <xdr:row>228</xdr:row>
      <xdr:rowOff>123830</xdr:rowOff>
    </xdr:from>
    <xdr:to>
      <xdr:col>41</xdr:col>
      <xdr:colOff>2683</xdr:colOff>
      <xdr:row>229</xdr:row>
      <xdr:rowOff>155899</xdr:rowOff>
    </xdr:to>
    <xdr:cxnSp macro="">
      <xdr:nvCxnSpPr>
        <xdr:cNvPr id="572" name="직선 연결선 571">
          <a:extLst>
            <a:ext uri="{FF2B5EF4-FFF2-40B4-BE49-F238E27FC236}">
              <a16:creationId xmlns:a16="http://schemas.microsoft.com/office/drawing/2014/main" id="{5FA8DB43-4F55-4C75-A1EB-493EFF9139D9}"/>
            </a:ext>
          </a:extLst>
        </xdr:cNvPr>
        <xdr:cNvCxnSpPr/>
      </xdr:nvCxnSpPr>
      <xdr:spPr>
        <a:xfrm flipH="1">
          <a:off x="4270321" y="3895955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31145</xdr:colOff>
      <xdr:row>229</xdr:row>
      <xdr:rowOff>34573</xdr:rowOff>
    </xdr:from>
    <xdr:ext cx="340094" cy="125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716CD0E2-83F3-47B3-8A35-D52626859EFF}"/>
            </a:ext>
          </a:extLst>
        </xdr:cNvPr>
        <xdr:cNvSpPr txBox="1"/>
      </xdr:nvSpPr>
      <xdr:spPr>
        <a:xfrm>
          <a:off x="4298783" y="390542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38</xdr:col>
      <xdr:colOff>256</xdr:colOff>
      <xdr:row>245</xdr:row>
      <xdr:rowOff>89331</xdr:rowOff>
    </xdr:from>
    <xdr:to>
      <xdr:col>38</xdr:col>
      <xdr:colOff>256</xdr:colOff>
      <xdr:row>246</xdr:row>
      <xdr:rowOff>121400</xdr:rowOff>
    </xdr:to>
    <xdr:cxnSp macro="">
      <xdr:nvCxnSpPr>
        <xdr:cNvPr id="580" name="직선 연결선 579">
          <a:extLst>
            <a:ext uri="{FF2B5EF4-FFF2-40B4-BE49-F238E27FC236}">
              <a16:creationId xmlns:a16="http://schemas.microsoft.com/office/drawing/2014/main" id="{7EB15751-82C2-4CC6-88A6-94A11E6F1609}"/>
            </a:ext>
          </a:extLst>
        </xdr:cNvPr>
        <xdr:cNvCxnSpPr/>
      </xdr:nvCxnSpPr>
      <xdr:spPr>
        <a:xfrm flipH="1">
          <a:off x="4126405" y="4211822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</xdr:colOff>
      <xdr:row>245</xdr:row>
      <xdr:rowOff>91111</xdr:rowOff>
    </xdr:from>
    <xdr:to>
      <xdr:col>32</xdr:col>
      <xdr:colOff>25</xdr:colOff>
      <xdr:row>246</xdr:row>
      <xdr:rowOff>123180</xdr:rowOff>
    </xdr:to>
    <xdr:cxnSp macro="">
      <xdr:nvCxnSpPr>
        <xdr:cNvPr id="581" name="직선 연결선 580">
          <a:extLst>
            <a:ext uri="{FF2B5EF4-FFF2-40B4-BE49-F238E27FC236}">
              <a16:creationId xmlns:a16="http://schemas.microsoft.com/office/drawing/2014/main" id="{BE85901A-C590-43BC-A88E-021A343808AA}"/>
            </a:ext>
          </a:extLst>
        </xdr:cNvPr>
        <xdr:cNvCxnSpPr/>
      </xdr:nvCxnSpPr>
      <xdr:spPr>
        <a:xfrm flipH="1">
          <a:off x="3737068" y="4212000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52901</xdr:colOff>
      <xdr:row>245</xdr:row>
      <xdr:rowOff>166218</xdr:rowOff>
    </xdr:from>
    <xdr:to>
      <xdr:col>38</xdr:col>
      <xdr:colOff>3049</xdr:colOff>
      <xdr:row>245</xdr:row>
      <xdr:rowOff>166218</xdr:rowOff>
    </xdr:to>
    <xdr:cxnSp macro="">
      <xdr:nvCxnSpPr>
        <xdr:cNvPr id="582" name="직선 화살표 연결선 581">
          <a:extLst>
            <a:ext uri="{FF2B5EF4-FFF2-40B4-BE49-F238E27FC236}">
              <a16:creationId xmlns:a16="http://schemas.microsoft.com/office/drawing/2014/main" id="{312862F2-3271-44B9-A5CF-56B1A3E67B1E}"/>
            </a:ext>
          </a:extLst>
        </xdr:cNvPr>
        <xdr:cNvCxnSpPr/>
      </xdr:nvCxnSpPr>
      <xdr:spPr>
        <a:xfrm>
          <a:off x="3725092" y="42195112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50757</xdr:colOff>
      <xdr:row>245</xdr:row>
      <xdr:rowOff>164945</xdr:rowOff>
    </xdr:from>
    <xdr:to>
      <xdr:col>32</xdr:col>
      <xdr:colOff>12756</xdr:colOff>
      <xdr:row>245</xdr:row>
      <xdr:rowOff>164945</xdr:rowOff>
    </xdr:to>
    <xdr:cxnSp macro="">
      <xdr:nvCxnSpPr>
        <xdr:cNvPr id="583" name="직선 화살표 연결선 582">
          <a:extLst>
            <a:ext uri="{FF2B5EF4-FFF2-40B4-BE49-F238E27FC236}">
              <a16:creationId xmlns:a16="http://schemas.microsoft.com/office/drawing/2014/main" id="{BD8FD8B4-CEE3-4A5A-9D99-9ED08F1D46EA}"/>
            </a:ext>
          </a:extLst>
        </xdr:cNvPr>
        <xdr:cNvCxnSpPr/>
      </xdr:nvCxnSpPr>
      <xdr:spPr>
        <a:xfrm>
          <a:off x="3528395" y="42193839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23363</xdr:colOff>
      <xdr:row>246</xdr:row>
      <xdr:rowOff>2279</xdr:rowOff>
    </xdr:from>
    <xdr:ext cx="340094" cy="125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B941D122-DFAB-47A0-A646-BAD98B98D92A}"/>
            </a:ext>
          </a:extLst>
        </xdr:cNvPr>
        <xdr:cNvSpPr txBox="1"/>
      </xdr:nvSpPr>
      <xdr:spPr>
        <a:xfrm>
          <a:off x="3760406" y="4221491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28</xdr:col>
      <xdr:colOff>23232</xdr:colOff>
      <xdr:row>244</xdr:row>
      <xdr:rowOff>169375</xdr:rowOff>
    </xdr:from>
    <xdr:ext cx="285784" cy="125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9FB82B05-34C0-4DD2-A633-32AA909F1E74}"/>
            </a:ext>
          </a:extLst>
        </xdr:cNvPr>
        <xdr:cNvSpPr txBox="1"/>
      </xdr:nvSpPr>
      <xdr:spPr>
        <a:xfrm>
          <a:off x="3500870" y="420145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35</xdr:col>
      <xdr:colOff>993</xdr:colOff>
      <xdr:row>260</xdr:row>
      <xdr:rowOff>32422</xdr:rowOff>
    </xdr:from>
    <xdr:to>
      <xdr:col>35</xdr:col>
      <xdr:colOff>993</xdr:colOff>
      <xdr:row>261</xdr:row>
      <xdr:rowOff>100678</xdr:rowOff>
    </xdr:to>
    <xdr:cxnSp macro="">
      <xdr:nvCxnSpPr>
        <xdr:cNvPr id="638" name="직선 연결선 637">
          <a:extLst>
            <a:ext uri="{FF2B5EF4-FFF2-40B4-BE49-F238E27FC236}">
              <a16:creationId xmlns:a16="http://schemas.microsoft.com/office/drawing/2014/main" id="{020FBCFA-1637-4BD6-9ED8-2C687C8825D0}"/>
            </a:ext>
          </a:extLst>
        </xdr:cNvPr>
        <xdr:cNvCxnSpPr/>
      </xdr:nvCxnSpPr>
      <xdr:spPr>
        <a:xfrm flipH="1">
          <a:off x="3932589" y="44858018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</xdr:colOff>
      <xdr:row>260</xdr:row>
      <xdr:rowOff>29720</xdr:rowOff>
    </xdr:from>
    <xdr:to>
      <xdr:col>27</xdr:col>
      <xdr:colOff>1</xdr:colOff>
      <xdr:row>261</xdr:row>
      <xdr:rowOff>97976</xdr:rowOff>
    </xdr:to>
    <xdr:cxnSp macro="">
      <xdr:nvCxnSpPr>
        <xdr:cNvPr id="669" name="직선 연결선 668">
          <a:extLst>
            <a:ext uri="{FF2B5EF4-FFF2-40B4-BE49-F238E27FC236}">
              <a16:creationId xmlns:a16="http://schemas.microsoft.com/office/drawing/2014/main" id="{D21E29AA-7B0A-4610-AB03-22CFD0BC88BF}"/>
            </a:ext>
          </a:extLst>
        </xdr:cNvPr>
        <xdr:cNvCxnSpPr/>
      </xdr:nvCxnSpPr>
      <xdr:spPr>
        <a:xfrm flipH="1">
          <a:off x="3412788" y="4485531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1081</xdr:colOff>
      <xdr:row>260</xdr:row>
      <xdr:rowOff>33508</xdr:rowOff>
    </xdr:from>
    <xdr:to>
      <xdr:col>38</xdr:col>
      <xdr:colOff>1081</xdr:colOff>
      <xdr:row>261</xdr:row>
      <xdr:rowOff>101764</xdr:rowOff>
    </xdr:to>
    <xdr:cxnSp macro="">
      <xdr:nvCxnSpPr>
        <xdr:cNvPr id="670" name="직선 연결선 669">
          <a:extLst>
            <a:ext uri="{FF2B5EF4-FFF2-40B4-BE49-F238E27FC236}">
              <a16:creationId xmlns:a16="http://schemas.microsoft.com/office/drawing/2014/main" id="{B642483C-144C-41F3-B62D-089CBC15FFD5}"/>
            </a:ext>
          </a:extLst>
        </xdr:cNvPr>
        <xdr:cNvCxnSpPr/>
      </xdr:nvCxnSpPr>
      <xdr:spPr>
        <a:xfrm flipH="1">
          <a:off x="4127230" y="4485910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64311</xdr:colOff>
      <xdr:row>260</xdr:row>
      <xdr:rowOff>26483</xdr:rowOff>
    </xdr:from>
    <xdr:to>
      <xdr:col>45</xdr:col>
      <xdr:colOff>64311</xdr:colOff>
      <xdr:row>261</xdr:row>
      <xdr:rowOff>94739</xdr:rowOff>
    </xdr:to>
    <xdr:cxnSp macro="">
      <xdr:nvCxnSpPr>
        <xdr:cNvPr id="701" name="직선 연결선 700">
          <a:extLst>
            <a:ext uri="{FF2B5EF4-FFF2-40B4-BE49-F238E27FC236}">
              <a16:creationId xmlns:a16="http://schemas.microsoft.com/office/drawing/2014/main" id="{A52F22C6-93DB-4E57-80DD-550E37F8ECE2}"/>
            </a:ext>
          </a:extLst>
        </xdr:cNvPr>
        <xdr:cNvCxnSpPr/>
      </xdr:nvCxnSpPr>
      <xdr:spPr>
        <a:xfrm flipH="1">
          <a:off x="4644417" y="44852079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50226</xdr:colOff>
      <xdr:row>260</xdr:row>
      <xdr:rowOff>80346</xdr:rowOff>
    </xdr:from>
    <xdr:to>
      <xdr:col>27</xdr:col>
      <xdr:colOff>12227</xdr:colOff>
      <xdr:row>260</xdr:row>
      <xdr:rowOff>80346</xdr:rowOff>
    </xdr:to>
    <xdr:cxnSp macro="">
      <xdr:nvCxnSpPr>
        <xdr:cNvPr id="748" name="직선 화살표 연결선 747">
          <a:extLst>
            <a:ext uri="{FF2B5EF4-FFF2-40B4-BE49-F238E27FC236}">
              <a16:creationId xmlns:a16="http://schemas.microsoft.com/office/drawing/2014/main" id="{66A8DDC9-9F65-4B89-8F20-7E4FB4DA6250}"/>
            </a:ext>
          </a:extLst>
        </xdr:cNvPr>
        <xdr:cNvCxnSpPr/>
      </xdr:nvCxnSpPr>
      <xdr:spPr>
        <a:xfrm>
          <a:off x="3203609" y="4490594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63732</xdr:colOff>
      <xdr:row>260</xdr:row>
      <xdr:rowOff>79760</xdr:rowOff>
    </xdr:from>
    <xdr:to>
      <xdr:col>34</xdr:col>
      <xdr:colOff>58380</xdr:colOff>
      <xdr:row>260</xdr:row>
      <xdr:rowOff>79760</xdr:rowOff>
    </xdr:to>
    <xdr:cxnSp macro="">
      <xdr:nvCxnSpPr>
        <xdr:cNvPr id="758" name="직선 화살표 연결선 757">
          <a:extLst>
            <a:ext uri="{FF2B5EF4-FFF2-40B4-BE49-F238E27FC236}">
              <a16:creationId xmlns:a16="http://schemas.microsoft.com/office/drawing/2014/main" id="{F218A271-F430-4544-AB06-73B10D553AAC}"/>
            </a:ext>
          </a:extLst>
        </xdr:cNvPr>
        <xdr:cNvCxnSpPr/>
      </xdr:nvCxnSpPr>
      <xdr:spPr>
        <a:xfrm>
          <a:off x="3411668" y="44905356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22087</xdr:colOff>
      <xdr:row>260</xdr:row>
      <xdr:rowOff>84624</xdr:rowOff>
    </xdr:from>
    <xdr:ext cx="340094" cy="125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8BC695DA-C7C1-4D93-969C-A0FA75436573}"/>
            </a:ext>
          </a:extLst>
        </xdr:cNvPr>
        <xdr:cNvSpPr txBox="1"/>
      </xdr:nvSpPr>
      <xdr:spPr>
        <a:xfrm>
          <a:off x="4308337" y="4758460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34</xdr:col>
      <xdr:colOff>48605</xdr:colOff>
      <xdr:row>260</xdr:row>
      <xdr:rowOff>84129</xdr:rowOff>
    </xdr:from>
    <xdr:to>
      <xdr:col>38</xdr:col>
      <xdr:colOff>10606</xdr:colOff>
      <xdr:row>260</xdr:row>
      <xdr:rowOff>84129</xdr:rowOff>
    </xdr:to>
    <xdr:cxnSp macro="">
      <xdr:nvCxnSpPr>
        <xdr:cNvPr id="761" name="직선 화살표 연결선 760">
          <a:extLst>
            <a:ext uri="{FF2B5EF4-FFF2-40B4-BE49-F238E27FC236}">
              <a16:creationId xmlns:a16="http://schemas.microsoft.com/office/drawing/2014/main" id="{2961792A-F0EC-4E72-9796-6EC6FECA7685}"/>
            </a:ext>
          </a:extLst>
        </xdr:cNvPr>
        <xdr:cNvCxnSpPr/>
      </xdr:nvCxnSpPr>
      <xdr:spPr>
        <a:xfrm>
          <a:off x="3915350" y="44909725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64813</xdr:colOff>
      <xdr:row>260</xdr:row>
      <xdr:rowOff>83543</xdr:rowOff>
    </xdr:from>
    <xdr:to>
      <xdr:col>45</xdr:col>
      <xdr:colOff>59462</xdr:colOff>
      <xdr:row>260</xdr:row>
      <xdr:rowOff>83543</xdr:rowOff>
    </xdr:to>
    <xdr:cxnSp macro="">
      <xdr:nvCxnSpPr>
        <xdr:cNvPr id="779" name="직선 화살표 연결선 778">
          <a:extLst>
            <a:ext uri="{FF2B5EF4-FFF2-40B4-BE49-F238E27FC236}">
              <a16:creationId xmlns:a16="http://schemas.microsoft.com/office/drawing/2014/main" id="{A145FC80-7BFF-4E76-91D0-B3727DBF2B56}"/>
            </a:ext>
          </a:extLst>
        </xdr:cNvPr>
        <xdr:cNvCxnSpPr/>
      </xdr:nvCxnSpPr>
      <xdr:spPr>
        <a:xfrm>
          <a:off x="4126111" y="44909139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25997</xdr:colOff>
      <xdr:row>275</xdr:row>
      <xdr:rowOff>75662</xdr:rowOff>
    </xdr:from>
    <xdr:ext cx="340094" cy="125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7429CCC3-2D1B-4D25-84C8-F38B45C8102A}"/>
            </a:ext>
          </a:extLst>
        </xdr:cNvPr>
        <xdr:cNvSpPr txBox="1"/>
      </xdr:nvSpPr>
      <xdr:spPr>
        <a:xfrm>
          <a:off x="2790274" y="4770606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28</xdr:col>
      <xdr:colOff>28475</xdr:colOff>
      <xdr:row>275</xdr:row>
      <xdr:rowOff>79445</xdr:rowOff>
    </xdr:from>
    <xdr:ext cx="340094" cy="125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C0EBB48-E4E6-441A-B4A4-C050F5C08CD7}"/>
            </a:ext>
          </a:extLst>
        </xdr:cNvPr>
        <xdr:cNvSpPr txBox="1"/>
      </xdr:nvSpPr>
      <xdr:spPr>
        <a:xfrm>
          <a:off x="3506113" y="4770984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24</xdr:col>
      <xdr:colOff>494</xdr:colOff>
      <xdr:row>275</xdr:row>
      <xdr:rowOff>20671</xdr:rowOff>
    </xdr:from>
    <xdr:to>
      <xdr:col>24</xdr:col>
      <xdr:colOff>494</xdr:colOff>
      <xdr:row>276</xdr:row>
      <xdr:rowOff>88926</xdr:rowOff>
    </xdr:to>
    <xdr:cxnSp macro="">
      <xdr:nvCxnSpPr>
        <xdr:cNvPr id="799" name="직선 연결선 798">
          <a:extLst>
            <a:ext uri="{FF2B5EF4-FFF2-40B4-BE49-F238E27FC236}">
              <a16:creationId xmlns:a16="http://schemas.microsoft.com/office/drawing/2014/main" id="{F4545932-6ABC-4C94-8C46-83989A8A8949}"/>
            </a:ext>
          </a:extLst>
        </xdr:cNvPr>
        <xdr:cNvCxnSpPr/>
      </xdr:nvCxnSpPr>
      <xdr:spPr>
        <a:xfrm flipH="1">
          <a:off x="3218728" y="47651075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49811</xdr:colOff>
      <xdr:row>275</xdr:row>
      <xdr:rowOff>74696</xdr:rowOff>
    </xdr:from>
    <xdr:to>
      <xdr:col>16</xdr:col>
      <xdr:colOff>11811</xdr:colOff>
      <xdr:row>275</xdr:row>
      <xdr:rowOff>74696</xdr:rowOff>
    </xdr:to>
    <xdr:cxnSp macro="">
      <xdr:nvCxnSpPr>
        <xdr:cNvPr id="800" name="직선 화살표 연결선 799">
          <a:extLst>
            <a:ext uri="{FF2B5EF4-FFF2-40B4-BE49-F238E27FC236}">
              <a16:creationId xmlns:a16="http://schemas.microsoft.com/office/drawing/2014/main" id="{265235EA-E2A9-4CD5-BDAC-AB1865A5250B}"/>
            </a:ext>
          </a:extLst>
        </xdr:cNvPr>
        <xdr:cNvCxnSpPr/>
      </xdr:nvCxnSpPr>
      <xdr:spPr>
        <a:xfrm>
          <a:off x="2489832" y="4770510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1167</xdr:colOff>
      <xdr:row>275</xdr:row>
      <xdr:rowOff>74110</xdr:rowOff>
    </xdr:from>
    <xdr:to>
      <xdr:col>23</xdr:col>
      <xdr:colOff>60667</xdr:colOff>
      <xdr:row>275</xdr:row>
      <xdr:rowOff>74110</xdr:rowOff>
    </xdr:to>
    <xdr:cxnSp macro="">
      <xdr:nvCxnSpPr>
        <xdr:cNvPr id="801" name="직선 화살표 연결선 800">
          <a:extLst>
            <a:ext uri="{FF2B5EF4-FFF2-40B4-BE49-F238E27FC236}">
              <a16:creationId xmlns:a16="http://schemas.microsoft.com/office/drawing/2014/main" id="{9DD9F141-0DBF-4E70-879D-6421EF10F640}"/>
            </a:ext>
          </a:extLst>
        </xdr:cNvPr>
        <xdr:cNvCxnSpPr/>
      </xdr:nvCxnSpPr>
      <xdr:spPr>
        <a:xfrm>
          <a:off x="2700593" y="4770451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275</xdr:row>
      <xdr:rowOff>27167</xdr:rowOff>
    </xdr:from>
    <xdr:to>
      <xdr:col>15</xdr:col>
      <xdr:colOff>61651</xdr:colOff>
      <xdr:row>276</xdr:row>
      <xdr:rowOff>95722</xdr:rowOff>
    </xdr:to>
    <xdr:cxnSp macro="">
      <xdr:nvCxnSpPr>
        <xdr:cNvPr id="803" name="직선 연결선 802">
          <a:extLst>
            <a:ext uri="{FF2B5EF4-FFF2-40B4-BE49-F238E27FC236}">
              <a16:creationId xmlns:a16="http://schemas.microsoft.com/office/drawing/2014/main" id="{1CC2EB96-DE08-4B22-875C-329B3079AD32}"/>
            </a:ext>
          </a:extLst>
        </xdr:cNvPr>
        <xdr:cNvCxnSpPr/>
      </xdr:nvCxnSpPr>
      <xdr:spPr>
        <a:xfrm flipH="1">
          <a:off x="2696224" y="47657571"/>
          <a:ext cx="1" cy="2523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353</xdr:colOff>
      <xdr:row>275</xdr:row>
      <xdr:rowOff>27852</xdr:rowOff>
    </xdr:from>
    <xdr:to>
      <xdr:col>35</xdr:col>
      <xdr:colOff>353</xdr:colOff>
      <xdr:row>276</xdr:row>
      <xdr:rowOff>96107</xdr:rowOff>
    </xdr:to>
    <xdr:cxnSp macro="">
      <xdr:nvCxnSpPr>
        <xdr:cNvPr id="804" name="직선 연결선 803">
          <a:extLst>
            <a:ext uri="{FF2B5EF4-FFF2-40B4-BE49-F238E27FC236}">
              <a16:creationId xmlns:a16="http://schemas.microsoft.com/office/drawing/2014/main" id="{3804C49F-7704-4766-A81E-3EBA693E58B9}"/>
            </a:ext>
          </a:extLst>
        </xdr:cNvPr>
        <xdr:cNvCxnSpPr/>
      </xdr:nvCxnSpPr>
      <xdr:spPr>
        <a:xfrm flipH="1">
          <a:off x="3931949" y="4765825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64212</xdr:colOff>
      <xdr:row>275</xdr:row>
      <xdr:rowOff>25150</xdr:rowOff>
    </xdr:from>
    <xdr:to>
      <xdr:col>26</xdr:col>
      <xdr:colOff>64212</xdr:colOff>
      <xdr:row>276</xdr:row>
      <xdr:rowOff>93405</xdr:rowOff>
    </xdr:to>
    <xdr:cxnSp macro="">
      <xdr:nvCxnSpPr>
        <xdr:cNvPr id="805" name="직선 연결선 804">
          <a:extLst>
            <a:ext uri="{FF2B5EF4-FFF2-40B4-BE49-F238E27FC236}">
              <a16:creationId xmlns:a16="http://schemas.microsoft.com/office/drawing/2014/main" id="{92BAF4EC-1B1D-4819-BAB8-A87F91DAA597}"/>
            </a:ext>
          </a:extLst>
        </xdr:cNvPr>
        <xdr:cNvCxnSpPr/>
      </xdr:nvCxnSpPr>
      <xdr:spPr>
        <a:xfrm flipH="1">
          <a:off x="3412148" y="4765555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49586</xdr:colOff>
      <xdr:row>275</xdr:row>
      <xdr:rowOff>75776</xdr:rowOff>
    </xdr:from>
    <xdr:to>
      <xdr:col>27</xdr:col>
      <xdr:colOff>11587</xdr:colOff>
      <xdr:row>275</xdr:row>
      <xdr:rowOff>75776</xdr:rowOff>
    </xdr:to>
    <xdr:cxnSp macro="">
      <xdr:nvCxnSpPr>
        <xdr:cNvPr id="806" name="직선 화살표 연결선 805">
          <a:extLst>
            <a:ext uri="{FF2B5EF4-FFF2-40B4-BE49-F238E27FC236}">
              <a16:creationId xmlns:a16="http://schemas.microsoft.com/office/drawing/2014/main" id="{B2B86A05-0CBE-4415-BC4C-C8E07599111E}"/>
            </a:ext>
          </a:extLst>
        </xdr:cNvPr>
        <xdr:cNvCxnSpPr/>
      </xdr:nvCxnSpPr>
      <xdr:spPr>
        <a:xfrm>
          <a:off x="3202969" y="4770618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63092</xdr:colOff>
      <xdr:row>275</xdr:row>
      <xdr:rowOff>75190</xdr:rowOff>
    </xdr:from>
    <xdr:to>
      <xdr:col>34</xdr:col>
      <xdr:colOff>57740</xdr:colOff>
      <xdr:row>275</xdr:row>
      <xdr:rowOff>75190</xdr:rowOff>
    </xdr:to>
    <xdr:cxnSp macro="">
      <xdr:nvCxnSpPr>
        <xdr:cNvPr id="807" name="직선 화살표 연결선 806">
          <a:extLst>
            <a:ext uri="{FF2B5EF4-FFF2-40B4-BE49-F238E27FC236}">
              <a16:creationId xmlns:a16="http://schemas.microsoft.com/office/drawing/2014/main" id="{7EB4B7DF-7C3C-42E1-B830-011AEC5DA74A}"/>
            </a:ext>
          </a:extLst>
        </xdr:cNvPr>
        <xdr:cNvCxnSpPr/>
      </xdr:nvCxnSpPr>
      <xdr:spPr>
        <a:xfrm>
          <a:off x="3411028" y="4770559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582</xdr:colOff>
      <xdr:row>275</xdr:row>
      <xdr:rowOff>6629</xdr:rowOff>
    </xdr:from>
    <xdr:to>
      <xdr:col>13</xdr:col>
      <xdr:colOff>583</xdr:colOff>
      <xdr:row>276</xdr:row>
      <xdr:rowOff>146177</xdr:rowOff>
    </xdr:to>
    <xdr:cxnSp macro="">
      <xdr:nvCxnSpPr>
        <xdr:cNvPr id="879" name="직선 연결선 878">
          <a:extLst>
            <a:ext uri="{FF2B5EF4-FFF2-40B4-BE49-F238E27FC236}">
              <a16:creationId xmlns:a16="http://schemas.microsoft.com/office/drawing/2014/main" id="{5C467D04-A3CC-4DDD-A1A1-3CF91767E15B}"/>
            </a:ext>
          </a:extLst>
        </xdr:cNvPr>
        <xdr:cNvCxnSpPr/>
      </xdr:nvCxnSpPr>
      <xdr:spPr>
        <a:xfrm flipH="1">
          <a:off x="2564772" y="51366034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3282</xdr:colOff>
      <xdr:row>220</xdr:row>
      <xdr:rowOff>111390</xdr:rowOff>
    </xdr:from>
    <xdr:ext cx="1741439" cy="274306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819F2F58-C73D-4B78-B87F-2E8D8839FFC3}"/>
            </a:ext>
          </a:extLst>
        </xdr:cNvPr>
        <xdr:cNvSpPr txBox="1"/>
      </xdr:nvSpPr>
      <xdr:spPr>
        <a:xfrm>
          <a:off x="4408972" y="41223104"/>
          <a:ext cx="1741439" cy="27430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xc : svo1/2/3_off updated at a vsync</a:t>
          </a:r>
          <a:endParaRPr lang="en-US" altLang="ko-KR" sz="9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xc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1100</xdr:colOff>
      <xdr:row>131</xdr:row>
      <xdr:rowOff>17113</xdr:rowOff>
    </xdr:from>
    <xdr:to>
      <xdr:col>14</xdr:col>
      <xdr:colOff>1100</xdr:colOff>
      <xdr:row>145</xdr:row>
      <xdr:rowOff>140156</xdr:rowOff>
    </xdr:to>
    <xdr:cxnSp macro="">
      <xdr:nvCxnSpPr>
        <xdr:cNvPr id="890" name="직선 연결선 889">
          <a:extLst>
            <a:ext uri="{FF2B5EF4-FFF2-40B4-BE49-F238E27FC236}">
              <a16:creationId xmlns:a16="http://schemas.microsoft.com/office/drawing/2014/main" id="{150B542F-8060-47AC-A190-85D1E217C8B1}"/>
            </a:ext>
          </a:extLst>
        </xdr:cNvPr>
        <xdr:cNvCxnSpPr/>
      </xdr:nvCxnSpPr>
      <xdr:spPr>
        <a:xfrm flipH="1">
          <a:off x="2570823" y="24547028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64330</xdr:colOff>
      <xdr:row>131</xdr:row>
      <xdr:rowOff>20897</xdr:rowOff>
    </xdr:from>
    <xdr:to>
      <xdr:col>31</xdr:col>
      <xdr:colOff>64330</xdr:colOff>
      <xdr:row>145</xdr:row>
      <xdr:rowOff>143940</xdr:rowOff>
    </xdr:to>
    <xdr:cxnSp macro="">
      <xdr:nvCxnSpPr>
        <xdr:cNvPr id="926" name="직선 연결선 925">
          <a:extLst>
            <a:ext uri="{FF2B5EF4-FFF2-40B4-BE49-F238E27FC236}">
              <a16:creationId xmlns:a16="http://schemas.microsoft.com/office/drawing/2014/main" id="{AC569597-2546-462F-A3D4-940D28094B45}"/>
            </a:ext>
          </a:extLst>
        </xdr:cNvPr>
        <xdr:cNvCxnSpPr/>
      </xdr:nvCxnSpPr>
      <xdr:spPr>
        <a:xfrm flipH="1">
          <a:off x="3736521" y="24550812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</xdr:colOff>
      <xdr:row>131</xdr:row>
      <xdr:rowOff>13874</xdr:rowOff>
    </xdr:from>
    <xdr:to>
      <xdr:col>46</xdr:col>
      <xdr:colOff>560</xdr:colOff>
      <xdr:row>145</xdr:row>
      <xdr:rowOff>136917</xdr:rowOff>
    </xdr:to>
    <xdr:cxnSp macro="">
      <xdr:nvCxnSpPr>
        <xdr:cNvPr id="929" name="직선 연결선 928">
          <a:extLst>
            <a:ext uri="{FF2B5EF4-FFF2-40B4-BE49-F238E27FC236}">
              <a16:creationId xmlns:a16="http://schemas.microsoft.com/office/drawing/2014/main" id="{56A72C55-243D-41DE-AC58-EF45F2E80012}"/>
            </a:ext>
          </a:extLst>
        </xdr:cNvPr>
        <xdr:cNvCxnSpPr/>
      </xdr:nvCxnSpPr>
      <xdr:spPr>
        <a:xfrm flipH="1">
          <a:off x="4645517" y="24543789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63789</xdr:colOff>
      <xdr:row>131</xdr:row>
      <xdr:rowOff>17658</xdr:rowOff>
    </xdr:from>
    <xdr:to>
      <xdr:col>35</xdr:col>
      <xdr:colOff>63789</xdr:colOff>
      <xdr:row>145</xdr:row>
      <xdr:rowOff>140701</xdr:rowOff>
    </xdr:to>
    <xdr:cxnSp macro="">
      <xdr:nvCxnSpPr>
        <xdr:cNvPr id="975" name="직선 연결선 974">
          <a:extLst>
            <a:ext uri="{FF2B5EF4-FFF2-40B4-BE49-F238E27FC236}">
              <a16:creationId xmlns:a16="http://schemas.microsoft.com/office/drawing/2014/main" id="{9FAFE527-9B03-4936-A357-07259CF387DA}"/>
            </a:ext>
          </a:extLst>
        </xdr:cNvPr>
        <xdr:cNvCxnSpPr/>
      </xdr:nvCxnSpPr>
      <xdr:spPr>
        <a:xfrm flipH="1">
          <a:off x="3995385" y="24547573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62632</xdr:colOff>
      <xdr:row>131</xdr:row>
      <xdr:rowOff>70536</xdr:rowOff>
    </xdr:from>
    <xdr:to>
      <xdr:col>45</xdr:col>
      <xdr:colOff>62122</xdr:colOff>
      <xdr:row>131</xdr:row>
      <xdr:rowOff>70536</xdr:rowOff>
    </xdr:to>
    <xdr:cxnSp macro="">
      <xdr:nvCxnSpPr>
        <xdr:cNvPr id="978" name="직선 화살표 연결선 977">
          <a:extLst>
            <a:ext uri="{FF2B5EF4-FFF2-40B4-BE49-F238E27FC236}">
              <a16:creationId xmlns:a16="http://schemas.microsoft.com/office/drawing/2014/main" id="{42ACDF0C-4F02-468B-85FB-07D2A4C9FBC1}"/>
            </a:ext>
          </a:extLst>
        </xdr:cNvPr>
        <xdr:cNvCxnSpPr/>
      </xdr:nvCxnSpPr>
      <xdr:spPr>
        <a:xfrm>
          <a:off x="3994228" y="24600451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2307</xdr:colOff>
      <xdr:row>131</xdr:row>
      <xdr:rowOff>69461</xdr:rowOff>
    </xdr:from>
    <xdr:to>
      <xdr:col>14</xdr:col>
      <xdr:colOff>307</xdr:colOff>
      <xdr:row>131</xdr:row>
      <xdr:rowOff>69461</xdr:rowOff>
    </xdr:to>
    <xdr:cxnSp macro="">
      <xdr:nvCxnSpPr>
        <xdr:cNvPr id="911" name="직선 화살표 연결선 910">
          <a:extLst>
            <a:ext uri="{FF2B5EF4-FFF2-40B4-BE49-F238E27FC236}">
              <a16:creationId xmlns:a16="http://schemas.microsoft.com/office/drawing/2014/main" id="{8F5A1EAA-392D-4017-87C2-B383CE6D3BAC}"/>
            </a:ext>
          </a:extLst>
        </xdr:cNvPr>
        <xdr:cNvCxnSpPr/>
      </xdr:nvCxnSpPr>
      <xdr:spPr>
        <a:xfrm>
          <a:off x="2312626" y="24599376"/>
          <a:ext cx="257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24321</xdr:colOff>
      <xdr:row>162</xdr:row>
      <xdr:rowOff>110200</xdr:rowOff>
    </xdr:from>
    <xdr:ext cx="285784" cy="125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1184F621-0EC2-43FF-A0B3-507A30A0F88C}"/>
            </a:ext>
          </a:extLst>
        </xdr:cNvPr>
        <xdr:cNvSpPr txBox="1"/>
      </xdr:nvSpPr>
      <xdr:spPr>
        <a:xfrm>
          <a:off x="2269789" y="3063073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21694</xdr:colOff>
      <xdr:row>162</xdr:row>
      <xdr:rowOff>102681</xdr:rowOff>
    </xdr:from>
    <xdr:ext cx="285784" cy="125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11189B47-700F-4D8B-AB6A-F278EF8D2CD7}"/>
            </a:ext>
          </a:extLst>
        </xdr:cNvPr>
        <xdr:cNvSpPr txBox="1"/>
      </xdr:nvSpPr>
      <xdr:spPr>
        <a:xfrm>
          <a:off x="3693885" y="3062321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37</xdr:col>
      <xdr:colOff>51345</xdr:colOff>
      <xdr:row>163</xdr:row>
      <xdr:rowOff>68968</xdr:rowOff>
    </xdr:from>
    <xdr:ext cx="340093" cy="125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D6A96839-32F7-49B1-ACB3-70AD9F76A788}"/>
            </a:ext>
          </a:extLst>
        </xdr:cNvPr>
        <xdr:cNvSpPr txBox="1"/>
      </xdr:nvSpPr>
      <xdr:spPr>
        <a:xfrm>
          <a:off x="4112643" y="3077324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18</xdr:col>
      <xdr:colOff>47927</xdr:colOff>
      <xdr:row>163</xdr:row>
      <xdr:rowOff>70358</xdr:rowOff>
    </xdr:from>
    <xdr:ext cx="340093" cy="125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9F6A0719-165D-4B1D-A172-FB1C7A5133AA}"/>
            </a:ext>
          </a:extLst>
        </xdr:cNvPr>
        <xdr:cNvSpPr txBox="1"/>
      </xdr:nvSpPr>
      <xdr:spPr>
        <a:xfrm>
          <a:off x="2877055" y="307746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61242</xdr:colOff>
      <xdr:row>163</xdr:row>
      <xdr:rowOff>67500</xdr:rowOff>
    </xdr:from>
    <xdr:to>
      <xdr:col>32</xdr:col>
      <xdr:colOff>18830</xdr:colOff>
      <xdr:row>163</xdr:row>
      <xdr:rowOff>67500</xdr:rowOff>
    </xdr:to>
    <xdr:cxnSp macro="">
      <xdr:nvCxnSpPr>
        <xdr:cNvPr id="985" name="직선 화살표 연결선 984">
          <a:extLst>
            <a:ext uri="{FF2B5EF4-FFF2-40B4-BE49-F238E27FC236}">
              <a16:creationId xmlns:a16="http://schemas.microsoft.com/office/drawing/2014/main" id="{6386436D-C5E4-49D4-9C2B-41DB76A0A34A}"/>
            </a:ext>
          </a:extLst>
        </xdr:cNvPr>
        <xdr:cNvCxnSpPr/>
      </xdr:nvCxnSpPr>
      <xdr:spPr>
        <a:xfrm>
          <a:off x="2544255" y="30694038"/>
          <a:ext cx="115635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62609</xdr:colOff>
      <xdr:row>163</xdr:row>
      <xdr:rowOff>66752</xdr:rowOff>
    </xdr:from>
    <xdr:to>
      <xdr:col>36</xdr:col>
      <xdr:colOff>10111</xdr:colOff>
      <xdr:row>163</xdr:row>
      <xdr:rowOff>66752</xdr:rowOff>
    </xdr:to>
    <xdr:cxnSp macro="">
      <xdr:nvCxnSpPr>
        <xdr:cNvPr id="986" name="직선 화살표 연결선 985">
          <a:extLst>
            <a:ext uri="{FF2B5EF4-FFF2-40B4-BE49-F238E27FC236}">
              <a16:creationId xmlns:a16="http://schemas.microsoft.com/office/drawing/2014/main" id="{D5BD413F-FB48-4A5B-BA6F-864D68B92A90}"/>
            </a:ext>
          </a:extLst>
        </xdr:cNvPr>
        <xdr:cNvCxnSpPr/>
      </xdr:nvCxnSpPr>
      <xdr:spPr>
        <a:xfrm>
          <a:off x="3681295" y="30693290"/>
          <a:ext cx="2629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1932</xdr:colOff>
      <xdr:row>163</xdr:row>
      <xdr:rowOff>67834</xdr:rowOff>
    </xdr:from>
    <xdr:to>
      <xdr:col>46</xdr:col>
      <xdr:colOff>1422</xdr:colOff>
      <xdr:row>163</xdr:row>
      <xdr:rowOff>67834</xdr:rowOff>
    </xdr:to>
    <xdr:cxnSp macro="">
      <xdr:nvCxnSpPr>
        <xdr:cNvPr id="988" name="직선 화살표 연결선 987">
          <a:extLst>
            <a:ext uri="{FF2B5EF4-FFF2-40B4-BE49-F238E27FC236}">
              <a16:creationId xmlns:a16="http://schemas.microsoft.com/office/drawing/2014/main" id="{FD1341C3-EA6E-40B8-B5F2-E6CA805AFD3F}"/>
            </a:ext>
          </a:extLst>
        </xdr:cNvPr>
        <xdr:cNvCxnSpPr/>
      </xdr:nvCxnSpPr>
      <xdr:spPr>
        <a:xfrm>
          <a:off x="3936083" y="30694372"/>
          <a:ext cx="63041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49830</xdr:colOff>
      <xdr:row>163</xdr:row>
      <xdr:rowOff>66759</xdr:rowOff>
    </xdr:from>
    <xdr:to>
      <xdr:col>14</xdr:col>
      <xdr:colOff>13575</xdr:colOff>
      <xdr:row>163</xdr:row>
      <xdr:rowOff>66759</xdr:rowOff>
    </xdr:to>
    <xdr:cxnSp macro="">
      <xdr:nvCxnSpPr>
        <xdr:cNvPr id="989" name="직선 화살표 연결선 988">
          <a:extLst>
            <a:ext uri="{FF2B5EF4-FFF2-40B4-BE49-F238E27FC236}">
              <a16:creationId xmlns:a16="http://schemas.microsoft.com/office/drawing/2014/main" id="{4D112196-81FF-4228-B984-ED0A9EFCF422}"/>
            </a:ext>
          </a:extLst>
        </xdr:cNvPr>
        <xdr:cNvCxnSpPr/>
      </xdr:nvCxnSpPr>
      <xdr:spPr>
        <a:xfrm>
          <a:off x="2295298" y="30771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2036</xdr:colOff>
      <xdr:row>163</xdr:row>
      <xdr:rowOff>665</xdr:rowOff>
    </xdr:from>
    <xdr:to>
      <xdr:col>14</xdr:col>
      <xdr:colOff>2036</xdr:colOff>
      <xdr:row>174</xdr:row>
      <xdr:rowOff>143048</xdr:rowOff>
    </xdr:to>
    <xdr:cxnSp macro="">
      <xdr:nvCxnSpPr>
        <xdr:cNvPr id="992" name="직선 연결선 991">
          <a:extLst>
            <a:ext uri="{FF2B5EF4-FFF2-40B4-BE49-F238E27FC236}">
              <a16:creationId xmlns:a16="http://schemas.microsoft.com/office/drawing/2014/main" id="{0BF7BAA2-5FCE-463B-81F4-80459225778F}"/>
            </a:ext>
          </a:extLst>
        </xdr:cNvPr>
        <xdr:cNvCxnSpPr/>
      </xdr:nvCxnSpPr>
      <xdr:spPr>
        <a:xfrm flipH="1">
          <a:off x="2548142" y="3062720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1792</xdr:colOff>
      <xdr:row>163</xdr:row>
      <xdr:rowOff>2457</xdr:rowOff>
    </xdr:from>
    <xdr:to>
      <xdr:col>32</xdr:col>
      <xdr:colOff>1792</xdr:colOff>
      <xdr:row>174</xdr:row>
      <xdr:rowOff>144840</xdr:rowOff>
    </xdr:to>
    <xdr:cxnSp macro="">
      <xdr:nvCxnSpPr>
        <xdr:cNvPr id="993" name="직선 연결선 992">
          <a:extLst>
            <a:ext uri="{FF2B5EF4-FFF2-40B4-BE49-F238E27FC236}">
              <a16:creationId xmlns:a16="http://schemas.microsoft.com/office/drawing/2014/main" id="{4BD639E2-5C38-489D-832F-0ACA711F532E}"/>
            </a:ext>
          </a:extLst>
        </xdr:cNvPr>
        <xdr:cNvCxnSpPr/>
      </xdr:nvCxnSpPr>
      <xdr:spPr>
        <a:xfrm flipH="1">
          <a:off x="3683571" y="30628995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1548</xdr:colOff>
      <xdr:row>162</xdr:row>
      <xdr:rowOff>179278</xdr:rowOff>
    </xdr:from>
    <xdr:to>
      <xdr:col>36</xdr:col>
      <xdr:colOff>1548</xdr:colOff>
      <xdr:row>174</xdr:row>
      <xdr:rowOff>138488</xdr:rowOff>
    </xdr:to>
    <xdr:cxnSp macro="">
      <xdr:nvCxnSpPr>
        <xdr:cNvPr id="996" name="직선 연결선 995">
          <a:extLst>
            <a:ext uri="{FF2B5EF4-FFF2-40B4-BE49-F238E27FC236}">
              <a16:creationId xmlns:a16="http://schemas.microsoft.com/office/drawing/2014/main" id="{42E90515-1AB9-4007-A09D-F148D4C7091D}"/>
            </a:ext>
          </a:extLst>
        </xdr:cNvPr>
        <xdr:cNvCxnSpPr/>
      </xdr:nvCxnSpPr>
      <xdr:spPr>
        <a:xfrm flipH="1">
          <a:off x="3935699" y="3062264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62362</xdr:colOff>
      <xdr:row>162</xdr:row>
      <xdr:rowOff>181073</xdr:rowOff>
    </xdr:from>
    <xdr:to>
      <xdr:col>45</xdr:col>
      <xdr:colOff>62362</xdr:colOff>
      <xdr:row>174</xdr:row>
      <xdr:rowOff>140283</xdr:rowOff>
    </xdr:to>
    <xdr:cxnSp macro="">
      <xdr:nvCxnSpPr>
        <xdr:cNvPr id="997" name="직선 연결선 996">
          <a:extLst>
            <a:ext uri="{FF2B5EF4-FFF2-40B4-BE49-F238E27FC236}">
              <a16:creationId xmlns:a16="http://schemas.microsoft.com/office/drawing/2014/main" id="{397FE83B-6D71-41C2-B3E6-A8545398AAA5}"/>
            </a:ext>
          </a:extLst>
        </xdr:cNvPr>
        <xdr:cNvCxnSpPr/>
      </xdr:nvCxnSpPr>
      <xdr:spPr>
        <a:xfrm flipH="1">
          <a:off x="4564349" y="30624438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53710</xdr:colOff>
      <xdr:row>5</xdr:row>
      <xdr:rowOff>54382</xdr:rowOff>
    </xdr:from>
    <xdr:ext cx="77970" cy="93936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0A3F7C93-3964-478D-B972-F3B03055EE8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32</xdr:col>
      <xdr:colOff>53710</xdr:colOff>
      <xdr:row>5</xdr:row>
      <xdr:rowOff>54382</xdr:rowOff>
    </xdr:from>
    <xdr:ext cx="77970" cy="93936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AD3FB6EE-4616-4268-B479-A1A5736DA21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5</xdr:row>
      <xdr:rowOff>54382</xdr:rowOff>
    </xdr:from>
    <xdr:ext cx="77970" cy="93936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46C301B4-B822-44EA-819F-FC64B2703237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5</xdr:row>
      <xdr:rowOff>54382</xdr:rowOff>
    </xdr:from>
    <xdr:ext cx="77970" cy="93936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C6A043A1-056E-4155-98E9-5DA9FD365F24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5</xdr:row>
      <xdr:rowOff>54382</xdr:rowOff>
    </xdr:from>
    <xdr:ext cx="77970" cy="93936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0D6EB29-3B58-4D98-989A-425A6EF8B2E9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5</xdr:row>
      <xdr:rowOff>54382</xdr:rowOff>
    </xdr:from>
    <xdr:ext cx="77970" cy="93936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5A71D7A5-E24D-40BB-B2B0-585714438486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5</xdr:row>
      <xdr:rowOff>54382</xdr:rowOff>
    </xdr:from>
    <xdr:ext cx="77970" cy="93936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0924C7E4-42FE-4F57-A8A0-93CE56647DE9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5</xdr:row>
      <xdr:rowOff>54382</xdr:rowOff>
    </xdr:from>
    <xdr:ext cx="77970" cy="93936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8DF6D1AC-A7E4-4FFB-A96C-1FFA8FDED93E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5</xdr:row>
      <xdr:rowOff>54382</xdr:rowOff>
    </xdr:from>
    <xdr:ext cx="77970" cy="93936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B77F3A2-F50D-4096-856C-6ED42429FF31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5</xdr:row>
      <xdr:rowOff>54382</xdr:rowOff>
    </xdr:from>
    <xdr:ext cx="77970" cy="93936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0442E0B7-C885-4817-94F4-F1480F7AC623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5</xdr:row>
      <xdr:rowOff>54382</xdr:rowOff>
    </xdr:from>
    <xdr:ext cx="77970" cy="93936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A1CD9510-5780-4722-9BDA-E0F49DD0C575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5</xdr:row>
      <xdr:rowOff>54382</xdr:rowOff>
    </xdr:from>
    <xdr:ext cx="77970" cy="93936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107F18A3-2CF9-4820-A0CC-40ACE5EDA392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53710</xdr:colOff>
      <xdr:row>5</xdr:row>
      <xdr:rowOff>54382</xdr:rowOff>
    </xdr:from>
    <xdr:ext cx="77970" cy="93936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2043784F-0E22-4333-80B8-92FDC50E847D}"/>
            </a:ext>
          </a:extLst>
        </xdr:cNvPr>
        <xdr:cNvSpPr txBox="1"/>
      </xdr:nvSpPr>
      <xdr:spPr>
        <a:xfrm>
          <a:off x="298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22</xdr:col>
      <xdr:colOff>53710</xdr:colOff>
      <xdr:row>5</xdr:row>
      <xdr:rowOff>54382</xdr:rowOff>
    </xdr:from>
    <xdr:ext cx="77970" cy="93936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C1793EF0-0BF6-488A-8FFE-254CB17ADA98}"/>
            </a:ext>
          </a:extLst>
        </xdr:cNvPr>
        <xdr:cNvSpPr txBox="1"/>
      </xdr:nvSpPr>
      <xdr:spPr>
        <a:xfrm>
          <a:off x="311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17</xdr:row>
      <xdr:rowOff>54382</xdr:rowOff>
    </xdr:from>
    <xdr:ext cx="77970" cy="93936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B4219467-AD40-4B08-A85B-0957C86CAC6A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17</xdr:row>
      <xdr:rowOff>54382</xdr:rowOff>
    </xdr:from>
    <xdr:ext cx="77970" cy="93936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E4486BC6-F77C-4D27-AA69-FFA7063DCAE6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17</xdr:row>
      <xdr:rowOff>54382</xdr:rowOff>
    </xdr:from>
    <xdr:ext cx="77970" cy="93936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062FCE9-E155-4DFC-84E8-DFE13587B8CA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17</xdr:row>
      <xdr:rowOff>54382</xdr:rowOff>
    </xdr:from>
    <xdr:ext cx="77970" cy="93936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43A6C44C-CE8C-45BA-8FBB-07E81C5580E3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17</xdr:row>
      <xdr:rowOff>54382</xdr:rowOff>
    </xdr:from>
    <xdr:ext cx="77970" cy="93936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44970C5C-FBC1-4991-83A6-ECEB50144C23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17</xdr:row>
      <xdr:rowOff>54382</xdr:rowOff>
    </xdr:from>
    <xdr:ext cx="77970" cy="93936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2CAF5718-8521-4B96-84DF-9823D2185944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17</xdr:row>
      <xdr:rowOff>54382</xdr:rowOff>
    </xdr:from>
    <xdr:ext cx="77970" cy="93936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1FFF9F00-C389-4949-B81D-90B4BDFFCDD7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17</xdr:row>
      <xdr:rowOff>54382</xdr:rowOff>
    </xdr:from>
    <xdr:ext cx="77970" cy="93936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C9E6AD02-053F-427C-82B2-CDB790193684}"/>
            </a:ext>
          </a:extLst>
        </xdr:cNvPr>
        <xdr:cNvSpPr txBox="1"/>
      </xdr:nvSpPr>
      <xdr:spPr>
        <a:xfrm>
          <a:off x="552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17</xdr:row>
      <xdr:rowOff>54382</xdr:rowOff>
    </xdr:from>
    <xdr:ext cx="77970" cy="93936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902FD973-5D4E-4F79-9ABD-6234AE730359}"/>
            </a:ext>
          </a:extLst>
        </xdr:cNvPr>
        <xdr:cNvSpPr txBox="1"/>
      </xdr:nvSpPr>
      <xdr:spPr>
        <a:xfrm>
          <a:off x="565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17</xdr:row>
      <xdr:rowOff>54382</xdr:rowOff>
    </xdr:from>
    <xdr:ext cx="77970" cy="93936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53B11072-1097-497E-8FF2-B4DD1148AE05}"/>
            </a:ext>
          </a:extLst>
        </xdr:cNvPr>
        <xdr:cNvSpPr txBox="1"/>
      </xdr:nvSpPr>
      <xdr:spPr>
        <a:xfrm>
          <a:off x="6161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17</xdr:row>
      <xdr:rowOff>54382</xdr:rowOff>
    </xdr:from>
    <xdr:ext cx="77970" cy="93936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237CBD8C-D9E5-45C8-A9D5-BC45EA1D0C01}"/>
            </a:ext>
          </a:extLst>
        </xdr:cNvPr>
        <xdr:cNvSpPr txBox="1"/>
      </xdr:nvSpPr>
      <xdr:spPr>
        <a:xfrm>
          <a:off x="6288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17</xdr:row>
      <xdr:rowOff>54382</xdr:rowOff>
    </xdr:from>
    <xdr:ext cx="77970" cy="93936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ACDC0084-F7D5-4502-8AEA-F66A5E432394}"/>
            </a:ext>
          </a:extLst>
        </xdr:cNvPr>
        <xdr:cNvSpPr txBox="1"/>
      </xdr:nvSpPr>
      <xdr:spPr>
        <a:xfrm>
          <a:off x="679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17</xdr:row>
      <xdr:rowOff>54382</xdr:rowOff>
    </xdr:from>
    <xdr:ext cx="77970" cy="93936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2F97CFDC-94C8-4A9A-838D-2CB2DC37C165}"/>
            </a:ext>
          </a:extLst>
        </xdr:cNvPr>
        <xdr:cNvSpPr txBox="1"/>
      </xdr:nvSpPr>
      <xdr:spPr>
        <a:xfrm>
          <a:off x="692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9</xdr:col>
      <xdr:colOff>62085</xdr:colOff>
      <xdr:row>56</xdr:row>
      <xdr:rowOff>67734</xdr:rowOff>
    </xdr:from>
    <xdr:to>
      <xdr:col>9</xdr:col>
      <xdr:colOff>62085</xdr:colOff>
      <xdr:row>62</xdr:row>
      <xdr:rowOff>119798</xdr:rowOff>
    </xdr:to>
    <xdr:cxnSp macro="">
      <xdr:nvCxnSpPr>
        <xdr:cNvPr id="1026" name="직선 연결선 1025">
          <a:extLst>
            <a:ext uri="{FF2B5EF4-FFF2-40B4-BE49-F238E27FC236}">
              <a16:creationId xmlns:a16="http://schemas.microsoft.com/office/drawing/2014/main" id="{968B875F-1906-44B8-92AF-82DB98172423}"/>
            </a:ext>
          </a:extLst>
        </xdr:cNvPr>
        <xdr:cNvCxnSpPr/>
      </xdr:nvCxnSpPr>
      <xdr:spPr>
        <a:xfrm flipH="1">
          <a:off x="2296680" y="10651067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326</xdr:colOff>
      <xdr:row>68</xdr:row>
      <xdr:rowOff>54430</xdr:rowOff>
    </xdr:from>
    <xdr:to>
      <xdr:col>122</xdr:col>
      <xdr:colOff>326</xdr:colOff>
      <xdr:row>80</xdr:row>
      <xdr:rowOff>120645</xdr:rowOff>
    </xdr:to>
    <xdr:cxnSp macro="">
      <xdr:nvCxnSpPr>
        <xdr:cNvPr id="1034" name="직선 연결선 1033">
          <a:extLst>
            <a:ext uri="{FF2B5EF4-FFF2-40B4-BE49-F238E27FC236}">
              <a16:creationId xmlns:a16="http://schemas.microsoft.com/office/drawing/2014/main" id="{15A01249-8EE5-4D6A-AAD9-7370EA27860C}"/>
            </a:ext>
          </a:extLst>
        </xdr:cNvPr>
        <xdr:cNvCxnSpPr/>
      </xdr:nvCxnSpPr>
      <xdr:spPr>
        <a:xfrm flipH="1">
          <a:off x="9410421" y="12863287"/>
          <a:ext cx="0" cy="2303834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60476</xdr:colOff>
      <xdr:row>86</xdr:row>
      <xdr:rowOff>33263</xdr:rowOff>
    </xdr:from>
    <xdr:to>
      <xdr:col>122</xdr:col>
      <xdr:colOff>1187</xdr:colOff>
      <xdr:row>92</xdr:row>
      <xdr:rowOff>76731</xdr:rowOff>
    </xdr:to>
    <xdr:cxnSp macro="">
      <xdr:nvCxnSpPr>
        <xdr:cNvPr id="1039" name="직선 연결선 1038">
          <a:extLst>
            <a:ext uri="{FF2B5EF4-FFF2-40B4-BE49-F238E27FC236}">
              <a16:creationId xmlns:a16="http://schemas.microsoft.com/office/drawing/2014/main" id="{893AB8A8-1230-499A-A07E-79D275F5144D}"/>
            </a:ext>
          </a:extLst>
        </xdr:cNvPr>
        <xdr:cNvCxnSpPr/>
      </xdr:nvCxnSpPr>
      <xdr:spPr>
        <a:xfrm flipH="1">
          <a:off x="9407071" y="16210644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4893</xdr:colOff>
      <xdr:row>196</xdr:row>
      <xdr:rowOff>381</xdr:rowOff>
    </xdr:from>
    <xdr:to>
      <xdr:col>85</xdr:col>
      <xdr:colOff>893</xdr:colOff>
      <xdr:row>196</xdr:row>
      <xdr:rowOff>381</xdr:rowOff>
    </xdr:to>
    <xdr:cxnSp macro="">
      <xdr:nvCxnSpPr>
        <xdr:cNvPr id="1040" name="직선 화살표 연결선 1039">
          <a:extLst>
            <a:ext uri="{FF2B5EF4-FFF2-40B4-BE49-F238E27FC236}">
              <a16:creationId xmlns:a16="http://schemas.microsoft.com/office/drawing/2014/main" id="{761B3738-9501-44DC-BF13-B1AAF1A564A2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195</xdr:row>
      <xdr:rowOff>88060</xdr:rowOff>
    </xdr:from>
    <xdr:to>
      <xdr:col>5</xdr:col>
      <xdr:colOff>2</xdr:colOff>
      <xdr:row>196</xdr:row>
      <xdr:rowOff>84244</xdr:rowOff>
    </xdr:to>
    <xdr:cxnSp macro="">
      <xdr:nvCxnSpPr>
        <xdr:cNvPr id="1041" name="직선 연결선 1040">
          <a:extLst>
            <a:ext uri="{FF2B5EF4-FFF2-40B4-BE49-F238E27FC236}">
              <a16:creationId xmlns:a16="http://schemas.microsoft.com/office/drawing/2014/main" id="{886E6B18-F7AC-4311-B0BD-7DE268F6EF33}"/>
            </a:ext>
          </a:extLst>
        </xdr:cNvPr>
        <xdr:cNvCxnSpPr/>
      </xdr:nvCxnSpPr>
      <xdr:spPr>
        <a:xfrm flipH="1">
          <a:off x="1980595" y="34743941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195</xdr:row>
      <xdr:rowOff>92609</xdr:rowOff>
    </xdr:from>
    <xdr:to>
      <xdr:col>85</xdr:col>
      <xdr:colOff>2295</xdr:colOff>
      <xdr:row>196</xdr:row>
      <xdr:rowOff>88793</xdr:rowOff>
    </xdr:to>
    <xdr:cxnSp macro="">
      <xdr:nvCxnSpPr>
        <xdr:cNvPr id="1042" name="직선 연결선 1041">
          <a:extLst>
            <a:ext uri="{FF2B5EF4-FFF2-40B4-BE49-F238E27FC236}">
              <a16:creationId xmlns:a16="http://schemas.microsoft.com/office/drawing/2014/main" id="{615150E5-D217-4B25-A95D-60805D686093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195</xdr:row>
      <xdr:rowOff>109853</xdr:rowOff>
    </xdr:from>
    <xdr:ext cx="338106" cy="125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92CDDD2A-B97F-42E1-9F95-5088367325B0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200</xdr:row>
      <xdr:rowOff>96098</xdr:rowOff>
    </xdr:from>
    <xdr:to>
      <xdr:col>15</xdr:col>
      <xdr:colOff>8087</xdr:colOff>
      <xdr:row>200</xdr:row>
      <xdr:rowOff>96098</xdr:rowOff>
    </xdr:to>
    <xdr:cxnSp macro="">
      <xdr:nvCxnSpPr>
        <xdr:cNvPr id="1044" name="직선 화살표 연결선 1043">
          <a:extLst>
            <a:ext uri="{FF2B5EF4-FFF2-40B4-BE49-F238E27FC236}">
              <a16:creationId xmlns:a16="http://schemas.microsoft.com/office/drawing/2014/main" id="{A893E989-AE5D-4488-BB5E-4AD9638194F2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200</xdr:row>
      <xdr:rowOff>29488</xdr:rowOff>
    </xdr:from>
    <xdr:ext cx="52002" cy="125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524F7853-E272-4305-8B90-1E0047928A75}"/>
            </a:ext>
          </a:extLst>
        </xdr:cNvPr>
        <xdr:cNvSpPr txBox="1"/>
      </xdr:nvSpPr>
      <xdr:spPr>
        <a:xfrm>
          <a:off x="2232447" y="3560763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846665</xdr:colOff>
      <xdr:row>197</xdr:row>
      <xdr:rowOff>141201</xdr:rowOff>
    </xdr:from>
    <xdr:ext cx="343235" cy="140872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E95029D0-674C-44FA-B9E5-7B24AAC3FFE5}"/>
            </a:ext>
          </a:extLst>
        </xdr:cNvPr>
        <xdr:cNvSpPr txBox="1"/>
      </xdr:nvSpPr>
      <xdr:spPr>
        <a:xfrm>
          <a:off x="1499808" y="37010511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201</xdr:row>
      <xdr:rowOff>101419</xdr:rowOff>
    </xdr:from>
    <xdr:to>
      <xdr:col>25</xdr:col>
      <xdr:colOff>14047</xdr:colOff>
      <xdr:row>201</xdr:row>
      <xdr:rowOff>101419</xdr:rowOff>
    </xdr:to>
    <xdr:cxnSp macro="">
      <xdr:nvCxnSpPr>
        <xdr:cNvPr id="1047" name="직선 화살표 연결선 1046">
          <a:extLst>
            <a:ext uri="{FF2B5EF4-FFF2-40B4-BE49-F238E27FC236}">
              <a16:creationId xmlns:a16="http://schemas.microsoft.com/office/drawing/2014/main" id="{EA9E1AE8-4D5E-4BF3-A91E-32F68B4C4C26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201</xdr:row>
      <xdr:rowOff>32476</xdr:rowOff>
    </xdr:from>
    <xdr:ext cx="52002" cy="125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11F3FC82-7D7F-4CA0-AF9B-A5332DBA7FDE}"/>
            </a:ext>
          </a:extLst>
        </xdr:cNvPr>
        <xdr:cNvSpPr txBox="1"/>
      </xdr:nvSpPr>
      <xdr:spPr>
        <a:xfrm>
          <a:off x="2524920" y="3579507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199</xdr:row>
      <xdr:rowOff>101421</xdr:rowOff>
    </xdr:from>
    <xdr:to>
      <xdr:col>6</xdr:col>
      <xdr:colOff>38471</xdr:colOff>
      <xdr:row>199</xdr:row>
      <xdr:rowOff>101421</xdr:rowOff>
    </xdr:to>
    <xdr:cxnSp macro="">
      <xdr:nvCxnSpPr>
        <xdr:cNvPr id="1049" name="직선 화살표 연결선 1048">
          <a:extLst>
            <a:ext uri="{FF2B5EF4-FFF2-40B4-BE49-F238E27FC236}">
              <a16:creationId xmlns:a16="http://schemas.microsoft.com/office/drawing/2014/main" id="{FBE90CD4-428C-438D-A0DF-163054D9978C}"/>
            </a:ext>
          </a:extLst>
        </xdr:cNvPr>
        <xdr:cNvCxnSpPr/>
      </xdr:nvCxnSpPr>
      <xdr:spPr>
        <a:xfrm>
          <a:off x="1974099" y="35495111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199</xdr:row>
      <xdr:rowOff>38153</xdr:rowOff>
    </xdr:from>
    <xdr:ext cx="52002" cy="125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DC9B7A26-C699-419D-9760-960D18E5EDB8}"/>
            </a:ext>
          </a:extLst>
        </xdr:cNvPr>
        <xdr:cNvSpPr txBox="1"/>
      </xdr:nvSpPr>
      <xdr:spPr>
        <a:xfrm>
          <a:off x="2057762" y="35431843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203</xdr:row>
      <xdr:rowOff>93579</xdr:rowOff>
    </xdr:from>
    <xdr:to>
      <xdr:col>75</xdr:col>
      <xdr:colOff>10724</xdr:colOff>
      <xdr:row>203</xdr:row>
      <xdr:rowOff>93579</xdr:rowOff>
    </xdr:to>
    <xdr:cxnSp macro="">
      <xdr:nvCxnSpPr>
        <xdr:cNvPr id="1051" name="직선 화살표 연결선 1050">
          <a:extLst>
            <a:ext uri="{FF2B5EF4-FFF2-40B4-BE49-F238E27FC236}">
              <a16:creationId xmlns:a16="http://schemas.microsoft.com/office/drawing/2014/main" id="{FED5E32B-6D0C-4259-AE19-EA41FA6A8DC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203</xdr:row>
      <xdr:rowOff>31378</xdr:rowOff>
    </xdr:from>
    <xdr:ext cx="52002" cy="125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9DB2CB9D-E4BC-4F6C-9169-E92A8AD56F36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208</xdr:row>
      <xdr:rowOff>381</xdr:rowOff>
    </xdr:from>
    <xdr:to>
      <xdr:col>85</xdr:col>
      <xdr:colOff>893</xdr:colOff>
      <xdr:row>208</xdr:row>
      <xdr:rowOff>381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C7E71A13-E3B8-49EE-82ED-210DF8E3AE0C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207</xdr:row>
      <xdr:rowOff>88060</xdr:rowOff>
    </xdr:from>
    <xdr:to>
      <xdr:col>5</xdr:col>
      <xdr:colOff>2</xdr:colOff>
      <xdr:row>208</xdr:row>
      <xdr:rowOff>84244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8069F434-D082-4FDB-85C2-E891DCC4867E}"/>
            </a:ext>
          </a:extLst>
        </xdr:cNvPr>
        <xdr:cNvCxnSpPr/>
      </xdr:nvCxnSpPr>
      <xdr:spPr>
        <a:xfrm flipH="1">
          <a:off x="1980595" y="36957370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207</xdr:row>
      <xdr:rowOff>92609</xdr:rowOff>
    </xdr:from>
    <xdr:to>
      <xdr:col>85</xdr:col>
      <xdr:colOff>2295</xdr:colOff>
      <xdr:row>208</xdr:row>
      <xdr:rowOff>88793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2A614A05-2AB8-4133-864B-A703EF16DAEF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207</xdr:row>
      <xdr:rowOff>109853</xdr:rowOff>
    </xdr:from>
    <xdr:ext cx="338106" cy="125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3ACC727-C7BC-4441-9BAA-0064D9136042}"/>
            </a:ext>
          </a:extLst>
        </xdr:cNvPr>
        <xdr:cNvSpPr txBox="1"/>
      </xdr:nvSpPr>
      <xdr:spPr>
        <a:xfrm>
          <a:off x="4115515" y="36979163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212</xdr:row>
      <xdr:rowOff>96098</xdr:rowOff>
    </xdr:from>
    <xdr:to>
      <xdr:col>15</xdr:col>
      <xdr:colOff>8087</xdr:colOff>
      <xdr:row>212</xdr:row>
      <xdr:rowOff>96098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D0280973-3A00-4E59-8001-EBC1E67EC566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212</xdr:row>
      <xdr:rowOff>29488</xdr:rowOff>
    </xdr:from>
    <xdr:ext cx="52002" cy="125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C04E72-7959-4317-954C-ACEE490CE200}"/>
            </a:ext>
          </a:extLst>
        </xdr:cNvPr>
        <xdr:cNvSpPr txBox="1"/>
      </xdr:nvSpPr>
      <xdr:spPr>
        <a:xfrm>
          <a:off x="2232447" y="37821059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852713</xdr:colOff>
      <xdr:row>209</xdr:row>
      <xdr:rowOff>144225</xdr:rowOff>
    </xdr:from>
    <xdr:ext cx="343235" cy="1408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8D95941-96C5-4BFF-ABC5-F3750E2F040C}"/>
            </a:ext>
          </a:extLst>
        </xdr:cNvPr>
        <xdr:cNvSpPr txBox="1"/>
      </xdr:nvSpPr>
      <xdr:spPr>
        <a:xfrm>
          <a:off x="1505856" y="39226963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213</xdr:row>
      <xdr:rowOff>101419</xdr:rowOff>
    </xdr:from>
    <xdr:to>
      <xdr:col>25</xdr:col>
      <xdr:colOff>14047</xdr:colOff>
      <xdr:row>213</xdr:row>
      <xdr:rowOff>101419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720143DC-BDD3-4E6A-8FA3-CF34B3533815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213</xdr:row>
      <xdr:rowOff>32476</xdr:rowOff>
    </xdr:from>
    <xdr:ext cx="52002" cy="125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8794E51-6E3B-47CE-A7E6-931D66C43F4A}"/>
            </a:ext>
          </a:extLst>
        </xdr:cNvPr>
        <xdr:cNvSpPr txBox="1"/>
      </xdr:nvSpPr>
      <xdr:spPr>
        <a:xfrm>
          <a:off x="2524920" y="38008500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211</xdr:row>
      <xdr:rowOff>101421</xdr:rowOff>
    </xdr:from>
    <xdr:to>
      <xdr:col>6</xdr:col>
      <xdr:colOff>38471</xdr:colOff>
      <xdr:row>211</xdr:row>
      <xdr:rowOff>101421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88386F78-034D-463B-899F-D1051890FA14}"/>
            </a:ext>
          </a:extLst>
        </xdr:cNvPr>
        <xdr:cNvCxnSpPr/>
      </xdr:nvCxnSpPr>
      <xdr:spPr>
        <a:xfrm>
          <a:off x="1974099" y="37708540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211</xdr:row>
      <xdr:rowOff>38153</xdr:rowOff>
    </xdr:from>
    <xdr:ext cx="52002" cy="125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7B8F966-4E21-4E0F-8F4B-A0C9F1C5D6B7}"/>
            </a:ext>
          </a:extLst>
        </xdr:cNvPr>
        <xdr:cNvSpPr txBox="1"/>
      </xdr:nvSpPr>
      <xdr:spPr>
        <a:xfrm>
          <a:off x="2057762" y="37645272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215</xdr:row>
      <xdr:rowOff>93579</xdr:rowOff>
    </xdr:from>
    <xdr:to>
      <xdr:col>75</xdr:col>
      <xdr:colOff>10724</xdr:colOff>
      <xdr:row>215</xdr:row>
      <xdr:rowOff>93579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E565E3A4-0C46-44AB-B3AD-3A6DA499254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215</xdr:row>
      <xdr:rowOff>31378</xdr:rowOff>
    </xdr:from>
    <xdr:ext cx="52002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61BEB79-E09E-4141-B26E-6C7AF937E483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55896</xdr:colOff>
      <xdr:row>219</xdr:row>
      <xdr:rowOff>166026</xdr:rowOff>
    </xdr:from>
    <xdr:ext cx="2139881" cy="38517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8A2BC26-55C3-4C72-8658-590F76838082}"/>
            </a:ext>
          </a:extLst>
        </xdr:cNvPr>
        <xdr:cNvSpPr txBox="1"/>
      </xdr:nvSpPr>
      <xdr:spPr>
        <a:xfrm>
          <a:off x="6176086" y="41093288"/>
          <a:ext cx="2139881" cy="3851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xd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SVI glitch reject - SGR_EN1/2/3, masking</a:t>
          </a: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data glitch reject - DGR_EN1/2/3</a:t>
          </a:r>
        </a:p>
      </xdr:txBody>
    </xdr:sp>
    <xdr:clientData/>
  </xdr:oneCellAnchor>
  <xdr:oneCellAnchor>
    <xdr:from>
      <xdr:col>34</xdr:col>
      <xdr:colOff>53710</xdr:colOff>
      <xdr:row>397</xdr:row>
      <xdr:rowOff>54382</xdr:rowOff>
    </xdr:from>
    <xdr:ext cx="77970" cy="9393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FE93D1C-267C-4A8E-A1A7-604094163A6A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36</xdr:col>
      <xdr:colOff>53710</xdr:colOff>
      <xdr:row>397</xdr:row>
      <xdr:rowOff>54382</xdr:rowOff>
    </xdr:from>
    <xdr:ext cx="77970" cy="93936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57817C4-2CA9-413D-94B4-BB573DC152B8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397</xdr:row>
      <xdr:rowOff>54382</xdr:rowOff>
    </xdr:from>
    <xdr:ext cx="77970" cy="9393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51F003-0DAA-48DA-AB44-DAFDE29C3EF0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46</xdr:col>
      <xdr:colOff>53710</xdr:colOff>
      <xdr:row>397</xdr:row>
      <xdr:rowOff>54382</xdr:rowOff>
    </xdr:from>
    <xdr:ext cx="77970" cy="93936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A776042-816A-40EC-9EB7-15B5E9C13C1B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397</xdr:row>
      <xdr:rowOff>54382</xdr:rowOff>
    </xdr:from>
    <xdr:ext cx="77970" cy="9393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5C5EF2F-5EBE-43AA-ACFC-CBCAD6802DA6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56</xdr:col>
      <xdr:colOff>53710</xdr:colOff>
      <xdr:row>397</xdr:row>
      <xdr:rowOff>54382</xdr:rowOff>
    </xdr:from>
    <xdr:ext cx="77970" cy="93936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6163C04-92CD-4E9C-A78C-566D26C6DC53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397</xdr:row>
      <xdr:rowOff>54382</xdr:rowOff>
    </xdr:from>
    <xdr:ext cx="77970" cy="9393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5C70373-E357-4F23-B213-A43DAA5FBB49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66</xdr:col>
      <xdr:colOff>53710</xdr:colOff>
      <xdr:row>397</xdr:row>
      <xdr:rowOff>54382</xdr:rowOff>
    </xdr:from>
    <xdr:ext cx="77970" cy="9393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756EFE6-2CF0-4C71-80EC-42C9C6AEEA32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397</xdr:row>
      <xdr:rowOff>54382</xdr:rowOff>
    </xdr:from>
    <xdr:ext cx="77970" cy="93936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CD79EC1-1422-46AC-891D-8A286E9DBFB0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76</xdr:col>
      <xdr:colOff>53710</xdr:colOff>
      <xdr:row>397</xdr:row>
      <xdr:rowOff>54382</xdr:rowOff>
    </xdr:from>
    <xdr:ext cx="77970" cy="9393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21B6276-3249-4225-A63F-1266A7CCC0C4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84</xdr:col>
      <xdr:colOff>53710</xdr:colOff>
      <xdr:row>397</xdr:row>
      <xdr:rowOff>54382</xdr:rowOff>
    </xdr:from>
    <xdr:ext cx="77970" cy="93936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51C8282-30CE-48E3-B0AC-55A027351036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86</xdr:col>
      <xdr:colOff>53710</xdr:colOff>
      <xdr:row>397</xdr:row>
      <xdr:rowOff>54382</xdr:rowOff>
    </xdr:from>
    <xdr:ext cx="77970" cy="9393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92260B3-8DE0-4876-BF40-62F89D5341D0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57452</xdr:colOff>
      <xdr:row>397</xdr:row>
      <xdr:rowOff>54430</xdr:rowOff>
    </xdr:from>
    <xdr:ext cx="77970" cy="9393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55EC3B4-BD4D-4984-8122-C28680BF2ACA}"/>
            </a:ext>
          </a:extLst>
        </xdr:cNvPr>
        <xdr:cNvSpPr txBox="1"/>
      </xdr:nvSpPr>
      <xdr:spPr>
        <a:xfrm>
          <a:off x="3244547" y="66200263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26</xdr:col>
      <xdr:colOff>54429</xdr:colOff>
      <xdr:row>397</xdr:row>
      <xdr:rowOff>54429</xdr:rowOff>
    </xdr:from>
    <xdr:ext cx="77970" cy="9393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60296E4-E425-4D77-BD05-60BA81627B85}"/>
            </a:ext>
          </a:extLst>
        </xdr:cNvPr>
        <xdr:cNvSpPr txBox="1"/>
      </xdr:nvSpPr>
      <xdr:spPr>
        <a:xfrm>
          <a:off x="3368524" y="6620026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1</xdr:colOff>
      <xdr:row>396</xdr:row>
      <xdr:rowOff>18144</xdr:rowOff>
    </xdr:from>
    <xdr:to>
      <xdr:col>19</xdr:col>
      <xdr:colOff>1</xdr:colOff>
      <xdr:row>399</xdr:row>
      <xdr:rowOff>148787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8196F1BB-B9B2-432B-ABE1-2483E0FBC53C}"/>
            </a:ext>
          </a:extLst>
        </xdr:cNvPr>
        <xdr:cNvCxnSpPr/>
      </xdr:nvCxnSpPr>
      <xdr:spPr>
        <a:xfrm>
          <a:off x="2869596" y="65979525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396</xdr:row>
      <xdr:rowOff>15118</xdr:rowOff>
    </xdr:from>
    <xdr:to>
      <xdr:col>29</xdr:col>
      <xdr:colOff>1</xdr:colOff>
      <xdr:row>399</xdr:row>
      <xdr:rowOff>145761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2CD1773F-54FC-43AE-9364-D6C5225CC77D}"/>
            </a:ext>
          </a:extLst>
        </xdr:cNvPr>
        <xdr:cNvCxnSpPr/>
      </xdr:nvCxnSpPr>
      <xdr:spPr>
        <a:xfrm>
          <a:off x="3504596" y="65976499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396</xdr:row>
      <xdr:rowOff>15115</xdr:rowOff>
    </xdr:from>
    <xdr:to>
      <xdr:col>39</xdr:col>
      <xdr:colOff>0</xdr:colOff>
      <xdr:row>399</xdr:row>
      <xdr:rowOff>145758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3FD9E7DF-C4A4-43C4-A6CD-B2E04D3F1612}"/>
            </a:ext>
          </a:extLst>
        </xdr:cNvPr>
        <xdr:cNvCxnSpPr/>
      </xdr:nvCxnSpPr>
      <xdr:spPr>
        <a:xfrm>
          <a:off x="4139595" y="65976496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396</xdr:row>
      <xdr:rowOff>12089</xdr:rowOff>
    </xdr:from>
    <xdr:to>
      <xdr:col>49</xdr:col>
      <xdr:colOff>0</xdr:colOff>
      <xdr:row>399</xdr:row>
      <xdr:rowOff>142732</xdr:rowOff>
    </xdr:to>
    <xdr:cxnSp macro="">
      <xdr:nvCxnSpPr>
        <xdr:cNvPr id="156" name="직선 연결선 155">
          <a:extLst>
            <a:ext uri="{FF2B5EF4-FFF2-40B4-BE49-F238E27FC236}">
              <a16:creationId xmlns:a16="http://schemas.microsoft.com/office/drawing/2014/main" id="{6241700B-3D2F-4794-AC57-2D81AE8E87CF}"/>
            </a:ext>
          </a:extLst>
        </xdr:cNvPr>
        <xdr:cNvCxnSpPr/>
      </xdr:nvCxnSpPr>
      <xdr:spPr>
        <a:xfrm>
          <a:off x="4774595" y="6597347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396</xdr:row>
      <xdr:rowOff>12093</xdr:rowOff>
    </xdr:from>
    <xdr:to>
      <xdr:col>59</xdr:col>
      <xdr:colOff>0</xdr:colOff>
      <xdr:row>399</xdr:row>
      <xdr:rowOff>142736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50D025FB-2A30-4053-A585-4148DC6A111A}"/>
            </a:ext>
          </a:extLst>
        </xdr:cNvPr>
        <xdr:cNvCxnSpPr/>
      </xdr:nvCxnSpPr>
      <xdr:spPr>
        <a:xfrm>
          <a:off x="5409595" y="65973474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396</xdr:row>
      <xdr:rowOff>12091</xdr:rowOff>
    </xdr:from>
    <xdr:to>
      <xdr:col>69</xdr:col>
      <xdr:colOff>0</xdr:colOff>
      <xdr:row>399</xdr:row>
      <xdr:rowOff>142734</xdr:rowOff>
    </xdr:to>
    <xdr:cxnSp macro="">
      <xdr:nvCxnSpPr>
        <xdr:cNvPr id="161" name="직선 연결선 160">
          <a:extLst>
            <a:ext uri="{FF2B5EF4-FFF2-40B4-BE49-F238E27FC236}">
              <a16:creationId xmlns:a16="http://schemas.microsoft.com/office/drawing/2014/main" id="{CD0549E0-0D8D-4BA6-A9ED-749CC35FB1E6}"/>
            </a:ext>
          </a:extLst>
        </xdr:cNvPr>
        <xdr:cNvCxnSpPr/>
      </xdr:nvCxnSpPr>
      <xdr:spPr>
        <a:xfrm>
          <a:off x="6044595" y="65973472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63499</xdr:colOff>
      <xdr:row>396</xdr:row>
      <xdr:rowOff>15119</xdr:rowOff>
    </xdr:from>
    <xdr:to>
      <xdr:col>78</xdr:col>
      <xdr:colOff>63499</xdr:colOff>
      <xdr:row>399</xdr:row>
      <xdr:rowOff>145762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81B58D0B-B710-4EDC-A3C2-C47724D5C976}"/>
            </a:ext>
          </a:extLst>
        </xdr:cNvPr>
        <xdr:cNvCxnSpPr/>
      </xdr:nvCxnSpPr>
      <xdr:spPr>
        <a:xfrm>
          <a:off x="6679594" y="6597650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</xdr:colOff>
      <xdr:row>395</xdr:row>
      <xdr:rowOff>69549</xdr:rowOff>
    </xdr:from>
    <xdr:to>
      <xdr:col>89</xdr:col>
      <xdr:colOff>1</xdr:colOff>
      <xdr:row>399</xdr:row>
      <xdr:rowOff>141077</xdr:rowOff>
    </xdr:to>
    <xdr:cxnSp macro="">
      <xdr:nvCxnSpPr>
        <xdr:cNvPr id="196" name="직선 연결선 195">
          <a:extLst>
            <a:ext uri="{FF2B5EF4-FFF2-40B4-BE49-F238E27FC236}">
              <a16:creationId xmlns:a16="http://schemas.microsoft.com/office/drawing/2014/main" id="{4861005B-38E3-4EF7-ABDC-7F641BF70ACE}"/>
            </a:ext>
          </a:extLst>
        </xdr:cNvPr>
        <xdr:cNvCxnSpPr/>
      </xdr:nvCxnSpPr>
      <xdr:spPr>
        <a:xfrm>
          <a:off x="7314596" y="65846478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35530</xdr:colOff>
      <xdr:row>302</xdr:row>
      <xdr:rowOff>29536</xdr:rowOff>
    </xdr:from>
    <xdr:ext cx="1046120" cy="140872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6860CF54-9D01-1C3B-2433-C2A45653AD35}"/>
            </a:ext>
          </a:extLst>
        </xdr:cNvPr>
        <xdr:cNvSpPr txBox="1"/>
      </xdr:nvSpPr>
      <xdr:spPr>
        <a:xfrm>
          <a:off x="2404874" y="54957036"/>
          <a:ext cx="104612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/>
            <a:t>vsync &lt;= (vs1 &amp;&amp; ~</a:t>
          </a:r>
          <a:r>
            <a:rPr lang="en-US" altLang="ko-KR" sz="900" b="0" i="1">
              <a:solidFill>
                <a:schemeClr val="tx1"/>
              </a:solidFill>
            </a:rPr>
            <a:t>vs4</a:t>
          </a:r>
          <a:r>
            <a:rPr lang="en-US" altLang="ko-KR" sz="900" b="0" i="1"/>
            <a:t>)</a:t>
          </a:r>
          <a:endParaRPr lang="ko-KR" altLang="en-US" sz="900" b="0" i="1"/>
        </a:p>
      </xdr:txBody>
    </xdr:sp>
    <xdr:clientData/>
  </xdr:oneCellAnchor>
  <xdr:twoCellAnchor>
    <xdr:from>
      <xdr:col>6</xdr:col>
      <xdr:colOff>60477</xdr:colOff>
      <xdr:row>101</xdr:row>
      <xdr:rowOff>117929</xdr:rowOff>
    </xdr:from>
    <xdr:to>
      <xdr:col>8</xdr:col>
      <xdr:colOff>59477</xdr:colOff>
      <xdr:row>101</xdr:row>
      <xdr:rowOff>117929</xdr:rowOff>
    </xdr:to>
    <xdr:cxnSp macro="">
      <xdr:nvCxnSpPr>
        <xdr:cNvPr id="326" name="직선 화살표 연결선 325">
          <a:extLst>
            <a:ext uri="{FF2B5EF4-FFF2-40B4-BE49-F238E27FC236}">
              <a16:creationId xmlns:a16="http://schemas.microsoft.com/office/drawing/2014/main" id="{C54FF172-0DF9-4675-87B1-F01325545E39}"/>
            </a:ext>
          </a:extLst>
        </xdr:cNvPr>
        <xdr:cNvCxnSpPr/>
      </xdr:nvCxnSpPr>
      <xdr:spPr>
        <a:xfrm>
          <a:off x="2104572" y="19086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33263</xdr:colOff>
      <xdr:row>101</xdr:row>
      <xdr:rowOff>33261</xdr:rowOff>
    </xdr:from>
    <xdr:ext cx="3093924" cy="140872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37C447A8-540A-F583-A9AF-9314924E702F}"/>
            </a:ext>
          </a:extLst>
        </xdr:cNvPr>
        <xdr:cNvSpPr txBox="1"/>
      </xdr:nvSpPr>
      <xdr:spPr>
        <a:xfrm>
          <a:off x="2343453" y="19001618"/>
          <a:ext cx="309392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 @ only syncmode=0, not syncmode=1)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101</xdr:row>
      <xdr:rowOff>45358</xdr:rowOff>
    </xdr:from>
    <xdr:to>
      <xdr:col>117</xdr:col>
      <xdr:colOff>1</xdr:colOff>
      <xdr:row>105</xdr:row>
      <xdr:rowOff>45320</xdr:rowOff>
    </xdr:to>
    <xdr:cxnSp macro="">
      <xdr:nvCxnSpPr>
        <xdr:cNvPr id="397" name="직선 연결선 396">
          <a:extLst>
            <a:ext uri="{FF2B5EF4-FFF2-40B4-BE49-F238E27FC236}">
              <a16:creationId xmlns:a16="http://schemas.microsoft.com/office/drawing/2014/main" id="{48801CAE-6663-41D0-9FF3-171128D3672D}"/>
            </a:ext>
          </a:extLst>
        </xdr:cNvPr>
        <xdr:cNvCxnSpPr/>
      </xdr:nvCxnSpPr>
      <xdr:spPr>
        <a:xfrm>
          <a:off x="9168190" y="19013715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6048</xdr:colOff>
      <xdr:row>101</xdr:row>
      <xdr:rowOff>105833</xdr:rowOff>
    </xdr:from>
    <xdr:to>
      <xdr:col>117</xdr:col>
      <xdr:colOff>5048</xdr:colOff>
      <xdr:row>101</xdr:row>
      <xdr:rowOff>105833</xdr:rowOff>
    </xdr:to>
    <xdr:cxnSp macro="">
      <xdr:nvCxnSpPr>
        <xdr:cNvPr id="398" name="직선 화살표 연결선 397">
          <a:extLst>
            <a:ext uri="{FF2B5EF4-FFF2-40B4-BE49-F238E27FC236}">
              <a16:creationId xmlns:a16="http://schemas.microsoft.com/office/drawing/2014/main" id="{E8F3D997-0907-478B-B3B9-B5E03C66DA72}"/>
            </a:ext>
          </a:extLst>
        </xdr:cNvPr>
        <xdr:cNvCxnSpPr/>
      </xdr:nvCxnSpPr>
      <xdr:spPr>
        <a:xfrm>
          <a:off x="9047238" y="1907419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127</xdr:row>
      <xdr:rowOff>102809</xdr:rowOff>
    </xdr:from>
    <xdr:to>
      <xdr:col>9</xdr:col>
      <xdr:colOff>2024</xdr:colOff>
      <xdr:row>127</xdr:row>
      <xdr:rowOff>102809</xdr:rowOff>
    </xdr:to>
    <xdr:cxnSp macro="">
      <xdr:nvCxnSpPr>
        <xdr:cNvPr id="400" name="직선 화살표 연결선 399">
          <a:extLst>
            <a:ext uri="{FF2B5EF4-FFF2-40B4-BE49-F238E27FC236}">
              <a16:creationId xmlns:a16="http://schemas.microsoft.com/office/drawing/2014/main" id="{29CAEB2C-45D8-4B86-B090-6DB29B055CEC}"/>
            </a:ext>
          </a:extLst>
        </xdr:cNvPr>
        <xdr:cNvCxnSpPr/>
      </xdr:nvCxnSpPr>
      <xdr:spPr>
        <a:xfrm>
          <a:off x="2186214" y="2391530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127</xdr:row>
      <xdr:rowOff>27214</xdr:rowOff>
    </xdr:from>
    <xdr:ext cx="1299266" cy="140872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6E0247C-A0AC-47D4-B4C4-7CE54E0D22AB}"/>
            </a:ext>
          </a:extLst>
        </xdr:cNvPr>
        <xdr:cNvSpPr txBox="1"/>
      </xdr:nvSpPr>
      <xdr:spPr>
        <a:xfrm>
          <a:off x="2337403" y="23839714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127</xdr:row>
      <xdr:rowOff>60474</xdr:rowOff>
    </xdr:from>
    <xdr:to>
      <xdr:col>117</xdr:col>
      <xdr:colOff>1</xdr:colOff>
      <xdr:row>128</xdr:row>
      <xdr:rowOff>128022</xdr:rowOff>
    </xdr:to>
    <xdr:cxnSp macro="">
      <xdr:nvCxnSpPr>
        <xdr:cNvPr id="403" name="직선 연결선 402">
          <a:extLst>
            <a:ext uri="{FF2B5EF4-FFF2-40B4-BE49-F238E27FC236}">
              <a16:creationId xmlns:a16="http://schemas.microsoft.com/office/drawing/2014/main" id="{5B983448-B9CE-4DF0-89C5-AAD996D2A98E}"/>
            </a:ext>
          </a:extLst>
        </xdr:cNvPr>
        <xdr:cNvCxnSpPr/>
      </xdr:nvCxnSpPr>
      <xdr:spPr>
        <a:xfrm>
          <a:off x="9168190" y="23872974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63500</xdr:colOff>
      <xdr:row>127</xdr:row>
      <xdr:rowOff>99785</xdr:rowOff>
    </xdr:from>
    <xdr:to>
      <xdr:col>116</xdr:col>
      <xdr:colOff>62500</xdr:colOff>
      <xdr:row>127</xdr:row>
      <xdr:rowOff>99785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5D58D1EF-8F97-465A-9C61-F336FB27837B}"/>
            </a:ext>
          </a:extLst>
        </xdr:cNvPr>
        <xdr:cNvCxnSpPr/>
      </xdr:nvCxnSpPr>
      <xdr:spPr>
        <a:xfrm>
          <a:off x="9041190" y="2391228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159</xdr:row>
      <xdr:rowOff>105833</xdr:rowOff>
    </xdr:from>
    <xdr:to>
      <xdr:col>9</xdr:col>
      <xdr:colOff>2024</xdr:colOff>
      <xdr:row>159</xdr:row>
      <xdr:rowOff>105833</xdr:rowOff>
    </xdr:to>
    <xdr:cxnSp macro="">
      <xdr:nvCxnSpPr>
        <xdr:cNvPr id="409" name="직선 화살표 연결선 408">
          <a:extLst>
            <a:ext uri="{FF2B5EF4-FFF2-40B4-BE49-F238E27FC236}">
              <a16:creationId xmlns:a16="http://schemas.microsoft.com/office/drawing/2014/main" id="{2172DC5D-9063-4540-948C-7548DEC5E701}"/>
            </a:ext>
          </a:extLst>
        </xdr:cNvPr>
        <xdr:cNvCxnSpPr/>
      </xdr:nvCxnSpPr>
      <xdr:spPr>
        <a:xfrm>
          <a:off x="2186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159</xdr:row>
      <xdr:rowOff>30238</xdr:rowOff>
    </xdr:from>
    <xdr:ext cx="1299266" cy="140872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F52596FD-06F6-464C-82B1-F853A3482982}"/>
            </a:ext>
          </a:extLst>
        </xdr:cNvPr>
        <xdr:cNvSpPr txBox="1"/>
      </xdr:nvSpPr>
      <xdr:spPr>
        <a:xfrm>
          <a:off x="2337403" y="2983592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117</xdr:col>
      <xdr:colOff>1</xdr:colOff>
      <xdr:row>159</xdr:row>
      <xdr:rowOff>57452</xdr:rowOff>
    </xdr:from>
    <xdr:to>
      <xdr:col>117</xdr:col>
      <xdr:colOff>1</xdr:colOff>
      <xdr:row>160</xdr:row>
      <xdr:rowOff>124999</xdr:rowOff>
    </xdr:to>
    <xdr:cxnSp macro="">
      <xdr:nvCxnSpPr>
        <xdr:cNvPr id="411" name="직선 연결선 410">
          <a:extLst>
            <a:ext uri="{FF2B5EF4-FFF2-40B4-BE49-F238E27FC236}">
              <a16:creationId xmlns:a16="http://schemas.microsoft.com/office/drawing/2014/main" id="{20B2D5AA-3C9B-4764-8F48-EA71CED407F7}"/>
            </a:ext>
          </a:extLst>
        </xdr:cNvPr>
        <xdr:cNvCxnSpPr/>
      </xdr:nvCxnSpPr>
      <xdr:spPr>
        <a:xfrm flipH="1">
          <a:off x="9168191" y="29863142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3024</xdr:colOff>
      <xdr:row>159</xdr:row>
      <xdr:rowOff>105833</xdr:rowOff>
    </xdr:from>
    <xdr:to>
      <xdr:col>117</xdr:col>
      <xdr:colOff>2024</xdr:colOff>
      <xdr:row>159</xdr:row>
      <xdr:rowOff>105833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B8A294B2-6F11-4ADC-BB51-DA2C4AB82917}"/>
            </a:ext>
          </a:extLst>
        </xdr:cNvPr>
        <xdr:cNvCxnSpPr/>
      </xdr:nvCxnSpPr>
      <xdr:spPr>
        <a:xfrm>
          <a:off x="9044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3023</xdr:colOff>
      <xdr:row>224</xdr:row>
      <xdr:rowOff>99786</xdr:rowOff>
    </xdr:from>
    <xdr:to>
      <xdr:col>19</xdr:col>
      <xdr:colOff>2023</xdr:colOff>
      <xdr:row>224</xdr:row>
      <xdr:rowOff>99786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62D1CC74-7553-4DB0-B1F8-A3D93A8190EE}"/>
            </a:ext>
          </a:extLst>
        </xdr:cNvPr>
        <xdr:cNvCxnSpPr/>
      </xdr:nvCxnSpPr>
      <xdr:spPr>
        <a:xfrm>
          <a:off x="2821213" y="4194931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27212</xdr:colOff>
      <xdr:row>224</xdr:row>
      <xdr:rowOff>24191</xdr:rowOff>
    </xdr:from>
    <xdr:ext cx="1299266" cy="140872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78778C86-7866-4870-A3E7-34E3A1C1F50A}"/>
            </a:ext>
          </a:extLst>
        </xdr:cNvPr>
        <xdr:cNvSpPr txBox="1"/>
      </xdr:nvSpPr>
      <xdr:spPr>
        <a:xfrm>
          <a:off x="2972402" y="41873715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1</xdr:colOff>
      <xdr:row>224</xdr:row>
      <xdr:rowOff>105833</xdr:rowOff>
    </xdr:from>
    <xdr:to>
      <xdr:col>111</xdr:col>
      <xdr:colOff>62501</xdr:colOff>
      <xdr:row>224</xdr:row>
      <xdr:rowOff>105833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D1E40796-8A1C-49EE-8A91-B280FFCBE846}"/>
            </a:ext>
          </a:extLst>
        </xdr:cNvPr>
        <xdr:cNvCxnSpPr/>
      </xdr:nvCxnSpPr>
      <xdr:spPr>
        <a:xfrm>
          <a:off x="8723691" y="4195535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63500</xdr:colOff>
      <xdr:row>241</xdr:row>
      <xdr:rowOff>93737</xdr:rowOff>
    </xdr:from>
    <xdr:to>
      <xdr:col>18</xdr:col>
      <xdr:colOff>62500</xdr:colOff>
      <xdr:row>241</xdr:row>
      <xdr:rowOff>93737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9F878466-290F-4A41-9B0D-FF60A405A227}"/>
            </a:ext>
          </a:extLst>
        </xdr:cNvPr>
        <xdr:cNvCxnSpPr/>
      </xdr:nvCxnSpPr>
      <xdr:spPr>
        <a:xfrm>
          <a:off x="2818190" y="4511523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24189</xdr:colOff>
      <xdr:row>241</xdr:row>
      <xdr:rowOff>15118</xdr:rowOff>
    </xdr:from>
    <xdr:ext cx="1299266" cy="140872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791F918B-41B8-4F10-9511-537737F0D0F7}"/>
            </a:ext>
          </a:extLst>
        </xdr:cNvPr>
        <xdr:cNvSpPr txBox="1"/>
      </xdr:nvSpPr>
      <xdr:spPr>
        <a:xfrm>
          <a:off x="2969379" y="4503661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109</xdr:col>
      <xdr:colOff>60476</xdr:colOff>
      <xdr:row>241</xdr:row>
      <xdr:rowOff>99786</xdr:rowOff>
    </xdr:from>
    <xdr:to>
      <xdr:col>111</xdr:col>
      <xdr:colOff>59476</xdr:colOff>
      <xdr:row>241</xdr:row>
      <xdr:rowOff>99786</xdr:rowOff>
    </xdr:to>
    <xdr:cxnSp macro="">
      <xdr:nvCxnSpPr>
        <xdr:cNvPr id="426" name="직선 화살표 연결선 425">
          <a:extLst>
            <a:ext uri="{FF2B5EF4-FFF2-40B4-BE49-F238E27FC236}">
              <a16:creationId xmlns:a16="http://schemas.microsoft.com/office/drawing/2014/main" id="{0DD4DCBB-C070-415E-95E0-A88037754276}"/>
            </a:ext>
          </a:extLst>
        </xdr:cNvPr>
        <xdr:cNvCxnSpPr/>
      </xdr:nvCxnSpPr>
      <xdr:spPr>
        <a:xfrm>
          <a:off x="8720666" y="45121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261</xdr:row>
      <xdr:rowOff>99785</xdr:rowOff>
    </xdr:from>
    <xdr:to>
      <xdr:col>12</xdr:col>
      <xdr:colOff>59476</xdr:colOff>
      <xdr:row>261</xdr:row>
      <xdr:rowOff>99785</xdr:rowOff>
    </xdr:to>
    <xdr:cxnSp macro="">
      <xdr:nvCxnSpPr>
        <xdr:cNvPr id="466" name="직선 화살표 연결선 465">
          <a:extLst>
            <a:ext uri="{FF2B5EF4-FFF2-40B4-BE49-F238E27FC236}">
              <a16:creationId xmlns:a16="http://schemas.microsoft.com/office/drawing/2014/main" id="{063741D3-8AEF-415A-B4AA-292AFFA39EB8}"/>
            </a:ext>
          </a:extLst>
        </xdr:cNvPr>
        <xdr:cNvCxnSpPr/>
      </xdr:nvCxnSpPr>
      <xdr:spPr>
        <a:xfrm>
          <a:off x="2434166" y="48840571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</xdr:colOff>
      <xdr:row>257</xdr:row>
      <xdr:rowOff>78620</xdr:rowOff>
    </xdr:from>
    <xdr:to>
      <xdr:col>107</xdr:col>
      <xdr:colOff>2</xdr:colOff>
      <xdr:row>258</xdr:row>
      <xdr:rowOff>146167</xdr:rowOff>
    </xdr:to>
    <xdr:cxnSp macro="">
      <xdr:nvCxnSpPr>
        <xdr:cNvPr id="468" name="직선 연결선 467">
          <a:extLst>
            <a:ext uri="{FF2B5EF4-FFF2-40B4-BE49-F238E27FC236}">
              <a16:creationId xmlns:a16="http://schemas.microsoft.com/office/drawing/2014/main" id="{4421BD29-1629-4897-B023-AF8222A125BC}"/>
            </a:ext>
          </a:extLst>
        </xdr:cNvPr>
        <xdr:cNvCxnSpPr/>
      </xdr:nvCxnSpPr>
      <xdr:spPr>
        <a:xfrm flipH="1">
          <a:off x="8533191" y="48081596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275</xdr:row>
      <xdr:rowOff>136072</xdr:rowOff>
    </xdr:from>
    <xdr:ext cx="240450" cy="125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904B112A-F632-4D73-AB0B-FF7F32D5751E}"/>
            </a:ext>
          </a:extLst>
        </xdr:cNvPr>
        <xdr:cNvSpPr txBox="1"/>
      </xdr:nvSpPr>
      <xdr:spPr>
        <a:xfrm>
          <a:off x="2274034" y="51495477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276</xdr:row>
      <xdr:rowOff>40518</xdr:rowOff>
    </xdr:from>
    <xdr:ext cx="242759" cy="125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9D204CD9-1027-4C4D-BB23-E6527C8864F4}"/>
            </a:ext>
          </a:extLst>
        </xdr:cNvPr>
        <xdr:cNvSpPr txBox="1"/>
      </xdr:nvSpPr>
      <xdr:spPr>
        <a:xfrm>
          <a:off x="2592240" y="51584375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276</xdr:row>
      <xdr:rowOff>111161</xdr:rowOff>
    </xdr:from>
    <xdr:to>
      <xdr:col>11</xdr:col>
      <xdr:colOff>1272</xdr:colOff>
      <xdr:row>276</xdr:row>
      <xdr:rowOff>111161</xdr:rowOff>
    </xdr:to>
    <xdr:cxnSp macro="">
      <xdr:nvCxnSpPr>
        <xdr:cNvPr id="504" name="직선 화살표 연결선 503">
          <a:extLst>
            <a:ext uri="{FF2B5EF4-FFF2-40B4-BE49-F238E27FC236}">
              <a16:creationId xmlns:a16="http://schemas.microsoft.com/office/drawing/2014/main" id="{8C5F42DF-D12A-44FD-B932-F65A3912A307}"/>
            </a:ext>
          </a:extLst>
        </xdr:cNvPr>
        <xdr:cNvCxnSpPr/>
      </xdr:nvCxnSpPr>
      <xdr:spPr>
        <a:xfrm>
          <a:off x="2312462" y="51655018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43341</xdr:rowOff>
    </xdr:from>
    <xdr:to>
      <xdr:col>11</xdr:col>
      <xdr:colOff>3022</xdr:colOff>
      <xdr:row>277</xdr:row>
      <xdr:rowOff>2888</xdr:rowOff>
    </xdr:to>
    <xdr:cxnSp macro="">
      <xdr:nvCxnSpPr>
        <xdr:cNvPr id="515" name="직선 연결선 514">
          <a:extLst>
            <a:ext uri="{FF2B5EF4-FFF2-40B4-BE49-F238E27FC236}">
              <a16:creationId xmlns:a16="http://schemas.microsoft.com/office/drawing/2014/main" id="{1F1C1C4E-1244-4A31-9762-9880905F560C}"/>
            </a:ext>
          </a:extLst>
        </xdr:cNvPr>
        <xdr:cNvCxnSpPr/>
      </xdr:nvCxnSpPr>
      <xdr:spPr>
        <a:xfrm flipH="1">
          <a:off x="2440211" y="51587198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276</xdr:row>
      <xdr:rowOff>110677</xdr:rowOff>
    </xdr:from>
    <xdr:to>
      <xdr:col>12</xdr:col>
      <xdr:colOff>59476</xdr:colOff>
      <xdr:row>276</xdr:row>
      <xdr:rowOff>110677</xdr:rowOff>
    </xdr:to>
    <xdr:cxnSp macro="">
      <xdr:nvCxnSpPr>
        <xdr:cNvPr id="562" name="직선 화살표 연결선 561">
          <a:extLst>
            <a:ext uri="{FF2B5EF4-FFF2-40B4-BE49-F238E27FC236}">
              <a16:creationId xmlns:a16="http://schemas.microsoft.com/office/drawing/2014/main" id="{9A9AAED4-88E5-4642-8068-28C4229057E5}"/>
            </a:ext>
          </a:extLst>
        </xdr:cNvPr>
        <xdr:cNvCxnSpPr/>
      </xdr:nvCxnSpPr>
      <xdr:spPr>
        <a:xfrm>
          <a:off x="2434166" y="51654534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580572</xdr:colOff>
      <xdr:row>129</xdr:row>
      <xdr:rowOff>151191</xdr:rowOff>
    </xdr:from>
    <xdr:ext cx="618311" cy="140872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9DBE6D08-A473-4298-9F92-5CFF611A5021}"/>
            </a:ext>
          </a:extLst>
        </xdr:cNvPr>
        <xdr:cNvSpPr txBox="1"/>
      </xdr:nvSpPr>
      <xdr:spPr>
        <a:xfrm>
          <a:off x="1233715" y="2433259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586619</xdr:colOff>
      <xdr:row>161</xdr:row>
      <xdr:rowOff>157239</xdr:rowOff>
    </xdr:from>
    <xdr:ext cx="618311" cy="140872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F8DCB4EC-6770-4B0B-938B-B866CD0E9CAE}"/>
            </a:ext>
          </a:extLst>
        </xdr:cNvPr>
        <xdr:cNvSpPr txBox="1"/>
      </xdr:nvSpPr>
      <xdr:spPr>
        <a:xfrm>
          <a:off x="1239762" y="30331834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571500</xdr:colOff>
      <xdr:row>226</xdr:row>
      <xdr:rowOff>160261</xdr:rowOff>
    </xdr:from>
    <xdr:ext cx="618311" cy="140872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41A35AE9-C377-4B15-996A-18BF97361028}"/>
            </a:ext>
          </a:extLst>
        </xdr:cNvPr>
        <xdr:cNvSpPr txBox="1"/>
      </xdr:nvSpPr>
      <xdr:spPr>
        <a:xfrm>
          <a:off x="1224643" y="42378690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580572</xdr:colOff>
      <xdr:row>243</xdr:row>
      <xdr:rowOff>160262</xdr:rowOff>
    </xdr:from>
    <xdr:ext cx="618311" cy="140872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B202D3BD-691E-4550-8C38-D21F8A2C19C5}"/>
            </a:ext>
          </a:extLst>
        </xdr:cNvPr>
        <xdr:cNvSpPr txBox="1"/>
      </xdr:nvSpPr>
      <xdr:spPr>
        <a:xfrm>
          <a:off x="1233715" y="45550667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57452</xdr:colOff>
      <xdr:row>304</xdr:row>
      <xdr:rowOff>51403</xdr:rowOff>
    </xdr:from>
    <xdr:to>
      <xdr:col>21</xdr:col>
      <xdr:colOff>6952</xdr:colOff>
      <xdr:row>304</xdr:row>
      <xdr:rowOff>51403</xdr:rowOff>
    </xdr:to>
    <xdr:cxnSp macro="">
      <xdr:nvCxnSpPr>
        <xdr:cNvPr id="661" name="직선 화살표 연결선 660">
          <a:extLst>
            <a:ext uri="{FF2B5EF4-FFF2-40B4-BE49-F238E27FC236}">
              <a16:creationId xmlns:a16="http://schemas.microsoft.com/office/drawing/2014/main" id="{E4A26A0A-0B94-4B1C-89F1-960C200FEC60}"/>
            </a:ext>
          </a:extLst>
        </xdr:cNvPr>
        <xdr:cNvCxnSpPr/>
      </xdr:nvCxnSpPr>
      <xdr:spPr>
        <a:xfrm>
          <a:off x="2431142" y="55550403"/>
          <a:ext cx="64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1209</xdr:colOff>
      <xdr:row>303</xdr:row>
      <xdr:rowOff>142515</xdr:rowOff>
    </xdr:from>
    <xdr:to>
      <xdr:col>21</xdr:col>
      <xdr:colOff>1210</xdr:colOff>
      <xdr:row>304</xdr:row>
      <xdr:rowOff>138063</xdr:rowOff>
    </xdr:to>
    <xdr:cxnSp macro="">
      <xdr:nvCxnSpPr>
        <xdr:cNvPr id="662" name="직선 연결선 661">
          <a:extLst>
            <a:ext uri="{FF2B5EF4-FFF2-40B4-BE49-F238E27FC236}">
              <a16:creationId xmlns:a16="http://schemas.microsoft.com/office/drawing/2014/main" id="{E6F82ED0-DE20-4CC8-B1E8-832DF90B1959}"/>
            </a:ext>
          </a:extLst>
        </xdr:cNvPr>
        <xdr:cNvCxnSpPr/>
      </xdr:nvCxnSpPr>
      <xdr:spPr>
        <a:xfrm flipH="1">
          <a:off x="3073399" y="55457063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</xdr:colOff>
      <xdr:row>303</xdr:row>
      <xdr:rowOff>142120</xdr:rowOff>
    </xdr:from>
    <xdr:to>
      <xdr:col>32</xdr:col>
      <xdr:colOff>4</xdr:colOff>
      <xdr:row>304</xdr:row>
      <xdr:rowOff>137668</xdr:rowOff>
    </xdr:to>
    <xdr:cxnSp macro="">
      <xdr:nvCxnSpPr>
        <xdr:cNvPr id="667" name="직선 연결선 666">
          <a:extLst>
            <a:ext uri="{FF2B5EF4-FFF2-40B4-BE49-F238E27FC236}">
              <a16:creationId xmlns:a16="http://schemas.microsoft.com/office/drawing/2014/main" id="{0FBF30EF-4F85-4892-A74B-FC10BC4FA94A}"/>
            </a:ext>
          </a:extLst>
        </xdr:cNvPr>
        <xdr:cNvCxnSpPr/>
      </xdr:nvCxnSpPr>
      <xdr:spPr>
        <a:xfrm flipH="1">
          <a:off x="3770693" y="55456668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52613</xdr:colOff>
      <xdr:row>304</xdr:row>
      <xdr:rowOff>52613</xdr:rowOff>
    </xdr:from>
    <xdr:to>
      <xdr:col>32</xdr:col>
      <xdr:colOff>10613</xdr:colOff>
      <xdr:row>304</xdr:row>
      <xdr:rowOff>52613</xdr:rowOff>
    </xdr:to>
    <xdr:cxnSp macro="">
      <xdr:nvCxnSpPr>
        <xdr:cNvPr id="694" name="직선 화살표 연결선 693">
          <a:extLst>
            <a:ext uri="{FF2B5EF4-FFF2-40B4-BE49-F238E27FC236}">
              <a16:creationId xmlns:a16="http://schemas.microsoft.com/office/drawing/2014/main" id="{15E1E419-989D-4BB1-862A-793F8BAF3AD0}"/>
            </a:ext>
          </a:extLst>
        </xdr:cNvPr>
        <xdr:cNvCxnSpPr/>
      </xdr:nvCxnSpPr>
      <xdr:spPr>
        <a:xfrm>
          <a:off x="3061303" y="55551613"/>
          <a:ext cx="72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34099</xdr:colOff>
      <xdr:row>303</xdr:row>
      <xdr:rowOff>165698</xdr:rowOff>
    </xdr:from>
    <xdr:ext cx="242759" cy="125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43327410-B18C-4BCD-821A-E13DE9D7648D}"/>
            </a:ext>
          </a:extLst>
        </xdr:cNvPr>
        <xdr:cNvSpPr txBox="1"/>
      </xdr:nvSpPr>
      <xdr:spPr>
        <a:xfrm>
          <a:off x="3296789" y="55480246"/>
          <a:ext cx="24275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14</xdr:col>
      <xdr:colOff>130</xdr:colOff>
      <xdr:row>303</xdr:row>
      <xdr:rowOff>167512</xdr:rowOff>
    </xdr:from>
    <xdr:ext cx="240450" cy="125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4EE191E-6B64-49F9-917A-D8756892D2AF}"/>
            </a:ext>
          </a:extLst>
        </xdr:cNvPr>
        <xdr:cNvSpPr txBox="1"/>
      </xdr:nvSpPr>
      <xdr:spPr>
        <a:xfrm>
          <a:off x="2627820" y="55482060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31</xdr:col>
      <xdr:colOff>59873</xdr:colOff>
      <xdr:row>304</xdr:row>
      <xdr:rowOff>53824</xdr:rowOff>
    </xdr:from>
    <xdr:to>
      <xdr:col>48</xdr:col>
      <xdr:colOff>60373</xdr:colOff>
      <xdr:row>304</xdr:row>
      <xdr:rowOff>53824</xdr:rowOff>
    </xdr:to>
    <xdr:cxnSp macro="">
      <xdr:nvCxnSpPr>
        <xdr:cNvPr id="699" name="직선 화살표 연결선 698">
          <a:extLst>
            <a:ext uri="{FF2B5EF4-FFF2-40B4-BE49-F238E27FC236}">
              <a16:creationId xmlns:a16="http://schemas.microsoft.com/office/drawing/2014/main" id="{E81A79DB-8931-4610-A100-48A39E63B1FD}"/>
            </a:ext>
          </a:extLst>
        </xdr:cNvPr>
        <xdr:cNvCxnSpPr/>
      </xdr:nvCxnSpPr>
      <xdr:spPr>
        <a:xfrm>
          <a:off x="3767063" y="55552824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63500</xdr:colOff>
      <xdr:row>303</xdr:row>
      <xdr:rowOff>145144</xdr:rowOff>
    </xdr:from>
    <xdr:to>
      <xdr:col>49</xdr:col>
      <xdr:colOff>1</xdr:colOff>
      <xdr:row>304</xdr:row>
      <xdr:rowOff>140692</xdr:rowOff>
    </xdr:to>
    <xdr:cxnSp macro="">
      <xdr:nvCxnSpPr>
        <xdr:cNvPr id="700" name="직선 연결선 699">
          <a:extLst>
            <a:ext uri="{FF2B5EF4-FFF2-40B4-BE49-F238E27FC236}">
              <a16:creationId xmlns:a16="http://schemas.microsoft.com/office/drawing/2014/main" id="{9CEEC84C-E0C5-4CED-ADBC-894E4D9707A0}"/>
            </a:ext>
          </a:extLst>
        </xdr:cNvPr>
        <xdr:cNvCxnSpPr/>
      </xdr:nvCxnSpPr>
      <xdr:spPr>
        <a:xfrm flipH="1">
          <a:off x="4850190" y="55459692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63499</xdr:colOff>
      <xdr:row>303</xdr:row>
      <xdr:rowOff>148166</xdr:rowOff>
    </xdr:from>
    <xdr:to>
      <xdr:col>81</xdr:col>
      <xdr:colOff>63500</xdr:colOff>
      <xdr:row>304</xdr:row>
      <xdr:rowOff>143714</xdr:rowOff>
    </xdr:to>
    <xdr:cxnSp macro="">
      <xdr:nvCxnSpPr>
        <xdr:cNvPr id="732" name="직선 연결선 731">
          <a:extLst>
            <a:ext uri="{FF2B5EF4-FFF2-40B4-BE49-F238E27FC236}">
              <a16:creationId xmlns:a16="http://schemas.microsoft.com/office/drawing/2014/main" id="{ACCD758B-1A18-4C2A-A4F2-26B9DD2F41AC}"/>
            </a:ext>
          </a:extLst>
        </xdr:cNvPr>
        <xdr:cNvCxnSpPr/>
      </xdr:nvCxnSpPr>
      <xdr:spPr>
        <a:xfrm flipH="1">
          <a:off x="6945689" y="55462714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63500</xdr:colOff>
      <xdr:row>303</xdr:row>
      <xdr:rowOff>154212</xdr:rowOff>
    </xdr:from>
    <xdr:to>
      <xdr:col>99</xdr:col>
      <xdr:colOff>1</xdr:colOff>
      <xdr:row>304</xdr:row>
      <xdr:rowOff>149760</xdr:rowOff>
    </xdr:to>
    <xdr:cxnSp macro="">
      <xdr:nvCxnSpPr>
        <xdr:cNvPr id="734" name="직선 연결선 733">
          <a:extLst>
            <a:ext uri="{FF2B5EF4-FFF2-40B4-BE49-F238E27FC236}">
              <a16:creationId xmlns:a16="http://schemas.microsoft.com/office/drawing/2014/main" id="{2D3A1377-079F-4C33-9BC5-4C84FFF48B1D}"/>
            </a:ext>
          </a:extLst>
        </xdr:cNvPr>
        <xdr:cNvCxnSpPr/>
      </xdr:nvCxnSpPr>
      <xdr:spPr>
        <a:xfrm flipH="1">
          <a:off x="8025190" y="5546876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61082</xdr:colOff>
      <xdr:row>304</xdr:row>
      <xdr:rowOff>58057</xdr:rowOff>
    </xdr:from>
    <xdr:to>
      <xdr:col>82</xdr:col>
      <xdr:colOff>8082</xdr:colOff>
      <xdr:row>304</xdr:row>
      <xdr:rowOff>58057</xdr:rowOff>
    </xdr:to>
    <xdr:cxnSp macro="">
      <xdr:nvCxnSpPr>
        <xdr:cNvPr id="735" name="직선 화살표 연결선 734">
          <a:extLst>
            <a:ext uri="{FF2B5EF4-FFF2-40B4-BE49-F238E27FC236}">
              <a16:creationId xmlns:a16="http://schemas.microsoft.com/office/drawing/2014/main" id="{CEE1FAAE-2EF4-4B44-83D0-CA5AE16FAA3C}"/>
            </a:ext>
          </a:extLst>
        </xdr:cNvPr>
        <xdr:cNvCxnSpPr/>
      </xdr:nvCxnSpPr>
      <xdr:spPr>
        <a:xfrm>
          <a:off x="4847772" y="55557057"/>
          <a:ext cx="2106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60476</xdr:colOff>
      <xdr:row>304</xdr:row>
      <xdr:rowOff>60476</xdr:rowOff>
    </xdr:from>
    <xdr:to>
      <xdr:col>98</xdr:col>
      <xdr:colOff>60976</xdr:colOff>
      <xdr:row>304</xdr:row>
      <xdr:rowOff>60476</xdr:rowOff>
    </xdr:to>
    <xdr:cxnSp macro="">
      <xdr:nvCxnSpPr>
        <xdr:cNvPr id="742" name="직선 화살표 연결선 741">
          <a:extLst>
            <a:ext uri="{FF2B5EF4-FFF2-40B4-BE49-F238E27FC236}">
              <a16:creationId xmlns:a16="http://schemas.microsoft.com/office/drawing/2014/main" id="{9B442E36-9D89-486B-A974-EC94F5B30763}"/>
            </a:ext>
          </a:extLst>
        </xdr:cNvPr>
        <xdr:cNvCxnSpPr/>
      </xdr:nvCxnSpPr>
      <xdr:spPr>
        <a:xfrm>
          <a:off x="6942666" y="55559476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61686</xdr:colOff>
      <xdr:row>304</xdr:row>
      <xdr:rowOff>61685</xdr:rowOff>
    </xdr:from>
    <xdr:to>
      <xdr:col>123</xdr:col>
      <xdr:colOff>58186</xdr:colOff>
      <xdr:row>304</xdr:row>
      <xdr:rowOff>61685</xdr:rowOff>
    </xdr:to>
    <xdr:cxnSp macro="">
      <xdr:nvCxnSpPr>
        <xdr:cNvPr id="746" name="직선 화살표 연결선 745">
          <a:extLst>
            <a:ext uri="{FF2B5EF4-FFF2-40B4-BE49-F238E27FC236}">
              <a16:creationId xmlns:a16="http://schemas.microsoft.com/office/drawing/2014/main" id="{D0C8EA0D-928E-495A-8F74-E3E1A482B8CD}"/>
            </a:ext>
          </a:extLst>
        </xdr:cNvPr>
        <xdr:cNvCxnSpPr/>
      </xdr:nvCxnSpPr>
      <xdr:spPr>
        <a:xfrm>
          <a:off x="8023376" y="55560685"/>
          <a:ext cx="158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6948</xdr:colOff>
      <xdr:row>303</xdr:row>
      <xdr:rowOff>172360</xdr:rowOff>
    </xdr:from>
    <xdr:ext cx="285784" cy="125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B195BF9-6750-4765-A0DD-823944466CC6}"/>
            </a:ext>
          </a:extLst>
        </xdr:cNvPr>
        <xdr:cNvSpPr txBox="1"/>
      </xdr:nvSpPr>
      <xdr:spPr>
        <a:xfrm>
          <a:off x="4158638" y="5548690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87</xdr:col>
      <xdr:colOff>52402</xdr:colOff>
      <xdr:row>303</xdr:row>
      <xdr:rowOff>172361</xdr:rowOff>
    </xdr:from>
    <xdr:ext cx="285784" cy="125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2CD9F3B-16F1-4075-BFB0-B0E26862291E}"/>
            </a:ext>
          </a:extLst>
        </xdr:cNvPr>
        <xdr:cNvSpPr txBox="1"/>
      </xdr:nvSpPr>
      <xdr:spPr>
        <a:xfrm>
          <a:off x="7315592" y="5548690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62</xdr:col>
      <xdr:colOff>1807</xdr:colOff>
      <xdr:row>303</xdr:row>
      <xdr:rowOff>175451</xdr:rowOff>
    </xdr:from>
    <xdr:ext cx="340094" cy="125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D447B24C-AD1B-42E4-BE51-42FB08C9F7EA}"/>
            </a:ext>
          </a:extLst>
        </xdr:cNvPr>
        <xdr:cNvSpPr txBox="1"/>
      </xdr:nvSpPr>
      <xdr:spPr>
        <a:xfrm>
          <a:off x="5677497" y="5548999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109</xdr:col>
      <xdr:colOff>31499</xdr:colOff>
      <xdr:row>303</xdr:row>
      <xdr:rowOff>170162</xdr:rowOff>
    </xdr:from>
    <xdr:ext cx="340094" cy="125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ED270427-77B0-46EF-9701-60B358B6129C}"/>
            </a:ext>
          </a:extLst>
        </xdr:cNvPr>
        <xdr:cNvSpPr txBox="1"/>
      </xdr:nvSpPr>
      <xdr:spPr>
        <a:xfrm>
          <a:off x="8691689" y="554847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1</xdr:col>
      <xdr:colOff>828524</xdr:colOff>
      <xdr:row>305</xdr:row>
      <xdr:rowOff>142120</xdr:rowOff>
    </xdr:from>
    <xdr:ext cx="368819" cy="140872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ECB400BC-167B-4D0A-AA83-8666F77D29F0}"/>
            </a:ext>
          </a:extLst>
        </xdr:cNvPr>
        <xdr:cNvSpPr txBox="1"/>
      </xdr:nvSpPr>
      <xdr:spPr>
        <a:xfrm>
          <a:off x="1481667" y="558255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535214</xdr:colOff>
      <xdr:row>306</xdr:row>
      <xdr:rowOff>63500</xdr:rowOff>
    </xdr:from>
    <xdr:ext cx="200055" cy="125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DF629B8D-B026-45C3-81C7-95723587A942}"/>
            </a:ext>
          </a:extLst>
        </xdr:cNvPr>
        <xdr:cNvSpPr txBox="1"/>
      </xdr:nvSpPr>
      <xdr:spPr>
        <a:xfrm>
          <a:off x="1188357" y="5575602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539447</xdr:colOff>
      <xdr:row>308</xdr:row>
      <xdr:rowOff>64709</xdr:rowOff>
    </xdr:from>
    <xdr:ext cx="200055" cy="125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E46ADC6-CFFE-4EE8-8465-6DD9A5EA5F25}"/>
            </a:ext>
          </a:extLst>
        </xdr:cNvPr>
        <xdr:cNvSpPr txBox="1"/>
      </xdr:nvSpPr>
      <xdr:spPr>
        <a:xfrm>
          <a:off x="1192590" y="5593261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310</xdr:row>
      <xdr:rowOff>68942</xdr:rowOff>
    </xdr:from>
    <xdr:ext cx="200055" cy="125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87C2399D-63D4-44BA-B610-FB732EE97498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392944</xdr:colOff>
      <xdr:row>317</xdr:row>
      <xdr:rowOff>35946</xdr:rowOff>
    </xdr:from>
    <xdr:ext cx="607474" cy="125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67A00C00-8310-4646-AFEE-56801915C8FE}"/>
            </a:ext>
          </a:extLst>
        </xdr:cNvPr>
        <xdr:cNvSpPr txBox="1"/>
      </xdr:nvSpPr>
      <xdr:spPr>
        <a:xfrm>
          <a:off x="392944" y="56654134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312</xdr:row>
      <xdr:rowOff>68942</xdr:rowOff>
    </xdr:from>
    <xdr:ext cx="200055" cy="125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667098F6-D49C-4800-8CA8-2157D135F501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63500</xdr:colOff>
      <xdr:row>323</xdr:row>
      <xdr:rowOff>48383</xdr:rowOff>
    </xdr:from>
    <xdr:to>
      <xdr:col>39</xdr:col>
      <xdr:colOff>1</xdr:colOff>
      <xdr:row>324</xdr:row>
      <xdr:rowOff>151930</xdr:rowOff>
    </xdr:to>
    <xdr:cxnSp macro="">
      <xdr:nvCxnSpPr>
        <xdr:cNvPr id="780" name="직선 연결선 779">
          <a:extLst>
            <a:ext uri="{FF2B5EF4-FFF2-40B4-BE49-F238E27FC236}">
              <a16:creationId xmlns:a16="http://schemas.microsoft.com/office/drawing/2014/main" id="{5C8E58F8-6B74-4E3C-8841-15F2D0A61C06}"/>
            </a:ext>
          </a:extLst>
        </xdr:cNvPr>
        <xdr:cNvCxnSpPr/>
      </xdr:nvCxnSpPr>
      <xdr:spPr>
        <a:xfrm flipH="1">
          <a:off x="4151690" y="57540073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59870</xdr:colOff>
      <xdr:row>324</xdr:row>
      <xdr:rowOff>87085</xdr:rowOff>
    </xdr:from>
    <xdr:to>
      <xdr:col>101</xdr:col>
      <xdr:colOff>62370</xdr:colOff>
      <xdr:row>324</xdr:row>
      <xdr:rowOff>87085</xdr:rowOff>
    </xdr:to>
    <xdr:cxnSp macro="">
      <xdr:nvCxnSpPr>
        <xdr:cNvPr id="781" name="직선 화살표 연결선 780">
          <a:extLst>
            <a:ext uri="{FF2B5EF4-FFF2-40B4-BE49-F238E27FC236}">
              <a16:creationId xmlns:a16="http://schemas.microsoft.com/office/drawing/2014/main" id="{3EED9A35-694A-4128-ABAA-9AD18DE0AEF1}"/>
            </a:ext>
          </a:extLst>
        </xdr:cNvPr>
        <xdr:cNvCxnSpPr/>
      </xdr:nvCxnSpPr>
      <xdr:spPr>
        <a:xfrm>
          <a:off x="7323060" y="57763228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1210</xdr:colOff>
      <xdr:row>323</xdr:row>
      <xdr:rowOff>43542</xdr:rowOff>
    </xdr:from>
    <xdr:to>
      <xdr:col>89</xdr:col>
      <xdr:colOff>1211</xdr:colOff>
      <xdr:row>324</xdr:row>
      <xdr:rowOff>147089</xdr:rowOff>
    </xdr:to>
    <xdr:cxnSp macro="">
      <xdr:nvCxnSpPr>
        <xdr:cNvPr id="802" name="직선 연결선 801">
          <a:extLst>
            <a:ext uri="{FF2B5EF4-FFF2-40B4-BE49-F238E27FC236}">
              <a16:creationId xmlns:a16="http://schemas.microsoft.com/office/drawing/2014/main" id="{E6870245-C4CC-49A5-B3DF-78BE153890B6}"/>
            </a:ext>
          </a:extLst>
        </xdr:cNvPr>
        <xdr:cNvCxnSpPr/>
      </xdr:nvCxnSpPr>
      <xdr:spPr>
        <a:xfrm flipH="1">
          <a:off x="7327900" y="57535232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1211</xdr:colOff>
      <xdr:row>317</xdr:row>
      <xdr:rowOff>67923</xdr:rowOff>
    </xdr:from>
    <xdr:to>
      <xdr:col>31</xdr:col>
      <xdr:colOff>1211</xdr:colOff>
      <xdr:row>319</xdr:row>
      <xdr:rowOff>134798</xdr:rowOff>
    </xdr:to>
    <xdr:cxnSp macro="">
      <xdr:nvCxnSpPr>
        <xdr:cNvPr id="820" name="직선 연결선 819">
          <a:extLst>
            <a:ext uri="{FF2B5EF4-FFF2-40B4-BE49-F238E27FC236}">
              <a16:creationId xmlns:a16="http://schemas.microsoft.com/office/drawing/2014/main" id="{0C2173FE-85A7-4C86-BC88-C9062C2D335F}"/>
            </a:ext>
          </a:extLst>
        </xdr:cNvPr>
        <xdr:cNvCxnSpPr/>
      </xdr:nvCxnSpPr>
      <xdr:spPr>
        <a:xfrm>
          <a:off x="3704055" y="56686111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53823</xdr:colOff>
      <xdr:row>319</xdr:row>
      <xdr:rowOff>71782</xdr:rowOff>
    </xdr:from>
    <xdr:to>
      <xdr:col>31</xdr:col>
      <xdr:colOff>15119</xdr:colOff>
      <xdr:row>319</xdr:row>
      <xdr:rowOff>72387</xdr:rowOff>
    </xdr:to>
    <xdr:cxnSp macro="">
      <xdr:nvCxnSpPr>
        <xdr:cNvPr id="824" name="직선 화살표 연결선 823">
          <a:extLst>
            <a:ext uri="{FF2B5EF4-FFF2-40B4-BE49-F238E27FC236}">
              <a16:creationId xmlns:a16="http://schemas.microsoft.com/office/drawing/2014/main" id="{333B1D15-ADB6-44B6-A744-F9E35EA337F1}"/>
            </a:ext>
          </a:extLst>
        </xdr:cNvPr>
        <xdr:cNvCxnSpPr/>
      </xdr:nvCxnSpPr>
      <xdr:spPr>
        <a:xfrm>
          <a:off x="2804167" y="57055095"/>
          <a:ext cx="913796" cy="605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62897</xdr:colOff>
      <xdr:row>318</xdr:row>
      <xdr:rowOff>33980</xdr:rowOff>
    </xdr:from>
    <xdr:to>
      <xdr:col>16</xdr:col>
      <xdr:colOff>62897</xdr:colOff>
      <xdr:row>319</xdr:row>
      <xdr:rowOff>176090</xdr:rowOff>
    </xdr:to>
    <xdr:cxnSp macro="">
      <xdr:nvCxnSpPr>
        <xdr:cNvPr id="874" name="직선 연결선 873">
          <a:extLst>
            <a:ext uri="{FF2B5EF4-FFF2-40B4-BE49-F238E27FC236}">
              <a16:creationId xmlns:a16="http://schemas.microsoft.com/office/drawing/2014/main" id="{5006E333-B615-41F4-84FE-53397926579C}"/>
            </a:ext>
          </a:extLst>
        </xdr:cNvPr>
        <xdr:cNvCxnSpPr/>
      </xdr:nvCxnSpPr>
      <xdr:spPr>
        <a:xfrm>
          <a:off x="2813241" y="56834730"/>
          <a:ext cx="0" cy="32467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18592</xdr:colOff>
      <xdr:row>324</xdr:row>
      <xdr:rowOff>19091</xdr:rowOff>
    </xdr:from>
    <xdr:ext cx="351698" cy="125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B68F3CA7-8508-4012-B9A2-A509FEFB1C1C}"/>
            </a:ext>
          </a:extLst>
        </xdr:cNvPr>
        <xdr:cNvSpPr txBox="1"/>
      </xdr:nvSpPr>
      <xdr:spPr>
        <a:xfrm>
          <a:off x="4419936" y="57915216"/>
          <a:ext cx="351698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sv_mask</a:t>
          </a:r>
        </a:p>
      </xdr:txBody>
    </xdr:sp>
    <xdr:clientData/>
  </xdr:oneCellAnchor>
  <xdr:oneCellAnchor>
    <xdr:from>
      <xdr:col>21</xdr:col>
      <xdr:colOff>9961</xdr:colOff>
      <xdr:row>318</xdr:row>
      <xdr:rowOff>180566</xdr:rowOff>
    </xdr:from>
    <xdr:ext cx="306366" cy="125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49B373-F664-4073-9B86-9632E753DA24}"/>
            </a:ext>
          </a:extLst>
        </xdr:cNvPr>
        <xdr:cNvSpPr txBox="1"/>
      </xdr:nvSpPr>
      <xdr:spPr>
        <a:xfrm>
          <a:off x="3077805" y="56981316"/>
          <a:ext cx="3063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v_mask</a:t>
          </a:r>
        </a:p>
      </xdr:txBody>
    </xdr:sp>
    <xdr:clientData/>
  </xdr:oneCellAnchor>
  <xdr:twoCellAnchor>
    <xdr:from>
      <xdr:col>30</xdr:col>
      <xdr:colOff>31172</xdr:colOff>
      <xdr:row>317</xdr:row>
      <xdr:rowOff>111695</xdr:rowOff>
    </xdr:from>
    <xdr:to>
      <xdr:col>31</xdr:col>
      <xdr:colOff>39672</xdr:colOff>
      <xdr:row>317</xdr:row>
      <xdr:rowOff>189743</xdr:rowOff>
    </xdr:to>
    <xdr:sp macro="" textlink="">
      <xdr:nvSpPr>
        <xdr:cNvPr id="932" name="이등변 삼각형 931">
          <a:extLst>
            <a:ext uri="{FF2B5EF4-FFF2-40B4-BE49-F238E27FC236}">
              <a16:creationId xmlns:a16="http://schemas.microsoft.com/office/drawing/2014/main" id="{329672FF-2625-0986-EB47-78C2624E913E}"/>
            </a:ext>
          </a:extLst>
        </xdr:cNvPr>
        <xdr:cNvSpPr/>
      </xdr:nvSpPr>
      <xdr:spPr>
        <a:xfrm rot="10800000">
          <a:off x="3739118" y="58744874"/>
          <a:ext cx="76536" cy="78048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531585</xdr:colOff>
      <xdr:row>314</xdr:row>
      <xdr:rowOff>68942</xdr:rowOff>
    </xdr:from>
    <xdr:ext cx="200055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C82EDF-1CF6-4F37-859C-3548021817A9}"/>
            </a:ext>
          </a:extLst>
        </xdr:cNvPr>
        <xdr:cNvSpPr txBox="1"/>
      </xdr:nvSpPr>
      <xdr:spPr>
        <a:xfrm>
          <a:off x="1191531" y="58348335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378657</xdr:colOff>
      <xdr:row>318</xdr:row>
      <xdr:rowOff>37533</xdr:rowOff>
    </xdr:from>
    <xdr:ext cx="607474" cy="125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83FB437-D061-46D1-92ED-6F521CE26CDB}"/>
            </a:ext>
          </a:extLst>
        </xdr:cNvPr>
        <xdr:cNvSpPr txBox="1"/>
      </xdr:nvSpPr>
      <xdr:spPr>
        <a:xfrm>
          <a:off x="378657" y="56838283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SGRJT_EN2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0</xdr:col>
      <xdr:colOff>380245</xdr:colOff>
      <xdr:row>308</xdr:row>
      <xdr:rowOff>70871</xdr:rowOff>
    </xdr:from>
    <xdr:ext cx="795411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9EE8BE7-CE9E-4D6B-8E3A-B6753E046128}"/>
            </a:ext>
          </a:extLst>
        </xdr:cNvPr>
        <xdr:cNvSpPr txBox="1"/>
      </xdr:nvSpPr>
      <xdr:spPr>
        <a:xfrm>
          <a:off x="380245" y="55903246"/>
          <a:ext cx="795411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SGRJT_EN1/2=0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</xdr:col>
      <xdr:colOff>0</xdr:colOff>
      <xdr:row>260</xdr:row>
      <xdr:rowOff>5953</xdr:rowOff>
    </xdr:from>
    <xdr:ext cx="340094" cy="125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4C8EE8D-6A17-464F-9BD2-916CDD468F20}"/>
            </a:ext>
          </a:extLst>
        </xdr:cNvPr>
        <xdr:cNvSpPr txBox="1"/>
      </xdr:nvSpPr>
      <xdr:spPr>
        <a:xfrm>
          <a:off x="2190750" y="4750593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4</xdr:col>
      <xdr:colOff>11907</xdr:colOff>
      <xdr:row>325</xdr:row>
      <xdr:rowOff>142875</xdr:rowOff>
    </xdr:from>
    <xdr:ext cx="3301481" cy="32014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60BE9F4-3C37-41FC-B6E4-28D05B26CE88}"/>
            </a:ext>
          </a:extLst>
        </xdr:cNvPr>
        <xdr:cNvSpPr txBox="1"/>
      </xdr:nvSpPr>
      <xdr:spPr>
        <a:xfrm>
          <a:off x="2000251" y="58221563"/>
          <a:ext cx="3301481" cy="3201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>
              <a:solidFill>
                <a:schemeClr val="bg1"/>
              </a:solidFill>
              <a:latin typeface="+mn-lt"/>
            </a:rPr>
            <a:t>VSYNC</a:t>
          </a:r>
          <a:r>
            <a:rPr lang="en-US" altLang="ko-KR" sz="1000" baseline="0">
              <a:solidFill>
                <a:schemeClr val="bg1"/>
              </a:solidFill>
              <a:latin typeface="+mn-lt"/>
            </a:rPr>
            <a:t> -&gt; SVSYNC 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기점으로 </a:t>
          </a:r>
          <a:r>
            <a:rPr lang="en-US" altLang="ko-KR" sz="1000" baseline="0">
              <a:solidFill>
                <a:schemeClr val="bg1"/>
              </a:solidFill>
              <a:latin typeface="+mn-lt"/>
            </a:rPr>
            <a:t>NEW DIMMING 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시작</a:t>
          </a:r>
          <a:endParaRPr lang="ko-KR" altLang="en-US" sz="100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56</xdr:col>
      <xdr:colOff>50347</xdr:colOff>
      <xdr:row>325</xdr:row>
      <xdr:rowOff>136524</xdr:rowOff>
    </xdr:from>
    <xdr:ext cx="3308349" cy="142269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6ECC8E2-D919-453C-A297-CAC4FABA8443}"/>
            </a:ext>
          </a:extLst>
        </xdr:cNvPr>
        <xdr:cNvSpPr txBox="1"/>
      </xdr:nvSpPr>
      <xdr:spPr>
        <a:xfrm>
          <a:off x="5338990" y="59014631"/>
          <a:ext cx="3308349" cy="142269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000">
              <a:solidFill>
                <a:schemeClr val="bg1"/>
              </a:solidFill>
              <a:latin typeface="+mn-lt"/>
            </a:rPr>
            <a:t>1. VSYNC </a:t>
          </a:r>
          <a:r>
            <a:rPr lang="ko-KR" altLang="en-US" sz="1000">
              <a:solidFill>
                <a:schemeClr val="bg1"/>
              </a:solidFill>
              <a:latin typeface="+mn-lt"/>
            </a:rPr>
            <a:t>감지 조건에서는 무조건 </a:t>
          </a:r>
          <a:r>
            <a:rPr lang="en-US" altLang="ko-KR" sz="1000">
              <a:solidFill>
                <a:schemeClr val="bg1"/>
              </a:solidFill>
              <a:latin typeface="+mn-lt"/>
            </a:rPr>
            <a:t>vsync </a:t>
          </a:r>
          <a:r>
            <a:rPr lang="ko-KR" altLang="en-US" sz="1000">
              <a:solidFill>
                <a:schemeClr val="bg1"/>
              </a:solidFill>
              <a:latin typeface="+mn-lt"/>
            </a:rPr>
            <a:t>발생</a:t>
          </a:r>
          <a:endParaRPr lang="en-US" altLang="ko-KR" sz="1000">
            <a:solidFill>
              <a:schemeClr val="bg1"/>
            </a:solidFill>
            <a:latin typeface="+mn-lt"/>
          </a:endParaRPr>
        </a:p>
        <a:p>
          <a:r>
            <a:rPr lang="en-US" altLang="ko-KR" sz="1000">
              <a:solidFill>
                <a:schemeClr val="bg1"/>
              </a:solidFill>
              <a:latin typeface="+mn-lt"/>
            </a:rPr>
            <a:t>2. vsync</a:t>
          </a:r>
          <a:r>
            <a:rPr lang="en-US" altLang="ko-KR" sz="1000" baseline="0">
              <a:solidFill>
                <a:schemeClr val="bg1"/>
              </a:solidFill>
              <a:latin typeface="+mn-lt"/>
            </a:rPr>
            <a:t> 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발생 후부터는 </a:t>
          </a:r>
          <a:r>
            <a:rPr lang="en-US" altLang="ko-KR" sz="1000" baseline="0">
              <a:solidFill>
                <a:schemeClr val="bg1"/>
              </a:solidFill>
              <a:latin typeface="+mn-lt"/>
            </a:rPr>
            <a:t>rising/falling 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발생을 </a:t>
          </a:r>
          <a:r>
            <a:rPr lang="en-US" altLang="ko-KR" sz="1000" baseline="0">
              <a:solidFill>
                <a:schemeClr val="bg1"/>
              </a:solidFill>
              <a:latin typeface="+mn-lt"/>
            </a:rPr>
            <a:t>sv_no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만큼 생성</a:t>
          </a:r>
          <a:endParaRPr lang="en-US" altLang="ko-KR" sz="1000" baseline="0">
            <a:solidFill>
              <a:schemeClr val="bg1"/>
            </a:solidFill>
            <a:latin typeface="+mn-lt"/>
          </a:endParaRPr>
        </a:p>
        <a:p>
          <a:r>
            <a:rPr lang="en-US" altLang="ko-KR" sz="1000" baseline="0">
              <a:solidFill>
                <a:schemeClr val="bg1"/>
              </a:solidFill>
              <a:latin typeface="+mn-lt"/>
            </a:rPr>
            <a:t>      - 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넘으면 발생 중단</a:t>
          </a:r>
          <a:endParaRPr lang="en-US" altLang="ko-KR" sz="1000" baseline="0">
            <a:solidFill>
              <a:schemeClr val="bg1"/>
            </a:solidFill>
            <a:latin typeface="+mn-lt"/>
          </a:endParaRPr>
        </a:p>
        <a:p>
          <a:r>
            <a:rPr lang="en-US" altLang="ko-KR" sz="1000" baseline="0">
              <a:solidFill>
                <a:schemeClr val="bg1"/>
              </a:solidFill>
              <a:latin typeface="+mn-lt"/>
            </a:rPr>
            <a:t>      - 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모자란데 </a:t>
          </a:r>
          <a:r>
            <a:rPr lang="en-US" altLang="ko-KR" sz="1000" baseline="0">
              <a:solidFill>
                <a:schemeClr val="bg1"/>
              </a:solidFill>
              <a:latin typeface="+mn-lt"/>
            </a:rPr>
            <a:t>vsync 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발생하면 다시 시작</a:t>
          </a:r>
          <a:endParaRPr lang="en-US" altLang="ko-KR" sz="1000" baseline="0">
            <a:solidFill>
              <a:schemeClr val="bg1"/>
            </a:solidFill>
            <a:latin typeface="+mn-lt"/>
          </a:endParaRPr>
        </a:p>
        <a:p>
          <a:r>
            <a:rPr lang="en-US" altLang="ko-KR" sz="1000" baseline="0">
              <a:solidFill>
                <a:schemeClr val="bg1"/>
              </a:solidFill>
              <a:latin typeface="+mn-lt"/>
            </a:rPr>
            <a:t>      - SV_MASK_EN 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은 </a:t>
          </a:r>
          <a:r>
            <a:rPr lang="en-US" altLang="ko-KR" sz="1000" baseline="0">
              <a:solidFill>
                <a:schemeClr val="bg1"/>
              </a:solidFill>
              <a:latin typeface="+mn-lt"/>
            </a:rPr>
            <a:t>falling 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감지 조건임</a:t>
          </a:r>
          <a:endParaRPr lang="en-US" altLang="ko-KR" sz="1000" baseline="0">
            <a:solidFill>
              <a:schemeClr val="bg1"/>
            </a:solidFill>
            <a:latin typeface="+mn-lt"/>
          </a:endParaRPr>
        </a:p>
        <a:p>
          <a:r>
            <a:rPr lang="en-US" altLang="ko-KR" sz="1000" baseline="0">
              <a:solidFill>
                <a:schemeClr val="bg1"/>
              </a:solidFill>
              <a:latin typeface="+mn-lt"/>
            </a:rPr>
            <a:t>      - SV_MASK_EN disable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이면 </a:t>
          </a:r>
          <a:r>
            <a:rPr lang="en-US" altLang="ko-KR" sz="1000" baseline="0">
              <a:solidFill>
                <a:schemeClr val="bg1"/>
              </a:solidFill>
              <a:latin typeface="+mn-lt"/>
            </a:rPr>
            <a:t>rising/falling</a:t>
          </a:r>
          <a:r>
            <a:rPr lang="ko-KR" altLang="en-US" sz="1000" baseline="0">
              <a:solidFill>
                <a:schemeClr val="bg1"/>
              </a:solidFill>
              <a:latin typeface="+mn-lt"/>
            </a:rPr>
            <a:t>에 따라 발생</a:t>
          </a:r>
          <a:endParaRPr lang="ko-KR" altLang="en-US" sz="100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124</xdr:col>
      <xdr:colOff>89922</xdr:colOff>
      <xdr:row>303</xdr:row>
      <xdr:rowOff>144881</xdr:rowOff>
    </xdr:from>
    <xdr:ext cx="3085078" cy="152047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B422215-13F1-43E4-8CC7-B72157742F3F}"/>
            </a:ext>
          </a:extLst>
        </xdr:cNvPr>
        <xdr:cNvSpPr txBox="1"/>
      </xdr:nvSpPr>
      <xdr:spPr>
        <a:xfrm>
          <a:off x="9695740" y="55672745"/>
          <a:ext cx="3085078" cy="152047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 anchorCtr="0">
          <a:spAutoFit/>
        </a:bodyPr>
        <a:lstStyle/>
        <a:p>
          <a:r>
            <a:rPr lang="en-US" altLang="ko-KR" sz="1000" b="0" u="none" baseline="0">
              <a:solidFill>
                <a:schemeClr val="bg1"/>
              </a:solidFill>
              <a:latin typeface="+mn-lt"/>
            </a:rPr>
            <a:t>1.  svo_on decision</a:t>
          </a:r>
        </a:p>
        <a:p>
          <a:r>
            <a:rPr lang="en-US" altLang="ko-KR" sz="1000" b="0" u="none" baseline="0">
              <a:solidFill>
                <a:schemeClr val="bg1"/>
              </a:solidFill>
              <a:latin typeface="+mn-lt"/>
            </a:rPr>
            <a:t>2.  sv_mark = svo_on * 90% @ 100hz</a:t>
          </a:r>
        </a:p>
        <a:p>
          <a:r>
            <a:rPr lang="en-US" altLang="ko-KR" sz="1000" b="0" u="none" baseline="0">
              <a:solidFill>
                <a:schemeClr val="bg1"/>
              </a:solidFill>
              <a:latin typeface="+mn-lt"/>
            </a:rPr>
            <a:t>3.  v_mask time @ 100hz = sv_mask time @ 120hz * 85%</a:t>
          </a:r>
        </a:p>
        <a:p>
          <a:r>
            <a:rPr lang="en-US" altLang="ko-KR" sz="1000" b="0" u="none" baseline="0">
              <a:solidFill>
                <a:schemeClr val="bg1"/>
              </a:solidFill>
              <a:latin typeface="+mn-lt"/>
            </a:rPr>
            <a:t>4.  vsync =  v_mask time @ 120hz * 90%</a:t>
          </a:r>
        </a:p>
        <a:p>
          <a:endParaRPr lang="en-US" altLang="ko-KR" sz="1000" b="0" u="none" baseline="0">
            <a:solidFill>
              <a:schemeClr val="bg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bg1"/>
              </a:solidFill>
              <a:latin typeface="+mn-lt"/>
            </a:rPr>
            <a:t>* </a:t>
          </a:r>
          <a:r>
            <a:rPr lang="ko-KR" altLang="en-US" sz="1000" b="0" u="none" baseline="0">
              <a:solidFill>
                <a:schemeClr val="bg1"/>
              </a:solidFill>
              <a:latin typeface="+mn-lt"/>
            </a:rPr>
            <a:t>설정값이 여의치 않은 경우</a:t>
          </a:r>
          <a:endParaRPr lang="en-US" altLang="ko-KR" sz="1000" b="0" u="none" baseline="0">
            <a:solidFill>
              <a:schemeClr val="bg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bg1"/>
              </a:solidFill>
              <a:latin typeface="+mn-lt"/>
            </a:rPr>
            <a:t>     - sv_mask_en : disable </a:t>
          </a:r>
          <a:r>
            <a:rPr lang="ko-KR" altLang="en-US" sz="1000" b="0" u="none" baseline="0">
              <a:solidFill>
                <a:schemeClr val="bg1"/>
              </a:solidFill>
              <a:latin typeface="+mn-lt"/>
            </a:rPr>
            <a:t>또는</a:t>
          </a:r>
          <a:endParaRPr lang="en-US" altLang="ko-KR" sz="1000" b="0" u="none" baseline="0">
            <a:solidFill>
              <a:schemeClr val="bg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bg1"/>
              </a:solidFill>
              <a:latin typeface="+mn-lt"/>
            </a:rPr>
            <a:t>     - sync_mode = 0 </a:t>
          </a:r>
          <a:r>
            <a:rPr lang="ko-KR" altLang="en-US" sz="1000" b="0" u="none" baseline="0">
              <a:solidFill>
                <a:schemeClr val="bg1"/>
              </a:solidFill>
              <a:latin typeface="+mn-lt"/>
            </a:rPr>
            <a:t>로 설정</a:t>
          </a:r>
          <a:endParaRPr lang="en-US" altLang="ko-KR" sz="1000" b="0" u="none" baseline="0">
            <a:solidFill>
              <a:schemeClr val="bg1"/>
            </a:solidFill>
            <a:latin typeface="+mn-lt"/>
          </a:endParaRPr>
        </a:p>
      </xdr:txBody>
    </xdr:sp>
    <xdr:clientData/>
  </xdr:oneCellAnchor>
  <xdr:twoCellAnchor>
    <xdr:from>
      <xdr:col>7</xdr:col>
      <xdr:colOff>2711</xdr:colOff>
      <xdr:row>342</xdr:row>
      <xdr:rowOff>95665</xdr:rowOff>
    </xdr:from>
    <xdr:to>
      <xdr:col>15</xdr:col>
      <xdr:colOff>3090</xdr:colOff>
      <xdr:row>342</xdr:row>
      <xdr:rowOff>95665</xdr:rowOff>
    </xdr:to>
    <xdr:cxnSp macro="">
      <xdr:nvCxnSpPr>
        <xdr:cNvPr id="261" name="직선 화살표 연결선 260">
          <a:extLst>
            <a:ext uri="{FF2B5EF4-FFF2-40B4-BE49-F238E27FC236}">
              <a16:creationId xmlns:a16="http://schemas.microsoft.com/office/drawing/2014/main" id="{7EE5BCCF-BF91-468B-A933-312C2CAE2E44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24765</xdr:colOff>
      <xdr:row>342</xdr:row>
      <xdr:rowOff>28932</xdr:rowOff>
    </xdr:from>
    <xdr:ext cx="240450" cy="125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5F1DA0D2-6860-4D92-A1FA-C6D287C5E675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760409</xdr:colOff>
      <xdr:row>342</xdr:row>
      <xdr:rowOff>158464</xdr:rowOff>
    </xdr:from>
    <xdr:ext cx="430952" cy="140872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61128C19-5BB7-4E46-B986-482F6C6150B2}"/>
            </a:ext>
          </a:extLst>
        </xdr:cNvPr>
        <xdr:cNvSpPr txBox="1"/>
      </xdr:nvSpPr>
      <xdr:spPr>
        <a:xfrm>
          <a:off x="1414568" y="61613873"/>
          <a:ext cx="43095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(xdd  RSI)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</xdr:col>
      <xdr:colOff>782</xdr:colOff>
      <xdr:row>341</xdr:row>
      <xdr:rowOff>19081</xdr:rowOff>
    </xdr:from>
    <xdr:to>
      <xdr:col>7</xdr:col>
      <xdr:colOff>783</xdr:colOff>
      <xdr:row>341</xdr:row>
      <xdr:rowOff>157144</xdr:rowOff>
    </xdr:to>
    <xdr:cxnSp macro="">
      <xdr:nvCxnSpPr>
        <xdr:cNvPr id="574" name="직선 연결선 573">
          <a:extLst>
            <a:ext uri="{FF2B5EF4-FFF2-40B4-BE49-F238E27FC236}">
              <a16:creationId xmlns:a16="http://schemas.microsoft.com/office/drawing/2014/main" id="{C69D3FC8-E216-46C4-8B98-AFF239C68083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62952</xdr:colOff>
      <xdr:row>343</xdr:row>
      <xdr:rowOff>43797</xdr:rowOff>
    </xdr:from>
    <xdr:to>
      <xdr:col>14</xdr:col>
      <xdr:colOff>62952</xdr:colOff>
      <xdr:row>347</xdr:row>
      <xdr:rowOff>174262</xdr:rowOff>
    </xdr:to>
    <xdr:cxnSp macro="">
      <xdr:nvCxnSpPr>
        <xdr:cNvPr id="769" name="직선 연결선 768">
          <a:extLst>
            <a:ext uri="{FF2B5EF4-FFF2-40B4-BE49-F238E27FC236}">
              <a16:creationId xmlns:a16="http://schemas.microsoft.com/office/drawing/2014/main" id="{A51E0B7A-A84C-40D8-A92B-2F659DF71800}"/>
            </a:ext>
          </a:extLst>
        </xdr:cNvPr>
        <xdr:cNvCxnSpPr/>
      </xdr:nvCxnSpPr>
      <xdr:spPr>
        <a:xfrm>
          <a:off x="2679590" y="6168259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62077</xdr:colOff>
      <xdr:row>343</xdr:row>
      <xdr:rowOff>42914</xdr:rowOff>
    </xdr:from>
    <xdr:to>
      <xdr:col>6</xdr:col>
      <xdr:colOff>62077</xdr:colOff>
      <xdr:row>349</xdr:row>
      <xdr:rowOff>130612</xdr:rowOff>
    </xdr:to>
    <xdr:cxnSp macro="">
      <xdr:nvCxnSpPr>
        <xdr:cNvPr id="817" name="직선 연결선 816">
          <a:extLst>
            <a:ext uri="{FF2B5EF4-FFF2-40B4-BE49-F238E27FC236}">
              <a16:creationId xmlns:a16="http://schemas.microsoft.com/office/drawing/2014/main" id="{930BA603-A3FA-406B-8D09-289A5E9BA2C0}"/>
            </a:ext>
          </a:extLst>
        </xdr:cNvPr>
        <xdr:cNvCxnSpPr/>
      </xdr:nvCxnSpPr>
      <xdr:spPr>
        <a:xfrm>
          <a:off x="2175094" y="61681707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2711</xdr:colOff>
      <xdr:row>342</xdr:row>
      <xdr:rowOff>95665</xdr:rowOff>
    </xdr:from>
    <xdr:to>
      <xdr:col>88</xdr:col>
      <xdr:colOff>3090</xdr:colOff>
      <xdr:row>342</xdr:row>
      <xdr:rowOff>95665</xdr:rowOff>
    </xdr:to>
    <xdr:cxnSp macro="">
      <xdr:nvCxnSpPr>
        <xdr:cNvPr id="821" name="직선 화살표 연결선 820">
          <a:extLst>
            <a:ext uri="{FF2B5EF4-FFF2-40B4-BE49-F238E27FC236}">
              <a16:creationId xmlns:a16="http://schemas.microsoft.com/office/drawing/2014/main" id="{65BC9855-87ED-4BD7-B113-209A9F228276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82</xdr:col>
      <xdr:colOff>24765</xdr:colOff>
      <xdr:row>342</xdr:row>
      <xdr:rowOff>28932</xdr:rowOff>
    </xdr:from>
    <xdr:ext cx="240450" cy="125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24734F60-6A18-4C44-B033-50A490F32260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782</xdr:colOff>
      <xdr:row>341</xdr:row>
      <xdr:rowOff>19081</xdr:rowOff>
    </xdr:from>
    <xdr:to>
      <xdr:col>80</xdr:col>
      <xdr:colOff>783</xdr:colOff>
      <xdr:row>341</xdr:row>
      <xdr:rowOff>157144</xdr:rowOff>
    </xdr:to>
    <xdr:cxnSp macro="">
      <xdr:nvCxnSpPr>
        <xdr:cNvPr id="823" name="직선 연결선 822">
          <a:extLst>
            <a:ext uri="{FF2B5EF4-FFF2-40B4-BE49-F238E27FC236}">
              <a16:creationId xmlns:a16="http://schemas.microsoft.com/office/drawing/2014/main" id="{50F06803-F5EC-4A06-8C12-C15032BA8761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62952</xdr:colOff>
      <xdr:row>343</xdr:row>
      <xdr:rowOff>32847</xdr:rowOff>
    </xdr:from>
    <xdr:to>
      <xdr:col>87</xdr:col>
      <xdr:colOff>62952</xdr:colOff>
      <xdr:row>347</xdr:row>
      <xdr:rowOff>163312</xdr:rowOff>
    </xdr:to>
    <xdr:cxnSp macro="">
      <xdr:nvCxnSpPr>
        <xdr:cNvPr id="846" name="직선 연결선 845">
          <a:extLst>
            <a:ext uri="{FF2B5EF4-FFF2-40B4-BE49-F238E27FC236}">
              <a16:creationId xmlns:a16="http://schemas.microsoft.com/office/drawing/2014/main" id="{2EEF6A13-F906-448E-B5C0-90C019E4AEF4}"/>
            </a:ext>
          </a:extLst>
        </xdr:cNvPr>
        <xdr:cNvCxnSpPr/>
      </xdr:nvCxnSpPr>
      <xdr:spPr>
        <a:xfrm>
          <a:off x="7275129" y="6167164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9437</xdr:colOff>
      <xdr:row>348</xdr:row>
      <xdr:rowOff>22549</xdr:rowOff>
    </xdr:from>
    <xdr:ext cx="2552045" cy="140872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E4F1E76F-CE1F-47C4-83D8-3916E63EA769}"/>
            </a:ext>
          </a:extLst>
        </xdr:cNvPr>
        <xdr:cNvSpPr txBox="1"/>
      </xdr:nvSpPr>
      <xdr:spPr>
        <a:xfrm>
          <a:off x="2693755" y="62800958"/>
          <a:ext cx="25520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rgbClr val="FF00FF"/>
              </a:solidFill>
              <a:latin typeface="+mn-lt"/>
            </a:rPr>
            <a:t>(xdd  serializer/de-serializer</a:t>
          </a:r>
          <a:r>
            <a:rPr lang="en-US" altLang="ko-KR" sz="900" baseline="0">
              <a:solidFill>
                <a:srgbClr val="FF00FF"/>
              </a:solidFill>
              <a:latin typeface="+mn-lt"/>
            </a:rPr>
            <a:t> state reset @ R_RST bit = 1</a:t>
          </a:r>
          <a:r>
            <a:rPr lang="en-US" altLang="ko-KR" sz="900">
              <a:solidFill>
                <a:srgbClr val="FF00FF"/>
              </a:solidFill>
              <a:latin typeface="+mn-lt"/>
            </a:rPr>
            <a:t>)</a:t>
          </a:r>
          <a:endParaRPr lang="ko-KR" altLang="en-US" sz="900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22</xdr:col>
      <xdr:colOff>60073</xdr:colOff>
      <xdr:row>345</xdr:row>
      <xdr:rowOff>8212</xdr:rowOff>
    </xdr:from>
    <xdr:to>
      <xdr:col>24</xdr:col>
      <xdr:colOff>2737</xdr:colOff>
      <xdr:row>346</xdr:row>
      <xdr:rowOff>0</xdr:rowOff>
    </xdr:to>
    <xdr:sp macro="" textlink="">
      <xdr:nvSpPr>
        <xdr:cNvPr id="895" name="자유형: 도형 894">
          <a:extLst>
            <a:ext uri="{FF2B5EF4-FFF2-40B4-BE49-F238E27FC236}">
              <a16:creationId xmlns:a16="http://schemas.microsoft.com/office/drawing/2014/main" id="{AFB61D28-C478-EDD3-E4AD-7D3070DFFB72}"/>
            </a:ext>
          </a:extLst>
        </xdr:cNvPr>
        <xdr:cNvSpPr/>
      </xdr:nvSpPr>
      <xdr:spPr>
        <a:xfrm>
          <a:off x="3180332" y="62013772"/>
          <a:ext cx="68569" cy="175172"/>
        </a:xfrm>
        <a:custGeom>
          <a:avLst/>
          <a:gdLst>
            <a:gd name="csX0" fmla="*/ 5616 w 68569"/>
            <a:gd name="csY0" fmla="*/ 0 h 175172"/>
            <a:gd name="csX1" fmla="*/ 49409 w 68569"/>
            <a:gd name="csY1" fmla="*/ 65689 h 175172"/>
            <a:gd name="csX2" fmla="*/ 142 w 68569"/>
            <a:gd name="csY2" fmla="*/ 114956 h 175172"/>
            <a:gd name="csX3" fmla="*/ 68569 w 68569"/>
            <a:gd name="csY3" fmla="*/ 175172 h 17517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68569" h="175172">
              <a:moveTo>
                <a:pt x="5616" y="0"/>
              </a:moveTo>
              <a:cubicBezTo>
                <a:pt x="27968" y="23265"/>
                <a:pt x="50321" y="46530"/>
                <a:pt x="49409" y="65689"/>
              </a:cubicBezTo>
              <a:cubicBezTo>
                <a:pt x="48497" y="84848"/>
                <a:pt x="-3051" y="96709"/>
                <a:pt x="142" y="114956"/>
              </a:cubicBezTo>
              <a:cubicBezTo>
                <a:pt x="3335" y="133203"/>
                <a:pt x="35952" y="154187"/>
                <a:pt x="68569" y="175172"/>
              </a:cubicBezTo>
            </a:path>
          </a:pathLst>
        </a:custGeom>
        <a:noFill/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49062</xdr:colOff>
      <xdr:row>348</xdr:row>
      <xdr:rowOff>125905</xdr:rowOff>
    </xdr:from>
    <xdr:to>
      <xdr:col>12</xdr:col>
      <xdr:colOff>60215</xdr:colOff>
      <xdr:row>350</xdr:row>
      <xdr:rowOff>32845</xdr:rowOff>
    </xdr:to>
    <xdr:sp macro="" textlink="">
      <xdr:nvSpPr>
        <xdr:cNvPr id="912" name="자유형: 도형 911">
          <a:extLst>
            <a:ext uri="{FF2B5EF4-FFF2-40B4-BE49-F238E27FC236}">
              <a16:creationId xmlns:a16="http://schemas.microsoft.com/office/drawing/2014/main" id="{759BB51E-9BE3-4959-0EE4-D0B091E90637}"/>
            </a:ext>
          </a:extLst>
        </xdr:cNvPr>
        <xdr:cNvSpPr/>
      </xdr:nvSpPr>
      <xdr:spPr>
        <a:xfrm>
          <a:off x="2413890" y="62681616"/>
          <a:ext cx="137058" cy="273707"/>
        </a:xfrm>
        <a:custGeom>
          <a:avLst/>
          <a:gdLst>
            <a:gd name="csX0" fmla="*/ 112425 w 137058"/>
            <a:gd name="csY0" fmla="*/ 273707 h 273707"/>
            <a:gd name="csX1" fmla="*/ 205 w 137058"/>
            <a:gd name="csY1" fmla="*/ 169699 h 273707"/>
            <a:gd name="csX2" fmla="*/ 137058 w 137058"/>
            <a:gd name="csY2" fmla="*/ 0 h 2737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37058" h="273707">
              <a:moveTo>
                <a:pt x="112425" y="273707"/>
              </a:moveTo>
              <a:cubicBezTo>
                <a:pt x="54262" y="244512"/>
                <a:pt x="-3901" y="215317"/>
                <a:pt x="205" y="169699"/>
              </a:cubicBezTo>
              <a:cubicBezTo>
                <a:pt x="4310" y="124081"/>
                <a:pt x="70684" y="62040"/>
                <a:pt x="137058" y="0"/>
              </a:cubicBezTo>
            </a:path>
          </a:pathLst>
        </a:custGeom>
        <a:noFill/>
        <a:ln w="3175">
          <a:solidFill>
            <a:srgbClr val="0066FF"/>
          </a:solidFill>
          <a:headEnd type="none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42082</xdr:colOff>
      <xdr:row>352</xdr:row>
      <xdr:rowOff>13128</xdr:rowOff>
    </xdr:from>
    <xdr:ext cx="1392497" cy="532069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5825F6A0-AED4-4022-B448-65AD62C49EB8}"/>
            </a:ext>
          </a:extLst>
        </xdr:cNvPr>
        <xdr:cNvSpPr txBox="1"/>
      </xdr:nvSpPr>
      <xdr:spPr>
        <a:xfrm>
          <a:off x="3297900" y="63334173"/>
          <a:ext cx="1392497" cy="53206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R_RST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bit = 1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이면 동작 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1.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elay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ff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 10ea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정도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filtering 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또는</a:t>
          </a:r>
          <a:endParaRPr lang="en-US" altLang="ko-KR" sz="800" i="1">
            <a:solidFill>
              <a:schemeClr val="tx1"/>
            </a:solidFill>
            <a:latin typeface="+mn-lt"/>
          </a:endParaRP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2. high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duration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counting 1us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정도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985</xdr:colOff>
      <xdr:row>343</xdr:row>
      <xdr:rowOff>61200</xdr:rowOff>
    </xdr:from>
    <xdr:to>
      <xdr:col>80</xdr:col>
      <xdr:colOff>985</xdr:colOff>
      <xdr:row>349</xdr:row>
      <xdr:rowOff>148898</xdr:rowOff>
    </xdr:to>
    <xdr:cxnSp macro="">
      <xdr:nvCxnSpPr>
        <xdr:cNvPr id="923" name="직선 연결선 922">
          <a:extLst>
            <a:ext uri="{FF2B5EF4-FFF2-40B4-BE49-F238E27FC236}">
              <a16:creationId xmlns:a16="http://schemas.microsoft.com/office/drawing/2014/main" id="{5C6D83F9-B34A-4B17-B7D5-931B754D4BEF}"/>
            </a:ext>
          </a:extLst>
        </xdr:cNvPr>
        <xdr:cNvCxnSpPr/>
      </xdr:nvCxnSpPr>
      <xdr:spPr>
        <a:xfrm>
          <a:off x="6772494" y="61699993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14654</xdr:colOff>
      <xdr:row>332</xdr:row>
      <xdr:rowOff>63500</xdr:rowOff>
    </xdr:from>
    <xdr:to>
      <xdr:col>129</xdr:col>
      <xdr:colOff>293076</xdr:colOff>
      <xdr:row>332</xdr:row>
      <xdr:rowOff>63500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5A6EC923-654E-82D1-FB4E-1F4A35FFE0BE}"/>
            </a:ext>
          </a:extLst>
        </xdr:cNvPr>
        <xdr:cNvCxnSpPr/>
      </xdr:nvCxnSpPr>
      <xdr:spPr>
        <a:xfrm>
          <a:off x="12016154" y="60114962"/>
          <a:ext cx="1084384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24423</xdr:colOff>
      <xdr:row>333</xdr:row>
      <xdr:rowOff>87923</xdr:rowOff>
    </xdr:from>
    <xdr:to>
      <xdr:col>130</xdr:col>
      <xdr:colOff>10746</xdr:colOff>
      <xdr:row>333</xdr:row>
      <xdr:rowOff>88900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66E75911-516B-4857-9A72-668951AEC72F}"/>
            </a:ext>
          </a:extLst>
        </xdr:cNvPr>
        <xdr:cNvCxnSpPr/>
      </xdr:nvCxnSpPr>
      <xdr:spPr>
        <a:xfrm>
          <a:off x="12025923" y="60325000"/>
          <a:ext cx="1085361" cy="977"/>
        </a:xfrm>
        <a:prstGeom prst="line">
          <a:avLst/>
        </a:prstGeom>
        <a:ln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44939</xdr:colOff>
      <xdr:row>334</xdr:row>
      <xdr:rowOff>103554</xdr:rowOff>
    </xdr:from>
    <xdr:to>
      <xdr:col>129</xdr:col>
      <xdr:colOff>289169</xdr:colOff>
      <xdr:row>334</xdr:row>
      <xdr:rowOff>103554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C6CAED42-B582-4E2E-91A8-2BF071E33974}"/>
            </a:ext>
          </a:extLst>
        </xdr:cNvPr>
        <xdr:cNvCxnSpPr/>
      </xdr:nvCxnSpPr>
      <xdr:spPr>
        <a:xfrm flipV="1">
          <a:off x="12486054" y="60526246"/>
          <a:ext cx="61057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1863</xdr:colOff>
      <xdr:row>335</xdr:row>
      <xdr:rowOff>109414</xdr:rowOff>
    </xdr:from>
    <xdr:to>
      <xdr:col>130</xdr:col>
      <xdr:colOff>6839</xdr:colOff>
      <xdr:row>335</xdr:row>
      <xdr:rowOff>109414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80D5B1B8-9040-4680-875E-470F7F5ED322}"/>
            </a:ext>
          </a:extLst>
        </xdr:cNvPr>
        <xdr:cNvCxnSpPr/>
      </xdr:nvCxnSpPr>
      <xdr:spPr>
        <a:xfrm flipV="1">
          <a:off x="12809325" y="60717722"/>
          <a:ext cx="298052" cy="0"/>
        </a:xfrm>
        <a:prstGeom prst="line">
          <a:avLst/>
        </a:prstGeom>
        <a:ln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45916</xdr:colOff>
      <xdr:row>336</xdr:row>
      <xdr:rowOff>99646</xdr:rowOff>
    </xdr:from>
    <xdr:to>
      <xdr:col>129</xdr:col>
      <xdr:colOff>290146</xdr:colOff>
      <xdr:row>336</xdr:row>
      <xdr:rowOff>99646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FB78811E-5C83-4020-BAD2-2AC638E94759}"/>
            </a:ext>
          </a:extLst>
        </xdr:cNvPr>
        <xdr:cNvCxnSpPr/>
      </xdr:nvCxnSpPr>
      <xdr:spPr>
        <a:xfrm flipV="1">
          <a:off x="12487031" y="60893569"/>
          <a:ext cx="61057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364302</xdr:colOff>
      <xdr:row>337</xdr:row>
      <xdr:rowOff>113123</xdr:rowOff>
    </xdr:from>
    <xdr:to>
      <xdr:col>130</xdr:col>
      <xdr:colOff>7816</xdr:colOff>
      <xdr:row>337</xdr:row>
      <xdr:rowOff>113123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00AC4659-CC7A-4AB7-A838-25BD5EF25930}"/>
            </a:ext>
          </a:extLst>
        </xdr:cNvPr>
        <xdr:cNvCxnSpPr/>
      </xdr:nvCxnSpPr>
      <xdr:spPr>
        <a:xfrm>
          <a:off x="12805417" y="61092661"/>
          <a:ext cx="302937" cy="0"/>
        </a:xfrm>
        <a:prstGeom prst="line">
          <a:avLst/>
        </a:prstGeom>
        <a:ln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53731</xdr:colOff>
      <xdr:row>332</xdr:row>
      <xdr:rowOff>53731</xdr:rowOff>
    </xdr:from>
    <xdr:to>
      <xdr:col>128</xdr:col>
      <xdr:colOff>53731</xdr:colOff>
      <xdr:row>339</xdr:row>
      <xdr:rowOff>9770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1277061F-42C0-4016-BD8D-F36AF82952C1}"/>
            </a:ext>
          </a:extLst>
        </xdr:cNvPr>
        <xdr:cNvCxnSpPr/>
      </xdr:nvCxnSpPr>
      <xdr:spPr>
        <a:xfrm>
          <a:off x="12494846" y="60105193"/>
          <a:ext cx="0" cy="127488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338993</xdr:colOff>
      <xdr:row>333</xdr:row>
      <xdr:rowOff>89877</xdr:rowOff>
    </xdr:from>
    <xdr:to>
      <xdr:col>129</xdr:col>
      <xdr:colOff>0</xdr:colOff>
      <xdr:row>342</xdr:row>
      <xdr:rowOff>107461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FB81E738-B295-4602-AD63-D9CF5E690445}"/>
            </a:ext>
          </a:extLst>
        </xdr:cNvPr>
        <xdr:cNvCxnSpPr/>
      </xdr:nvCxnSpPr>
      <xdr:spPr>
        <a:xfrm flipH="1" flipV="1">
          <a:off x="12780108" y="60326954"/>
          <a:ext cx="27354" cy="1707661"/>
        </a:xfrm>
        <a:prstGeom prst="line">
          <a:avLst/>
        </a:prstGeom>
        <a:ln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14653</xdr:colOff>
      <xdr:row>332</xdr:row>
      <xdr:rowOff>29308</xdr:rowOff>
    </xdr:from>
    <xdr:to>
      <xdr:col>128</xdr:col>
      <xdr:colOff>86653</xdr:colOff>
      <xdr:row>332</xdr:row>
      <xdr:rowOff>101308</xdr:rowOff>
    </xdr:to>
    <xdr:sp macro="" textlink="">
      <xdr:nvSpPr>
        <xdr:cNvPr id="87" name="타원 86">
          <a:extLst>
            <a:ext uri="{FF2B5EF4-FFF2-40B4-BE49-F238E27FC236}">
              <a16:creationId xmlns:a16="http://schemas.microsoft.com/office/drawing/2014/main" id="{6632C73F-D81A-FF63-36F1-729AAC790A36}"/>
            </a:ext>
          </a:extLst>
        </xdr:cNvPr>
        <xdr:cNvSpPr/>
      </xdr:nvSpPr>
      <xdr:spPr>
        <a:xfrm>
          <a:off x="12455768" y="60080770"/>
          <a:ext cx="72000" cy="72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128</xdr:col>
      <xdr:colOff>25399</xdr:colOff>
      <xdr:row>334</xdr:row>
      <xdr:rowOff>74247</xdr:rowOff>
    </xdr:from>
    <xdr:to>
      <xdr:col>128</xdr:col>
      <xdr:colOff>97399</xdr:colOff>
      <xdr:row>334</xdr:row>
      <xdr:rowOff>146247</xdr:rowOff>
    </xdr:to>
    <xdr:sp macro="" textlink="">
      <xdr:nvSpPr>
        <xdr:cNvPr id="125" name="타원 124">
          <a:extLst>
            <a:ext uri="{FF2B5EF4-FFF2-40B4-BE49-F238E27FC236}">
              <a16:creationId xmlns:a16="http://schemas.microsoft.com/office/drawing/2014/main" id="{664D7886-E7BA-4196-B18D-6B2FAA321A4B}"/>
            </a:ext>
          </a:extLst>
        </xdr:cNvPr>
        <xdr:cNvSpPr/>
      </xdr:nvSpPr>
      <xdr:spPr>
        <a:xfrm>
          <a:off x="12466514" y="60496939"/>
          <a:ext cx="72000" cy="72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128</xdr:col>
      <xdr:colOff>16607</xdr:colOff>
      <xdr:row>336</xdr:row>
      <xdr:rowOff>65454</xdr:rowOff>
    </xdr:from>
    <xdr:to>
      <xdr:col>128</xdr:col>
      <xdr:colOff>88607</xdr:colOff>
      <xdr:row>336</xdr:row>
      <xdr:rowOff>137454</xdr:rowOff>
    </xdr:to>
    <xdr:sp macro="" textlink="">
      <xdr:nvSpPr>
        <xdr:cNvPr id="134" name="타원 133">
          <a:extLst>
            <a:ext uri="{FF2B5EF4-FFF2-40B4-BE49-F238E27FC236}">
              <a16:creationId xmlns:a16="http://schemas.microsoft.com/office/drawing/2014/main" id="{2715BFC4-0073-4BF5-9B76-D77BB97696BD}"/>
            </a:ext>
          </a:extLst>
        </xdr:cNvPr>
        <xdr:cNvSpPr/>
      </xdr:nvSpPr>
      <xdr:spPr>
        <a:xfrm>
          <a:off x="12457722" y="60859377"/>
          <a:ext cx="72000" cy="72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128</xdr:col>
      <xdr:colOff>300892</xdr:colOff>
      <xdr:row>333</xdr:row>
      <xdr:rowOff>51777</xdr:rowOff>
    </xdr:from>
    <xdr:to>
      <xdr:col>129</xdr:col>
      <xdr:colOff>6545</xdr:colOff>
      <xdr:row>333</xdr:row>
      <xdr:rowOff>123777</xdr:rowOff>
    </xdr:to>
    <xdr:sp macro="" textlink="">
      <xdr:nvSpPr>
        <xdr:cNvPr id="136" name="타원 135">
          <a:extLst>
            <a:ext uri="{FF2B5EF4-FFF2-40B4-BE49-F238E27FC236}">
              <a16:creationId xmlns:a16="http://schemas.microsoft.com/office/drawing/2014/main" id="{0FABBA32-9D2D-4E4B-9BD2-1BCE4B14040C}"/>
            </a:ext>
          </a:extLst>
        </xdr:cNvPr>
        <xdr:cNvSpPr/>
      </xdr:nvSpPr>
      <xdr:spPr>
        <a:xfrm>
          <a:off x="12742007" y="60288854"/>
          <a:ext cx="72000" cy="72000"/>
        </a:xfrm>
        <a:prstGeom prst="ellipse">
          <a:avLst/>
        </a:prstGeom>
        <a:solidFill>
          <a:srgbClr val="FF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128</xdr:col>
      <xdr:colOff>306754</xdr:colOff>
      <xdr:row>335</xdr:row>
      <xdr:rowOff>67408</xdr:rowOff>
    </xdr:from>
    <xdr:to>
      <xdr:col>129</xdr:col>
      <xdr:colOff>12407</xdr:colOff>
      <xdr:row>335</xdr:row>
      <xdr:rowOff>139408</xdr:rowOff>
    </xdr:to>
    <xdr:sp macro="" textlink="">
      <xdr:nvSpPr>
        <xdr:cNvPr id="137" name="타원 136">
          <a:extLst>
            <a:ext uri="{FF2B5EF4-FFF2-40B4-BE49-F238E27FC236}">
              <a16:creationId xmlns:a16="http://schemas.microsoft.com/office/drawing/2014/main" id="{F4646712-0B63-4B68-992A-B8615A5E2FEE}"/>
            </a:ext>
          </a:extLst>
        </xdr:cNvPr>
        <xdr:cNvSpPr/>
      </xdr:nvSpPr>
      <xdr:spPr>
        <a:xfrm>
          <a:off x="12747869" y="60675716"/>
          <a:ext cx="72000" cy="72000"/>
        </a:xfrm>
        <a:prstGeom prst="ellipse">
          <a:avLst/>
        </a:prstGeom>
        <a:solidFill>
          <a:srgbClr val="FF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128</xdr:col>
      <xdr:colOff>312616</xdr:colOff>
      <xdr:row>337</xdr:row>
      <xdr:rowOff>78154</xdr:rowOff>
    </xdr:from>
    <xdr:to>
      <xdr:col>129</xdr:col>
      <xdr:colOff>18269</xdr:colOff>
      <xdr:row>337</xdr:row>
      <xdr:rowOff>150154</xdr:rowOff>
    </xdr:to>
    <xdr:sp macro="" textlink="">
      <xdr:nvSpPr>
        <xdr:cNvPr id="139" name="타원 138">
          <a:extLst>
            <a:ext uri="{FF2B5EF4-FFF2-40B4-BE49-F238E27FC236}">
              <a16:creationId xmlns:a16="http://schemas.microsoft.com/office/drawing/2014/main" id="{FB23EC9D-FB49-44EF-A254-5BAB02F6D809}"/>
            </a:ext>
          </a:extLst>
        </xdr:cNvPr>
        <xdr:cNvSpPr/>
      </xdr:nvSpPr>
      <xdr:spPr>
        <a:xfrm>
          <a:off x="12753731" y="61057692"/>
          <a:ext cx="72000" cy="72000"/>
        </a:xfrm>
        <a:prstGeom prst="ellipse">
          <a:avLst/>
        </a:prstGeom>
        <a:solidFill>
          <a:srgbClr val="FF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127</xdr:col>
      <xdr:colOff>5861</xdr:colOff>
      <xdr:row>344</xdr:row>
      <xdr:rowOff>74246</xdr:rowOff>
    </xdr:from>
    <xdr:to>
      <xdr:col>129</xdr:col>
      <xdr:colOff>284283</xdr:colOff>
      <xdr:row>344</xdr:row>
      <xdr:rowOff>74246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A2456D85-5870-42BA-97E6-1A5CA43A20EC}"/>
            </a:ext>
          </a:extLst>
        </xdr:cNvPr>
        <xdr:cNvCxnSpPr/>
      </xdr:nvCxnSpPr>
      <xdr:spPr>
        <a:xfrm>
          <a:off x="12007361" y="62372631"/>
          <a:ext cx="1084384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361462</xdr:colOff>
      <xdr:row>346</xdr:row>
      <xdr:rowOff>92808</xdr:rowOff>
    </xdr:from>
    <xdr:to>
      <xdr:col>130</xdr:col>
      <xdr:colOff>6838</xdr:colOff>
      <xdr:row>346</xdr:row>
      <xdr:rowOff>92808</xdr:rowOff>
    </xdr:to>
    <xdr:cxnSp macro="">
      <xdr:nvCxnSpPr>
        <xdr:cNvPr id="181" name="직선 연결선 180">
          <a:extLst>
            <a:ext uri="{FF2B5EF4-FFF2-40B4-BE49-F238E27FC236}">
              <a16:creationId xmlns:a16="http://schemas.microsoft.com/office/drawing/2014/main" id="{5F3D9BE2-1C13-4CB4-B082-9E7A20D04D0D}"/>
            </a:ext>
          </a:extLst>
        </xdr:cNvPr>
        <xdr:cNvCxnSpPr/>
      </xdr:nvCxnSpPr>
      <xdr:spPr>
        <a:xfrm>
          <a:off x="12802577" y="62762423"/>
          <a:ext cx="304799" cy="0"/>
        </a:xfrm>
        <a:prstGeom prst="line">
          <a:avLst/>
        </a:prstGeom>
        <a:ln>
          <a:solidFill>
            <a:srgbClr val="0066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58615</xdr:colOff>
      <xdr:row>345</xdr:row>
      <xdr:rowOff>102577</xdr:rowOff>
    </xdr:from>
    <xdr:to>
      <xdr:col>129</xdr:col>
      <xdr:colOff>280376</xdr:colOff>
      <xdr:row>345</xdr:row>
      <xdr:rowOff>102577</xdr:rowOff>
    </xdr:to>
    <xdr:cxnSp macro="">
      <xdr:nvCxnSpPr>
        <xdr:cNvPr id="192" name="직선 연결선 191">
          <a:extLst>
            <a:ext uri="{FF2B5EF4-FFF2-40B4-BE49-F238E27FC236}">
              <a16:creationId xmlns:a16="http://schemas.microsoft.com/office/drawing/2014/main" id="{C88F44C6-632A-4A01-9B46-801D446B6421}"/>
            </a:ext>
          </a:extLst>
        </xdr:cNvPr>
        <xdr:cNvCxnSpPr/>
      </xdr:nvCxnSpPr>
      <xdr:spPr>
        <a:xfrm>
          <a:off x="12060115" y="62586577"/>
          <a:ext cx="1027723" cy="0"/>
        </a:xfrm>
        <a:prstGeom prst="line">
          <a:avLst/>
        </a:prstGeom>
        <a:ln>
          <a:solidFill>
            <a:srgbClr val="0066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361462</xdr:colOff>
      <xdr:row>345</xdr:row>
      <xdr:rowOff>100623</xdr:rowOff>
    </xdr:from>
    <xdr:to>
      <xdr:col>128</xdr:col>
      <xdr:colOff>361462</xdr:colOff>
      <xdr:row>352</xdr:row>
      <xdr:rowOff>73271</xdr:rowOff>
    </xdr:to>
    <xdr:cxnSp macro="">
      <xdr:nvCxnSpPr>
        <xdr:cNvPr id="193" name="직선 연결선 192">
          <a:extLst>
            <a:ext uri="{FF2B5EF4-FFF2-40B4-BE49-F238E27FC236}">
              <a16:creationId xmlns:a16="http://schemas.microsoft.com/office/drawing/2014/main" id="{9B8F6DE6-A709-4ACB-8D1A-CB0025151218}"/>
            </a:ext>
          </a:extLst>
        </xdr:cNvPr>
        <xdr:cNvCxnSpPr/>
      </xdr:nvCxnSpPr>
      <xdr:spPr>
        <a:xfrm flipH="1">
          <a:off x="12802577" y="62584623"/>
          <a:ext cx="0" cy="1076571"/>
        </a:xfrm>
        <a:prstGeom prst="line">
          <a:avLst/>
        </a:prstGeom>
        <a:ln>
          <a:solidFill>
            <a:srgbClr val="0066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37123</xdr:colOff>
      <xdr:row>348</xdr:row>
      <xdr:rowOff>110392</xdr:rowOff>
    </xdr:from>
    <xdr:to>
      <xdr:col>129</xdr:col>
      <xdr:colOff>281353</xdr:colOff>
      <xdr:row>348</xdr:row>
      <xdr:rowOff>110392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F6F545D0-B78A-4592-AFE8-4DBE7866A3E0}"/>
            </a:ext>
          </a:extLst>
        </xdr:cNvPr>
        <xdr:cNvCxnSpPr/>
      </xdr:nvCxnSpPr>
      <xdr:spPr>
        <a:xfrm flipV="1">
          <a:off x="12478238" y="63151238"/>
          <a:ext cx="61057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341923</xdr:colOff>
      <xdr:row>349</xdr:row>
      <xdr:rowOff>123868</xdr:rowOff>
    </xdr:from>
    <xdr:to>
      <xdr:col>129</xdr:col>
      <xdr:colOff>292099</xdr:colOff>
      <xdr:row>349</xdr:row>
      <xdr:rowOff>123868</xdr:rowOff>
    </xdr:to>
    <xdr:cxnSp macro="">
      <xdr:nvCxnSpPr>
        <xdr:cNvPr id="195" name="직선 연결선 194">
          <a:extLst>
            <a:ext uri="{FF2B5EF4-FFF2-40B4-BE49-F238E27FC236}">
              <a16:creationId xmlns:a16="http://schemas.microsoft.com/office/drawing/2014/main" id="{B02389AD-E939-4A8E-880B-58D3D98554A0}"/>
            </a:ext>
          </a:extLst>
        </xdr:cNvPr>
        <xdr:cNvCxnSpPr/>
      </xdr:nvCxnSpPr>
      <xdr:spPr>
        <a:xfrm flipV="1">
          <a:off x="12783038" y="63350330"/>
          <a:ext cx="316523" cy="0"/>
        </a:xfrm>
        <a:prstGeom prst="line">
          <a:avLst/>
        </a:prstGeom>
        <a:ln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44938</xdr:colOff>
      <xdr:row>344</xdr:row>
      <xdr:rowOff>64477</xdr:rowOff>
    </xdr:from>
    <xdr:to>
      <xdr:col>128</xdr:col>
      <xdr:colOff>44938</xdr:colOff>
      <xdr:row>352</xdr:row>
      <xdr:rowOff>49824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D55B2C77-4435-4A3D-8D50-DF5B79244705}"/>
            </a:ext>
          </a:extLst>
        </xdr:cNvPr>
        <xdr:cNvCxnSpPr/>
      </xdr:nvCxnSpPr>
      <xdr:spPr>
        <a:xfrm>
          <a:off x="12486053" y="62362862"/>
          <a:ext cx="0" cy="127488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5860</xdr:colOff>
      <xdr:row>344</xdr:row>
      <xdr:rowOff>40054</xdr:rowOff>
    </xdr:from>
    <xdr:to>
      <xdr:col>128</xdr:col>
      <xdr:colOff>77860</xdr:colOff>
      <xdr:row>344</xdr:row>
      <xdr:rowOff>112054</xdr:rowOff>
    </xdr:to>
    <xdr:sp macro="" textlink="">
      <xdr:nvSpPr>
        <xdr:cNvPr id="206" name="타원 205">
          <a:extLst>
            <a:ext uri="{FF2B5EF4-FFF2-40B4-BE49-F238E27FC236}">
              <a16:creationId xmlns:a16="http://schemas.microsoft.com/office/drawing/2014/main" id="{420F8231-3968-4D55-AECB-CBF357B84055}"/>
            </a:ext>
          </a:extLst>
        </xdr:cNvPr>
        <xdr:cNvSpPr/>
      </xdr:nvSpPr>
      <xdr:spPr>
        <a:xfrm>
          <a:off x="12446975" y="62338439"/>
          <a:ext cx="72000" cy="72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126</xdr:col>
      <xdr:colOff>656491</xdr:colOff>
      <xdr:row>348</xdr:row>
      <xdr:rowOff>128955</xdr:rowOff>
    </xdr:from>
    <xdr:to>
      <xdr:col>126</xdr:col>
      <xdr:colOff>728491</xdr:colOff>
      <xdr:row>349</xdr:row>
      <xdr:rowOff>15339</xdr:rowOff>
    </xdr:to>
    <xdr:sp macro="" textlink="">
      <xdr:nvSpPr>
        <xdr:cNvPr id="208" name="타원 207">
          <a:extLst>
            <a:ext uri="{FF2B5EF4-FFF2-40B4-BE49-F238E27FC236}">
              <a16:creationId xmlns:a16="http://schemas.microsoft.com/office/drawing/2014/main" id="{8019BDCE-C041-4A03-A232-C713079F09CF}"/>
            </a:ext>
          </a:extLst>
        </xdr:cNvPr>
        <xdr:cNvSpPr/>
      </xdr:nvSpPr>
      <xdr:spPr>
        <a:xfrm>
          <a:off x="11637106" y="63169801"/>
          <a:ext cx="72000" cy="72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134</xdr:col>
      <xdr:colOff>43961</xdr:colOff>
      <xdr:row>352</xdr:row>
      <xdr:rowOff>0</xdr:rowOff>
    </xdr:from>
    <xdr:to>
      <xdr:col>134</xdr:col>
      <xdr:colOff>74246</xdr:colOff>
      <xdr:row>367</xdr:row>
      <xdr:rowOff>20514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3B04A4EB-A577-452B-91D9-954546DD7FB2}"/>
            </a:ext>
          </a:extLst>
        </xdr:cNvPr>
        <xdr:cNvCxnSpPr/>
      </xdr:nvCxnSpPr>
      <xdr:spPr>
        <a:xfrm flipH="1" flipV="1">
          <a:off x="14316807" y="63587923"/>
          <a:ext cx="30285" cy="192551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328247</xdr:colOff>
      <xdr:row>349</xdr:row>
      <xdr:rowOff>88899</xdr:rowOff>
    </xdr:from>
    <xdr:to>
      <xdr:col>129</xdr:col>
      <xdr:colOff>33900</xdr:colOff>
      <xdr:row>349</xdr:row>
      <xdr:rowOff>160899</xdr:rowOff>
    </xdr:to>
    <xdr:sp macro="" textlink="">
      <xdr:nvSpPr>
        <xdr:cNvPr id="226" name="타원 225">
          <a:extLst>
            <a:ext uri="{FF2B5EF4-FFF2-40B4-BE49-F238E27FC236}">
              <a16:creationId xmlns:a16="http://schemas.microsoft.com/office/drawing/2014/main" id="{70A27511-9AD8-4B77-918E-CCF3D4ED90ED}"/>
            </a:ext>
          </a:extLst>
        </xdr:cNvPr>
        <xdr:cNvSpPr/>
      </xdr:nvSpPr>
      <xdr:spPr>
        <a:xfrm>
          <a:off x="12769362" y="63315361"/>
          <a:ext cx="72000" cy="72000"/>
        </a:xfrm>
        <a:prstGeom prst="ellipse">
          <a:avLst/>
        </a:prstGeom>
        <a:solidFill>
          <a:srgbClr val="FF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128</xdr:col>
      <xdr:colOff>319455</xdr:colOff>
      <xdr:row>345</xdr:row>
      <xdr:rowOff>75223</xdr:rowOff>
    </xdr:from>
    <xdr:to>
      <xdr:col>129</xdr:col>
      <xdr:colOff>25108</xdr:colOff>
      <xdr:row>345</xdr:row>
      <xdr:rowOff>147223</xdr:rowOff>
    </xdr:to>
    <xdr:sp macro="" textlink="">
      <xdr:nvSpPr>
        <xdr:cNvPr id="228" name="타원 227">
          <a:extLst>
            <a:ext uri="{FF2B5EF4-FFF2-40B4-BE49-F238E27FC236}">
              <a16:creationId xmlns:a16="http://schemas.microsoft.com/office/drawing/2014/main" id="{A2BE7A57-6AEA-4135-ABC5-4A2E6BDE7DAF}"/>
            </a:ext>
          </a:extLst>
        </xdr:cNvPr>
        <xdr:cNvSpPr/>
      </xdr:nvSpPr>
      <xdr:spPr>
        <a:xfrm>
          <a:off x="12760570" y="62559223"/>
          <a:ext cx="72000" cy="72000"/>
        </a:xfrm>
        <a:prstGeom prst="ellipse">
          <a:avLst/>
        </a:prstGeom>
        <a:solidFill>
          <a:srgbClr val="0066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128</xdr:col>
      <xdr:colOff>46893</xdr:colOff>
      <xdr:row>347</xdr:row>
      <xdr:rowOff>100622</xdr:rowOff>
    </xdr:from>
    <xdr:to>
      <xdr:col>129</xdr:col>
      <xdr:colOff>291123</xdr:colOff>
      <xdr:row>347</xdr:row>
      <xdr:rowOff>100622</xdr:rowOff>
    </xdr:to>
    <xdr:cxnSp macro="">
      <xdr:nvCxnSpPr>
        <xdr:cNvPr id="247" name="직선 연결선 246">
          <a:extLst>
            <a:ext uri="{FF2B5EF4-FFF2-40B4-BE49-F238E27FC236}">
              <a16:creationId xmlns:a16="http://schemas.microsoft.com/office/drawing/2014/main" id="{0D6DA097-296E-4DE9-9BD9-50F64E94C00D}"/>
            </a:ext>
          </a:extLst>
        </xdr:cNvPr>
        <xdr:cNvCxnSpPr/>
      </xdr:nvCxnSpPr>
      <xdr:spPr>
        <a:xfrm flipV="1">
          <a:off x="12488008" y="62955853"/>
          <a:ext cx="61057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6837</xdr:colOff>
      <xdr:row>347</xdr:row>
      <xdr:rowOff>50800</xdr:rowOff>
    </xdr:from>
    <xdr:to>
      <xdr:col>128</xdr:col>
      <xdr:colOff>78837</xdr:colOff>
      <xdr:row>347</xdr:row>
      <xdr:rowOff>122800</xdr:rowOff>
    </xdr:to>
    <xdr:sp macro="" textlink="">
      <xdr:nvSpPr>
        <xdr:cNvPr id="248" name="타원 247">
          <a:extLst>
            <a:ext uri="{FF2B5EF4-FFF2-40B4-BE49-F238E27FC236}">
              <a16:creationId xmlns:a16="http://schemas.microsoft.com/office/drawing/2014/main" id="{B38751BB-F9B4-48DE-BD12-A53B9A8DD97B}"/>
            </a:ext>
          </a:extLst>
        </xdr:cNvPr>
        <xdr:cNvSpPr/>
      </xdr:nvSpPr>
      <xdr:spPr>
        <a:xfrm>
          <a:off x="12447952" y="62906031"/>
          <a:ext cx="72000" cy="72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128</xdr:col>
      <xdr:colOff>12698</xdr:colOff>
      <xdr:row>348</xdr:row>
      <xdr:rowOff>90855</xdr:rowOff>
    </xdr:from>
    <xdr:to>
      <xdr:col>128</xdr:col>
      <xdr:colOff>84698</xdr:colOff>
      <xdr:row>348</xdr:row>
      <xdr:rowOff>162855</xdr:rowOff>
    </xdr:to>
    <xdr:sp macro="" textlink="">
      <xdr:nvSpPr>
        <xdr:cNvPr id="249" name="타원 248">
          <a:extLst>
            <a:ext uri="{FF2B5EF4-FFF2-40B4-BE49-F238E27FC236}">
              <a16:creationId xmlns:a16="http://schemas.microsoft.com/office/drawing/2014/main" id="{178D19C6-8ABB-41C1-B07F-FBFC63C3432C}"/>
            </a:ext>
          </a:extLst>
        </xdr:cNvPr>
        <xdr:cNvSpPr/>
      </xdr:nvSpPr>
      <xdr:spPr>
        <a:xfrm>
          <a:off x="12453813" y="63131701"/>
          <a:ext cx="72000" cy="72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128</xdr:col>
      <xdr:colOff>325316</xdr:colOff>
      <xdr:row>346</xdr:row>
      <xdr:rowOff>56662</xdr:rowOff>
    </xdr:from>
    <xdr:to>
      <xdr:col>129</xdr:col>
      <xdr:colOff>30969</xdr:colOff>
      <xdr:row>346</xdr:row>
      <xdr:rowOff>128662</xdr:rowOff>
    </xdr:to>
    <xdr:sp macro="" textlink="">
      <xdr:nvSpPr>
        <xdr:cNvPr id="262" name="타원 261">
          <a:extLst>
            <a:ext uri="{FF2B5EF4-FFF2-40B4-BE49-F238E27FC236}">
              <a16:creationId xmlns:a16="http://schemas.microsoft.com/office/drawing/2014/main" id="{28C98209-CAA4-4B80-961E-9339D0C77DEF}"/>
            </a:ext>
          </a:extLst>
        </xdr:cNvPr>
        <xdr:cNvSpPr/>
      </xdr:nvSpPr>
      <xdr:spPr>
        <a:xfrm>
          <a:off x="12766431" y="62726277"/>
          <a:ext cx="72000" cy="72000"/>
        </a:xfrm>
        <a:prstGeom prst="ellipse">
          <a:avLst/>
        </a:prstGeom>
        <a:solidFill>
          <a:srgbClr val="0066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412</xdr:row>
      <xdr:rowOff>55072</xdr:rowOff>
    </xdr:from>
    <xdr:to>
      <xdr:col>6</xdr:col>
      <xdr:colOff>0</xdr:colOff>
      <xdr:row>433</xdr:row>
      <xdr:rowOff>154783</xdr:rowOff>
    </xdr:to>
    <xdr:cxnSp macro="">
      <xdr:nvCxnSpPr>
        <xdr:cNvPr id="159" name="직선 연결선 158">
          <a:extLst>
            <a:ext uri="{FF2B5EF4-FFF2-40B4-BE49-F238E27FC236}">
              <a16:creationId xmlns:a16="http://schemas.microsoft.com/office/drawing/2014/main" id="{C2645A78-8D8A-40BB-9FF4-821E78C46EAC}"/>
            </a:ext>
          </a:extLst>
        </xdr:cNvPr>
        <xdr:cNvCxnSpPr/>
      </xdr:nvCxnSpPr>
      <xdr:spPr>
        <a:xfrm flipH="1">
          <a:off x="2115344" y="73004666"/>
          <a:ext cx="0" cy="404464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412</xdr:row>
      <xdr:rowOff>169709</xdr:rowOff>
    </xdr:from>
    <xdr:to>
      <xdr:col>10</xdr:col>
      <xdr:colOff>2</xdr:colOff>
      <xdr:row>414</xdr:row>
      <xdr:rowOff>128584</xdr:rowOff>
    </xdr:to>
    <xdr:cxnSp macro="">
      <xdr:nvCxnSpPr>
        <xdr:cNvPr id="246" name="직선 연결선 245">
          <a:extLst>
            <a:ext uri="{FF2B5EF4-FFF2-40B4-BE49-F238E27FC236}">
              <a16:creationId xmlns:a16="http://schemas.microsoft.com/office/drawing/2014/main" id="{3C35F0AF-A462-465A-BA14-2A9BA6E21A5E}"/>
            </a:ext>
          </a:extLst>
        </xdr:cNvPr>
        <xdr:cNvCxnSpPr/>
      </xdr:nvCxnSpPr>
      <xdr:spPr>
        <a:xfrm>
          <a:off x="2369345" y="73119303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51855</xdr:colOff>
      <xdr:row>418</xdr:row>
      <xdr:rowOff>10917</xdr:rowOff>
    </xdr:from>
    <xdr:to>
      <xdr:col>74</xdr:col>
      <xdr:colOff>24355</xdr:colOff>
      <xdr:row>419</xdr:row>
      <xdr:rowOff>417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C53A71C2-8009-40DC-AFC9-C1599A7B6A01}"/>
            </a:ext>
          </a:extLst>
        </xdr:cNvPr>
        <xdr:cNvGrpSpPr/>
      </xdr:nvGrpSpPr>
      <xdr:grpSpPr>
        <a:xfrm>
          <a:off x="6421699" y="74063823"/>
          <a:ext cx="36000" cy="180000"/>
          <a:chOff x="11556979" y="1922463"/>
          <a:chExt cx="188140" cy="204787"/>
        </a:xfrm>
      </xdr:grpSpPr>
      <xdr:sp macro="" textlink="">
        <xdr:nvSpPr>
          <xdr:cNvPr id="256" name="자유형: 도형 255">
            <a:extLst>
              <a:ext uri="{FF2B5EF4-FFF2-40B4-BE49-F238E27FC236}">
                <a16:creationId xmlns:a16="http://schemas.microsoft.com/office/drawing/2014/main" id="{AB0F9415-A15D-C373-DE90-A22CCDF7F4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7" name="자유형: 도형 256">
            <a:extLst>
              <a:ext uri="{FF2B5EF4-FFF2-40B4-BE49-F238E27FC236}">
                <a16:creationId xmlns:a16="http://schemas.microsoft.com/office/drawing/2014/main" id="{04C6D729-84F7-CE00-25C9-637271F9A05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43222</xdr:colOff>
      <xdr:row>420</xdr:row>
      <xdr:rowOff>15877</xdr:rowOff>
    </xdr:from>
    <xdr:to>
      <xdr:col>74</xdr:col>
      <xdr:colOff>15722</xdr:colOff>
      <xdr:row>421</xdr:row>
      <xdr:rowOff>5377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B194D52D-4BB6-458C-A1BB-B909B5E96019}"/>
            </a:ext>
          </a:extLst>
        </xdr:cNvPr>
        <xdr:cNvGrpSpPr/>
      </xdr:nvGrpSpPr>
      <xdr:grpSpPr>
        <a:xfrm>
          <a:off x="6413066" y="74449783"/>
          <a:ext cx="36000" cy="180000"/>
          <a:chOff x="11556979" y="1922463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F8F9058F-1B66-5FC8-6146-F098F015E5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5" name="자유형: 도형 264">
            <a:extLst>
              <a:ext uri="{FF2B5EF4-FFF2-40B4-BE49-F238E27FC236}">
                <a16:creationId xmlns:a16="http://schemas.microsoft.com/office/drawing/2014/main" id="{8E47C7D1-BC88-C8D3-E3D9-27A982DF9C5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423</xdr:row>
      <xdr:rowOff>185785</xdr:rowOff>
    </xdr:from>
    <xdr:to>
      <xdr:col>74</xdr:col>
      <xdr:colOff>22240</xdr:colOff>
      <xdr:row>424</xdr:row>
      <xdr:rowOff>175285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3729EF97-A177-42A3-80B0-9FA983631FFC}"/>
            </a:ext>
          </a:extLst>
        </xdr:cNvPr>
        <xdr:cNvGrpSpPr/>
      </xdr:nvGrpSpPr>
      <xdr:grpSpPr>
        <a:xfrm>
          <a:off x="6419584" y="75191191"/>
          <a:ext cx="36000" cy="180000"/>
          <a:chOff x="11556979" y="1937259"/>
          <a:chExt cx="188140" cy="204787"/>
        </a:xfrm>
      </xdr:grpSpPr>
      <xdr:sp macro="" textlink="">
        <xdr:nvSpPr>
          <xdr:cNvPr id="273" name="자유형: 도형 272">
            <a:extLst>
              <a:ext uri="{FF2B5EF4-FFF2-40B4-BE49-F238E27FC236}">
                <a16:creationId xmlns:a16="http://schemas.microsoft.com/office/drawing/2014/main" id="{30779F80-8879-4D19-8C9C-099CA6E35F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4" name="자유형: 도형 273">
            <a:extLst>
              <a:ext uri="{FF2B5EF4-FFF2-40B4-BE49-F238E27FC236}">
                <a16:creationId xmlns:a16="http://schemas.microsoft.com/office/drawing/2014/main" id="{434D4855-62E7-5037-C7B7-0D9CC43F899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28</xdr:col>
      <xdr:colOff>59986</xdr:colOff>
      <xdr:row>416</xdr:row>
      <xdr:rowOff>158602</xdr:rowOff>
    </xdr:from>
    <xdr:to>
      <xdr:col>28</xdr:col>
      <xdr:colOff>59986</xdr:colOff>
      <xdr:row>433</xdr:row>
      <xdr:rowOff>147915</xdr:rowOff>
    </xdr:to>
    <xdr:cxnSp macro="">
      <xdr:nvCxnSpPr>
        <xdr:cNvPr id="275" name="직선 연결선 274">
          <a:extLst>
            <a:ext uri="{FF2B5EF4-FFF2-40B4-BE49-F238E27FC236}">
              <a16:creationId xmlns:a16="http://schemas.microsoft.com/office/drawing/2014/main" id="{6F8C1147-7336-4F0B-9A9F-4F4229864DAF}"/>
            </a:ext>
          </a:extLst>
        </xdr:cNvPr>
        <xdr:cNvCxnSpPr/>
      </xdr:nvCxnSpPr>
      <xdr:spPr>
        <a:xfrm flipH="1">
          <a:off x="3572330" y="73838446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415</xdr:row>
      <xdr:rowOff>159460</xdr:rowOff>
    </xdr:from>
    <xdr:ext cx="618311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41EE4715-6CFB-4A58-B452-8FB4D4566DB7}"/>
            </a:ext>
          </a:extLst>
        </xdr:cNvPr>
        <xdr:cNvSpPr txBox="1"/>
      </xdr:nvSpPr>
      <xdr:spPr>
        <a:xfrm>
          <a:off x="1239549" y="1957580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418</xdr:row>
      <xdr:rowOff>138060</xdr:rowOff>
    </xdr:from>
    <xdr:ext cx="368819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228CF799-2F57-44B6-BC54-AD769C2B6E22}"/>
            </a:ext>
          </a:extLst>
        </xdr:cNvPr>
        <xdr:cNvSpPr txBox="1"/>
      </xdr:nvSpPr>
      <xdr:spPr>
        <a:xfrm>
          <a:off x="1485495" y="2011125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73</xdr:col>
      <xdr:colOff>45507</xdr:colOff>
      <xdr:row>428</xdr:row>
      <xdr:rowOff>12886</xdr:rowOff>
    </xdr:from>
    <xdr:to>
      <xdr:col>74</xdr:col>
      <xdr:colOff>18007</xdr:colOff>
      <xdr:row>429</xdr:row>
      <xdr:rowOff>2386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57A0FDB6-1C47-4B6C-A930-2D31E0CF713A}"/>
            </a:ext>
          </a:extLst>
        </xdr:cNvPr>
        <xdr:cNvGrpSpPr/>
      </xdr:nvGrpSpPr>
      <xdr:grpSpPr>
        <a:xfrm>
          <a:off x="6415351" y="75970792"/>
          <a:ext cx="36000" cy="180000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128ED1EB-304E-CBAC-596A-A06A4DC8771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4" name="자유형: 도형 323">
            <a:extLst>
              <a:ext uri="{FF2B5EF4-FFF2-40B4-BE49-F238E27FC236}">
                <a16:creationId xmlns:a16="http://schemas.microsoft.com/office/drawing/2014/main" id="{E82B604A-8634-AC33-911F-37F5936FF7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431</xdr:row>
      <xdr:rowOff>182408</xdr:rowOff>
    </xdr:from>
    <xdr:to>
      <xdr:col>74</xdr:col>
      <xdr:colOff>18007</xdr:colOff>
      <xdr:row>432</xdr:row>
      <xdr:rowOff>179845</xdr:rowOff>
    </xdr:to>
    <xdr:grpSp>
      <xdr:nvGrpSpPr>
        <xdr:cNvPr id="825" name="그룹 824">
          <a:extLst>
            <a:ext uri="{FF2B5EF4-FFF2-40B4-BE49-F238E27FC236}">
              <a16:creationId xmlns:a16="http://schemas.microsoft.com/office/drawing/2014/main" id="{DDFA5F1D-813D-4B05-9882-AB5EA6988F0A}"/>
            </a:ext>
          </a:extLst>
        </xdr:cNvPr>
        <xdr:cNvGrpSpPr/>
      </xdr:nvGrpSpPr>
      <xdr:grpSpPr>
        <a:xfrm>
          <a:off x="6415351" y="76711814"/>
          <a:ext cx="36000" cy="180000"/>
          <a:chOff x="11556979" y="1937259"/>
          <a:chExt cx="188140" cy="204787"/>
        </a:xfrm>
      </xdr:grpSpPr>
      <xdr:sp macro="" textlink="">
        <xdr:nvSpPr>
          <xdr:cNvPr id="827" name="자유형: 도형 826">
            <a:extLst>
              <a:ext uri="{FF2B5EF4-FFF2-40B4-BE49-F238E27FC236}">
                <a16:creationId xmlns:a16="http://schemas.microsoft.com/office/drawing/2014/main" id="{766E4E00-164B-182A-35C6-D33DE3B8474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48" name="자유형: 도형 847">
            <a:extLst>
              <a:ext uri="{FF2B5EF4-FFF2-40B4-BE49-F238E27FC236}">
                <a16:creationId xmlns:a16="http://schemas.microsoft.com/office/drawing/2014/main" id="{20B8CFC9-3A21-83FB-7F66-7EF907CEF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45190</xdr:colOff>
      <xdr:row>416</xdr:row>
      <xdr:rowOff>104900</xdr:rowOff>
    </xdr:from>
    <xdr:to>
      <xdr:col>15</xdr:col>
      <xdr:colOff>13474</xdr:colOff>
      <xdr:row>417</xdr:row>
      <xdr:rowOff>47565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7F1F75F-EB48-4436-A424-FEB29116C157}"/>
            </a:ext>
          </a:extLst>
        </xdr:cNvPr>
        <xdr:cNvSpPr txBox="1"/>
      </xdr:nvSpPr>
      <xdr:spPr>
        <a:xfrm>
          <a:off x="2414534" y="7341961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33</xdr:col>
      <xdr:colOff>1537</xdr:colOff>
      <xdr:row>416</xdr:row>
      <xdr:rowOff>111291</xdr:rowOff>
    </xdr:from>
    <xdr:to>
      <xdr:col>38</xdr:col>
      <xdr:colOff>24130</xdr:colOff>
      <xdr:row>417</xdr:row>
      <xdr:rowOff>53956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BC57A37-BAB4-466E-B33C-39ED1E3487DB}"/>
            </a:ext>
          </a:extLst>
        </xdr:cNvPr>
        <xdr:cNvSpPr txBox="1"/>
      </xdr:nvSpPr>
      <xdr:spPr>
        <a:xfrm>
          <a:off x="3831381" y="7342601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41</xdr:col>
      <xdr:colOff>60599</xdr:colOff>
      <xdr:row>416</xdr:row>
      <xdr:rowOff>106856</xdr:rowOff>
    </xdr:from>
    <xdr:to>
      <xdr:col>47</xdr:col>
      <xdr:colOff>19692</xdr:colOff>
      <xdr:row>417</xdr:row>
      <xdr:rowOff>49521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1FF9121-220C-454A-BD1F-BED0CE61198B}"/>
            </a:ext>
          </a:extLst>
        </xdr:cNvPr>
        <xdr:cNvSpPr txBox="1"/>
      </xdr:nvSpPr>
      <xdr:spPr>
        <a:xfrm>
          <a:off x="4398443" y="73421575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18</xdr:col>
      <xdr:colOff>34433</xdr:colOff>
      <xdr:row>416</xdr:row>
      <xdr:rowOff>113949</xdr:rowOff>
    </xdr:from>
    <xdr:to>
      <xdr:col>23</xdr:col>
      <xdr:colOff>57026</xdr:colOff>
      <xdr:row>417</xdr:row>
      <xdr:rowOff>56614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E28A444-9CB5-4A4C-8241-A588D6AC76D1}"/>
            </a:ext>
          </a:extLst>
        </xdr:cNvPr>
        <xdr:cNvSpPr txBox="1"/>
      </xdr:nvSpPr>
      <xdr:spPr>
        <a:xfrm>
          <a:off x="2911777" y="73428668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15764</xdr:colOff>
      <xdr:row>417</xdr:row>
      <xdr:rowOff>68703</xdr:rowOff>
    </xdr:from>
    <xdr:to>
      <xdr:col>28</xdr:col>
      <xdr:colOff>54264</xdr:colOff>
      <xdr:row>417</xdr:row>
      <xdr:rowOff>68703</xdr:rowOff>
    </xdr:to>
    <xdr:cxnSp macro="">
      <xdr:nvCxnSpPr>
        <xdr:cNvPr id="299" name="직선 화살표 연결선 298">
          <a:extLst>
            <a:ext uri="{FF2B5EF4-FFF2-40B4-BE49-F238E27FC236}">
              <a16:creationId xmlns:a16="http://schemas.microsoft.com/office/drawing/2014/main" id="{97F4B10A-AE34-434D-BFCA-8F72AEC308BD}"/>
            </a:ext>
          </a:extLst>
        </xdr:cNvPr>
        <xdr:cNvCxnSpPr/>
      </xdr:nvCxnSpPr>
      <xdr:spPr>
        <a:xfrm>
          <a:off x="2702608" y="73565984"/>
          <a:ext cx="8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62509</xdr:colOff>
      <xdr:row>417</xdr:row>
      <xdr:rowOff>67962</xdr:rowOff>
    </xdr:from>
    <xdr:to>
      <xdr:col>15</xdr:col>
      <xdr:colOff>33009</xdr:colOff>
      <xdr:row>417</xdr:row>
      <xdr:rowOff>67962</xdr:rowOff>
    </xdr:to>
    <xdr:cxnSp macro="">
      <xdr:nvCxnSpPr>
        <xdr:cNvPr id="809" name="직선 화살표 연결선 808">
          <a:extLst>
            <a:ext uri="{FF2B5EF4-FFF2-40B4-BE49-F238E27FC236}">
              <a16:creationId xmlns:a16="http://schemas.microsoft.com/office/drawing/2014/main" id="{92CB5AA8-E2B7-414D-A98F-07DDA9F9D8B3}"/>
            </a:ext>
          </a:extLst>
        </xdr:cNvPr>
        <xdr:cNvCxnSpPr/>
      </xdr:nvCxnSpPr>
      <xdr:spPr>
        <a:xfrm>
          <a:off x="2431853" y="73565243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50175</xdr:colOff>
      <xdr:row>417</xdr:row>
      <xdr:rowOff>67648</xdr:rowOff>
    </xdr:from>
    <xdr:to>
      <xdr:col>33</xdr:col>
      <xdr:colOff>20675</xdr:colOff>
      <xdr:row>417</xdr:row>
      <xdr:rowOff>67648</xdr:rowOff>
    </xdr:to>
    <xdr:cxnSp macro="">
      <xdr:nvCxnSpPr>
        <xdr:cNvPr id="946" name="직선 화살표 연결선 945">
          <a:extLst>
            <a:ext uri="{FF2B5EF4-FFF2-40B4-BE49-F238E27FC236}">
              <a16:creationId xmlns:a16="http://schemas.microsoft.com/office/drawing/2014/main" id="{3400F711-E672-4A45-B2C2-45E8B5A0F661}"/>
            </a:ext>
          </a:extLst>
        </xdr:cNvPr>
        <xdr:cNvCxnSpPr/>
      </xdr:nvCxnSpPr>
      <xdr:spPr>
        <a:xfrm>
          <a:off x="3562519" y="735649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1339</xdr:colOff>
      <xdr:row>417</xdr:row>
      <xdr:rowOff>66687</xdr:rowOff>
    </xdr:from>
    <xdr:to>
      <xdr:col>38</xdr:col>
      <xdr:colOff>7839</xdr:colOff>
      <xdr:row>417</xdr:row>
      <xdr:rowOff>66687</xdr:rowOff>
    </xdr:to>
    <xdr:cxnSp macro="">
      <xdr:nvCxnSpPr>
        <xdr:cNvPr id="947" name="직선 화살표 연결선 946">
          <a:extLst>
            <a:ext uri="{FF2B5EF4-FFF2-40B4-BE49-F238E27FC236}">
              <a16:creationId xmlns:a16="http://schemas.microsoft.com/office/drawing/2014/main" id="{B0522D6C-675C-44CF-8F0D-28EA015A6473}"/>
            </a:ext>
          </a:extLst>
        </xdr:cNvPr>
        <xdr:cNvCxnSpPr/>
      </xdr:nvCxnSpPr>
      <xdr:spPr>
        <a:xfrm>
          <a:off x="3831183" y="7356396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47244</xdr:colOff>
      <xdr:row>417</xdr:row>
      <xdr:rowOff>69855</xdr:rowOff>
    </xdr:from>
    <xdr:to>
      <xdr:col>42</xdr:col>
      <xdr:colOff>17744</xdr:colOff>
      <xdr:row>417</xdr:row>
      <xdr:rowOff>69855</xdr:rowOff>
    </xdr:to>
    <xdr:cxnSp macro="">
      <xdr:nvCxnSpPr>
        <xdr:cNvPr id="948" name="직선 화살표 연결선 947">
          <a:extLst>
            <a:ext uri="{FF2B5EF4-FFF2-40B4-BE49-F238E27FC236}">
              <a16:creationId xmlns:a16="http://schemas.microsoft.com/office/drawing/2014/main" id="{CCD509F2-65A5-4C69-B55F-904DD52618BE}"/>
            </a:ext>
          </a:extLst>
        </xdr:cNvPr>
        <xdr:cNvCxnSpPr/>
      </xdr:nvCxnSpPr>
      <xdr:spPr>
        <a:xfrm>
          <a:off x="4131088" y="735671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61656</xdr:colOff>
      <xdr:row>417</xdr:row>
      <xdr:rowOff>70831</xdr:rowOff>
    </xdr:from>
    <xdr:to>
      <xdr:col>47</xdr:col>
      <xdr:colOff>4656</xdr:colOff>
      <xdr:row>417</xdr:row>
      <xdr:rowOff>70831</xdr:rowOff>
    </xdr:to>
    <xdr:cxnSp macro="">
      <xdr:nvCxnSpPr>
        <xdr:cNvPr id="949" name="직선 화살표 연결선 948">
          <a:extLst>
            <a:ext uri="{FF2B5EF4-FFF2-40B4-BE49-F238E27FC236}">
              <a16:creationId xmlns:a16="http://schemas.microsoft.com/office/drawing/2014/main" id="{78D5B13E-874C-486F-A60B-CB8F0E508808}"/>
            </a:ext>
          </a:extLst>
        </xdr:cNvPr>
        <xdr:cNvCxnSpPr/>
      </xdr:nvCxnSpPr>
      <xdr:spPr>
        <a:xfrm>
          <a:off x="4399500" y="7356811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60477</xdr:colOff>
      <xdr:row>413</xdr:row>
      <xdr:rowOff>96764</xdr:rowOff>
    </xdr:from>
    <xdr:to>
      <xdr:col>9</xdr:col>
      <xdr:colOff>59477</xdr:colOff>
      <xdr:row>413</xdr:row>
      <xdr:rowOff>96764</xdr:rowOff>
    </xdr:to>
    <xdr:cxnSp macro="">
      <xdr:nvCxnSpPr>
        <xdr:cNvPr id="950" name="직선 화살표 연결선 949">
          <a:extLst>
            <a:ext uri="{FF2B5EF4-FFF2-40B4-BE49-F238E27FC236}">
              <a16:creationId xmlns:a16="http://schemas.microsoft.com/office/drawing/2014/main" id="{5408D88C-1509-4399-9476-89E3C4007168}"/>
            </a:ext>
          </a:extLst>
        </xdr:cNvPr>
        <xdr:cNvCxnSpPr/>
      </xdr:nvCxnSpPr>
      <xdr:spPr>
        <a:xfrm>
          <a:off x="3002644" y="7402769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33263</xdr:colOff>
      <xdr:row>413</xdr:row>
      <xdr:rowOff>7863</xdr:rowOff>
    </xdr:from>
    <xdr:ext cx="400687" cy="140872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5421F10C-CE6A-4043-A184-FA73EB4F8F50}"/>
            </a:ext>
          </a:extLst>
        </xdr:cNvPr>
        <xdr:cNvSpPr txBox="1"/>
      </xdr:nvSpPr>
      <xdr:spPr>
        <a:xfrm>
          <a:off x="3165930" y="73938796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73</xdr:col>
      <xdr:colOff>43222</xdr:colOff>
      <xdr:row>422</xdr:row>
      <xdr:rowOff>15877</xdr:rowOff>
    </xdr:from>
    <xdr:to>
      <xdr:col>74</xdr:col>
      <xdr:colOff>15722</xdr:colOff>
      <xdr:row>423</xdr:row>
      <xdr:rowOff>5377</xdr:rowOff>
    </xdr:to>
    <xdr:grpSp>
      <xdr:nvGrpSpPr>
        <xdr:cNvPr id="977" name="그룹 976">
          <a:extLst>
            <a:ext uri="{FF2B5EF4-FFF2-40B4-BE49-F238E27FC236}">
              <a16:creationId xmlns:a16="http://schemas.microsoft.com/office/drawing/2014/main" id="{5238236B-D5AC-4DC2-AC1C-812AC82C7CCF}"/>
            </a:ext>
          </a:extLst>
        </xdr:cNvPr>
        <xdr:cNvGrpSpPr/>
      </xdr:nvGrpSpPr>
      <xdr:grpSpPr>
        <a:xfrm>
          <a:off x="6413066" y="74830783"/>
          <a:ext cx="36000" cy="180000"/>
          <a:chOff x="11556979" y="1922463"/>
          <a:chExt cx="188140" cy="204787"/>
        </a:xfrm>
      </xdr:grpSpPr>
      <xdr:sp macro="" textlink="">
        <xdr:nvSpPr>
          <xdr:cNvPr id="979" name="자유형: 도형 978">
            <a:extLst>
              <a:ext uri="{FF2B5EF4-FFF2-40B4-BE49-F238E27FC236}">
                <a16:creationId xmlns:a16="http://schemas.microsoft.com/office/drawing/2014/main" id="{D4A404DC-3D1C-29A6-EFFD-0B2F5E6BCC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84" name="자유형: 도형 983">
            <a:extLst>
              <a:ext uri="{FF2B5EF4-FFF2-40B4-BE49-F238E27FC236}">
                <a16:creationId xmlns:a16="http://schemas.microsoft.com/office/drawing/2014/main" id="{E202556B-CF6F-5B35-D4DC-EAA27AC8B1E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426</xdr:row>
      <xdr:rowOff>3223</xdr:rowOff>
    </xdr:from>
    <xdr:to>
      <xdr:col>74</xdr:col>
      <xdr:colOff>22240</xdr:colOff>
      <xdr:row>426</xdr:row>
      <xdr:rowOff>183223</xdr:rowOff>
    </xdr:to>
    <xdr:grpSp>
      <xdr:nvGrpSpPr>
        <xdr:cNvPr id="987" name="그룹 986">
          <a:extLst>
            <a:ext uri="{FF2B5EF4-FFF2-40B4-BE49-F238E27FC236}">
              <a16:creationId xmlns:a16="http://schemas.microsoft.com/office/drawing/2014/main" id="{1463ADC3-53A3-42E7-8BA0-6AE736B83548}"/>
            </a:ext>
          </a:extLst>
        </xdr:cNvPr>
        <xdr:cNvGrpSpPr/>
      </xdr:nvGrpSpPr>
      <xdr:grpSpPr>
        <a:xfrm>
          <a:off x="6419584" y="75580129"/>
          <a:ext cx="36000" cy="180000"/>
          <a:chOff x="11556979" y="1937259"/>
          <a:chExt cx="188140" cy="204787"/>
        </a:xfrm>
      </xdr:grpSpPr>
      <xdr:sp macro="" textlink="">
        <xdr:nvSpPr>
          <xdr:cNvPr id="990" name="자유형: 도형 989">
            <a:extLst>
              <a:ext uri="{FF2B5EF4-FFF2-40B4-BE49-F238E27FC236}">
                <a16:creationId xmlns:a16="http://schemas.microsoft.com/office/drawing/2014/main" id="{8A3546BF-CC34-6DF5-5B47-3BD1F520F5D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91" name="자유형: 도형 990">
            <a:extLst>
              <a:ext uri="{FF2B5EF4-FFF2-40B4-BE49-F238E27FC236}">
                <a16:creationId xmlns:a16="http://schemas.microsoft.com/office/drawing/2014/main" id="{A69CB5CF-83F8-AAD1-D410-D890B2760D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429</xdr:row>
      <xdr:rowOff>187510</xdr:rowOff>
    </xdr:from>
    <xdr:to>
      <xdr:col>74</xdr:col>
      <xdr:colOff>18007</xdr:colOff>
      <xdr:row>430</xdr:row>
      <xdr:rowOff>177010</xdr:rowOff>
    </xdr:to>
    <xdr:grpSp>
      <xdr:nvGrpSpPr>
        <xdr:cNvPr id="994" name="그룹 993">
          <a:extLst>
            <a:ext uri="{FF2B5EF4-FFF2-40B4-BE49-F238E27FC236}">
              <a16:creationId xmlns:a16="http://schemas.microsoft.com/office/drawing/2014/main" id="{82EBCBAB-178F-4ADE-95D7-1CD3603F7DFB}"/>
            </a:ext>
          </a:extLst>
        </xdr:cNvPr>
        <xdr:cNvGrpSpPr/>
      </xdr:nvGrpSpPr>
      <xdr:grpSpPr>
        <a:xfrm>
          <a:off x="6415351" y="76335916"/>
          <a:ext cx="36000" cy="180000"/>
          <a:chOff x="11556979" y="1937259"/>
          <a:chExt cx="188140" cy="204787"/>
        </a:xfrm>
      </xdr:grpSpPr>
      <xdr:sp macro="" textlink="">
        <xdr:nvSpPr>
          <xdr:cNvPr id="995" name="자유형: 도형 994">
            <a:extLst>
              <a:ext uri="{FF2B5EF4-FFF2-40B4-BE49-F238E27FC236}">
                <a16:creationId xmlns:a16="http://schemas.microsoft.com/office/drawing/2014/main" id="{36F96A6F-2313-3927-A655-1317CA5461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25" name="자유형: 도형 1024">
            <a:extLst>
              <a:ext uri="{FF2B5EF4-FFF2-40B4-BE49-F238E27FC236}">
                <a16:creationId xmlns:a16="http://schemas.microsoft.com/office/drawing/2014/main" id="{54DBA8A8-9E87-F723-4E07-FEA27775BDB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124</xdr:col>
      <xdr:colOff>464342</xdr:colOff>
      <xdr:row>417</xdr:row>
      <xdr:rowOff>23812</xdr:rowOff>
    </xdr:from>
    <xdr:ext cx="3011978" cy="1096839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AFEB79B7-8793-D97C-CD87-D7A73DD00D17}"/>
            </a:ext>
          </a:extLst>
        </xdr:cNvPr>
        <xdr:cNvSpPr txBox="1"/>
      </xdr:nvSpPr>
      <xdr:spPr>
        <a:xfrm>
          <a:off x="10072686" y="73886218"/>
          <a:ext cx="3011978" cy="10968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1. gate1_en,</a:t>
          </a:r>
          <a:r>
            <a:rPr lang="en-US" altLang="ko-KR" sz="1100" baseline="0"/>
            <a:t> gate2_en, gate3_en : default disabled</a:t>
          </a:r>
        </a:p>
        <a:p>
          <a:r>
            <a:rPr lang="en-US" altLang="ko-KR" sz="1100" baseline="0"/>
            <a:t>     - enabled</a:t>
          </a:r>
          <a:r>
            <a:rPr lang="ko-KR" altLang="en-US" sz="1100" baseline="0"/>
            <a:t>에서는 </a:t>
          </a:r>
          <a:r>
            <a:rPr lang="en-US" altLang="ko-KR" sz="1100" baseline="0"/>
            <a:t>vsync</a:t>
          </a:r>
          <a:r>
            <a:rPr lang="ko-KR" altLang="en-US" sz="1100" baseline="0"/>
            <a:t>에 동기되어 시작</a:t>
          </a:r>
          <a:endParaRPr lang="en-US" altLang="ko-KR" sz="1100" baseline="0"/>
        </a:p>
        <a:p>
          <a:r>
            <a:rPr lang="en-US" altLang="ko-KR" sz="1100" baseline="0"/>
            <a:t>     - disable</a:t>
          </a:r>
          <a:r>
            <a:rPr lang="ko-KR" altLang="en-US" sz="1100" baseline="0"/>
            <a:t>에서는 </a:t>
          </a:r>
          <a:r>
            <a:rPr lang="en-US" altLang="ko-KR" sz="1100" baseline="0"/>
            <a:t>H_Gx/ L_Gx -&gt; low</a:t>
          </a:r>
        </a:p>
        <a:p>
          <a:r>
            <a:rPr lang="en-US" altLang="ko-KR" sz="1100" baseline="0"/>
            <a:t>2. H_Gx : default low</a:t>
          </a:r>
        </a:p>
        <a:p>
          <a:r>
            <a:rPr lang="en-US" altLang="ko-KR" sz="1100" baseline="0"/>
            <a:t>3. L_Gx : default low</a:t>
          </a:r>
          <a:endParaRPr lang="ko-KR" altLang="en-US" sz="1100"/>
        </a:p>
      </xdr:txBody>
    </xdr:sp>
    <xdr:clientData/>
  </xdr:oneCellAnchor>
  <xdr:twoCellAnchor>
    <xdr:from>
      <xdr:col>11</xdr:col>
      <xdr:colOff>1588</xdr:colOff>
      <xdr:row>414</xdr:row>
      <xdr:rowOff>87953</xdr:rowOff>
    </xdr:from>
    <xdr:to>
      <xdr:col>11</xdr:col>
      <xdr:colOff>1589</xdr:colOff>
      <xdr:row>433</xdr:row>
      <xdr:rowOff>144141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E60E5619-C8A0-4EF0-83EA-BD66A2F7BA20}"/>
            </a:ext>
          </a:extLst>
        </xdr:cNvPr>
        <xdr:cNvCxnSpPr/>
      </xdr:nvCxnSpPr>
      <xdr:spPr>
        <a:xfrm>
          <a:off x="2434432" y="73402672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57605</xdr:colOff>
      <xdr:row>416</xdr:row>
      <xdr:rowOff>172100</xdr:rowOff>
    </xdr:from>
    <xdr:to>
      <xdr:col>37</xdr:col>
      <xdr:colOff>57605</xdr:colOff>
      <xdr:row>433</xdr:row>
      <xdr:rowOff>161413</xdr:rowOff>
    </xdr:to>
    <xdr:cxnSp macro="">
      <xdr:nvCxnSpPr>
        <xdr:cNvPr id="279" name="직선 연결선 278">
          <a:extLst>
            <a:ext uri="{FF2B5EF4-FFF2-40B4-BE49-F238E27FC236}">
              <a16:creationId xmlns:a16="http://schemas.microsoft.com/office/drawing/2014/main" id="{AC5631C3-3B22-4479-ACB3-5C62E00D9CFB}"/>
            </a:ext>
          </a:extLst>
        </xdr:cNvPr>
        <xdr:cNvCxnSpPr/>
      </xdr:nvCxnSpPr>
      <xdr:spPr>
        <a:xfrm flipH="1">
          <a:off x="4141449" y="73851944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1586</xdr:colOff>
      <xdr:row>412</xdr:row>
      <xdr:rowOff>44753</xdr:rowOff>
    </xdr:from>
    <xdr:to>
      <xdr:col>106</xdr:col>
      <xdr:colOff>1586</xdr:colOff>
      <xdr:row>433</xdr:row>
      <xdr:rowOff>167816</xdr:rowOff>
    </xdr:to>
    <xdr:cxnSp macro="">
      <xdr:nvCxnSpPr>
        <xdr:cNvPr id="282" name="직선 연결선 281">
          <a:extLst>
            <a:ext uri="{FF2B5EF4-FFF2-40B4-BE49-F238E27FC236}">
              <a16:creationId xmlns:a16="http://schemas.microsoft.com/office/drawing/2014/main" id="{D02E1B43-6414-4093-87A3-3508A16B7DD0}"/>
            </a:ext>
          </a:extLst>
        </xdr:cNvPr>
        <xdr:cNvCxnSpPr/>
      </xdr:nvCxnSpPr>
      <xdr:spPr>
        <a:xfrm flipH="1">
          <a:off x="8466930" y="7299434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1593</xdr:colOff>
      <xdr:row>412</xdr:row>
      <xdr:rowOff>175266</xdr:rowOff>
    </xdr:from>
    <xdr:to>
      <xdr:col>110</xdr:col>
      <xdr:colOff>1594</xdr:colOff>
      <xdr:row>414</xdr:row>
      <xdr:rowOff>134141</xdr:rowOff>
    </xdr:to>
    <xdr:cxnSp macro="">
      <xdr:nvCxnSpPr>
        <xdr:cNvPr id="393" name="직선 연결선 392">
          <a:extLst>
            <a:ext uri="{FF2B5EF4-FFF2-40B4-BE49-F238E27FC236}">
              <a16:creationId xmlns:a16="http://schemas.microsoft.com/office/drawing/2014/main" id="{30A49AA1-08A8-4A88-AEAA-ACC626633F50}"/>
            </a:ext>
          </a:extLst>
        </xdr:cNvPr>
        <xdr:cNvCxnSpPr/>
      </xdr:nvCxnSpPr>
      <xdr:spPr>
        <a:xfrm>
          <a:off x="8720937" y="7312486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2269</xdr:colOff>
      <xdr:row>413</xdr:row>
      <xdr:rowOff>89885</xdr:rowOff>
    </xdr:from>
    <xdr:to>
      <xdr:col>110</xdr:col>
      <xdr:colOff>1269</xdr:colOff>
      <xdr:row>413</xdr:row>
      <xdr:rowOff>89885</xdr:rowOff>
    </xdr:to>
    <xdr:cxnSp macro="">
      <xdr:nvCxnSpPr>
        <xdr:cNvPr id="395" name="직선 화살표 연결선 394">
          <a:extLst>
            <a:ext uri="{FF2B5EF4-FFF2-40B4-BE49-F238E27FC236}">
              <a16:creationId xmlns:a16="http://schemas.microsoft.com/office/drawing/2014/main" id="{D559B7E4-51EC-4219-8C27-991F3E58A41C}"/>
            </a:ext>
          </a:extLst>
        </xdr:cNvPr>
        <xdr:cNvCxnSpPr/>
      </xdr:nvCxnSpPr>
      <xdr:spPr>
        <a:xfrm>
          <a:off x="8658113" y="7285691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110</xdr:col>
      <xdr:colOff>38555</xdr:colOff>
      <xdr:row>413</xdr:row>
      <xdr:rowOff>984</xdr:rowOff>
    </xdr:from>
    <xdr:ext cx="400687" cy="140872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B75A45E-7383-4489-99A8-D0B90BD1B8F5}"/>
            </a:ext>
          </a:extLst>
        </xdr:cNvPr>
        <xdr:cNvSpPr txBox="1"/>
      </xdr:nvSpPr>
      <xdr:spPr>
        <a:xfrm>
          <a:off x="8821399" y="72768015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62703</xdr:colOff>
      <xdr:row>414</xdr:row>
      <xdr:rowOff>89541</xdr:rowOff>
    </xdr:from>
    <xdr:to>
      <xdr:col>110</xdr:col>
      <xdr:colOff>62704</xdr:colOff>
      <xdr:row>433</xdr:row>
      <xdr:rowOff>145729</xdr:rowOff>
    </xdr:to>
    <xdr:cxnSp macro="">
      <xdr:nvCxnSpPr>
        <xdr:cNvPr id="399" name="직선 연결선 398">
          <a:extLst>
            <a:ext uri="{FF2B5EF4-FFF2-40B4-BE49-F238E27FC236}">
              <a16:creationId xmlns:a16="http://schemas.microsoft.com/office/drawing/2014/main" id="{1AAB3C2A-400E-46F1-9F77-16DEBBBC29C8}"/>
            </a:ext>
          </a:extLst>
        </xdr:cNvPr>
        <xdr:cNvCxnSpPr/>
      </xdr:nvCxnSpPr>
      <xdr:spPr>
        <a:xfrm>
          <a:off x="8782047" y="73404260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57605</xdr:colOff>
      <xdr:row>416</xdr:row>
      <xdr:rowOff>180034</xdr:rowOff>
    </xdr:from>
    <xdr:to>
      <xdr:col>46</xdr:col>
      <xdr:colOff>57605</xdr:colOff>
      <xdr:row>433</xdr:row>
      <xdr:rowOff>169347</xdr:rowOff>
    </xdr:to>
    <xdr:cxnSp macro="">
      <xdr:nvCxnSpPr>
        <xdr:cNvPr id="421" name="직선 연결선 420">
          <a:extLst>
            <a:ext uri="{FF2B5EF4-FFF2-40B4-BE49-F238E27FC236}">
              <a16:creationId xmlns:a16="http://schemas.microsoft.com/office/drawing/2014/main" id="{1067C179-41D2-43C9-B253-F89CEA9E766F}"/>
            </a:ext>
          </a:extLst>
        </xdr:cNvPr>
        <xdr:cNvCxnSpPr/>
      </xdr:nvCxnSpPr>
      <xdr:spPr>
        <a:xfrm flipH="1">
          <a:off x="4712949" y="7385987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63161</xdr:colOff>
      <xdr:row>416</xdr:row>
      <xdr:rowOff>173684</xdr:rowOff>
    </xdr:from>
    <xdr:to>
      <xdr:col>64</xdr:col>
      <xdr:colOff>63161</xdr:colOff>
      <xdr:row>433</xdr:row>
      <xdr:rowOff>162997</xdr:rowOff>
    </xdr:to>
    <xdr:cxnSp macro="">
      <xdr:nvCxnSpPr>
        <xdr:cNvPr id="429" name="직선 연결선 428">
          <a:extLst>
            <a:ext uri="{FF2B5EF4-FFF2-40B4-BE49-F238E27FC236}">
              <a16:creationId xmlns:a16="http://schemas.microsoft.com/office/drawing/2014/main" id="{0438AC46-E308-4328-9631-FC5392DA533A}"/>
            </a:ext>
          </a:extLst>
        </xdr:cNvPr>
        <xdr:cNvCxnSpPr/>
      </xdr:nvCxnSpPr>
      <xdr:spPr>
        <a:xfrm flipH="1">
          <a:off x="5861505" y="7385352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1248</xdr:colOff>
      <xdr:row>416</xdr:row>
      <xdr:rowOff>163364</xdr:rowOff>
    </xdr:from>
    <xdr:to>
      <xdr:col>75</xdr:col>
      <xdr:colOff>1248</xdr:colOff>
      <xdr:row>433</xdr:row>
      <xdr:rowOff>152677</xdr:rowOff>
    </xdr:to>
    <xdr:cxnSp macro="">
      <xdr:nvCxnSpPr>
        <xdr:cNvPr id="430" name="직선 연결선 429">
          <a:extLst>
            <a:ext uri="{FF2B5EF4-FFF2-40B4-BE49-F238E27FC236}">
              <a16:creationId xmlns:a16="http://schemas.microsoft.com/office/drawing/2014/main" id="{95D1D248-DDD1-4253-B007-99AF18D6AF68}"/>
            </a:ext>
          </a:extLst>
        </xdr:cNvPr>
        <xdr:cNvCxnSpPr/>
      </xdr:nvCxnSpPr>
      <xdr:spPr>
        <a:xfrm flipH="1">
          <a:off x="6498092" y="7384320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58398</xdr:colOff>
      <xdr:row>416</xdr:row>
      <xdr:rowOff>172887</xdr:rowOff>
    </xdr:from>
    <xdr:to>
      <xdr:col>92</xdr:col>
      <xdr:colOff>58398</xdr:colOff>
      <xdr:row>433</xdr:row>
      <xdr:rowOff>162200</xdr:rowOff>
    </xdr:to>
    <xdr:cxnSp macro="">
      <xdr:nvCxnSpPr>
        <xdr:cNvPr id="431" name="직선 연결선 430">
          <a:extLst>
            <a:ext uri="{FF2B5EF4-FFF2-40B4-BE49-F238E27FC236}">
              <a16:creationId xmlns:a16="http://schemas.microsoft.com/office/drawing/2014/main" id="{29209876-2145-4307-BA9A-1E14DBC1A431}"/>
            </a:ext>
          </a:extLst>
        </xdr:cNvPr>
        <xdr:cNvCxnSpPr/>
      </xdr:nvCxnSpPr>
      <xdr:spPr>
        <a:xfrm flipH="1">
          <a:off x="7634742" y="73852731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60780</xdr:colOff>
      <xdr:row>416</xdr:row>
      <xdr:rowOff>171298</xdr:rowOff>
    </xdr:from>
    <xdr:to>
      <xdr:col>101</xdr:col>
      <xdr:colOff>60780</xdr:colOff>
      <xdr:row>433</xdr:row>
      <xdr:rowOff>160611</xdr:rowOff>
    </xdr:to>
    <xdr:cxnSp macro="">
      <xdr:nvCxnSpPr>
        <xdr:cNvPr id="432" name="직선 연결선 431">
          <a:extLst>
            <a:ext uri="{FF2B5EF4-FFF2-40B4-BE49-F238E27FC236}">
              <a16:creationId xmlns:a16="http://schemas.microsoft.com/office/drawing/2014/main" id="{62F72C46-E1F0-4807-BF67-633B0609B01C}"/>
            </a:ext>
          </a:extLst>
        </xdr:cNvPr>
        <xdr:cNvCxnSpPr/>
      </xdr:nvCxnSpPr>
      <xdr:spPr>
        <a:xfrm flipH="1">
          <a:off x="8208624" y="73851142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63387</xdr:colOff>
      <xdr:row>422</xdr:row>
      <xdr:rowOff>95441</xdr:rowOff>
    </xdr:from>
    <xdr:to>
      <xdr:col>30</xdr:col>
      <xdr:colOff>62387</xdr:colOff>
      <xdr:row>422</xdr:row>
      <xdr:rowOff>95441</xdr:rowOff>
    </xdr:to>
    <xdr:cxnSp macro="">
      <xdr:nvCxnSpPr>
        <xdr:cNvPr id="434" name="직선 화살표 연결선 433">
          <a:extLst>
            <a:ext uri="{FF2B5EF4-FFF2-40B4-BE49-F238E27FC236}">
              <a16:creationId xmlns:a16="http://schemas.microsoft.com/office/drawing/2014/main" id="{40C0CA24-AF90-4A08-9EA2-C82CC1253E1A}"/>
            </a:ext>
          </a:extLst>
        </xdr:cNvPr>
        <xdr:cNvCxnSpPr/>
      </xdr:nvCxnSpPr>
      <xdr:spPr>
        <a:xfrm>
          <a:off x="3575731" y="74545222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1475</xdr:colOff>
      <xdr:row>426</xdr:row>
      <xdr:rowOff>93060</xdr:rowOff>
    </xdr:from>
    <xdr:to>
      <xdr:col>40</xdr:col>
      <xdr:colOff>475</xdr:colOff>
      <xdr:row>426</xdr:row>
      <xdr:rowOff>93060</xdr:rowOff>
    </xdr:to>
    <xdr:cxnSp macro="">
      <xdr:nvCxnSpPr>
        <xdr:cNvPr id="446" name="직선 화살표 연결선 445">
          <a:extLst>
            <a:ext uri="{FF2B5EF4-FFF2-40B4-BE49-F238E27FC236}">
              <a16:creationId xmlns:a16="http://schemas.microsoft.com/office/drawing/2014/main" id="{0AC25D45-2CC0-4BB6-B90D-ACEBF588BBA1}"/>
            </a:ext>
          </a:extLst>
        </xdr:cNvPr>
        <xdr:cNvCxnSpPr/>
      </xdr:nvCxnSpPr>
      <xdr:spPr>
        <a:xfrm>
          <a:off x="4148819" y="7530484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62594</xdr:colOff>
      <xdr:row>430</xdr:row>
      <xdr:rowOff>86710</xdr:rowOff>
    </xdr:from>
    <xdr:to>
      <xdr:col>48</xdr:col>
      <xdr:colOff>61594</xdr:colOff>
      <xdr:row>430</xdr:row>
      <xdr:rowOff>86710</xdr:rowOff>
    </xdr:to>
    <xdr:cxnSp macro="">
      <xdr:nvCxnSpPr>
        <xdr:cNvPr id="454" name="직선 화살표 연결선 453">
          <a:extLst>
            <a:ext uri="{FF2B5EF4-FFF2-40B4-BE49-F238E27FC236}">
              <a16:creationId xmlns:a16="http://schemas.microsoft.com/office/drawing/2014/main" id="{3488B12B-0EBC-4110-A9AB-2BD4A4CA0108}"/>
            </a:ext>
          </a:extLst>
        </xdr:cNvPr>
        <xdr:cNvCxnSpPr/>
      </xdr:nvCxnSpPr>
      <xdr:spPr>
        <a:xfrm>
          <a:off x="4717938" y="7606049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4650</xdr:colOff>
      <xdr:row>422</xdr:row>
      <xdr:rowOff>96234</xdr:rowOff>
    </xdr:from>
    <xdr:to>
      <xdr:col>47</xdr:col>
      <xdr:colOff>3650</xdr:colOff>
      <xdr:row>422</xdr:row>
      <xdr:rowOff>96234</xdr:rowOff>
    </xdr:to>
    <xdr:cxnSp macro="">
      <xdr:nvCxnSpPr>
        <xdr:cNvPr id="463" name="직선 화살표 연결선 462">
          <a:extLst>
            <a:ext uri="{FF2B5EF4-FFF2-40B4-BE49-F238E27FC236}">
              <a16:creationId xmlns:a16="http://schemas.microsoft.com/office/drawing/2014/main" id="{30B8D994-CD69-442C-B730-307F42CFAE2A}"/>
            </a:ext>
          </a:extLst>
        </xdr:cNvPr>
        <xdr:cNvCxnSpPr/>
      </xdr:nvCxnSpPr>
      <xdr:spPr>
        <a:xfrm>
          <a:off x="4596494" y="7454601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6238</xdr:colOff>
      <xdr:row>426</xdr:row>
      <xdr:rowOff>89884</xdr:rowOff>
    </xdr:from>
    <xdr:to>
      <xdr:col>65</xdr:col>
      <xdr:colOff>5238</xdr:colOff>
      <xdr:row>426</xdr:row>
      <xdr:rowOff>89884</xdr:rowOff>
    </xdr:to>
    <xdr:cxnSp macro="">
      <xdr:nvCxnSpPr>
        <xdr:cNvPr id="471" name="직선 화살표 연결선 470">
          <a:extLst>
            <a:ext uri="{FF2B5EF4-FFF2-40B4-BE49-F238E27FC236}">
              <a16:creationId xmlns:a16="http://schemas.microsoft.com/office/drawing/2014/main" id="{432CE544-674C-4C06-ABE3-93839AD84032}"/>
            </a:ext>
          </a:extLst>
        </xdr:cNvPr>
        <xdr:cNvCxnSpPr/>
      </xdr:nvCxnSpPr>
      <xdr:spPr>
        <a:xfrm>
          <a:off x="5741082" y="753016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63388</xdr:colOff>
      <xdr:row>430</xdr:row>
      <xdr:rowOff>95440</xdr:rowOff>
    </xdr:from>
    <xdr:to>
      <xdr:col>101</xdr:col>
      <xdr:colOff>62388</xdr:colOff>
      <xdr:row>430</xdr:row>
      <xdr:rowOff>95440</xdr:rowOff>
    </xdr:to>
    <xdr:cxnSp macro="">
      <xdr:nvCxnSpPr>
        <xdr:cNvPr id="472" name="직선 화살표 연결선 471">
          <a:extLst>
            <a:ext uri="{FF2B5EF4-FFF2-40B4-BE49-F238E27FC236}">
              <a16:creationId xmlns:a16="http://schemas.microsoft.com/office/drawing/2014/main" id="{E0712D06-E2BB-4855-AFBA-2141869332AF}"/>
            </a:ext>
          </a:extLst>
        </xdr:cNvPr>
        <xdr:cNvCxnSpPr/>
      </xdr:nvCxnSpPr>
      <xdr:spPr>
        <a:xfrm>
          <a:off x="8084232" y="760692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5444</xdr:colOff>
      <xdr:row>430</xdr:row>
      <xdr:rowOff>100997</xdr:rowOff>
    </xdr:from>
    <xdr:to>
      <xdr:col>113</xdr:col>
      <xdr:colOff>4444</xdr:colOff>
      <xdr:row>430</xdr:row>
      <xdr:rowOff>100997</xdr:rowOff>
    </xdr:to>
    <xdr:cxnSp macro="">
      <xdr:nvCxnSpPr>
        <xdr:cNvPr id="550" name="직선 화살표 연결선 549">
          <a:extLst>
            <a:ext uri="{FF2B5EF4-FFF2-40B4-BE49-F238E27FC236}">
              <a16:creationId xmlns:a16="http://schemas.microsoft.com/office/drawing/2014/main" id="{4E2056E1-08B5-43D0-B1D9-47215979458A}"/>
            </a:ext>
          </a:extLst>
        </xdr:cNvPr>
        <xdr:cNvCxnSpPr/>
      </xdr:nvCxnSpPr>
      <xdr:spPr>
        <a:xfrm>
          <a:off x="8788288" y="76074778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15763</xdr:colOff>
      <xdr:row>426</xdr:row>
      <xdr:rowOff>95440</xdr:rowOff>
    </xdr:from>
    <xdr:to>
      <xdr:col>93</xdr:col>
      <xdr:colOff>14763</xdr:colOff>
      <xdr:row>426</xdr:row>
      <xdr:rowOff>95440</xdr:rowOff>
    </xdr:to>
    <xdr:cxnSp macro="">
      <xdr:nvCxnSpPr>
        <xdr:cNvPr id="561" name="직선 화살표 연결선 560">
          <a:extLst>
            <a:ext uri="{FF2B5EF4-FFF2-40B4-BE49-F238E27FC236}">
              <a16:creationId xmlns:a16="http://schemas.microsoft.com/office/drawing/2014/main" id="{0B76FAC1-532B-43AC-B302-CFA3F981C381}"/>
            </a:ext>
          </a:extLst>
        </xdr:cNvPr>
        <xdr:cNvCxnSpPr/>
      </xdr:nvCxnSpPr>
      <xdr:spPr>
        <a:xfrm>
          <a:off x="7528607" y="7530722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9413</xdr:colOff>
      <xdr:row>426</xdr:row>
      <xdr:rowOff>89090</xdr:rowOff>
    </xdr:from>
    <xdr:to>
      <xdr:col>104</xdr:col>
      <xdr:colOff>8413</xdr:colOff>
      <xdr:row>426</xdr:row>
      <xdr:rowOff>89090</xdr:rowOff>
    </xdr:to>
    <xdr:cxnSp macro="">
      <xdr:nvCxnSpPr>
        <xdr:cNvPr id="573" name="직선 화살표 연결선 572">
          <a:extLst>
            <a:ext uri="{FF2B5EF4-FFF2-40B4-BE49-F238E27FC236}">
              <a16:creationId xmlns:a16="http://schemas.microsoft.com/office/drawing/2014/main" id="{1B4D2A81-93DB-4EFD-AEF7-184884F3481E}"/>
            </a:ext>
          </a:extLst>
        </xdr:cNvPr>
        <xdr:cNvCxnSpPr/>
      </xdr:nvCxnSpPr>
      <xdr:spPr>
        <a:xfrm>
          <a:off x="8220757" y="7530087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61800</xdr:colOff>
      <xdr:row>422</xdr:row>
      <xdr:rowOff>89884</xdr:rowOff>
    </xdr:from>
    <xdr:to>
      <xdr:col>94</xdr:col>
      <xdr:colOff>60800</xdr:colOff>
      <xdr:row>422</xdr:row>
      <xdr:rowOff>89884</xdr:rowOff>
    </xdr:to>
    <xdr:cxnSp macro="">
      <xdr:nvCxnSpPr>
        <xdr:cNvPr id="590" name="직선 화살표 연결선 589">
          <a:extLst>
            <a:ext uri="{FF2B5EF4-FFF2-40B4-BE49-F238E27FC236}">
              <a16:creationId xmlns:a16="http://schemas.microsoft.com/office/drawing/2014/main" id="{F9B1D90C-32CC-4271-B79B-DDFF7006039F}"/>
            </a:ext>
          </a:extLst>
        </xdr:cNvPr>
        <xdr:cNvCxnSpPr/>
      </xdr:nvCxnSpPr>
      <xdr:spPr>
        <a:xfrm>
          <a:off x="7638144" y="7453966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3856</xdr:colOff>
      <xdr:row>422</xdr:row>
      <xdr:rowOff>91472</xdr:rowOff>
    </xdr:from>
    <xdr:to>
      <xdr:col>111</xdr:col>
      <xdr:colOff>2856</xdr:colOff>
      <xdr:row>422</xdr:row>
      <xdr:rowOff>91472</xdr:rowOff>
    </xdr:to>
    <xdr:cxnSp macro="">
      <xdr:nvCxnSpPr>
        <xdr:cNvPr id="611" name="직선 화살표 연결선 610">
          <a:extLst>
            <a:ext uri="{FF2B5EF4-FFF2-40B4-BE49-F238E27FC236}">
              <a16:creationId xmlns:a16="http://schemas.microsoft.com/office/drawing/2014/main" id="{F102A673-4737-4E59-9940-4061CBB50E57}"/>
            </a:ext>
          </a:extLst>
        </xdr:cNvPr>
        <xdr:cNvCxnSpPr/>
      </xdr:nvCxnSpPr>
      <xdr:spPr>
        <a:xfrm>
          <a:off x="8659700" y="74541253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59097</xdr:colOff>
      <xdr:row>443</xdr:row>
      <xdr:rowOff>19846</xdr:rowOff>
    </xdr:from>
    <xdr:to>
      <xdr:col>80</xdr:col>
      <xdr:colOff>31597</xdr:colOff>
      <xdr:row>444</xdr:row>
      <xdr:rowOff>9346</xdr:rowOff>
    </xdr:to>
    <xdr:grpSp>
      <xdr:nvGrpSpPr>
        <xdr:cNvPr id="770" name="그룹 769">
          <a:extLst>
            <a:ext uri="{FF2B5EF4-FFF2-40B4-BE49-F238E27FC236}">
              <a16:creationId xmlns:a16="http://schemas.microsoft.com/office/drawing/2014/main" id="{1E265D45-3452-498C-8DDD-F454FC40F108}"/>
            </a:ext>
          </a:extLst>
        </xdr:cNvPr>
        <xdr:cNvGrpSpPr/>
      </xdr:nvGrpSpPr>
      <xdr:grpSpPr>
        <a:xfrm>
          <a:off x="6809941" y="78747940"/>
          <a:ext cx="36000" cy="180000"/>
          <a:chOff x="11556979" y="1922463"/>
          <a:chExt cx="188140" cy="204787"/>
        </a:xfrm>
      </xdr:grpSpPr>
      <xdr:sp macro="" textlink="">
        <xdr:nvSpPr>
          <xdr:cNvPr id="772" name="자유형: 도형 771">
            <a:extLst>
              <a:ext uri="{FF2B5EF4-FFF2-40B4-BE49-F238E27FC236}">
                <a16:creationId xmlns:a16="http://schemas.microsoft.com/office/drawing/2014/main" id="{7286EA0D-3C17-25FC-345D-8FE4DD00A7AE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73" name="자유형: 도형 772">
            <a:extLst>
              <a:ext uri="{FF2B5EF4-FFF2-40B4-BE49-F238E27FC236}">
                <a16:creationId xmlns:a16="http://schemas.microsoft.com/office/drawing/2014/main" id="{AFC287A8-52C6-37FE-B19B-90A14DBA6FE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447</xdr:row>
      <xdr:rowOff>23068</xdr:rowOff>
    </xdr:from>
    <xdr:to>
      <xdr:col>80</xdr:col>
      <xdr:colOff>34146</xdr:colOff>
      <xdr:row>448</xdr:row>
      <xdr:rowOff>12568</xdr:rowOff>
    </xdr:to>
    <xdr:grpSp>
      <xdr:nvGrpSpPr>
        <xdr:cNvPr id="784" name="그룹 783">
          <a:extLst>
            <a:ext uri="{FF2B5EF4-FFF2-40B4-BE49-F238E27FC236}">
              <a16:creationId xmlns:a16="http://schemas.microsoft.com/office/drawing/2014/main" id="{0DAE45D1-A91D-4BB1-9BE3-DC6B50CF4D40}"/>
            </a:ext>
          </a:extLst>
        </xdr:cNvPr>
        <xdr:cNvGrpSpPr/>
      </xdr:nvGrpSpPr>
      <xdr:grpSpPr>
        <a:xfrm>
          <a:off x="6812490" y="79497287"/>
          <a:ext cx="36000" cy="180000"/>
          <a:chOff x="11556979" y="1937259"/>
          <a:chExt cx="188140" cy="204787"/>
        </a:xfrm>
      </xdr:grpSpPr>
      <xdr:sp macro="" textlink="">
        <xdr:nvSpPr>
          <xdr:cNvPr id="819" name="자유형: 도형 818">
            <a:extLst>
              <a:ext uri="{FF2B5EF4-FFF2-40B4-BE49-F238E27FC236}">
                <a16:creationId xmlns:a16="http://schemas.microsoft.com/office/drawing/2014/main" id="{480325CF-D9DC-89EA-7600-A15763C13CE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4" name="자유형: 도형 883">
            <a:extLst>
              <a:ext uri="{FF2B5EF4-FFF2-40B4-BE49-F238E27FC236}">
                <a16:creationId xmlns:a16="http://schemas.microsoft.com/office/drawing/2014/main" id="{5A88AF0F-9D62-81FE-A1EC-35655FB701E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37</xdr:col>
      <xdr:colOff>453</xdr:colOff>
      <xdr:row>441</xdr:row>
      <xdr:rowOff>3967</xdr:rowOff>
    </xdr:from>
    <xdr:to>
      <xdr:col>37</xdr:col>
      <xdr:colOff>453</xdr:colOff>
      <xdr:row>458</xdr:row>
      <xdr:rowOff>153154</xdr:rowOff>
    </xdr:to>
    <xdr:cxnSp macro="">
      <xdr:nvCxnSpPr>
        <xdr:cNvPr id="886" name="직선 연결선 885">
          <a:extLst>
            <a:ext uri="{FF2B5EF4-FFF2-40B4-BE49-F238E27FC236}">
              <a16:creationId xmlns:a16="http://schemas.microsoft.com/office/drawing/2014/main" id="{29DD2F2C-11C2-45AD-98D3-8234DC5EF3CF}"/>
            </a:ext>
          </a:extLst>
        </xdr:cNvPr>
        <xdr:cNvCxnSpPr/>
      </xdr:nvCxnSpPr>
      <xdr:spPr>
        <a:xfrm flipH="1">
          <a:off x="4084297" y="783589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53444</xdr:colOff>
      <xdr:row>451</xdr:row>
      <xdr:rowOff>8917</xdr:rowOff>
    </xdr:from>
    <xdr:to>
      <xdr:col>80</xdr:col>
      <xdr:colOff>25944</xdr:colOff>
      <xdr:row>451</xdr:row>
      <xdr:rowOff>188917</xdr:rowOff>
    </xdr:to>
    <xdr:grpSp>
      <xdr:nvGrpSpPr>
        <xdr:cNvPr id="901" name="그룹 900">
          <a:extLst>
            <a:ext uri="{FF2B5EF4-FFF2-40B4-BE49-F238E27FC236}">
              <a16:creationId xmlns:a16="http://schemas.microsoft.com/office/drawing/2014/main" id="{527432D2-AC78-4F86-B098-DBF7D1B9EE15}"/>
            </a:ext>
          </a:extLst>
        </xdr:cNvPr>
        <xdr:cNvGrpSpPr/>
      </xdr:nvGrpSpPr>
      <xdr:grpSpPr>
        <a:xfrm>
          <a:off x="6804288" y="80245136"/>
          <a:ext cx="36000" cy="180000"/>
          <a:chOff x="11556979" y="1937259"/>
          <a:chExt cx="188140" cy="204787"/>
        </a:xfrm>
      </xdr:grpSpPr>
      <xdr:sp macro="" textlink="">
        <xdr:nvSpPr>
          <xdr:cNvPr id="954" name="자유형: 도형 953">
            <a:extLst>
              <a:ext uri="{FF2B5EF4-FFF2-40B4-BE49-F238E27FC236}">
                <a16:creationId xmlns:a16="http://schemas.microsoft.com/office/drawing/2014/main" id="{C9F18725-468C-98AF-E77C-16745DA2F09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5" name="자유형: 도형 954">
            <a:extLst>
              <a:ext uri="{FF2B5EF4-FFF2-40B4-BE49-F238E27FC236}">
                <a16:creationId xmlns:a16="http://schemas.microsoft.com/office/drawing/2014/main" id="{8B323B00-97D9-1818-4386-3E3C03F894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61382</xdr:colOff>
      <xdr:row>455</xdr:row>
      <xdr:rowOff>19691</xdr:rowOff>
    </xdr:from>
    <xdr:to>
      <xdr:col>80</xdr:col>
      <xdr:colOff>33882</xdr:colOff>
      <xdr:row>456</xdr:row>
      <xdr:rowOff>9191</xdr:rowOff>
    </xdr:to>
    <xdr:grpSp>
      <xdr:nvGrpSpPr>
        <xdr:cNvPr id="956" name="그룹 955">
          <a:extLst>
            <a:ext uri="{FF2B5EF4-FFF2-40B4-BE49-F238E27FC236}">
              <a16:creationId xmlns:a16="http://schemas.microsoft.com/office/drawing/2014/main" id="{57C0B6D7-949D-4033-98E6-14840885E7B9}"/>
            </a:ext>
          </a:extLst>
        </xdr:cNvPr>
        <xdr:cNvGrpSpPr/>
      </xdr:nvGrpSpPr>
      <xdr:grpSpPr>
        <a:xfrm>
          <a:off x="6812226" y="81017910"/>
          <a:ext cx="36000" cy="180000"/>
          <a:chOff x="11556979" y="1937259"/>
          <a:chExt cx="188140" cy="204787"/>
        </a:xfrm>
      </xdr:grpSpPr>
      <xdr:sp macro="" textlink="">
        <xdr:nvSpPr>
          <xdr:cNvPr id="957" name="자유형: 도형 956">
            <a:extLst>
              <a:ext uri="{FF2B5EF4-FFF2-40B4-BE49-F238E27FC236}">
                <a16:creationId xmlns:a16="http://schemas.microsoft.com/office/drawing/2014/main" id="{692B9B3A-1F42-8573-6ECC-86C4543A04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8" name="자유형: 도형 957">
            <a:extLst>
              <a:ext uri="{FF2B5EF4-FFF2-40B4-BE49-F238E27FC236}">
                <a16:creationId xmlns:a16="http://schemas.microsoft.com/office/drawing/2014/main" id="{18C8D1CA-8C61-840D-EDEE-CE8E91484A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59097</xdr:colOff>
      <xdr:row>445</xdr:row>
      <xdr:rowOff>15878</xdr:rowOff>
    </xdr:from>
    <xdr:to>
      <xdr:col>80</xdr:col>
      <xdr:colOff>31597</xdr:colOff>
      <xdr:row>446</xdr:row>
      <xdr:rowOff>5378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FF6D8FBD-3288-4D37-8E18-3F24A28D7600}"/>
            </a:ext>
          </a:extLst>
        </xdr:cNvPr>
        <xdr:cNvGrpSpPr/>
      </xdr:nvGrpSpPr>
      <xdr:grpSpPr>
        <a:xfrm>
          <a:off x="6809941" y="79117034"/>
          <a:ext cx="36000" cy="180000"/>
          <a:chOff x="11556979" y="1922463"/>
          <a:chExt cx="188140" cy="204787"/>
        </a:xfrm>
      </xdr:grpSpPr>
      <xdr:sp macro="" textlink="">
        <xdr:nvSpPr>
          <xdr:cNvPr id="1029" name="자유형: 도형 1028">
            <a:extLst>
              <a:ext uri="{FF2B5EF4-FFF2-40B4-BE49-F238E27FC236}">
                <a16:creationId xmlns:a16="http://schemas.microsoft.com/office/drawing/2014/main" id="{ACB452C1-B280-AE8F-0119-E98DCA5BBB6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0" name="자유형: 도형 1029">
            <a:extLst>
              <a:ext uri="{FF2B5EF4-FFF2-40B4-BE49-F238E27FC236}">
                <a16:creationId xmlns:a16="http://schemas.microsoft.com/office/drawing/2014/main" id="{510DF51A-C919-8C43-78B6-5472DD16FA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449</xdr:row>
      <xdr:rowOff>19099</xdr:rowOff>
    </xdr:from>
    <xdr:to>
      <xdr:col>80</xdr:col>
      <xdr:colOff>34146</xdr:colOff>
      <xdr:row>450</xdr:row>
      <xdr:rowOff>8599</xdr:rowOff>
    </xdr:to>
    <xdr:grpSp>
      <xdr:nvGrpSpPr>
        <xdr:cNvPr id="1031" name="그룹 1030">
          <a:extLst>
            <a:ext uri="{FF2B5EF4-FFF2-40B4-BE49-F238E27FC236}">
              <a16:creationId xmlns:a16="http://schemas.microsoft.com/office/drawing/2014/main" id="{A461C770-3146-4A18-8E9E-0678509F1ADD}"/>
            </a:ext>
          </a:extLst>
        </xdr:cNvPr>
        <xdr:cNvGrpSpPr/>
      </xdr:nvGrpSpPr>
      <xdr:grpSpPr>
        <a:xfrm>
          <a:off x="6812490" y="79874318"/>
          <a:ext cx="36000" cy="180000"/>
          <a:chOff x="11556979" y="1937259"/>
          <a:chExt cx="188140" cy="204787"/>
        </a:xfrm>
      </xdr:grpSpPr>
      <xdr:sp macro="" textlink="">
        <xdr:nvSpPr>
          <xdr:cNvPr id="1032" name="자유형: 도형 1031">
            <a:extLst>
              <a:ext uri="{FF2B5EF4-FFF2-40B4-BE49-F238E27FC236}">
                <a16:creationId xmlns:a16="http://schemas.microsoft.com/office/drawing/2014/main" id="{A3B942D7-A711-3B36-8ED5-63D81A98F61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3" name="자유형: 도형 1032">
            <a:extLst>
              <a:ext uri="{FF2B5EF4-FFF2-40B4-BE49-F238E27FC236}">
                <a16:creationId xmlns:a16="http://schemas.microsoft.com/office/drawing/2014/main" id="{8499A836-603E-4CCE-1E63-A9D585F7AD5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53444</xdr:colOff>
      <xdr:row>453</xdr:row>
      <xdr:rowOff>8917</xdr:rowOff>
    </xdr:from>
    <xdr:to>
      <xdr:col>80</xdr:col>
      <xdr:colOff>25944</xdr:colOff>
      <xdr:row>453</xdr:row>
      <xdr:rowOff>188917</xdr:rowOff>
    </xdr:to>
    <xdr:grpSp>
      <xdr:nvGrpSpPr>
        <xdr:cNvPr id="1035" name="그룹 1034">
          <a:extLst>
            <a:ext uri="{FF2B5EF4-FFF2-40B4-BE49-F238E27FC236}">
              <a16:creationId xmlns:a16="http://schemas.microsoft.com/office/drawing/2014/main" id="{7E4711A3-FC0A-47A3-A23C-4DFF9DDD8508}"/>
            </a:ext>
          </a:extLst>
        </xdr:cNvPr>
        <xdr:cNvGrpSpPr/>
      </xdr:nvGrpSpPr>
      <xdr:grpSpPr>
        <a:xfrm>
          <a:off x="6804288" y="80626136"/>
          <a:ext cx="36000" cy="180000"/>
          <a:chOff x="11556979" y="1937259"/>
          <a:chExt cx="188140" cy="204787"/>
        </a:xfrm>
      </xdr:grpSpPr>
      <xdr:sp macro="" textlink="">
        <xdr:nvSpPr>
          <xdr:cNvPr id="1036" name="자유형: 도형 1035">
            <a:extLst>
              <a:ext uri="{FF2B5EF4-FFF2-40B4-BE49-F238E27FC236}">
                <a16:creationId xmlns:a16="http://schemas.microsoft.com/office/drawing/2014/main" id="{581DFFA7-06C2-B93D-A3D8-AC5E66CB21F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7" name="자유형: 도형 1036">
            <a:extLst>
              <a:ext uri="{FF2B5EF4-FFF2-40B4-BE49-F238E27FC236}">
                <a16:creationId xmlns:a16="http://schemas.microsoft.com/office/drawing/2014/main" id="{87E94390-3D94-6B5C-0384-56FB1BC40C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26</xdr:col>
      <xdr:colOff>1588</xdr:colOff>
      <xdr:row>441</xdr:row>
      <xdr:rowOff>3967</xdr:rowOff>
    </xdr:from>
    <xdr:to>
      <xdr:col>26</xdr:col>
      <xdr:colOff>1589</xdr:colOff>
      <xdr:row>458</xdr:row>
      <xdr:rowOff>153154</xdr:rowOff>
    </xdr:to>
    <xdr:cxnSp macro="">
      <xdr:nvCxnSpPr>
        <xdr:cNvPr id="1053" name="직선 연결선 1052">
          <a:extLst>
            <a:ext uri="{FF2B5EF4-FFF2-40B4-BE49-F238E27FC236}">
              <a16:creationId xmlns:a16="http://schemas.microsoft.com/office/drawing/2014/main" id="{AE918926-641A-4085-A395-714FEBC4AFF3}"/>
            </a:ext>
          </a:extLst>
        </xdr:cNvPr>
        <xdr:cNvCxnSpPr/>
      </xdr:nvCxnSpPr>
      <xdr:spPr>
        <a:xfrm>
          <a:off x="3386932" y="7835899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1585</xdr:colOff>
      <xdr:row>438</xdr:row>
      <xdr:rowOff>44753</xdr:rowOff>
    </xdr:from>
    <xdr:to>
      <xdr:col>105</xdr:col>
      <xdr:colOff>1585</xdr:colOff>
      <xdr:row>442</xdr:row>
      <xdr:rowOff>106503</xdr:rowOff>
    </xdr:to>
    <xdr:cxnSp macro="">
      <xdr:nvCxnSpPr>
        <xdr:cNvPr id="1055" name="직선 연결선 1054">
          <a:extLst>
            <a:ext uri="{FF2B5EF4-FFF2-40B4-BE49-F238E27FC236}">
              <a16:creationId xmlns:a16="http://schemas.microsoft.com/office/drawing/2014/main" id="{0E869907-613B-49B0-96B0-51404BF14445}"/>
            </a:ext>
          </a:extLst>
        </xdr:cNvPr>
        <xdr:cNvCxnSpPr/>
      </xdr:nvCxnSpPr>
      <xdr:spPr>
        <a:xfrm flipH="1">
          <a:off x="8403429" y="77852097"/>
          <a:ext cx="0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54656</xdr:colOff>
      <xdr:row>455</xdr:row>
      <xdr:rowOff>94647</xdr:rowOff>
    </xdr:from>
    <xdr:to>
      <xdr:col>38</xdr:col>
      <xdr:colOff>53656</xdr:colOff>
      <xdr:row>455</xdr:row>
      <xdr:rowOff>94647</xdr:rowOff>
    </xdr:to>
    <xdr:cxnSp macro="">
      <xdr:nvCxnSpPr>
        <xdr:cNvPr id="1067" name="직선 화살표 연결선 1066">
          <a:extLst>
            <a:ext uri="{FF2B5EF4-FFF2-40B4-BE49-F238E27FC236}">
              <a16:creationId xmlns:a16="http://schemas.microsoft.com/office/drawing/2014/main" id="{39D40CF7-92A1-4DA2-9718-C55984F1D2E6}"/>
            </a:ext>
          </a:extLst>
        </xdr:cNvPr>
        <xdr:cNvCxnSpPr/>
      </xdr:nvCxnSpPr>
      <xdr:spPr>
        <a:xfrm>
          <a:off x="4075000" y="81092866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59419</xdr:colOff>
      <xdr:row>455</xdr:row>
      <xdr:rowOff>87502</xdr:rowOff>
    </xdr:from>
    <xdr:to>
      <xdr:col>49</xdr:col>
      <xdr:colOff>58419</xdr:colOff>
      <xdr:row>455</xdr:row>
      <xdr:rowOff>87502</xdr:rowOff>
    </xdr:to>
    <xdr:cxnSp macro="">
      <xdr:nvCxnSpPr>
        <xdr:cNvPr id="1070" name="직선 화살표 연결선 1069">
          <a:extLst>
            <a:ext uri="{FF2B5EF4-FFF2-40B4-BE49-F238E27FC236}">
              <a16:creationId xmlns:a16="http://schemas.microsoft.com/office/drawing/2014/main" id="{117F56AC-0DEA-4D38-BCAB-3E622A5CCE94}"/>
            </a:ext>
          </a:extLst>
        </xdr:cNvPr>
        <xdr:cNvCxnSpPr/>
      </xdr:nvCxnSpPr>
      <xdr:spPr>
        <a:xfrm>
          <a:off x="4778263" y="810857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63388</xdr:colOff>
      <xdr:row>451</xdr:row>
      <xdr:rowOff>107346</xdr:rowOff>
    </xdr:from>
    <xdr:to>
      <xdr:col>36</xdr:col>
      <xdr:colOff>62388</xdr:colOff>
      <xdr:row>451</xdr:row>
      <xdr:rowOff>107346</xdr:rowOff>
    </xdr:to>
    <xdr:cxnSp macro="">
      <xdr:nvCxnSpPr>
        <xdr:cNvPr id="1072" name="직선 화살표 연결선 1071">
          <a:extLst>
            <a:ext uri="{FF2B5EF4-FFF2-40B4-BE49-F238E27FC236}">
              <a16:creationId xmlns:a16="http://schemas.microsoft.com/office/drawing/2014/main" id="{5E6158EE-6D2D-4F95-A090-043B08CD2A26}"/>
            </a:ext>
          </a:extLst>
        </xdr:cNvPr>
        <xdr:cNvCxnSpPr/>
      </xdr:nvCxnSpPr>
      <xdr:spPr>
        <a:xfrm>
          <a:off x="3956732" y="803435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61006</xdr:colOff>
      <xdr:row>451</xdr:row>
      <xdr:rowOff>93059</xdr:rowOff>
    </xdr:from>
    <xdr:to>
      <xdr:col>27</xdr:col>
      <xdr:colOff>60006</xdr:colOff>
      <xdr:row>451</xdr:row>
      <xdr:rowOff>93059</xdr:rowOff>
    </xdr:to>
    <xdr:cxnSp macro="">
      <xdr:nvCxnSpPr>
        <xdr:cNvPr id="1073" name="직선 화살표 연결선 1072">
          <a:extLst>
            <a:ext uri="{FF2B5EF4-FFF2-40B4-BE49-F238E27FC236}">
              <a16:creationId xmlns:a16="http://schemas.microsoft.com/office/drawing/2014/main" id="{BD327DF3-8586-41FA-8DAF-D68B3087B027}"/>
            </a:ext>
          </a:extLst>
        </xdr:cNvPr>
        <xdr:cNvCxnSpPr/>
      </xdr:nvCxnSpPr>
      <xdr:spPr>
        <a:xfrm>
          <a:off x="3382850" y="80329278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23389</xdr:colOff>
      <xdr:row>441</xdr:row>
      <xdr:rowOff>11594</xdr:rowOff>
    </xdr:from>
    <xdr:ext cx="285784" cy="125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79D01DA7-E3FD-4667-8E6A-BF6A0FB4E74B}"/>
            </a:ext>
          </a:extLst>
        </xdr:cNvPr>
        <xdr:cNvSpPr txBox="1"/>
      </xdr:nvSpPr>
      <xdr:spPr>
        <a:xfrm>
          <a:off x="2519733" y="78366625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</xdr:col>
      <xdr:colOff>816275</xdr:colOff>
      <xdr:row>443</xdr:row>
      <xdr:rowOff>151280</xdr:rowOff>
    </xdr:from>
    <xdr:ext cx="368819" cy="140872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203E8C38-F4FD-4DA8-BB12-76E75C36EE42}"/>
            </a:ext>
          </a:extLst>
        </xdr:cNvPr>
        <xdr:cNvSpPr txBox="1"/>
      </xdr:nvSpPr>
      <xdr:spPr>
        <a:xfrm>
          <a:off x="1471119" y="5152278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79</xdr:col>
      <xdr:colOff>59393</xdr:colOff>
      <xdr:row>456</xdr:row>
      <xdr:rowOff>172499</xdr:rowOff>
    </xdr:from>
    <xdr:to>
      <xdr:col>80</xdr:col>
      <xdr:colOff>31893</xdr:colOff>
      <xdr:row>457</xdr:row>
      <xdr:rowOff>169937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8DD07A60-3898-4CAD-9CEC-E9EB184988A3}"/>
            </a:ext>
          </a:extLst>
        </xdr:cNvPr>
        <xdr:cNvGrpSpPr/>
      </xdr:nvGrpSpPr>
      <xdr:grpSpPr>
        <a:xfrm>
          <a:off x="6810237" y="81361218"/>
          <a:ext cx="36000" cy="180000"/>
          <a:chOff x="11556979" y="1922463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E1EB8BDC-F88A-F3CE-E176-7DB330287A5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3B44D0F2-360B-A5E3-A06E-1556924B76F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</xdr:col>
      <xdr:colOff>7519</xdr:colOff>
      <xdr:row>440</xdr:row>
      <xdr:rowOff>112658</xdr:rowOff>
    </xdr:from>
    <xdr:to>
      <xdr:col>104</xdr:col>
      <xdr:colOff>59019</xdr:colOff>
      <xdr:row>440</xdr:row>
      <xdr:rowOff>112658</xdr:rowOff>
    </xdr:to>
    <xdr:cxnSp macro="">
      <xdr:nvCxnSpPr>
        <xdr:cNvPr id="1083" name="직선 화살표 연결선 1082">
          <a:extLst>
            <a:ext uri="{FF2B5EF4-FFF2-40B4-BE49-F238E27FC236}">
              <a16:creationId xmlns:a16="http://schemas.microsoft.com/office/drawing/2014/main" id="{F0DC28F9-7298-40E6-B489-12C40080206E}"/>
            </a:ext>
          </a:extLst>
        </xdr:cNvPr>
        <xdr:cNvCxnSpPr/>
      </xdr:nvCxnSpPr>
      <xdr:spPr>
        <a:xfrm>
          <a:off x="2313363" y="78285127"/>
          <a:ext cx="608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440</xdr:row>
      <xdr:rowOff>37719</xdr:rowOff>
    </xdr:from>
    <xdr:ext cx="428066" cy="125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F5674277-DA9D-448D-B4FF-0AC04FE4F511}"/>
            </a:ext>
          </a:extLst>
        </xdr:cNvPr>
        <xdr:cNvSpPr txBox="1"/>
      </xdr:nvSpPr>
      <xdr:spPr>
        <a:xfrm>
          <a:off x="5162939" y="50861532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438</xdr:row>
      <xdr:rowOff>87835</xdr:rowOff>
    </xdr:from>
    <xdr:to>
      <xdr:col>9</xdr:col>
      <xdr:colOff>361</xdr:colOff>
      <xdr:row>442</xdr:row>
      <xdr:rowOff>149585</xdr:rowOff>
    </xdr:to>
    <xdr:cxnSp macro="">
      <xdr:nvCxnSpPr>
        <xdr:cNvPr id="1085" name="직선 연결선 1084">
          <a:extLst>
            <a:ext uri="{FF2B5EF4-FFF2-40B4-BE49-F238E27FC236}">
              <a16:creationId xmlns:a16="http://schemas.microsoft.com/office/drawing/2014/main" id="{4F647098-9359-4CA5-88CA-ACFE5F284321}"/>
            </a:ext>
          </a:extLst>
        </xdr:cNvPr>
        <xdr:cNvCxnSpPr/>
      </xdr:nvCxnSpPr>
      <xdr:spPr>
        <a:xfrm flipH="1">
          <a:off x="2306204" y="77895179"/>
          <a:ext cx="1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442</xdr:row>
      <xdr:rowOff>32449</xdr:rowOff>
    </xdr:from>
    <xdr:to>
      <xdr:col>11</xdr:col>
      <xdr:colOff>3022</xdr:colOff>
      <xdr:row>442</xdr:row>
      <xdr:rowOff>176449</xdr:rowOff>
    </xdr:to>
    <xdr:cxnSp macro="">
      <xdr:nvCxnSpPr>
        <xdr:cNvPr id="1097" name="직선 연결선 1096">
          <a:extLst>
            <a:ext uri="{FF2B5EF4-FFF2-40B4-BE49-F238E27FC236}">
              <a16:creationId xmlns:a16="http://schemas.microsoft.com/office/drawing/2014/main" id="{80D6A841-A2EE-4488-A118-17420B446E5F}"/>
            </a:ext>
          </a:extLst>
        </xdr:cNvPr>
        <xdr:cNvCxnSpPr/>
      </xdr:nvCxnSpPr>
      <xdr:spPr>
        <a:xfrm flipH="1">
          <a:off x="2435865" y="5122138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37902</xdr:colOff>
      <xdr:row>441</xdr:row>
      <xdr:rowOff>8196</xdr:rowOff>
    </xdr:from>
    <xdr:ext cx="340094" cy="125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C66A7FA6-36AF-4EB0-9CA6-0E7B6AA71BFC}"/>
            </a:ext>
          </a:extLst>
        </xdr:cNvPr>
        <xdr:cNvSpPr txBox="1"/>
      </xdr:nvSpPr>
      <xdr:spPr>
        <a:xfrm>
          <a:off x="2915246" y="7836322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30</xdr:col>
      <xdr:colOff>24508</xdr:colOff>
      <xdr:row>441</xdr:row>
      <xdr:rowOff>4041</xdr:rowOff>
    </xdr:from>
    <xdr:ext cx="340094" cy="125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DFCC7D20-6E02-415B-8911-8C0B3BF67CC7}"/>
            </a:ext>
          </a:extLst>
        </xdr:cNvPr>
        <xdr:cNvSpPr txBox="1"/>
      </xdr:nvSpPr>
      <xdr:spPr>
        <a:xfrm>
          <a:off x="3663852" y="78359072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13</xdr:col>
      <xdr:colOff>2187</xdr:colOff>
      <xdr:row>441</xdr:row>
      <xdr:rowOff>150105</xdr:rowOff>
    </xdr:from>
    <xdr:to>
      <xdr:col>15</xdr:col>
      <xdr:colOff>55187</xdr:colOff>
      <xdr:row>441</xdr:row>
      <xdr:rowOff>150105</xdr:rowOff>
    </xdr:to>
    <xdr:cxnSp macro="">
      <xdr:nvCxnSpPr>
        <xdr:cNvPr id="1101" name="직선 화살표 연결선 1100">
          <a:extLst>
            <a:ext uri="{FF2B5EF4-FFF2-40B4-BE49-F238E27FC236}">
              <a16:creationId xmlns:a16="http://schemas.microsoft.com/office/drawing/2014/main" id="{CB533D96-7238-4351-83D2-06BAC0CEC959}"/>
            </a:ext>
          </a:extLst>
        </xdr:cNvPr>
        <xdr:cNvCxnSpPr/>
      </xdr:nvCxnSpPr>
      <xdr:spPr>
        <a:xfrm>
          <a:off x="2562031" y="7850513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60698</xdr:colOff>
      <xdr:row>441</xdr:row>
      <xdr:rowOff>149519</xdr:rowOff>
    </xdr:from>
    <xdr:to>
      <xdr:col>26</xdr:col>
      <xdr:colOff>10198</xdr:colOff>
      <xdr:row>441</xdr:row>
      <xdr:rowOff>149519</xdr:rowOff>
    </xdr:to>
    <xdr:cxnSp macro="">
      <xdr:nvCxnSpPr>
        <xdr:cNvPr id="1102" name="직선 화살표 연결선 1101">
          <a:extLst>
            <a:ext uri="{FF2B5EF4-FFF2-40B4-BE49-F238E27FC236}">
              <a16:creationId xmlns:a16="http://schemas.microsoft.com/office/drawing/2014/main" id="{A4A30FB4-F542-4252-A768-A23D7FF86922}"/>
            </a:ext>
          </a:extLst>
        </xdr:cNvPr>
        <xdr:cNvCxnSpPr/>
      </xdr:nvCxnSpPr>
      <xdr:spPr>
        <a:xfrm>
          <a:off x="2747542" y="7850455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440</xdr:row>
      <xdr:rowOff>170039</xdr:rowOff>
    </xdr:from>
    <xdr:to>
      <xdr:col>15</xdr:col>
      <xdr:colOff>61651</xdr:colOff>
      <xdr:row>442</xdr:row>
      <xdr:rowOff>92914</xdr:rowOff>
    </xdr:to>
    <xdr:cxnSp macro="">
      <xdr:nvCxnSpPr>
        <xdr:cNvPr id="1103" name="직선 연결선 1102">
          <a:extLst>
            <a:ext uri="{FF2B5EF4-FFF2-40B4-BE49-F238E27FC236}">
              <a16:creationId xmlns:a16="http://schemas.microsoft.com/office/drawing/2014/main" id="{B272BB08-E5C7-4A44-BC73-D1223D0CB2E2}"/>
            </a:ext>
          </a:extLst>
        </xdr:cNvPr>
        <xdr:cNvCxnSpPr/>
      </xdr:nvCxnSpPr>
      <xdr:spPr>
        <a:xfrm flipH="1">
          <a:off x="2748494" y="78342508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9901</xdr:colOff>
      <xdr:row>441</xdr:row>
      <xdr:rowOff>151185</xdr:rowOff>
    </xdr:from>
    <xdr:to>
      <xdr:col>28</xdr:col>
      <xdr:colOff>62901</xdr:colOff>
      <xdr:row>441</xdr:row>
      <xdr:rowOff>151185</xdr:rowOff>
    </xdr:to>
    <xdr:cxnSp macro="">
      <xdr:nvCxnSpPr>
        <xdr:cNvPr id="1106" name="직선 화살표 연결선 1105">
          <a:extLst>
            <a:ext uri="{FF2B5EF4-FFF2-40B4-BE49-F238E27FC236}">
              <a16:creationId xmlns:a16="http://schemas.microsoft.com/office/drawing/2014/main" id="{9B5F46A0-3CC7-459D-B993-17813223C4FB}"/>
            </a:ext>
          </a:extLst>
        </xdr:cNvPr>
        <xdr:cNvCxnSpPr/>
      </xdr:nvCxnSpPr>
      <xdr:spPr>
        <a:xfrm>
          <a:off x="3395245" y="7850621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11500</xdr:colOff>
      <xdr:row>441</xdr:row>
      <xdr:rowOff>150599</xdr:rowOff>
    </xdr:from>
    <xdr:to>
      <xdr:col>37</xdr:col>
      <xdr:colOff>6148</xdr:colOff>
      <xdr:row>441</xdr:row>
      <xdr:rowOff>150599</xdr:rowOff>
    </xdr:to>
    <xdr:cxnSp macro="">
      <xdr:nvCxnSpPr>
        <xdr:cNvPr id="1107" name="직선 화살표 연결선 1106">
          <a:extLst>
            <a:ext uri="{FF2B5EF4-FFF2-40B4-BE49-F238E27FC236}">
              <a16:creationId xmlns:a16="http://schemas.microsoft.com/office/drawing/2014/main" id="{7B4B1514-4132-40AD-9825-15326AF1871C}"/>
            </a:ext>
          </a:extLst>
        </xdr:cNvPr>
        <xdr:cNvCxnSpPr/>
      </xdr:nvCxnSpPr>
      <xdr:spPr>
        <a:xfrm>
          <a:off x="3587344" y="78505630"/>
          <a:ext cx="502648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60114</xdr:colOff>
      <xdr:row>440</xdr:row>
      <xdr:rowOff>165375</xdr:rowOff>
    </xdr:from>
    <xdr:to>
      <xdr:col>12</xdr:col>
      <xdr:colOff>60115</xdr:colOff>
      <xdr:row>458</xdr:row>
      <xdr:rowOff>132000</xdr:rowOff>
    </xdr:to>
    <xdr:cxnSp macro="">
      <xdr:nvCxnSpPr>
        <xdr:cNvPr id="1108" name="직선 연결선 1107">
          <a:extLst>
            <a:ext uri="{FF2B5EF4-FFF2-40B4-BE49-F238E27FC236}">
              <a16:creationId xmlns:a16="http://schemas.microsoft.com/office/drawing/2014/main" id="{E5940095-BF24-4545-ADE8-8E0B39A88E82}"/>
            </a:ext>
          </a:extLst>
        </xdr:cNvPr>
        <xdr:cNvCxnSpPr/>
      </xdr:nvCxnSpPr>
      <xdr:spPr>
        <a:xfrm flipH="1">
          <a:off x="2556458" y="78337844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15437</xdr:colOff>
      <xdr:row>441</xdr:row>
      <xdr:rowOff>136072</xdr:rowOff>
    </xdr:from>
    <xdr:ext cx="240450" cy="125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D6E41A8F-1A58-419D-A78F-F6DD52584A0A}"/>
            </a:ext>
          </a:extLst>
        </xdr:cNvPr>
        <xdr:cNvSpPr txBox="1"/>
      </xdr:nvSpPr>
      <xdr:spPr>
        <a:xfrm>
          <a:off x="2257781" y="78491103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12174</xdr:colOff>
      <xdr:row>442</xdr:row>
      <xdr:rowOff>40518</xdr:rowOff>
    </xdr:from>
    <xdr:ext cx="242759" cy="125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2C183B0C-4F33-40BA-803C-2130463BA26A}"/>
            </a:ext>
          </a:extLst>
        </xdr:cNvPr>
        <xdr:cNvSpPr txBox="1"/>
      </xdr:nvSpPr>
      <xdr:spPr>
        <a:xfrm>
          <a:off x="2572018" y="785781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442</xdr:row>
      <xdr:rowOff>111161</xdr:rowOff>
    </xdr:from>
    <xdr:to>
      <xdr:col>11</xdr:col>
      <xdr:colOff>1272</xdr:colOff>
      <xdr:row>442</xdr:row>
      <xdr:rowOff>111161</xdr:rowOff>
    </xdr:to>
    <xdr:cxnSp macro="">
      <xdr:nvCxnSpPr>
        <xdr:cNvPr id="1111" name="직선 화살표 연결선 1110">
          <a:extLst>
            <a:ext uri="{FF2B5EF4-FFF2-40B4-BE49-F238E27FC236}">
              <a16:creationId xmlns:a16="http://schemas.microsoft.com/office/drawing/2014/main" id="{564F991A-F585-4AD5-A0E7-D4EF155C7F97}"/>
            </a:ext>
          </a:extLst>
        </xdr:cNvPr>
        <xdr:cNvCxnSpPr/>
      </xdr:nvCxnSpPr>
      <xdr:spPr>
        <a:xfrm>
          <a:off x="2308116" y="5130009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442</xdr:row>
      <xdr:rowOff>43341</xdr:rowOff>
    </xdr:from>
    <xdr:to>
      <xdr:col>11</xdr:col>
      <xdr:colOff>3022</xdr:colOff>
      <xdr:row>443</xdr:row>
      <xdr:rowOff>2888</xdr:rowOff>
    </xdr:to>
    <xdr:cxnSp macro="">
      <xdr:nvCxnSpPr>
        <xdr:cNvPr id="1112" name="직선 연결선 1111">
          <a:extLst>
            <a:ext uri="{FF2B5EF4-FFF2-40B4-BE49-F238E27FC236}">
              <a16:creationId xmlns:a16="http://schemas.microsoft.com/office/drawing/2014/main" id="{D015F946-C476-47A2-BFD5-56070F0E82BB}"/>
            </a:ext>
          </a:extLst>
        </xdr:cNvPr>
        <xdr:cNvCxnSpPr/>
      </xdr:nvCxnSpPr>
      <xdr:spPr>
        <a:xfrm flipH="1">
          <a:off x="2435865" y="51232279"/>
          <a:ext cx="1" cy="1421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442</xdr:row>
      <xdr:rowOff>110677</xdr:rowOff>
    </xdr:from>
    <xdr:to>
      <xdr:col>12</xdr:col>
      <xdr:colOff>59476</xdr:colOff>
      <xdr:row>442</xdr:row>
      <xdr:rowOff>110677</xdr:rowOff>
    </xdr:to>
    <xdr:cxnSp macro="">
      <xdr:nvCxnSpPr>
        <xdr:cNvPr id="1113" name="직선 화살표 연결선 1112">
          <a:extLst>
            <a:ext uri="{FF2B5EF4-FFF2-40B4-BE49-F238E27FC236}">
              <a16:creationId xmlns:a16="http://schemas.microsoft.com/office/drawing/2014/main" id="{314855E8-9803-4D00-849D-A2D019E3F5EA}"/>
            </a:ext>
          </a:extLst>
        </xdr:cNvPr>
        <xdr:cNvCxnSpPr/>
      </xdr:nvCxnSpPr>
      <xdr:spPr>
        <a:xfrm>
          <a:off x="2429820" y="5129961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55563</xdr:colOff>
      <xdr:row>416</xdr:row>
      <xdr:rowOff>86844</xdr:rowOff>
    </xdr:from>
    <xdr:to>
      <xdr:col>111</xdr:col>
      <xdr:colOff>14063</xdr:colOff>
      <xdr:row>416</xdr:row>
      <xdr:rowOff>86844</xdr:rowOff>
    </xdr:to>
    <xdr:cxnSp macro="">
      <xdr:nvCxnSpPr>
        <xdr:cNvPr id="1116" name="직선 화살표 연결선 1115">
          <a:extLst>
            <a:ext uri="{FF2B5EF4-FFF2-40B4-BE49-F238E27FC236}">
              <a16:creationId xmlns:a16="http://schemas.microsoft.com/office/drawing/2014/main" id="{735EA6B3-0177-4619-8D90-2BD650F3C891}"/>
            </a:ext>
          </a:extLst>
        </xdr:cNvPr>
        <xdr:cNvCxnSpPr/>
      </xdr:nvCxnSpPr>
      <xdr:spPr>
        <a:xfrm>
          <a:off x="2424907" y="73766688"/>
          <a:ext cx="637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59546</xdr:colOff>
      <xdr:row>416</xdr:row>
      <xdr:rowOff>23812</xdr:rowOff>
    </xdr:from>
    <xdr:ext cx="428066" cy="125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9845D701-8654-4E91-BC8D-906BB675F4DC}"/>
            </a:ext>
          </a:extLst>
        </xdr:cNvPr>
        <xdr:cNvSpPr txBox="1"/>
      </xdr:nvSpPr>
      <xdr:spPr>
        <a:xfrm>
          <a:off x="5286390" y="73703656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603250</xdr:colOff>
      <xdr:row>445</xdr:row>
      <xdr:rowOff>166687</xdr:rowOff>
    </xdr:from>
    <xdr:ext cx="606576" cy="140872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59B714F9-D0AA-48C5-A356-F78FDD1B0D92}"/>
            </a:ext>
          </a:extLst>
        </xdr:cNvPr>
        <xdr:cNvSpPr txBox="1"/>
      </xdr:nvSpPr>
      <xdr:spPr>
        <a:xfrm>
          <a:off x="1258094" y="79267843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591344</xdr:colOff>
      <xdr:row>447</xdr:row>
      <xdr:rowOff>166687</xdr:rowOff>
    </xdr:from>
    <xdr:ext cx="606576" cy="140872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9415B5CF-D64E-4BC5-83AA-FA90ADE97A69}"/>
            </a:ext>
          </a:extLst>
        </xdr:cNvPr>
        <xdr:cNvSpPr txBox="1"/>
      </xdr:nvSpPr>
      <xdr:spPr>
        <a:xfrm>
          <a:off x="1246188" y="79640906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420</xdr:row>
      <xdr:rowOff>150813</xdr:rowOff>
    </xdr:from>
    <xdr:ext cx="606576" cy="140872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61667367-537C-4D84-B859-014A19E5878B}"/>
            </a:ext>
          </a:extLst>
        </xdr:cNvPr>
        <xdr:cNvSpPr txBox="1"/>
      </xdr:nvSpPr>
      <xdr:spPr>
        <a:xfrm>
          <a:off x="1246187" y="74584719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422</xdr:row>
      <xdr:rowOff>150814</xdr:rowOff>
    </xdr:from>
    <xdr:ext cx="606576" cy="140872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9E0F8A35-A189-4F0C-97D6-28C5418519DA}"/>
            </a:ext>
          </a:extLst>
        </xdr:cNvPr>
        <xdr:cNvSpPr txBox="1"/>
      </xdr:nvSpPr>
      <xdr:spPr>
        <a:xfrm>
          <a:off x="1246187" y="7496572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449</xdr:row>
      <xdr:rowOff>154781</xdr:rowOff>
    </xdr:from>
    <xdr:ext cx="606576" cy="140872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DE6DD313-423A-4A22-B2DA-C52D87C0B876}"/>
            </a:ext>
          </a:extLst>
        </xdr:cNvPr>
        <xdr:cNvSpPr txBox="1"/>
      </xdr:nvSpPr>
      <xdr:spPr>
        <a:xfrm>
          <a:off x="1242219" y="8001000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451</xdr:row>
      <xdr:rowOff>154782</xdr:rowOff>
    </xdr:from>
    <xdr:ext cx="606576" cy="140872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841EBF5B-E787-4AC0-A252-9E765E66397C}"/>
            </a:ext>
          </a:extLst>
        </xdr:cNvPr>
        <xdr:cNvSpPr txBox="1"/>
      </xdr:nvSpPr>
      <xdr:spPr>
        <a:xfrm>
          <a:off x="1242219" y="803910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108</xdr:col>
      <xdr:colOff>61702</xdr:colOff>
      <xdr:row>441</xdr:row>
      <xdr:rowOff>4242</xdr:rowOff>
    </xdr:from>
    <xdr:to>
      <xdr:col>108</xdr:col>
      <xdr:colOff>61703</xdr:colOff>
      <xdr:row>458</xdr:row>
      <xdr:rowOff>153429</xdr:rowOff>
    </xdr:to>
    <xdr:cxnSp macro="">
      <xdr:nvCxnSpPr>
        <xdr:cNvPr id="1128" name="직선 연결선 1127">
          <a:extLst>
            <a:ext uri="{FF2B5EF4-FFF2-40B4-BE49-F238E27FC236}">
              <a16:creationId xmlns:a16="http://schemas.microsoft.com/office/drawing/2014/main" id="{E0E6F787-7A25-409C-8125-8830172D8C52}"/>
            </a:ext>
          </a:extLst>
        </xdr:cNvPr>
        <xdr:cNvCxnSpPr/>
      </xdr:nvCxnSpPr>
      <xdr:spPr>
        <a:xfrm flipH="1">
          <a:off x="8654046" y="78359273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57596</xdr:colOff>
      <xdr:row>441</xdr:row>
      <xdr:rowOff>9518</xdr:rowOff>
    </xdr:from>
    <xdr:to>
      <xdr:col>60</xdr:col>
      <xdr:colOff>57596</xdr:colOff>
      <xdr:row>458</xdr:row>
      <xdr:rowOff>158705</xdr:rowOff>
    </xdr:to>
    <xdr:cxnSp macro="">
      <xdr:nvCxnSpPr>
        <xdr:cNvPr id="1129" name="직선 연결선 1128">
          <a:extLst>
            <a:ext uri="{FF2B5EF4-FFF2-40B4-BE49-F238E27FC236}">
              <a16:creationId xmlns:a16="http://schemas.microsoft.com/office/drawing/2014/main" id="{83988CE5-32A1-438D-BFE2-0E2141B6A0E9}"/>
            </a:ext>
          </a:extLst>
        </xdr:cNvPr>
        <xdr:cNvCxnSpPr/>
      </xdr:nvCxnSpPr>
      <xdr:spPr>
        <a:xfrm flipH="1">
          <a:off x="5601940" y="78364549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58731</xdr:colOff>
      <xdr:row>441</xdr:row>
      <xdr:rowOff>13487</xdr:rowOff>
    </xdr:from>
    <xdr:to>
      <xdr:col>49</xdr:col>
      <xdr:colOff>58732</xdr:colOff>
      <xdr:row>458</xdr:row>
      <xdr:rowOff>162674</xdr:rowOff>
    </xdr:to>
    <xdr:cxnSp macro="">
      <xdr:nvCxnSpPr>
        <xdr:cNvPr id="1130" name="직선 연결선 1129">
          <a:extLst>
            <a:ext uri="{FF2B5EF4-FFF2-40B4-BE49-F238E27FC236}">
              <a16:creationId xmlns:a16="http://schemas.microsoft.com/office/drawing/2014/main" id="{65065D8D-E2AF-4213-84EC-FD906E9B20E7}"/>
            </a:ext>
          </a:extLst>
        </xdr:cNvPr>
        <xdr:cNvCxnSpPr/>
      </xdr:nvCxnSpPr>
      <xdr:spPr>
        <a:xfrm>
          <a:off x="4904575" y="7836851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57603</xdr:colOff>
      <xdr:row>440</xdr:row>
      <xdr:rowOff>180173</xdr:rowOff>
    </xdr:from>
    <xdr:to>
      <xdr:col>73</xdr:col>
      <xdr:colOff>57603</xdr:colOff>
      <xdr:row>458</xdr:row>
      <xdr:rowOff>146798</xdr:rowOff>
    </xdr:to>
    <xdr:cxnSp macro="">
      <xdr:nvCxnSpPr>
        <xdr:cNvPr id="1132" name="직선 연결선 1131">
          <a:extLst>
            <a:ext uri="{FF2B5EF4-FFF2-40B4-BE49-F238E27FC236}">
              <a16:creationId xmlns:a16="http://schemas.microsoft.com/office/drawing/2014/main" id="{0D2E1E1C-2F31-4DE2-A538-514E5E4C83DF}"/>
            </a:ext>
          </a:extLst>
        </xdr:cNvPr>
        <xdr:cNvCxnSpPr/>
      </xdr:nvCxnSpPr>
      <xdr:spPr>
        <a:xfrm flipH="1">
          <a:off x="6427447" y="78352642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59320</xdr:colOff>
      <xdr:row>441</xdr:row>
      <xdr:rowOff>13764</xdr:rowOff>
    </xdr:from>
    <xdr:to>
      <xdr:col>121</xdr:col>
      <xdr:colOff>59321</xdr:colOff>
      <xdr:row>458</xdr:row>
      <xdr:rowOff>162951</xdr:rowOff>
    </xdr:to>
    <xdr:cxnSp macro="">
      <xdr:nvCxnSpPr>
        <xdr:cNvPr id="1133" name="직선 연결선 1132">
          <a:extLst>
            <a:ext uri="{FF2B5EF4-FFF2-40B4-BE49-F238E27FC236}">
              <a16:creationId xmlns:a16="http://schemas.microsoft.com/office/drawing/2014/main" id="{046417EB-88E6-4735-ABFB-11A1E26148CC}"/>
            </a:ext>
          </a:extLst>
        </xdr:cNvPr>
        <xdr:cNvCxnSpPr/>
      </xdr:nvCxnSpPr>
      <xdr:spPr>
        <a:xfrm flipH="1">
          <a:off x="9477164" y="78368795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63159</xdr:colOff>
      <xdr:row>441</xdr:row>
      <xdr:rowOff>7136</xdr:rowOff>
    </xdr:from>
    <xdr:to>
      <xdr:col>84</xdr:col>
      <xdr:colOff>63159</xdr:colOff>
      <xdr:row>458</xdr:row>
      <xdr:rowOff>156323</xdr:rowOff>
    </xdr:to>
    <xdr:cxnSp macro="">
      <xdr:nvCxnSpPr>
        <xdr:cNvPr id="1134" name="직선 연결선 1133">
          <a:extLst>
            <a:ext uri="{FF2B5EF4-FFF2-40B4-BE49-F238E27FC236}">
              <a16:creationId xmlns:a16="http://schemas.microsoft.com/office/drawing/2014/main" id="{479E13AB-A00F-4061-B6C1-97BDF764A47F}"/>
            </a:ext>
          </a:extLst>
        </xdr:cNvPr>
        <xdr:cNvCxnSpPr/>
      </xdr:nvCxnSpPr>
      <xdr:spPr>
        <a:xfrm flipH="1">
          <a:off x="7131503" y="78362167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1246</xdr:colOff>
      <xdr:row>441</xdr:row>
      <xdr:rowOff>28567</xdr:rowOff>
    </xdr:from>
    <xdr:to>
      <xdr:col>98</xdr:col>
      <xdr:colOff>1246</xdr:colOff>
      <xdr:row>458</xdr:row>
      <xdr:rowOff>177754</xdr:rowOff>
    </xdr:to>
    <xdr:cxnSp macro="">
      <xdr:nvCxnSpPr>
        <xdr:cNvPr id="1135" name="직선 연결선 1134">
          <a:extLst>
            <a:ext uri="{FF2B5EF4-FFF2-40B4-BE49-F238E27FC236}">
              <a16:creationId xmlns:a16="http://schemas.microsoft.com/office/drawing/2014/main" id="{DB855B8C-B4B5-41F7-8CB8-C62B75AE3062}"/>
            </a:ext>
          </a:extLst>
        </xdr:cNvPr>
        <xdr:cNvCxnSpPr/>
      </xdr:nvCxnSpPr>
      <xdr:spPr>
        <a:xfrm flipH="1">
          <a:off x="7958590" y="783835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60322</xdr:colOff>
      <xdr:row>409</xdr:row>
      <xdr:rowOff>31586</xdr:rowOff>
    </xdr:from>
    <xdr:to>
      <xdr:col>118</xdr:col>
      <xdr:colOff>60323</xdr:colOff>
      <xdr:row>433</xdr:row>
      <xdr:rowOff>146961</xdr:rowOff>
    </xdr:to>
    <xdr:cxnSp macro="">
      <xdr:nvCxnSpPr>
        <xdr:cNvPr id="1136" name="직선 연결선 1135">
          <a:extLst>
            <a:ext uri="{FF2B5EF4-FFF2-40B4-BE49-F238E27FC236}">
              <a16:creationId xmlns:a16="http://schemas.microsoft.com/office/drawing/2014/main" id="{5338DD6C-D66E-43D6-A0FE-32865CF77CC3}"/>
            </a:ext>
          </a:extLst>
        </xdr:cNvPr>
        <xdr:cNvCxnSpPr/>
      </xdr:nvCxnSpPr>
      <xdr:spPr>
        <a:xfrm>
          <a:off x="9287666" y="72433492"/>
          <a:ext cx="1" cy="4608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55564</xdr:colOff>
      <xdr:row>409</xdr:row>
      <xdr:rowOff>3967</xdr:rowOff>
    </xdr:from>
    <xdr:to>
      <xdr:col>118</xdr:col>
      <xdr:colOff>55564</xdr:colOff>
      <xdr:row>409</xdr:row>
      <xdr:rowOff>174624</xdr:rowOff>
    </xdr:to>
    <xdr:cxnSp macro="">
      <xdr:nvCxnSpPr>
        <xdr:cNvPr id="1138" name="직선 화살표 연결선 1137">
          <a:extLst>
            <a:ext uri="{FF2B5EF4-FFF2-40B4-BE49-F238E27FC236}">
              <a16:creationId xmlns:a16="http://schemas.microsoft.com/office/drawing/2014/main" id="{0E149611-0AE4-2441-5547-EC4334F55BDF}"/>
            </a:ext>
          </a:extLst>
        </xdr:cNvPr>
        <xdr:cNvCxnSpPr/>
      </xdr:nvCxnSpPr>
      <xdr:spPr>
        <a:xfrm>
          <a:off x="9282908" y="72405873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119</xdr:col>
      <xdr:colOff>51594</xdr:colOff>
      <xdr:row>409</xdr:row>
      <xdr:rowOff>27781</xdr:rowOff>
    </xdr:from>
    <xdr:ext cx="722634" cy="140872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EB396E93-1F8E-48A1-9BAB-70BED4E720AD}"/>
            </a:ext>
          </a:extLst>
        </xdr:cNvPr>
        <xdr:cNvSpPr txBox="1"/>
      </xdr:nvSpPr>
      <xdr:spPr>
        <a:xfrm>
          <a:off x="9342438" y="72429687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592930</xdr:colOff>
      <xdr:row>424</xdr:row>
      <xdr:rowOff>172245</xdr:rowOff>
    </xdr:from>
    <xdr:ext cx="606576" cy="140872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7FE46647-5A0E-4C5B-BEEC-3BC6A4F7171C}"/>
            </a:ext>
          </a:extLst>
        </xdr:cNvPr>
        <xdr:cNvSpPr txBox="1"/>
      </xdr:nvSpPr>
      <xdr:spPr>
        <a:xfrm>
          <a:off x="1247774" y="7536815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592930</xdr:colOff>
      <xdr:row>426</xdr:row>
      <xdr:rowOff>172246</xdr:rowOff>
    </xdr:from>
    <xdr:ext cx="606576" cy="140872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DA4998C-AA96-4D10-BFEF-788D1221E6C1}"/>
            </a:ext>
          </a:extLst>
        </xdr:cNvPr>
        <xdr:cNvSpPr txBox="1"/>
      </xdr:nvSpPr>
      <xdr:spPr>
        <a:xfrm>
          <a:off x="1247774" y="7574915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428</xdr:row>
      <xdr:rowOff>165895</xdr:rowOff>
    </xdr:from>
    <xdr:ext cx="606576" cy="140872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E87E9899-8BD6-453D-B457-8F1A326D37BC}"/>
            </a:ext>
          </a:extLst>
        </xdr:cNvPr>
        <xdr:cNvSpPr txBox="1"/>
      </xdr:nvSpPr>
      <xdr:spPr>
        <a:xfrm>
          <a:off x="1257299" y="761238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430</xdr:row>
      <xdr:rowOff>165896</xdr:rowOff>
    </xdr:from>
    <xdr:ext cx="606576" cy="140872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5C5AC262-41CD-43A0-BF5A-1D501160768F}"/>
            </a:ext>
          </a:extLst>
        </xdr:cNvPr>
        <xdr:cNvSpPr txBox="1"/>
      </xdr:nvSpPr>
      <xdr:spPr>
        <a:xfrm>
          <a:off x="1257299" y="7650480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453</xdr:row>
      <xdr:rowOff>168275</xdr:rowOff>
    </xdr:from>
    <xdr:ext cx="606576" cy="140872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44DB0497-D253-49A6-BA24-38B2B79FA585}"/>
            </a:ext>
          </a:extLst>
        </xdr:cNvPr>
        <xdr:cNvSpPr txBox="1"/>
      </xdr:nvSpPr>
      <xdr:spPr>
        <a:xfrm>
          <a:off x="1267619" y="80785494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455</xdr:row>
      <xdr:rowOff>168276</xdr:rowOff>
    </xdr:from>
    <xdr:ext cx="606576" cy="140872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18E4C984-8631-401C-BD99-7C8593C84339}"/>
            </a:ext>
          </a:extLst>
        </xdr:cNvPr>
        <xdr:cNvSpPr txBox="1"/>
      </xdr:nvSpPr>
      <xdr:spPr>
        <a:xfrm>
          <a:off x="1267619" y="81166495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116</xdr:col>
      <xdr:colOff>792</xdr:colOff>
      <xdr:row>437</xdr:row>
      <xdr:rowOff>35556</xdr:rowOff>
    </xdr:from>
    <xdr:to>
      <xdr:col>116</xdr:col>
      <xdr:colOff>793</xdr:colOff>
      <xdr:row>458</xdr:row>
      <xdr:rowOff>138493</xdr:rowOff>
    </xdr:to>
    <xdr:cxnSp macro="">
      <xdr:nvCxnSpPr>
        <xdr:cNvPr id="1147" name="직선 연결선 1146">
          <a:extLst>
            <a:ext uri="{FF2B5EF4-FFF2-40B4-BE49-F238E27FC236}">
              <a16:creationId xmlns:a16="http://schemas.microsoft.com/office/drawing/2014/main" id="{0EEAC1BC-C570-46F5-B9C3-B74A1490E487}"/>
            </a:ext>
          </a:extLst>
        </xdr:cNvPr>
        <xdr:cNvCxnSpPr/>
      </xdr:nvCxnSpPr>
      <xdr:spPr>
        <a:xfrm>
          <a:off x="9101136" y="77660337"/>
          <a:ext cx="1" cy="4032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59534</xdr:colOff>
      <xdr:row>437</xdr:row>
      <xdr:rowOff>7937</xdr:rowOff>
    </xdr:from>
    <xdr:to>
      <xdr:col>115</xdr:col>
      <xdr:colOff>59534</xdr:colOff>
      <xdr:row>437</xdr:row>
      <xdr:rowOff>178594</xdr:rowOff>
    </xdr:to>
    <xdr:cxnSp macro="">
      <xdr:nvCxnSpPr>
        <xdr:cNvPr id="1148" name="직선 화살표 연결선 1147">
          <a:extLst>
            <a:ext uri="{FF2B5EF4-FFF2-40B4-BE49-F238E27FC236}">
              <a16:creationId xmlns:a16="http://schemas.microsoft.com/office/drawing/2014/main" id="{A95CFF0E-041E-4EDE-A932-EB1785583208}"/>
            </a:ext>
          </a:extLst>
        </xdr:cNvPr>
        <xdr:cNvCxnSpPr/>
      </xdr:nvCxnSpPr>
      <xdr:spPr>
        <a:xfrm>
          <a:off x="9096378" y="77632718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59533</xdr:colOff>
      <xdr:row>437</xdr:row>
      <xdr:rowOff>31751</xdr:rowOff>
    </xdr:from>
    <xdr:ext cx="722634" cy="140872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AF1DFD9E-93BA-4CC3-BB15-306EB64D7F24}"/>
            </a:ext>
          </a:extLst>
        </xdr:cNvPr>
        <xdr:cNvSpPr txBox="1"/>
      </xdr:nvSpPr>
      <xdr:spPr>
        <a:xfrm>
          <a:off x="9159877" y="77656532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585011</xdr:colOff>
      <xdr:row>468</xdr:row>
      <xdr:rowOff>159460</xdr:rowOff>
    </xdr:from>
    <xdr:ext cx="618311" cy="140872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310AC3E3-A603-40C0-B021-0B7146F79614}"/>
            </a:ext>
          </a:extLst>
        </xdr:cNvPr>
        <xdr:cNvSpPr txBox="1"/>
      </xdr:nvSpPr>
      <xdr:spPr>
        <a:xfrm>
          <a:off x="1239855" y="73656741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471</xdr:row>
      <xdr:rowOff>149966</xdr:rowOff>
    </xdr:from>
    <xdr:ext cx="368819" cy="140872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4503C93D-AF68-4F79-BF77-E717F488863B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63389</xdr:colOff>
      <xdr:row>472</xdr:row>
      <xdr:rowOff>132204</xdr:rowOff>
    </xdr:from>
    <xdr:to>
      <xdr:col>22</xdr:col>
      <xdr:colOff>12889</xdr:colOff>
      <xdr:row>472</xdr:row>
      <xdr:rowOff>132204</xdr:rowOff>
    </xdr:to>
    <xdr:cxnSp macro="">
      <xdr:nvCxnSpPr>
        <xdr:cNvPr id="1160" name="직선 화살표 연결선 1159">
          <a:extLst>
            <a:ext uri="{FF2B5EF4-FFF2-40B4-BE49-F238E27FC236}">
              <a16:creationId xmlns:a16="http://schemas.microsoft.com/office/drawing/2014/main" id="{7AF4CDFA-1592-4370-A206-9DA6269F151D}"/>
            </a:ext>
          </a:extLst>
        </xdr:cNvPr>
        <xdr:cNvCxnSpPr/>
      </xdr:nvCxnSpPr>
      <xdr:spPr>
        <a:xfrm>
          <a:off x="2496233" y="84257798"/>
          <a:ext cx="64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55563</xdr:colOff>
      <xdr:row>469</xdr:row>
      <xdr:rowOff>94781</xdr:rowOff>
    </xdr:from>
    <xdr:to>
      <xdr:col>123</xdr:col>
      <xdr:colOff>16563</xdr:colOff>
      <xdr:row>469</xdr:row>
      <xdr:rowOff>94781</xdr:rowOff>
    </xdr:to>
    <xdr:cxnSp macro="">
      <xdr:nvCxnSpPr>
        <xdr:cNvPr id="1171" name="직선 화살표 연결선 1170">
          <a:extLst>
            <a:ext uri="{FF2B5EF4-FFF2-40B4-BE49-F238E27FC236}">
              <a16:creationId xmlns:a16="http://schemas.microsoft.com/office/drawing/2014/main" id="{A3B65571-5326-4731-B021-ADCEA6DE06B7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469</xdr:row>
      <xdr:rowOff>35718</xdr:rowOff>
    </xdr:from>
    <xdr:ext cx="428066" cy="125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001DF8FD-9EBB-4C17-A07F-A3152378182B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469</xdr:row>
      <xdr:rowOff>170650</xdr:rowOff>
    </xdr:from>
    <xdr:to>
      <xdr:col>12</xdr:col>
      <xdr:colOff>1</xdr:colOff>
      <xdr:row>478</xdr:row>
      <xdr:rowOff>59712</xdr:rowOff>
    </xdr:to>
    <xdr:cxnSp macro="">
      <xdr:nvCxnSpPr>
        <xdr:cNvPr id="1200" name="직선 연결선 1199">
          <a:extLst>
            <a:ext uri="{FF2B5EF4-FFF2-40B4-BE49-F238E27FC236}">
              <a16:creationId xmlns:a16="http://schemas.microsoft.com/office/drawing/2014/main" id="{C3F6620A-364E-4578-8DA5-1BD9B5569442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470</xdr:row>
      <xdr:rowOff>1579</xdr:rowOff>
    </xdr:from>
    <xdr:to>
      <xdr:col>24</xdr:col>
      <xdr:colOff>1589</xdr:colOff>
      <xdr:row>473</xdr:row>
      <xdr:rowOff>50017</xdr:rowOff>
    </xdr:to>
    <xdr:cxnSp macro="">
      <xdr:nvCxnSpPr>
        <xdr:cNvPr id="1201" name="직선 연결선 1200">
          <a:extLst>
            <a:ext uri="{FF2B5EF4-FFF2-40B4-BE49-F238E27FC236}">
              <a16:creationId xmlns:a16="http://schemas.microsoft.com/office/drawing/2014/main" id="{027BE34F-6976-4FB3-B488-C96C337FCBA3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1587</xdr:colOff>
      <xdr:row>469</xdr:row>
      <xdr:rowOff>176205</xdr:rowOff>
    </xdr:from>
    <xdr:to>
      <xdr:col>36</xdr:col>
      <xdr:colOff>1588</xdr:colOff>
      <xdr:row>473</xdr:row>
      <xdr:rowOff>42080</xdr:rowOff>
    </xdr:to>
    <xdr:cxnSp macro="">
      <xdr:nvCxnSpPr>
        <xdr:cNvPr id="1202" name="직선 연결선 1201">
          <a:extLst>
            <a:ext uri="{FF2B5EF4-FFF2-40B4-BE49-F238E27FC236}">
              <a16:creationId xmlns:a16="http://schemas.microsoft.com/office/drawing/2014/main" id="{BCC3A753-479D-410B-8A30-FB95B195A67E}"/>
            </a:ext>
          </a:extLst>
        </xdr:cNvPr>
        <xdr:cNvCxnSpPr/>
      </xdr:nvCxnSpPr>
      <xdr:spPr>
        <a:xfrm flipH="1">
          <a:off x="4021931" y="8373823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62711</xdr:colOff>
      <xdr:row>469</xdr:row>
      <xdr:rowOff>173821</xdr:rowOff>
    </xdr:from>
    <xdr:to>
      <xdr:col>47</xdr:col>
      <xdr:colOff>62712</xdr:colOff>
      <xdr:row>478</xdr:row>
      <xdr:rowOff>62883</xdr:rowOff>
    </xdr:to>
    <xdr:cxnSp macro="">
      <xdr:nvCxnSpPr>
        <xdr:cNvPr id="1203" name="직선 연결선 1202">
          <a:extLst>
            <a:ext uri="{FF2B5EF4-FFF2-40B4-BE49-F238E27FC236}">
              <a16:creationId xmlns:a16="http://schemas.microsoft.com/office/drawing/2014/main" id="{03423FB4-AB9F-4E89-933F-36348B3F1609}"/>
            </a:ext>
          </a:extLst>
        </xdr:cNvPr>
        <xdr:cNvCxnSpPr/>
      </xdr:nvCxnSpPr>
      <xdr:spPr>
        <a:xfrm flipH="1">
          <a:off x="4781555" y="83735852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62708</xdr:colOff>
      <xdr:row>469</xdr:row>
      <xdr:rowOff>177792</xdr:rowOff>
    </xdr:from>
    <xdr:to>
      <xdr:col>57</xdr:col>
      <xdr:colOff>62709</xdr:colOff>
      <xdr:row>473</xdr:row>
      <xdr:rowOff>43667</xdr:rowOff>
    </xdr:to>
    <xdr:cxnSp macro="">
      <xdr:nvCxnSpPr>
        <xdr:cNvPr id="1204" name="직선 연결선 1203">
          <a:extLst>
            <a:ext uri="{FF2B5EF4-FFF2-40B4-BE49-F238E27FC236}">
              <a16:creationId xmlns:a16="http://schemas.microsoft.com/office/drawing/2014/main" id="{A8246528-F13E-44B3-A003-110843CA2B89}"/>
            </a:ext>
          </a:extLst>
        </xdr:cNvPr>
        <xdr:cNvCxnSpPr/>
      </xdr:nvCxnSpPr>
      <xdr:spPr>
        <a:xfrm flipH="1">
          <a:off x="5416552" y="8373982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58738</xdr:colOff>
      <xdr:row>469</xdr:row>
      <xdr:rowOff>181761</xdr:rowOff>
    </xdr:from>
    <xdr:to>
      <xdr:col>67</xdr:col>
      <xdr:colOff>58739</xdr:colOff>
      <xdr:row>473</xdr:row>
      <xdr:rowOff>47636</xdr:rowOff>
    </xdr:to>
    <xdr:cxnSp macro="">
      <xdr:nvCxnSpPr>
        <xdr:cNvPr id="1205" name="직선 연결선 1204">
          <a:extLst>
            <a:ext uri="{FF2B5EF4-FFF2-40B4-BE49-F238E27FC236}">
              <a16:creationId xmlns:a16="http://schemas.microsoft.com/office/drawing/2014/main" id="{17BCAA3D-2EB9-4BA4-88D6-AA489E04FB08}"/>
            </a:ext>
          </a:extLst>
        </xdr:cNvPr>
        <xdr:cNvCxnSpPr/>
      </xdr:nvCxnSpPr>
      <xdr:spPr>
        <a:xfrm flipH="1">
          <a:off x="6047582" y="83743792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800</xdr:colOff>
      <xdr:row>469</xdr:row>
      <xdr:rowOff>175409</xdr:rowOff>
    </xdr:from>
    <xdr:to>
      <xdr:col>78</xdr:col>
      <xdr:colOff>801</xdr:colOff>
      <xdr:row>478</xdr:row>
      <xdr:rowOff>64471</xdr:rowOff>
    </xdr:to>
    <xdr:cxnSp macro="">
      <xdr:nvCxnSpPr>
        <xdr:cNvPr id="1206" name="직선 연결선 1205">
          <a:extLst>
            <a:ext uri="{FF2B5EF4-FFF2-40B4-BE49-F238E27FC236}">
              <a16:creationId xmlns:a16="http://schemas.microsoft.com/office/drawing/2014/main" id="{FA2581FD-849C-4B8D-9336-AD3A0C89C4D9}"/>
            </a:ext>
          </a:extLst>
        </xdr:cNvPr>
        <xdr:cNvCxnSpPr/>
      </xdr:nvCxnSpPr>
      <xdr:spPr>
        <a:xfrm flipH="1">
          <a:off x="6688144" y="83737440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60325</xdr:colOff>
      <xdr:row>470</xdr:row>
      <xdr:rowOff>785</xdr:rowOff>
    </xdr:from>
    <xdr:to>
      <xdr:col>85</xdr:col>
      <xdr:colOff>60326</xdr:colOff>
      <xdr:row>473</xdr:row>
      <xdr:rowOff>49223</xdr:rowOff>
    </xdr:to>
    <xdr:cxnSp macro="">
      <xdr:nvCxnSpPr>
        <xdr:cNvPr id="1207" name="직선 연결선 1206">
          <a:extLst>
            <a:ext uri="{FF2B5EF4-FFF2-40B4-BE49-F238E27FC236}">
              <a16:creationId xmlns:a16="http://schemas.microsoft.com/office/drawing/2014/main" id="{E60366FF-A5A0-452E-BB7A-6EF4E72FE1A7}"/>
            </a:ext>
          </a:extLst>
        </xdr:cNvPr>
        <xdr:cNvCxnSpPr/>
      </xdr:nvCxnSpPr>
      <xdr:spPr>
        <a:xfrm flipH="1">
          <a:off x="7065169" y="83745379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57945</xdr:colOff>
      <xdr:row>469</xdr:row>
      <xdr:rowOff>180966</xdr:rowOff>
    </xdr:from>
    <xdr:to>
      <xdr:col>93</xdr:col>
      <xdr:colOff>57946</xdr:colOff>
      <xdr:row>473</xdr:row>
      <xdr:rowOff>46841</xdr:rowOff>
    </xdr:to>
    <xdr:cxnSp macro="">
      <xdr:nvCxnSpPr>
        <xdr:cNvPr id="1208" name="직선 연결선 1207">
          <a:extLst>
            <a:ext uri="{FF2B5EF4-FFF2-40B4-BE49-F238E27FC236}">
              <a16:creationId xmlns:a16="http://schemas.microsoft.com/office/drawing/2014/main" id="{AC13D396-162B-44A0-A2F7-F6D920537F2B}"/>
            </a:ext>
          </a:extLst>
        </xdr:cNvPr>
        <xdr:cNvCxnSpPr/>
      </xdr:nvCxnSpPr>
      <xdr:spPr>
        <a:xfrm flipH="1">
          <a:off x="7570789" y="8374299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61919</xdr:colOff>
      <xdr:row>469</xdr:row>
      <xdr:rowOff>165090</xdr:rowOff>
    </xdr:from>
    <xdr:to>
      <xdr:col>101</xdr:col>
      <xdr:colOff>61920</xdr:colOff>
      <xdr:row>478</xdr:row>
      <xdr:rowOff>54152</xdr:rowOff>
    </xdr:to>
    <xdr:cxnSp macro="">
      <xdr:nvCxnSpPr>
        <xdr:cNvPr id="1209" name="직선 연결선 1208">
          <a:extLst>
            <a:ext uri="{FF2B5EF4-FFF2-40B4-BE49-F238E27FC236}">
              <a16:creationId xmlns:a16="http://schemas.microsoft.com/office/drawing/2014/main" id="{9B5B4851-8C71-413D-885D-5C2FABA16435}"/>
            </a:ext>
          </a:extLst>
        </xdr:cNvPr>
        <xdr:cNvCxnSpPr/>
      </xdr:nvCxnSpPr>
      <xdr:spPr>
        <a:xfrm flipH="1">
          <a:off x="8209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57945</xdr:colOff>
      <xdr:row>469</xdr:row>
      <xdr:rowOff>180967</xdr:rowOff>
    </xdr:from>
    <xdr:to>
      <xdr:col>107</xdr:col>
      <xdr:colOff>57946</xdr:colOff>
      <xdr:row>473</xdr:row>
      <xdr:rowOff>46842</xdr:rowOff>
    </xdr:to>
    <xdr:cxnSp macro="">
      <xdr:nvCxnSpPr>
        <xdr:cNvPr id="1210" name="직선 연결선 1209">
          <a:extLst>
            <a:ext uri="{FF2B5EF4-FFF2-40B4-BE49-F238E27FC236}">
              <a16:creationId xmlns:a16="http://schemas.microsoft.com/office/drawing/2014/main" id="{496ED246-78DB-4A53-88CE-4FE4021581D0}"/>
            </a:ext>
          </a:extLst>
        </xdr:cNvPr>
        <xdr:cNvCxnSpPr/>
      </xdr:nvCxnSpPr>
      <xdr:spPr>
        <a:xfrm flipH="1">
          <a:off x="8459789" y="83742998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59533</xdr:colOff>
      <xdr:row>470</xdr:row>
      <xdr:rowOff>3960</xdr:rowOff>
    </xdr:from>
    <xdr:to>
      <xdr:col>113</xdr:col>
      <xdr:colOff>59534</xdr:colOff>
      <xdr:row>473</xdr:row>
      <xdr:rowOff>52398</xdr:rowOff>
    </xdr:to>
    <xdr:cxnSp macro="">
      <xdr:nvCxnSpPr>
        <xdr:cNvPr id="1211" name="직선 연결선 1210">
          <a:extLst>
            <a:ext uri="{FF2B5EF4-FFF2-40B4-BE49-F238E27FC236}">
              <a16:creationId xmlns:a16="http://schemas.microsoft.com/office/drawing/2014/main" id="{3D06951F-2968-43B6-8594-E318DB2DAE1E}"/>
            </a:ext>
          </a:extLst>
        </xdr:cNvPr>
        <xdr:cNvCxnSpPr/>
      </xdr:nvCxnSpPr>
      <xdr:spPr>
        <a:xfrm flipH="1">
          <a:off x="8842377" y="83748554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61919</xdr:colOff>
      <xdr:row>469</xdr:row>
      <xdr:rowOff>165090</xdr:rowOff>
    </xdr:from>
    <xdr:to>
      <xdr:col>119</xdr:col>
      <xdr:colOff>61920</xdr:colOff>
      <xdr:row>478</xdr:row>
      <xdr:rowOff>54152</xdr:rowOff>
    </xdr:to>
    <xdr:cxnSp macro="">
      <xdr:nvCxnSpPr>
        <xdr:cNvPr id="1212" name="직선 연결선 1211">
          <a:extLst>
            <a:ext uri="{FF2B5EF4-FFF2-40B4-BE49-F238E27FC236}">
              <a16:creationId xmlns:a16="http://schemas.microsoft.com/office/drawing/2014/main" id="{BFCB8646-2B62-441C-A702-A722F77837C8}"/>
            </a:ext>
          </a:extLst>
        </xdr:cNvPr>
        <xdr:cNvCxnSpPr/>
      </xdr:nvCxnSpPr>
      <xdr:spPr>
        <a:xfrm flipH="1">
          <a:off x="9352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59533</xdr:colOff>
      <xdr:row>469</xdr:row>
      <xdr:rowOff>178586</xdr:rowOff>
    </xdr:from>
    <xdr:to>
      <xdr:col>123</xdr:col>
      <xdr:colOff>59534</xdr:colOff>
      <xdr:row>473</xdr:row>
      <xdr:rowOff>44461</xdr:rowOff>
    </xdr:to>
    <xdr:cxnSp macro="">
      <xdr:nvCxnSpPr>
        <xdr:cNvPr id="1213" name="직선 연결선 1212">
          <a:extLst>
            <a:ext uri="{FF2B5EF4-FFF2-40B4-BE49-F238E27FC236}">
              <a16:creationId xmlns:a16="http://schemas.microsoft.com/office/drawing/2014/main" id="{41E88CDD-B5C7-4B9B-B4FF-0B232EC62E81}"/>
            </a:ext>
          </a:extLst>
        </xdr:cNvPr>
        <xdr:cNvCxnSpPr/>
      </xdr:nvCxnSpPr>
      <xdr:spPr>
        <a:xfrm flipH="1">
          <a:off x="9477377" y="8374061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61007</xdr:colOff>
      <xdr:row>472</xdr:row>
      <xdr:rowOff>133791</xdr:rowOff>
    </xdr:from>
    <xdr:to>
      <xdr:col>34</xdr:col>
      <xdr:colOff>10507</xdr:colOff>
      <xdr:row>472</xdr:row>
      <xdr:rowOff>133791</xdr:rowOff>
    </xdr:to>
    <xdr:cxnSp macro="">
      <xdr:nvCxnSpPr>
        <xdr:cNvPr id="1214" name="직선 화살표 연결선 1213">
          <a:extLst>
            <a:ext uri="{FF2B5EF4-FFF2-40B4-BE49-F238E27FC236}">
              <a16:creationId xmlns:a16="http://schemas.microsoft.com/office/drawing/2014/main" id="{A3D962FD-50F2-497E-A2D9-DFCAE98F5640}"/>
            </a:ext>
          </a:extLst>
        </xdr:cNvPr>
        <xdr:cNvCxnSpPr/>
      </xdr:nvCxnSpPr>
      <xdr:spPr>
        <a:xfrm>
          <a:off x="3255851" y="84259385"/>
          <a:ext cx="64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58626</xdr:colOff>
      <xdr:row>472</xdr:row>
      <xdr:rowOff>139347</xdr:rowOff>
    </xdr:from>
    <xdr:to>
      <xdr:col>46</xdr:col>
      <xdr:colOff>8126</xdr:colOff>
      <xdr:row>472</xdr:row>
      <xdr:rowOff>139347</xdr:rowOff>
    </xdr:to>
    <xdr:cxnSp macro="">
      <xdr:nvCxnSpPr>
        <xdr:cNvPr id="1215" name="직선 화살표 연결선 1214">
          <a:extLst>
            <a:ext uri="{FF2B5EF4-FFF2-40B4-BE49-F238E27FC236}">
              <a16:creationId xmlns:a16="http://schemas.microsoft.com/office/drawing/2014/main" id="{672D9FA9-F983-46BC-9E49-8F9FF72167D2}"/>
            </a:ext>
          </a:extLst>
        </xdr:cNvPr>
        <xdr:cNvCxnSpPr/>
      </xdr:nvCxnSpPr>
      <xdr:spPr>
        <a:xfrm>
          <a:off x="4015470" y="84264941"/>
          <a:ext cx="6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469</xdr:row>
      <xdr:rowOff>154397</xdr:rowOff>
    </xdr:from>
    <xdr:ext cx="285784" cy="125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14F137B-B805-4AD8-B3C7-698F11CE2834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26</xdr:col>
      <xdr:colOff>18481</xdr:colOff>
      <xdr:row>469</xdr:row>
      <xdr:rowOff>170843</xdr:rowOff>
    </xdr:from>
    <xdr:ext cx="340094" cy="125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2B900907-6E5C-492E-A91A-F9789C79E397}"/>
            </a:ext>
          </a:extLst>
        </xdr:cNvPr>
        <xdr:cNvSpPr txBox="1"/>
      </xdr:nvSpPr>
      <xdr:spPr>
        <a:xfrm>
          <a:off x="3403825" y="8373287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38</xdr:col>
      <xdr:colOff>16994</xdr:colOff>
      <xdr:row>469</xdr:row>
      <xdr:rowOff>174626</xdr:rowOff>
    </xdr:from>
    <xdr:ext cx="340094" cy="125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A5E3DAC5-C167-4374-B80E-6B8698450132}"/>
            </a:ext>
          </a:extLst>
        </xdr:cNvPr>
        <xdr:cNvSpPr txBox="1"/>
      </xdr:nvSpPr>
      <xdr:spPr>
        <a:xfrm>
          <a:off x="4164338" y="837366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470</xdr:row>
      <xdr:rowOff>114314</xdr:rowOff>
    </xdr:from>
    <xdr:to>
      <xdr:col>11</xdr:col>
      <xdr:colOff>63268</xdr:colOff>
      <xdr:row>470</xdr:row>
      <xdr:rowOff>114314</xdr:rowOff>
    </xdr:to>
    <xdr:cxnSp macro="">
      <xdr:nvCxnSpPr>
        <xdr:cNvPr id="1222" name="직선 화살표 연결선 1221">
          <a:extLst>
            <a:ext uri="{FF2B5EF4-FFF2-40B4-BE49-F238E27FC236}">
              <a16:creationId xmlns:a16="http://schemas.microsoft.com/office/drawing/2014/main" id="{BDEDF3B6-F983-4E02-AEC8-5DF21A09A3A2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470</xdr:row>
      <xdr:rowOff>113728</xdr:rowOff>
    </xdr:from>
    <xdr:to>
      <xdr:col>21</xdr:col>
      <xdr:colOff>46058</xdr:colOff>
      <xdr:row>470</xdr:row>
      <xdr:rowOff>113728</xdr:rowOff>
    </xdr:to>
    <xdr:cxnSp macro="">
      <xdr:nvCxnSpPr>
        <xdr:cNvPr id="1223" name="직선 화살표 연결선 1222">
          <a:extLst>
            <a:ext uri="{FF2B5EF4-FFF2-40B4-BE49-F238E27FC236}">
              <a16:creationId xmlns:a16="http://schemas.microsoft.com/office/drawing/2014/main" id="{92FEDE3A-43EF-4F70-85F9-7A33F1783C31}"/>
            </a:ext>
          </a:extLst>
        </xdr:cNvPr>
        <xdr:cNvCxnSpPr/>
      </xdr:nvCxnSpPr>
      <xdr:spPr>
        <a:xfrm>
          <a:off x="2501902" y="83858322"/>
          <a:ext cx="61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42071</xdr:colOff>
      <xdr:row>470</xdr:row>
      <xdr:rowOff>119363</xdr:rowOff>
    </xdr:from>
    <xdr:to>
      <xdr:col>23</xdr:col>
      <xdr:colOff>59071</xdr:colOff>
      <xdr:row>470</xdr:row>
      <xdr:rowOff>119363</xdr:rowOff>
    </xdr:to>
    <xdr:cxnSp macro="">
      <xdr:nvCxnSpPr>
        <xdr:cNvPr id="1224" name="직선 화살표 연결선 1223">
          <a:extLst>
            <a:ext uri="{FF2B5EF4-FFF2-40B4-BE49-F238E27FC236}">
              <a16:creationId xmlns:a16="http://schemas.microsoft.com/office/drawing/2014/main" id="{4AB02FA4-A44F-4CF7-8019-9F50A994DE2B}"/>
            </a:ext>
          </a:extLst>
        </xdr:cNvPr>
        <xdr:cNvCxnSpPr/>
      </xdr:nvCxnSpPr>
      <xdr:spPr>
        <a:xfrm>
          <a:off x="3109915" y="83863957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55578</xdr:colOff>
      <xdr:row>470</xdr:row>
      <xdr:rowOff>122746</xdr:rowOff>
    </xdr:from>
    <xdr:to>
      <xdr:col>34</xdr:col>
      <xdr:colOff>5078</xdr:colOff>
      <xdr:row>470</xdr:row>
      <xdr:rowOff>122746</xdr:rowOff>
    </xdr:to>
    <xdr:cxnSp macro="">
      <xdr:nvCxnSpPr>
        <xdr:cNvPr id="1225" name="직선 화살표 연결선 1224">
          <a:extLst>
            <a:ext uri="{FF2B5EF4-FFF2-40B4-BE49-F238E27FC236}">
              <a16:creationId xmlns:a16="http://schemas.microsoft.com/office/drawing/2014/main" id="{17B19476-F5D6-40E7-83CF-10CC361062A1}"/>
            </a:ext>
          </a:extLst>
        </xdr:cNvPr>
        <xdr:cNvCxnSpPr/>
      </xdr:nvCxnSpPr>
      <xdr:spPr>
        <a:xfrm>
          <a:off x="3250422" y="8386734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59761</xdr:colOff>
      <xdr:row>470</xdr:row>
      <xdr:rowOff>127807</xdr:rowOff>
    </xdr:from>
    <xdr:to>
      <xdr:col>36</xdr:col>
      <xdr:colOff>13261</xdr:colOff>
      <xdr:row>470</xdr:row>
      <xdr:rowOff>127807</xdr:rowOff>
    </xdr:to>
    <xdr:cxnSp macro="">
      <xdr:nvCxnSpPr>
        <xdr:cNvPr id="1226" name="직선 화살표 연결선 1225">
          <a:extLst>
            <a:ext uri="{FF2B5EF4-FFF2-40B4-BE49-F238E27FC236}">
              <a16:creationId xmlns:a16="http://schemas.microsoft.com/office/drawing/2014/main" id="{4DFEDBD0-D146-4ABF-A834-DAC3450986F5}"/>
            </a:ext>
          </a:extLst>
        </xdr:cNvPr>
        <xdr:cNvCxnSpPr/>
      </xdr:nvCxnSpPr>
      <xdr:spPr>
        <a:xfrm>
          <a:off x="3889605" y="83872401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61134</xdr:colOff>
      <xdr:row>470</xdr:row>
      <xdr:rowOff>132271</xdr:rowOff>
    </xdr:from>
    <xdr:to>
      <xdr:col>46</xdr:col>
      <xdr:colOff>10634</xdr:colOff>
      <xdr:row>470</xdr:row>
      <xdr:rowOff>132271</xdr:rowOff>
    </xdr:to>
    <xdr:cxnSp macro="">
      <xdr:nvCxnSpPr>
        <xdr:cNvPr id="1227" name="직선 화살표 연결선 1226">
          <a:extLst>
            <a:ext uri="{FF2B5EF4-FFF2-40B4-BE49-F238E27FC236}">
              <a16:creationId xmlns:a16="http://schemas.microsoft.com/office/drawing/2014/main" id="{2BD57372-3C85-44CC-AC41-E5B92BBD87E5}"/>
            </a:ext>
          </a:extLst>
        </xdr:cNvPr>
        <xdr:cNvCxnSpPr/>
      </xdr:nvCxnSpPr>
      <xdr:spPr>
        <a:xfrm>
          <a:off x="4017978" y="8387686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24037</xdr:colOff>
      <xdr:row>469</xdr:row>
      <xdr:rowOff>160525</xdr:rowOff>
    </xdr:from>
    <xdr:ext cx="340094" cy="125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8FAEADCA-66F0-4EEB-B285-30D2CD29BDF3}"/>
            </a:ext>
          </a:extLst>
        </xdr:cNvPr>
        <xdr:cNvSpPr txBox="1"/>
      </xdr:nvSpPr>
      <xdr:spPr>
        <a:xfrm>
          <a:off x="2647381" y="8372255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47</xdr:col>
      <xdr:colOff>47514</xdr:colOff>
      <xdr:row>472</xdr:row>
      <xdr:rowOff>140141</xdr:rowOff>
    </xdr:from>
    <xdr:to>
      <xdr:col>56</xdr:col>
      <xdr:colOff>16014</xdr:colOff>
      <xdr:row>472</xdr:row>
      <xdr:rowOff>140141</xdr:rowOff>
    </xdr:to>
    <xdr:cxnSp macro="">
      <xdr:nvCxnSpPr>
        <xdr:cNvPr id="1229" name="직선 화살표 연결선 1228">
          <a:extLst>
            <a:ext uri="{FF2B5EF4-FFF2-40B4-BE49-F238E27FC236}">
              <a16:creationId xmlns:a16="http://schemas.microsoft.com/office/drawing/2014/main" id="{742DEB47-D974-4F00-9C8E-04BC1D900A16}"/>
            </a:ext>
          </a:extLst>
        </xdr:cNvPr>
        <xdr:cNvCxnSpPr/>
      </xdr:nvCxnSpPr>
      <xdr:spPr>
        <a:xfrm>
          <a:off x="4766358" y="84265735"/>
          <a:ext cx="54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9407</xdr:colOff>
      <xdr:row>472</xdr:row>
      <xdr:rowOff>141728</xdr:rowOff>
    </xdr:from>
    <xdr:to>
      <xdr:col>66</xdr:col>
      <xdr:colOff>5407</xdr:colOff>
      <xdr:row>472</xdr:row>
      <xdr:rowOff>141728</xdr:rowOff>
    </xdr:to>
    <xdr:cxnSp macro="">
      <xdr:nvCxnSpPr>
        <xdr:cNvPr id="1230" name="직선 화살표 연결선 1229">
          <a:extLst>
            <a:ext uri="{FF2B5EF4-FFF2-40B4-BE49-F238E27FC236}">
              <a16:creationId xmlns:a16="http://schemas.microsoft.com/office/drawing/2014/main" id="{A2934570-48AB-46AA-9805-7C6AE577CA49}"/>
            </a:ext>
          </a:extLst>
        </xdr:cNvPr>
        <xdr:cNvCxnSpPr/>
      </xdr:nvCxnSpPr>
      <xdr:spPr>
        <a:xfrm>
          <a:off x="5426751" y="84267322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58622</xdr:colOff>
      <xdr:row>472</xdr:row>
      <xdr:rowOff>147284</xdr:rowOff>
    </xdr:from>
    <xdr:to>
      <xdr:col>75</xdr:col>
      <xdr:colOff>54622</xdr:colOff>
      <xdr:row>472</xdr:row>
      <xdr:rowOff>147284</xdr:rowOff>
    </xdr:to>
    <xdr:cxnSp macro="">
      <xdr:nvCxnSpPr>
        <xdr:cNvPr id="1231" name="직선 화살표 연결선 1230">
          <a:extLst>
            <a:ext uri="{FF2B5EF4-FFF2-40B4-BE49-F238E27FC236}">
              <a16:creationId xmlns:a16="http://schemas.microsoft.com/office/drawing/2014/main" id="{D9F0A3E8-F493-456B-AAD4-89FC69FF86A2}"/>
            </a:ext>
          </a:extLst>
        </xdr:cNvPr>
        <xdr:cNvCxnSpPr/>
      </xdr:nvCxnSpPr>
      <xdr:spPr>
        <a:xfrm>
          <a:off x="6047466" y="84272878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1475</xdr:colOff>
      <xdr:row>472</xdr:row>
      <xdr:rowOff>153632</xdr:rowOff>
    </xdr:from>
    <xdr:to>
      <xdr:col>84</xdr:col>
      <xdr:colOff>16475</xdr:colOff>
      <xdr:row>472</xdr:row>
      <xdr:rowOff>153632</xdr:rowOff>
    </xdr:to>
    <xdr:cxnSp macro="">
      <xdr:nvCxnSpPr>
        <xdr:cNvPr id="1232" name="직선 화살표 연결선 1231">
          <a:extLst>
            <a:ext uri="{FF2B5EF4-FFF2-40B4-BE49-F238E27FC236}">
              <a16:creationId xmlns:a16="http://schemas.microsoft.com/office/drawing/2014/main" id="{DEBBB4D0-DBF2-4A44-BE99-F6D5704713E9}"/>
            </a:ext>
          </a:extLst>
        </xdr:cNvPr>
        <xdr:cNvCxnSpPr/>
      </xdr:nvCxnSpPr>
      <xdr:spPr>
        <a:xfrm>
          <a:off x="6561819" y="84279226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62588</xdr:colOff>
      <xdr:row>472</xdr:row>
      <xdr:rowOff>155219</xdr:rowOff>
    </xdr:from>
    <xdr:to>
      <xdr:col>92</xdr:col>
      <xdr:colOff>14088</xdr:colOff>
      <xdr:row>472</xdr:row>
      <xdr:rowOff>155219</xdr:rowOff>
    </xdr:to>
    <xdr:cxnSp macro="">
      <xdr:nvCxnSpPr>
        <xdr:cNvPr id="1233" name="직선 화살표 연결선 1232">
          <a:extLst>
            <a:ext uri="{FF2B5EF4-FFF2-40B4-BE49-F238E27FC236}">
              <a16:creationId xmlns:a16="http://schemas.microsoft.com/office/drawing/2014/main" id="{A7686512-8A3F-4495-8517-F024D4A005AA}"/>
            </a:ext>
          </a:extLst>
        </xdr:cNvPr>
        <xdr:cNvCxnSpPr/>
      </xdr:nvCxnSpPr>
      <xdr:spPr>
        <a:xfrm>
          <a:off x="7067432" y="84280813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679</xdr:colOff>
      <xdr:row>472</xdr:row>
      <xdr:rowOff>160775</xdr:rowOff>
    </xdr:from>
    <xdr:to>
      <xdr:col>100</xdr:col>
      <xdr:colOff>15679</xdr:colOff>
      <xdr:row>472</xdr:row>
      <xdr:rowOff>160775</xdr:rowOff>
    </xdr:to>
    <xdr:cxnSp macro="">
      <xdr:nvCxnSpPr>
        <xdr:cNvPr id="1234" name="직선 화살표 연결선 1233">
          <a:extLst>
            <a:ext uri="{FF2B5EF4-FFF2-40B4-BE49-F238E27FC236}">
              <a16:creationId xmlns:a16="http://schemas.microsoft.com/office/drawing/2014/main" id="{EF0208E5-5037-422F-BC95-FE12B62B2671}"/>
            </a:ext>
          </a:extLst>
        </xdr:cNvPr>
        <xdr:cNvCxnSpPr/>
      </xdr:nvCxnSpPr>
      <xdr:spPr>
        <a:xfrm>
          <a:off x="7577023" y="84286369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1475</xdr:colOff>
      <xdr:row>472</xdr:row>
      <xdr:rowOff>161571</xdr:rowOff>
    </xdr:from>
    <xdr:to>
      <xdr:col>106</xdr:col>
      <xdr:colOff>17475</xdr:colOff>
      <xdr:row>472</xdr:row>
      <xdr:rowOff>161571</xdr:rowOff>
    </xdr:to>
    <xdr:cxnSp macro="">
      <xdr:nvCxnSpPr>
        <xdr:cNvPr id="1235" name="직선 화살표 연결선 1234">
          <a:extLst>
            <a:ext uri="{FF2B5EF4-FFF2-40B4-BE49-F238E27FC236}">
              <a16:creationId xmlns:a16="http://schemas.microsoft.com/office/drawing/2014/main" id="{C7BC443D-9589-4481-B897-539DF7843171}"/>
            </a:ext>
          </a:extLst>
        </xdr:cNvPr>
        <xdr:cNvCxnSpPr/>
      </xdr:nvCxnSpPr>
      <xdr:spPr>
        <a:xfrm>
          <a:off x="8212819" y="84287165"/>
          <a:ext cx="27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3055</xdr:colOff>
      <xdr:row>472</xdr:row>
      <xdr:rowOff>163158</xdr:rowOff>
    </xdr:from>
    <xdr:to>
      <xdr:col>112</xdr:col>
      <xdr:colOff>19055</xdr:colOff>
      <xdr:row>472</xdr:row>
      <xdr:rowOff>163158</xdr:rowOff>
    </xdr:to>
    <xdr:cxnSp macro="">
      <xdr:nvCxnSpPr>
        <xdr:cNvPr id="1236" name="직선 화살표 연결선 1235">
          <a:extLst>
            <a:ext uri="{FF2B5EF4-FFF2-40B4-BE49-F238E27FC236}">
              <a16:creationId xmlns:a16="http://schemas.microsoft.com/office/drawing/2014/main" id="{A458B925-4FC7-4EA2-A863-E4DE9174B520}"/>
            </a:ext>
          </a:extLst>
        </xdr:cNvPr>
        <xdr:cNvCxnSpPr/>
      </xdr:nvCxnSpPr>
      <xdr:spPr>
        <a:xfrm>
          <a:off x="8595399" y="84288752"/>
          <a:ext cx="270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60206</xdr:colOff>
      <xdr:row>472</xdr:row>
      <xdr:rowOff>168714</xdr:rowOff>
    </xdr:from>
    <xdr:to>
      <xdr:col>118</xdr:col>
      <xdr:colOff>12706</xdr:colOff>
      <xdr:row>472</xdr:row>
      <xdr:rowOff>168714</xdr:rowOff>
    </xdr:to>
    <xdr:cxnSp macro="">
      <xdr:nvCxnSpPr>
        <xdr:cNvPr id="1237" name="직선 화살표 연결선 1236">
          <a:extLst>
            <a:ext uri="{FF2B5EF4-FFF2-40B4-BE49-F238E27FC236}">
              <a16:creationId xmlns:a16="http://schemas.microsoft.com/office/drawing/2014/main" id="{4DC8528A-9802-4001-B0C0-FD796F1B6E49}"/>
            </a:ext>
          </a:extLst>
        </xdr:cNvPr>
        <xdr:cNvCxnSpPr/>
      </xdr:nvCxnSpPr>
      <xdr:spPr>
        <a:xfrm>
          <a:off x="8970050" y="84294308"/>
          <a:ext cx="270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58624</xdr:colOff>
      <xdr:row>472</xdr:row>
      <xdr:rowOff>171096</xdr:rowOff>
    </xdr:from>
    <xdr:to>
      <xdr:col>122</xdr:col>
      <xdr:colOff>30124</xdr:colOff>
      <xdr:row>472</xdr:row>
      <xdr:rowOff>171096</xdr:rowOff>
    </xdr:to>
    <xdr:cxnSp macro="">
      <xdr:nvCxnSpPr>
        <xdr:cNvPr id="1238" name="직선 화살표 연결선 1237">
          <a:extLst>
            <a:ext uri="{FF2B5EF4-FFF2-40B4-BE49-F238E27FC236}">
              <a16:creationId xmlns:a16="http://schemas.microsoft.com/office/drawing/2014/main" id="{EF328047-EE02-48EE-A0A0-63F2C99A9DCF}"/>
            </a:ext>
          </a:extLst>
        </xdr:cNvPr>
        <xdr:cNvCxnSpPr/>
      </xdr:nvCxnSpPr>
      <xdr:spPr>
        <a:xfrm>
          <a:off x="9349468" y="84296690"/>
          <a:ext cx="162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14429</xdr:colOff>
      <xdr:row>473</xdr:row>
      <xdr:rowOff>54349</xdr:rowOff>
    </xdr:from>
    <xdr:ext cx="587918" cy="37568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DA2198FC-D2A9-4717-A1E9-C37EF69C5217}"/>
            </a:ext>
          </a:extLst>
        </xdr:cNvPr>
        <xdr:cNvSpPr txBox="1"/>
      </xdr:nvSpPr>
      <xdr:spPr>
        <a:xfrm>
          <a:off x="3082273" y="84362505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21</xdr:col>
      <xdr:colOff>16759</xdr:colOff>
      <xdr:row>475</xdr:row>
      <xdr:rowOff>94037</xdr:rowOff>
    </xdr:from>
    <xdr:ext cx="1091261" cy="37568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92E69187-1BAF-45D4-9306-9E602E1ED00E}"/>
            </a:ext>
          </a:extLst>
        </xdr:cNvPr>
        <xdr:cNvSpPr txBox="1"/>
      </xdr:nvSpPr>
      <xdr:spPr>
        <a:xfrm>
          <a:off x="3084603" y="84767318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460</xdr:row>
      <xdr:rowOff>139279</xdr:rowOff>
    </xdr:from>
    <xdr:ext cx="1815049" cy="37568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B1A093E4-2A03-4440-8E7D-B2D32B0B556D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54</xdr:col>
      <xdr:colOff>57353</xdr:colOff>
      <xdr:row>473</xdr:row>
      <xdr:rowOff>83717</xdr:rowOff>
    </xdr:from>
    <xdr:ext cx="568746" cy="37568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347F9A52-D333-40B2-B5B7-CD71B18C7557}"/>
            </a:ext>
          </a:extLst>
        </xdr:cNvPr>
        <xdr:cNvSpPr txBox="1"/>
      </xdr:nvSpPr>
      <xdr:spPr>
        <a:xfrm>
          <a:off x="5220697" y="84391873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54</xdr:col>
      <xdr:colOff>54065</xdr:colOff>
      <xdr:row>475</xdr:row>
      <xdr:rowOff>123406</xdr:rowOff>
    </xdr:from>
    <xdr:ext cx="1091261" cy="37568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072ECBAE-4EC5-42BD-9ABE-4038B760225A}"/>
            </a:ext>
          </a:extLst>
        </xdr:cNvPr>
        <xdr:cNvSpPr txBox="1"/>
      </xdr:nvSpPr>
      <xdr:spPr>
        <a:xfrm>
          <a:off x="5217409" y="84796687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35128</xdr:colOff>
      <xdr:row>473</xdr:row>
      <xdr:rowOff>93242</xdr:rowOff>
    </xdr:from>
    <xdr:ext cx="568746" cy="37568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E4D52F66-944A-4B5F-B9B3-B9192D81C865}"/>
            </a:ext>
          </a:extLst>
        </xdr:cNvPr>
        <xdr:cNvSpPr txBox="1"/>
      </xdr:nvSpPr>
      <xdr:spPr>
        <a:xfrm>
          <a:off x="6912972" y="8440139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39778</xdr:colOff>
      <xdr:row>475</xdr:row>
      <xdr:rowOff>132930</xdr:rowOff>
    </xdr:from>
    <xdr:ext cx="1091261" cy="37568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36F0A085-9C44-48AD-BAE0-4CA60559AD1F}"/>
            </a:ext>
          </a:extLst>
        </xdr:cNvPr>
        <xdr:cNvSpPr txBox="1"/>
      </xdr:nvSpPr>
      <xdr:spPr>
        <a:xfrm>
          <a:off x="6917622" y="84806211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16872</xdr:colOff>
      <xdr:row>473</xdr:row>
      <xdr:rowOff>98799</xdr:rowOff>
    </xdr:from>
    <xdr:ext cx="568746" cy="37568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CBC0DB89-2C60-4BB9-B80F-538BD80971C1}"/>
            </a:ext>
          </a:extLst>
        </xdr:cNvPr>
        <xdr:cNvSpPr txBox="1"/>
      </xdr:nvSpPr>
      <xdr:spPr>
        <a:xfrm>
          <a:off x="8228216" y="84406955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21521</xdr:colOff>
      <xdr:row>475</xdr:row>
      <xdr:rowOff>134518</xdr:rowOff>
    </xdr:from>
    <xdr:ext cx="1091261" cy="37568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6FEFFD6A-777E-45ED-90D2-20BBD80CDA28}"/>
            </a:ext>
          </a:extLst>
        </xdr:cNvPr>
        <xdr:cNvSpPr txBox="1"/>
      </xdr:nvSpPr>
      <xdr:spPr>
        <a:xfrm>
          <a:off x="8232865" y="848077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</xdr:col>
      <xdr:colOff>585011</xdr:colOff>
      <xdr:row>487</xdr:row>
      <xdr:rowOff>159460</xdr:rowOff>
    </xdr:from>
    <xdr:ext cx="618311" cy="140872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0D24F81E-7D45-4661-9DB9-2E711094D492}"/>
            </a:ext>
          </a:extLst>
        </xdr:cNvPr>
        <xdr:cNvSpPr txBox="1"/>
      </xdr:nvSpPr>
      <xdr:spPr>
        <a:xfrm>
          <a:off x="1239855" y="83538929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490</xdr:row>
      <xdr:rowOff>149966</xdr:rowOff>
    </xdr:from>
    <xdr:ext cx="368819" cy="140872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770CB2A0-C2E8-4A99-A61B-789DAB6A35F1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55563</xdr:colOff>
      <xdr:row>488</xdr:row>
      <xdr:rowOff>94781</xdr:rowOff>
    </xdr:from>
    <xdr:to>
      <xdr:col>123</xdr:col>
      <xdr:colOff>16563</xdr:colOff>
      <xdr:row>488</xdr:row>
      <xdr:rowOff>94781</xdr:rowOff>
    </xdr:to>
    <xdr:cxnSp macro="">
      <xdr:nvCxnSpPr>
        <xdr:cNvPr id="1254" name="직선 화살표 연결선 1253">
          <a:extLst>
            <a:ext uri="{FF2B5EF4-FFF2-40B4-BE49-F238E27FC236}">
              <a16:creationId xmlns:a16="http://schemas.microsoft.com/office/drawing/2014/main" id="{6634941D-97C4-41F2-AE08-EC9142AB18EC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488</xdr:row>
      <xdr:rowOff>35718</xdr:rowOff>
    </xdr:from>
    <xdr:ext cx="428066" cy="125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C31227A8-EF3D-4B39-BC34-F2DFE9F07D40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488</xdr:row>
      <xdr:rowOff>170650</xdr:rowOff>
    </xdr:from>
    <xdr:to>
      <xdr:col>12</xdr:col>
      <xdr:colOff>1</xdr:colOff>
      <xdr:row>497</xdr:row>
      <xdr:rowOff>59712</xdr:rowOff>
    </xdr:to>
    <xdr:cxnSp macro="">
      <xdr:nvCxnSpPr>
        <xdr:cNvPr id="1256" name="직선 연결선 1255">
          <a:extLst>
            <a:ext uri="{FF2B5EF4-FFF2-40B4-BE49-F238E27FC236}">
              <a16:creationId xmlns:a16="http://schemas.microsoft.com/office/drawing/2014/main" id="{18C72243-29EE-4713-A075-2AB10BEA0B34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489</xdr:row>
      <xdr:rowOff>1579</xdr:rowOff>
    </xdr:from>
    <xdr:to>
      <xdr:col>24</xdr:col>
      <xdr:colOff>1589</xdr:colOff>
      <xdr:row>492</xdr:row>
      <xdr:rowOff>50017</xdr:rowOff>
    </xdr:to>
    <xdr:cxnSp macro="">
      <xdr:nvCxnSpPr>
        <xdr:cNvPr id="1257" name="직선 연결선 1256">
          <a:extLst>
            <a:ext uri="{FF2B5EF4-FFF2-40B4-BE49-F238E27FC236}">
              <a16:creationId xmlns:a16="http://schemas.microsoft.com/office/drawing/2014/main" id="{7F4B6F29-61A0-4F28-A3C3-3379187FD110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62711</xdr:colOff>
      <xdr:row>488</xdr:row>
      <xdr:rowOff>173821</xdr:rowOff>
    </xdr:from>
    <xdr:to>
      <xdr:col>37</xdr:col>
      <xdr:colOff>62712</xdr:colOff>
      <xdr:row>497</xdr:row>
      <xdr:rowOff>62883</xdr:rowOff>
    </xdr:to>
    <xdr:cxnSp macro="">
      <xdr:nvCxnSpPr>
        <xdr:cNvPr id="1259" name="직선 연결선 1258">
          <a:extLst>
            <a:ext uri="{FF2B5EF4-FFF2-40B4-BE49-F238E27FC236}">
              <a16:creationId xmlns:a16="http://schemas.microsoft.com/office/drawing/2014/main" id="{639D272D-353B-4E2D-890B-28A29944C069}"/>
            </a:ext>
          </a:extLst>
        </xdr:cNvPr>
        <xdr:cNvCxnSpPr/>
      </xdr:nvCxnSpPr>
      <xdr:spPr>
        <a:xfrm flipH="1">
          <a:off x="4146555" y="87220415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58738</xdr:colOff>
      <xdr:row>488</xdr:row>
      <xdr:rowOff>177792</xdr:rowOff>
    </xdr:from>
    <xdr:to>
      <xdr:col>49</xdr:col>
      <xdr:colOff>58739</xdr:colOff>
      <xdr:row>492</xdr:row>
      <xdr:rowOff>43667</xdr:rowOff>
    </xdr:to>
    <xdr:cxnSp macro="">
      <xdr:nvCxnSpPr>
        <xdr:cNvPr id="1260" name="직선 연결선 1259">
          <a:extLst>
            <a:ext uri="{FF2B5EF4-FFF2-40B4-BE49-F238E27FC236}">
              <a16:creationId xmlns:a16="http://schemas.microsoft.com/office/drawing/2014/main" id="{2CE967BF-25FF-427E-BFD1-E0CE8B45DBD0}"/>
            </a:ext>
          </a:extLst>
        </xdr:cNvPr>
        <xdr:cNvCxnSpPr/>
      </xdr:nvCxnSpPr>
      <xdr:spPr>
        <a:xfrm flipH="1">
          <a:off x="4904582" y="8722438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787</xdr:colOff>
      <xdr:row>488</xdr:row>
      <xdr:rowOff>175409</xdr:rowOff>
    </xdr:from>
    <xdr:to>
      <xdr:col>62</xdr:col>
      <xdr:colOff>788</xdr:colOff>
      <xdr:row>497</xdr:row>
      <xdr:rowOff>64471</xdr:rowOff>
    </xdr:to>
    <xdr:cxnSp macro="">
      <xdr:nvCxnSpPr>
        <xdr:cNvPr id="1262" name="직선 연결선 1261">
          <a:extLst>
            <a:ext uri="{FF2B5EF4-FFF2-40B4-BE49-F238E27FC236}">
              <a16:creationId xmlns:a16="http://schemas.microsoft.com/office/drawing/2014/main" id="{D6111839-D2B2-453D-ABF7-A15F43C104ED}"/>
            </a:ext>
          </a:extLst>
        </xdr:cNvPr>
        <xdr:cNvCxnSpPr/>
      </xdr:nvCxnSpPr>
      <xdr:spPr>
        <a:xfrm flipH="1">
          <a:off x="5672131" y="87222003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60315</xdr:colOff>
      <xdr:row>489</xdr:row>
      <xdr:rowOff>785</xdr:rowOff>
    </xdr:from>
    <xdr:to>
      <xdr:col>71</xdr:col>
      <xdr:colOff>60316</xdr:colOff>
      <xdr:row>492</xdr:row>
      <xdr:rowOff>49223</xdr:rowOff>
    </xdr:to>
    <xdr:cxnSp macro="">
      <xdr:nvCxnSpPr>
        <xdr:cNvPr id="1263" name="직선 연결선 1262">
          <a:extLst>
            <a:ext uri="{FF2B5EF4-FFF2-40B4-BE49-F238E27FC236}">
              <a16:creationId xmlns:a16="http://schemas.microsoft.com/office/drawing/2014/main" id="{A7221306-E241-484C-8288-B8FC99070F28}"/>
            </a:ext>
          </a:extLst>
        </xdr:cNvPr>
        <xdr:cNvCxnSpPr/>
      </xdr:nvCxnSpPr>
      <xdr:spPr>
        <a:xfrm flipH="1">
          <a:off x="6303159" y="87229941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61910</xdr:colOff>
      <xdr:row>488</xdr:row>
      <xdr:rowOff>180966</xdr:rowOff>
    </xdr:from>
    <xdr:to>
      <xdr:col>89</xdr:col>
      <xdr:colOff>61911</xdr:colOff>
      <xdr:row>492</xdr:row>
      <xdr:rowOff>46841</xdr:rowOff>
    </xdr:to>
    <xdr:cxnSp macro="">
      <xdr:nvCxnSpPr>
        <xdr:cNvPr id="1264" name="직선 연결선 1263">
          <a:extLst>
            <a:ext uri="{FF2B5EF4-FFF2-40B4-BE49-F238E27FC236}">
              <a16:creationId xmlns:a16="http://schemas.microsoft.com/office/drawing/2014/main" id="{27639E04-486C-4EEE-BB3E-3E045A15BB21}"/>
            </a:ext>
          </a:extLst>
        </xdr:cNvPr>
        <xdr:cNvCxnSpPr/>
      </xdr:nvCxnSpPr>
      <xdr:spPr>
        <a:xfrm flipH="1">
          <a:off x="7447754" y="87227560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61907</xdr:colOff>
      <xdr:row>488</xdr:row>
      <xdr:rowOff>165090</xdr:rowOff>
    </xdr:from>
    <xdr:to>
      <xdr:col>81</xdr:col>
      <xdr:colOff>61908</xdr:colOff>
      <xdr:row>497</xdr:row>
      <xdr:rowOff>54152</xdr:rowOff>
    </xdr:to>
    <xdr:cxnSp macro="">
      <xdr:nvCxnSpPr>
        <xdr:cNvPr id="1265" name="직선 연결선 1264">
          <a:extLst>
            <a:ext uri="{FF2B5EF4-FFF2-40B4-BE49-F238E27FC236}">
              <a16:creationId xmlns:a16="http://schemas.microsoft.com/office/drawing/2014/main" id="{3D323132-EFCB-4E2E-B4DE-EA2042842852}"/>
            </a:ext>
          </a:extLst>
        </xdr:cNvPr>
        <xdr:cNvCxnSpPr/>
      </xdr:nvCxnSpPr>
      <xdr:spPr>
        <a:xfrm flipH="1">
          <a:off x="6939751" y="8721168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57941</xdr:colOff>
      <xdr:row>488</xdr:row>
      <xdr:rowOff>180967</xdr:rowOff>
    </xdr:from>
    <xdr:to>
      <xdr:col>103</xdr:col>
      <xdr:colOff>57942</xdr:colOff>
      <xdr:row>492</xdr:row>
      <xdr:rowOff>46842</xdr:rowOff>
    </xdr:to>
    <xdr:cxnSp macro="">
      <xdr:nvCxnSpPr>
        <xdr:cNvPr id="1266" name="직선 연결선 1265">
          <a:extLst>
            <a:ext uri="{FF2B5EF4-FFF2-40B4-BE49-F238E27FC236}">
              <a16:creationId xmlns:a16="http://schemas.microsoft.com/office/drawing/2014/main" id="{B81A83FC-6173-432F-9BE9-76CC56F8FDEF}"/>
            </a:ext>
          </a:extLst>
        </xdr:cNvPr>
        <xdr:cNvCxnSpPr/>
      </xdr:nvCxnSpPr>
      <xdr:spPr>
        <a:xfrm flipH="1">
          <a:off x="8332785" y="87227561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59531</xdr:colOff>
      <xdr:row>489</xdr:row>
      <xdr:rowOff>3960</xdr:rowOff>
    </xdr:from>
    <xdr:to>
      <xdr:col>114</xdr:col>
      <xdr:colOff>59532</xdr:colOff>
      <xdr:row>492</xdr:row>
      <xdr:rowOff>52398</xdr:rowOff>
    </xdr:to>
    <xdr:cxnSp macro="">
      <xdr:nvCxnSpPr>
        <xdr:cNvPr id="1267" name="직선 연결선 1266">
          <a:extLst>
            <a:ext uri="{FF2B5EF4-FFF2-40B4-BE49-F238E27FC236}">
              <a16:creationId xmlns:a16="http://schemas.microsoft.com/office/drawing/2014/main" id="{BD5D63C5-5719-4EFC-B33A-E07783C6EC9E}"/>
            </a:ext>
          </a:extLst>
        </xdr:cNvPr>
        <xdr:cNvCxnSpPr/>
      </xdr:nvCxnSpPr>
      <xdr:spPr>
        <a:xfrm flipH="1">
          <a:off x="9032875" y="87233116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61919</xdr:colOff>
      <xdr:row>488</xdr:row>
      <xdr:rowOff>173027</xdr:rowOff>
    </xdr:from>
    <xdr:to>
      <xdr:col>109</xdr:col>
      <xdr:colOff>61920</xdr:colOff>
      <xdr:row>497</xdr:row>
      <xdr:rowOff>62089</xdr:rowOff>
    </xdr:to>
    <xdr:cxnSp macro="">
      <xdr:nvCxnSpPr>
        <xdr:cNvPr id="1268" name="직선 연결선 1267">
          <a:extLst>
            <a:ext uri="{FF2B5EF4-FFF2-40B4-BE49-F238E27FC236}">
              <a16:creationId xmlns:a16="http://schemas.microsoft.com/office/drawing/2014/main" id="{A865048E-202A-4FCC-A2D6-9484AE257603}"/>
            </a:ext>
          </a:extLst>
        </xdr:cNvPr>
        <xdr:cNvCxnSpPr/>
      </xdr:nvCxnSpPr>
      <xdr:spPr>
        <a:xfrm flipH="1">
          <a:off x="8717763" y="872196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9414</xdr:colOff>
      <xdr:row>491</xdr:row>
      <xdr:rowOff>133791</xdr:rowOff>
    </xdr:from>
    <xdr:to>
      <xdr:col>24</xdr:col>
      <xdr:colOff>3414</xdr:colOff>
      <xdr:row>491</xdr:row>
      <xdr:rowOff>133791</xdr:rowOff>
    </xdr:to>
    <xdr:cxnSp macro="">
      <xdr:nvCxnSpPr>
        <xdr:cNvPr id="1270" name="직선 화살표 연결선 1269">
          <a:extLst>
            <a:ext uri="{FF2B5EF4-FFF2-40B4-BE49-F238E27FC236}">
              <a16:creationId xmlns:a16="http://schemas.microsoft.com/office/drawing/2014/main" id="{145C11C3-F4F7-4FEC-8D81-A113800468F1}"/>
            </a:ext>
          </a:extLst>
        </xdr:cNvPr>
        <xdr:cNvCxnSpPr/>
      </xdr:nvCxnSpPr>
      <xdr:spPr>
        <a:xfrm>
          <a:off x="2505758" y="87743947"/>
          <a:ext cx="75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3065</xdr:colOff>
      <xdr:row>491</xdr:row>
      <xdr:rowOff>151253</xdr:rowOff>
    </xdr:from>
    <xdr:to>
      <xdr:col>37</xdr:col>
      <xdr:colOff>60565</xdr:colOff>
      <xdr:row>491</xdr:row>
      <xdr:rowOff>151253</xdr:rowOff>
    </xdr:to>
    <xdr:cxnSp macro="">
      <xdr:nvCxnSpPr>
        <xdr:cNvPr id="1271" name="직선 화살표 연결선 1270">
          <a:extLst>
            <a:ext uri="{FF2B5EF4-FFF2-40B4-BE49-F238E27FC236}">
              <a16:creationId xmlns:a16="http://schemas.microsoft.com/office/drawing/2014/main" id="{0EFD609B-2750-4C42-8491-815C4AA41F7A}"/>
            </a:ext>
          </a:extLst>
        </xdr:cNvPr>
        <xdr:cNvCxnSpPr/>
      </xdr:nvCxnSpPr>
      <xdr:spPr>
        <a:xfrm>
          <a:off x="3388409" y="87761409"/>
          <a:ext cx="75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488</xdr:row>
      <xdr:rowOff>154397</xdr:rowOff>
    </xdr:from>
    <xdr:ext cx="285784" cy="125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5979917A-DD13-493A-9149-089F9F13FF1E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28</xdr:col>
      <xdr:colOff>62137</xdr:colOff>
      <xdr:row>488</xdr:row>
      <xdr:rowOff>178781</xdr:rowOff>
    </xdr:from>
    <xdr:ext cx="340094" cy="125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494B1272-2C1E-4C6F-B56F-64B69ED05EEF}"/>
            </a:ext>
          </a:extLst>
        </xdr:cNvPr>
        <xdr:cNvSpPr txBox="1"/>
      </xdr:nvSpPr>
      <xdr:spPr>
        <a:xfrm>
          <a:off x="3574481" y="87225375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489</xdr:row>
      <xdr:rowOff>114314</xdr:rowOff>
    </xdr:from>
    <xdr:to>
      <xdr:col>11</xdr:col>
      <xdr:colOff>63268</xdr:colOff>
      <xdr:row>489</xdr:row>
      <xdr:rowOff>114314</xdr:rowOff>
    </xdr:to>
    <xdr:cxnSp macro="">
      <xdr:nvCxnSpPr>
        <xdr:cNvPr id="1275" name="직선 화살표 연결선 1274">
          <a:extLst>
            <a:ext uri="{FF2B5EF4-FFF2-40B4-BE49-F238E27FC236}">
              <a16:creationId xmlns:a16="http://schemas.microsoft.com/office/drawing/2014/main" id="{A2043C23-12FC-47E3-A37E-27FC933EBA55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489</xdr:row>
      <xdr:rowOff>113728</xdr:rowOff>
    </xdr:from>
    <xdr:to>
      <xdr:col>23</xdr:col>
      <xdr:colOff>63058</xdr:colOff>
      <xdr:row>489</xdr:row>
      <xdr:rowOff>113728</xdr:rowOff>
    </xdr:to>
    <xdr:cxnSp macro="">
      <xdr:nvCxnSpPr>
        <xdr:cNvPr id="1276" name="직선 화살표 연결선 1275">
          <a:extLst>
            <a:ext uri="{FF2B5EF4-FFF2-40B4-BE49-F238E27FC236}">
              <a16:creationId xmlns:a16="http://schemas.microsoft.com/office/drawing/2014/main" id="{FCD3CFDB-7F63-4867-97A4-991A500383D5}"/>
            </a:ext>
          </a:extLst>
        </xdr:cNvPr>
        <xdr:cNvCxnSpPr/>
      </xdr:nvCxnSpPr>
      <xdr:spPr>
        <a:xfrm>
          <a:off x="2501902" y="87342884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57949</xdr:colOff>
      <xdr:row>489</xdr:row>
      <xdr:rowOff>119363</xdr:rowOff>
    </xdr:from>
    <xdr:to>
      <xdr:col>26</xdr:col>
      <xdr:colOff>11449</xdr:colOff>
      <xdr:row>489</xdr:row>
      <xdr:rowOff>119363</xdr:rowOff>
    </xdr:to>
    <xdr:cxnSp macro="">
      <xdr:nvCxnSpPr>
        <xdr:cNvPr id="1277" name="직선 화살표 연결선 1276">
          <a:extLst>
            <a:ext uri="{FF2B5EF4-FFF2-40B4-BE49-F238E27FC236}">
              <a16:creationId xmlns:a16="http://schemas.microsoft.com/office/drawing/2014/main" id="{6BEE0BF0-F8C2-494E-BBA2-1D3C12F1F25B}"/>
            </a:ext>
          </a:extLst>
        </xdr:cNvPr>
        <xdr:cNvCxnSpPr/>
      </xdr:nvCxnSpPr>
      <xdr:spPr>
        <a:xfrm>
          <a:off x="3252793" y="8734851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7956</xdr:colOff>
      <xdr:row>489</xdr:row>
      <xdr:rowOff>122746</xdr:rowOff>
    </xdr:from>
    <xdr:to>
      <xdr:col>38</xdr:col>
      <xdr:colOff>1956</xdr:colOff>
      <xdr:row>489</xdr:row>
      <xdr:rowOff>122746</xdr:rowOff>
    </xdr:to>
    <xdr:cxnSp macro="">
      <xdr:nvCxnSpPr>
        <xdr:cNvPr id="1278" name="직선 화살표 연결선 1277">
          <a:extLst>
            <a:ext uri="{FF2B5EF4-FFF2-40B4-BE49-F238E27FC236}">
              <a16:creationId xmlns:a16="http://schemas.microsoft.com/office/drawing/2014/main" id="{4F477997-30BE-4D0A-A67B-9782E12056F4}"/>
            </a:ext>
          </a:extLst>
        </xdr:cNvPr>
        <xdr:cNvCxnSpPr/>
      </xdr:nvCxnSpPr>
      <xdr:spPr>
        <a:xfrm>
          <a:off x="3393300" y="87351902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16100</xdr:colOff>
      <xdr:row>488</xdr:row>
      <xdr:rowOff>168463</xdr:rowOff>
    </xdr:from>
    <xdr:ext cx="340094" cy="125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F6706696-080F-4F7B-8FA3-A29F54393CAB}"/>
            </a:ext>
          </a:extLst>
        </xdr:cNvPr>
        <xdr:cNvSpPr txBox="1"/>
      </xdr:nvSpPr>
      <xdr:spPr>
        <a:xfrm>
          <a:off x="2702944" y="872150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40</xdr:col>
      <xdr:colOff>1469</xdr:colOff>
      <xdr:row>491</xdr:row>
      <xdr:rowOff>145696</xdr:rowOff>
    </xdr:from>
    <xdr:to>
      <xdr:col>49</xdr:col>
      <xdr:colOff>41969</xdr:colOff>
      <xdr:row>491</xdr:row>
      <xdr:rowOff>145696</xdr:rowOff>
    </xdr:to>
    <xdr:cxnSp macro="">
      <xdr:nvCxnSpPr>
        <xdr:cNvPr id="1283" name="직선 화살표 연결선 1282">
          <a:extLst>
            <a:ext uri="{FF2B5EF4-FFF2-40B4-BE49-F238E27FC236}">
              <a16:creationId xmlns:a16="http://schemas.microsoft.com/office/drawing/2014/main" id="{8F6CFAAB-8399-4B00-9CEB-9E8D6B742940}"/>
            </a:ext>
          </a:extLst>
        </xdr:cNvPr>
        <xdr:cNvCxnSpPr/>
      </xdr:nvCxnSpPr>
      <xdr:spPr>
        <a:xfrm>
          <a:off x="4275813" y="87755852"/>
          <a:ext cx="61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7028</xdr:colOff>
      <xdr:row>491</xdr:row>
      <xdr:rowOff>143316</xdr:rowOff>
    </xdr:from>
    <xdr:to>
      <xdr:col>61</xdr:col>
      <xdr:colOff>47528</xdr:colOff>
      <xdr:row>491</xdr:row>
      <xdr:rowOff>143316</xdr:rowOff>
    </xdr:to>
    <xdr:cxnSp macro="">
      <xdr:nvCxnSpPr>
        <xdr:cNvPr id="1284" name="직선 화살표 연결선 1283">
          <a:extLst>
            <a:ext uri="{FF2B5EF4-FFF2-40B4-BE49-F238E27FC236}">
              <a16:creationId xmlns:a16="http://schemas.microsoft.com/office/drawing/2014/main" id="{4E7E6F58-3FE0-4EE5-BE39-96C3246578A6}"/>
            </a:ext>
          </a:extLst>
        </xdr:cNvPr>
        <xdr:cNvCxnSpPr/>
      </xdr:nvCxnSpPr>
      <xdr:spPr>
        <a:xfrm>
          <a:off x="5043372" y="87753472"/>
          <a:ext cx="61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54650</xdr:colOff>
      <xdr:row>491</xdr:row>
      <xdr:rowOff>143313</xdr:rowOff>
    </xdr:from>
    <xdr:to>
      <xdr:col>71</xdr:col>
      <xdr:colOff>50650</xdr:colOff>
      <xdr:row>491</xdr:row>
      <xdr:rowOff>143313</xdr:rowOff>
    </xdr:to>
    <xdr:cxnSp macro="">
      <xdr:nvCxnSpPr>
        <xdr:cNvPr id="1286" name="직선 화살표 연결선 1285">
          <a:extLst>
            <a:ext uri="{FF2B5EF4-FFF2-40B4-BE49-F238E27FC236}">
              <a16:creationId xmlns:a16="http://schemas.microsoft.com/office/drawing/2014/main" id="{C3095C0D-F813-4F72-9EE5-10639E6FDD8E}"/>
            </a:ext>
          </a:extLst>
        </xdr:cNvPr>
        <xdr:cNvCxnSpPr/>
      </xdr:nvCxnSpPr>
      <xdr:spPr>
        <a:xfrm>
          <a:off x="5789494" y="87753469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56241</xdr:colOff>
      <xdr:row>491</xdr:row>
      <xdr:rowOff>144900</xdr:rowOff>
    </xdr:from>
    <xdr:to>
      <xdr:col>81</xdr:col>
      <xdr:colOff>52241</xdr:colOff>
      <xdr:row>491</xdr:row>
      <xdr:rowOff>144900</xdr:rowOff>
    </xdr:to>
    <xdr:cxnSp macro="">
      <xdr:nvCxnSpPr>
        <xdr:cNvPr id="1287" name="직선 화살표 연결선 1286">
          <a:extLst>
            <a:ext uri="{FF2B5EF4-FFF2-40B4-BE49-F238E27FC236}">
              <a16:creationId xmlns:a16="http://schemas.microsoft.com/office/drawing/2014/main" id="{82E77E7C-9701-4641-A766-DDEED8E1F3F0}"/>
            </a:ext>
          </a:extLst>
        </xdr:cNvPr>
        <xdr:cNvCxnSpPr/>
      </xdr:nvCxnSpPr>
      <xdr:spPr>
        <a:xfrm>
          <a:off x="6426085" y="87755056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54649</xdr:colOff>
      <xdr:row>491</xdr:row>
      <xdr:rowOff>143314</xdr:rowOff>
    </xdr:from>
    <xdr:to>
      <xdr:col>90</xdr:col>
      <xdr:colOff>6149</xdr:colOff>
      <xdr:row>491</xdr:row>
      <xdr:rowOff>143314</xdr:rowOff>
    </xdr:to>
    <xdr:cxnSp macro="">
      <xdr:nvCxnSpPr>
        <xdr:cNvPr id="1289" name="직선 화살표 연결선 1288">
          <a:extLst>
            <a:ext uri="{FF2B5EF4-FFF2-40B4-BE49-F238E27FC236}">
              <a16:creationId xmlns:a16="http://schemas.microsoft.com/office/drawing/2014/main" id="{323900DC-9A33-4679-853E-AB1D959801F6}"/>
            </a:ext>
          </a:extLst>
        </xdr:cNvPr>
        <xdr:cNvCxnSpPr/>
      </xdr:nvCxnSpPr>
      <xdr:spPr>
        <a:xfrm>
          <a:off x="7059493" y="87753470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40362</xdr:colOff>
      <xdr:row>491</xdr:row>
      <xdr:rowOff>144901</xdr:rowOff>
    </xdr:from>
    <xdr:to>
      <xdr:col>97</xdr:col>
      <xdr:colOff>55362</xdr:colOff>
      <xdr:row>491</xdr:row>
      <xdr:rowOff>144901</xdr:rowOff>
    </xdr:to>
    <xdr:cxnSp macro="">
      <xdr:nvCxnSpPr>
        <xdr:cNvPr id="1290" name="직선 화살표 연결선 1289">
          <a:extLst>
            <a:ext uri="{FF2B5EF4-FFF2-40B4-BE49-F238E27FC236}">
              <a16:creationId xmlns:a16="http://schemas.microsoft.com/office/drawing/2014/main" id="{1016BC9F-B966-4D1E-9D9D-FA4D03E752EA}"/>
            </a:ext>
          </a:extLst>
        </xdr:cNvPr>
        <xdr:cNvCxnSpPr/>
      </xdr:nvCxnSpPr>
      <xdr:spPr>
        <a:xfrm>
          <a:off x="7553206" y="87755057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14429</xdr:colOff>
      <xdr:row>492</xdr:row>
      <xdr:rowOff>54349</xdr:rowOff>
    </xdr:from>
    <xdr:ext cx="587918" cy="37568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0FF246C2-CFEA-4A6D-8E1C-95F3167D2258}"/>
            </a:ext>
          </a:extLst>
        </xdr:cNvPr>
        <xdr:cNvSpPr txBox="1"/>
      </xdr:nvSpPr>
      <xdr:spPr>
        <a:xfrm>
          <a:off x="2764773" y="87847068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16</xdr:col>
      <xdr:colOff>12790</xdr:colOff>
      <xdr:row>494</xdr:row>
      <xdr:rowOff>90068</xdr:rowOff>
    </xdr:from>
    <xdr:ext cx="1091261" cy="37568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57DB8255-65B4-457E-B922-810657159A96}"/>
            </a:ext>
          </a:extLst>
        </xdr:cNvPr>
        <xdr:cNvSpPr txBox="1"/>
      </xdr:nvSpPr>
      <xdr:spPr>
        <a:xfrm>
          <a:off x="2763134" y="88247912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479</xdr:row>
      <xdr:rowOff>139279</xdr:rowOff>
    </xdr:from>
    <xdr:ext cx="1815049" cy="37568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FECC9B8D-BD4D-4005-8973-6F6F523EC114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42</xdr:col>
      <xdr:colOff>5760</xdr:colOff>
      <xdr:row>492</xdr:row>
      <xdr:rowOff>63873</xdr:rowOff>
    </xdr:from>
    <xdr:ext cx="568746" cy="37568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EED5BCD2-798C-47D4-9B41-5B1B30753139}"/>
            </a:ext>
          </a:extLst>
        </xdr:cNvPr>
        <xdr:cNvSpPr txBox="1"/>
      </xdr:nvSpPr>
      <xdr:spPr>
        <a:xfrm>
          <a:off x="4407104" y="8785659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42</xdr:col>
      <xdr:colOff>2472</xdr:colOff>
      <xdr:row>494</xdr:row>
      <xdr:rowOff>103562</xdr:rowOff>
    </xdr:from>
    <xdr:ext cx="1091261" cy="37568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3EEB36E8-A644-4C30-966D-1B2E32444303}"/>
            </a:ext>
          </a:extLst>
        </xdr:cNvPr>
        <xdr:cNvSpPr txBox="1"/>
      </xdr:nvSpPr>
      <xdr:spPr>
        <a:xfrm>
          <a:off x="4403816" y="88261406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63</xdr:col>
      <xdr:colOff>58940</xdr:colOff>
      <xdr:row>492</xdr:row>
      <xdr:rowOff>77367</xdr:rowOff>
    </xdr:from>
    <xdr:ext cx="568746" cy="37568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8364ED4F-A461-4A7B-AE7E-32A6C7182238}"/>
            </a:ext>
          </a:extLst>
        </xdr:cNvPr>
        <xdr:cNvSpPr txBox="1"/>
      </xdr:nvSpPr>
      <xdr:spPr>
        <a:xfrm>
          <a:off x="5793784" y="8787008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64</xdr:col>
      <xdr:colOff>90</xdr:colOff>
      <xdr:row>494</xdr:row>
      <xdr:rowOff>117055</xdr:rowOff>
    </xdr:from>
    <xdr:ext cx="1091261" cy="37568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5A10232A-4EB8-4329-A4F5-5E541CE6AFF6}"/>
            </a:ext>
          </a:extLst>
        </xdr:cNvPr>
        <xdr:cNvSpPr txBox="1"/>
      </xdr:nvSpPr>
      <xdr:spPr>
        <a:xfrm>
          <a:off x="5798434" y="882748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36716</xdr:colOff>
      <xdr:row>492</xdr:row>
      <xdr:rowOff>98799</xdr:rowOff>
    </xdr:from>
    <xdr:ext cx="568746" cy="37568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E5EA2421-4A40-4C27-A47C-5A0E4F42EDCA}"/>
            </a:ext>
          </a:extLst>
        </xdr:cNvPr>
        <xdr:cNvSpPr txBox="1"/>
      </xdr:nvSpPr>
      <xdr:spPr>
        <a:xfrm>
          <a:off x="6978060" y="8789151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101</xdr:col>
      <xdr:colOff>61919</xdr:colOff>
      <xdr:row>469</xdr:row>
      <xdr:rowOff>165090</xdr:rowOff>
    </xdr:from>
    <xdr:to>
      <xdr:col>101</xdr:col>
      <xdr:colOff>61920</xdr:colOff>
      <xdr:row>478</xdr:row>
      <xdr:rowOff>54151</xdr:rowOff>
    </xdr:to>
    <xdr:cxnSp macro="">
      <xdr:nvCxnSpPr>
        <xdr:cNvPr id="1301" name="직선 연결선 1300">
          <a:extLst>
            <a:ext uri="{FF2B5EF4-FFF2-40B4-BE49-F238E27FC236}">
              <a16:creationId xmlns:a16="http://schemas.microsoft.com/office/drawing/2014/main" id="{BD39E750-261D-4BA8-B05A-70C72B931194}"/>
            </a:ext>
          </a:extLst>
        </xdr:cNvPr>
        <xdr:cNvCxnSpPr/>
      </xdr:nvCxnSpPr>
      <xdr:spPr>
        <a:xfrm flipH="1">
          <a:off x="8209763" y="837271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0</xdr:colOff>
      <xdr:row>489</xdr:row>
      <xdr:rowOff>3968</xdr:rowOff>
    </xdr:from>
    <xdr:to>
      <xdr:col>98</xdr:col>
      <xdr:colOff>1</xdr:colOff>
      <xdr:row>497</xdr:row>
      <xdr:rowOff>75592</xdr:rowOff>
    </xdr:to>
    <xdr:cxnSp macro="">
      <xdr:nvCxnSpPr>
        <xdr:cNvPr id="1302" name="직선 연결선 1301">
          <a:extLst>
            <a:ext uri="{FF2B5EF4-FFF2-40B4-BE49-F238E27FC236}">
              <a16:creationId xmlns:a16="http://schemas.microsoft.com/office/drawing/2014/main" id="{9019D504-F9B8-4010-BAC3-BA7E5DD1E35A}"/>
            </a:ext>
          </a:extLst>
        </xdr:cNvPr>
        <xdr:cNvCxnSpPr/>
      </xdr:nvCxnSpPr>
      <xdr:spPr>
        <a:xfrm flipH="1">
          <a:off x="7957344" y="8723312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6</xdr:colOff>
      <xdr:row>488</xdr:row>
      <xdr:rowOff>182552</xdr:rowOff>
    </xdr:from>
    <xdr:to>
      <xdr:col>120</xdr:col>
      <xdr:colOff>7</xdr:colOff>
      <xdr:row>497</xdr:row>
      <xdr:rowOff>71614</xdr:rowOff>
    </xdr:to>
    <xdr:cxnSp macro="">
      <xdr:nvCxnSpPr>
        <xdr:cNvPr id="1303" name="직선 연결선 1302">
          <a:extLst>
            <a:ext uri="{FF2B5EF4-FFF2-40B4-BE49-F238E27FC236}">
              <a16:creationId xmlns:a16="http://schemas.microsoft.com/office/drawing/2014/main" id="{3FAC0323-C7D5-4397-AEF1-27FE40FC646D}"/>
            </a:ext>
          </a:extLst>
        </xdr:cNvPr>
        <xdr:cNvCxnSpPr/>
      </xdr:nvCxnSpPr>
      <xdr:spPr>
        <a:xfrm flipH="1">
          <a:off x="9354350" y="87229146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98</xdr:col>
      <xdr:colOff>46241</xdr:colOff>
      <xdr:row>492</xdr:row>
      <xdr:rowOff>100387</xdr:rowOff>
    </xdr:from>
    <xdr:ext cx="568746" cy="37568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4B693524-0F2E-49C8-9A81-D5897D62FEF1}"/>
            </a:ext>
          </a:extLst>
        </xdr:cNvPr>
        <xdr:cNvSpPr txBox="1"/>
      </xdr:nvSpPr>
      <xdr:spPr>
        <a:xfrm>
          <a:off x="8003585" y="8789310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98</xdr:col>
      <xdr:colOff>39364</xdr:colOff>
      <xdr:row>494</xdr:row>
      <xdr:rowOff>159574</xdr:rowOff>
    </xdr:from>
    <xdr:ext cx="638059" cy="328744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38E4937A-FEC4-4853-86B2-7EBEEA5CFC38}"/>
            </a:ext>
          </a:extLst>
        </xdr:cNvPr>
        <xdr:cNvSpPr txBox="1"/>
      </xdr:nvSpPr>
      <xdr:spPr>
        <a:xfrm>
          <a:off x="7996708" y="88317418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31954</xdr:colOff>
      <xdr:row>492</xdr:row>
      <xdr:rowOff>105943</xdr:rowOff>
    </xdr:from>
    <xdr:ext cx="568746" cy="37568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BAAB0C3A-62AD-4AD5-A86C-891F35EE10EC}"/>
            </a:ext>
          </a:extLst>
        </xdr:cNvPr>
        <xdr:cNvSpPr txBox="1"/>
      </xdr:nvSpPr>
      <xdr:spPr>
        <a:xfrm>
          <a:off x="8751298" y="8789866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40952</xdr:colOff>
      <xdr:row>494</xdr:row>
      <xdr:rowOff>137349</xdr:rowOff>
    </xdr:from>
    <xdr:ext cx="638059" cy="328744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F85ACC41-E35D-452F-88D6-358DDDADC5F1}"/>
            </a:ext>
          </a:extLst>
        </xdr:cNvPr>
        <xdr:cNvSpPr txBox="1"/>
      </xdr:nvSpPr>
      <xdr:spPr>
        <a:xfrm>
          <a:off x="6982296" y="88295193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6820</xdr:colOff>
      <xdr:row>494</xdr:row>
      <xdr:rowOff>166718</xdr:rowOff>
    </xdr:from>
    <xdr:ext cx="638059" cy="328744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62C4B223-7FB9-49DC-8DB3-27341E0BC83A}"/>
            </a:ext>
          </a:extLst>
        </xdr:cNvPr>
        <xdr:cNvSpPr txBox="1"/>
      </xdr:nvSpPr>
      <xdr:spPr>
        <a:xfrm>
          <a:off x="8726164" y="88324562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_size2*2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_size3*2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100</xdr:col>
      <xdr:colOff>4642</xdr:colOff>
      <xdr:row>491</xdr:row>
      <xdr:rowOff>156807</xdr:rowOff>
    </xdr:from>
    <xdr:to>
      <xdr:col>104</xdr:col>
      <xdr:colOff>2642</xdr:colOff>
      <xdr:row>491</xdr:row>
      <xdr:rowOff>156807</xdr:rowOff>
    </xdr:to>
    <xdr:cxnSp macro="">
      <xdr:nvCxnSpPr>
        <xdr:cNvPr id="1309" name="직선 화살표 연결선 1308">
          <a:extLst>
            <a:ext uri="{FF2B5EF4-FFF2-40B4-BE49-F238E27FC236}">
              <a16:creationId xmlns:a16="http://schemas.microsoft.com/office/drawing/2014/main" id="{ADA45450-D0C6-4D64-B140-5AFD949C9E8E}"/>
            </a:ext>
          </a:extLst>
        </xdr:cNvPr>
        <xdr:cNvCxnSpPr/>
      </xdr:nvCxnSpPr>
      <xdr:spPr>
        <a:xfrm>
          <a:off x="8088986" y="87766963"/>
          <a:ext cx="25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6230</xdr:colOff>
      <xdr:row>491</xdr:row>
      <xdr:rowOff>158394</xdr:rowOff>
    </xdr:from>
    <xdr:to>
      <xdr:col>110</xdr:col>
      <xdr:colOff>4230</xdr:colOff>
      <xdr:row>491</xdr:row>
      <xdr:rowOff>158394</xdr:rowOff>
    </xdr:to>
    <xdr:cxnSp macro="">
      <xdr:nvCxnSpPr>
        <xdr:cNvPr id="1310" name="직선 화살표 연결선 1309">
          <a:extLst>
            <a:ext uri="{FF2B5EF4-FFF2-40B4-BE49-F238E27FC236}">
              <a16:creationId xmlns:a16="http://schemas.microsoft.com/office/drawing/2014/main" id="{EFD9AC52-C942-4F9C-AB1C-EA4CA85B64E3}"/>
            </a:ext>
          </a:extLst>
        </xdr:cNvPr>
        <xdr:cNvCxnSpPr/>
      </xdr:nvCxnSpPr>
      <xdr:spPr>
        <a:xfrm>
          <a:off x="8471574" y="87768550"/>
          <a:ext cx="25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53855</xdr:colOff>
      <xdr:row>491</xdr:row>
      <xdr:rowOff>162363</xdr:rowOff>
    </xdr:from>
    <xdr:to>
      <xdr:col>114</xdr:col>
      <xdr:colOff>61355</xdr:colOff>
      <xdr:row>491</xdr:row>
      <xdr:rowOff>162363</xdr:rowOff>
    </xdr:to>
    <xdr:cxnSp macro="">
      <xdr:nvCxnSpPr>
        <xdr:cNvPr id="1311" name="직선 화살표 연결선 1310">
          <a:extLst>
            <a:ext uri="{FF2B5EF4-FFF2-40B4-BE49-F238E27FC236}">
              <a16:creationId xmlns:a16="http://schemas.microsoft.com/office/drawing/2014/main" id="{78D6152F-3BE1-47EF-A4E2-66F7FAEB06AC}"/>
            </a:ext>
          </a:extLst>
        </xdr:cNvPr>
        <xdr:cNvCxnSpPr/>
      </xdr:nvCxnSpPr>
      <xdr:spPr>
        <a:xfrm>
          <a:off x="8836699" y="87772519"/>
          <a:ext cx="19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3846</xdr:colOff>
      <xdr:row>491</xdr:row>
      <xdr:rowOff>163950</xdr:rowOff>
    </xdr:from>
    <xdr:to>
      <xdr:col>120</xdr:col>
      <xdr:colOff>11346</xdr:colOff>
      <xdr:row>491</xdr:row>
      <xdr:rowOff>163950</xdr:rowOff>
    </xdr:to>
    <xdr:cxnSp macro="">
      <xdr:nvCxnSpPr>
        <xdr:cNvPr id="1312" name="직선 화살표 연결선 1311">
          <a:extLst>
            <a:ext uri="{FF2B5EF4-FFF2-40B4-BE49-F238E27FC236}">
              <a16:creationId xmlns:a16="http://schemas.microsoft.com/office/drawing/2014/main" id="{800C0337-444E-4D18-AFAF-E85B86B8C7D9}"/>
            </a:ext>
          </a:extLst>
        </xdr:cNvPr>
        <xdr:cNvCxnSpPr/>
      </xdr:nvCxnSpPr>
      <xdr:spPr>
        <a:xfrm>
          <a:off x="9167690" y="87774106"/>
          <a:ext cx="19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120</xdr:col>
      <xdr:colOff>53386</xdr:colOff>
      <xdr:row>492</xdr:row>
      <xdr:rowOff>103562</xdr:rowOff>
    </xdr:from>
    <xdr:ext cx="568746" cy="37568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1F0E61F8-A385-42D3-B9C8-73D39A17B419}"/>
            </a:ext>
          </a:extLst>
        </xdr:cNvPr>
        <xdr:cNvSpPr txBox="1"/>
      </xdr:nvSpPr>
      <xdr:spPr>
        <a:xfrm>
          <a:off x="9407730" y="87896281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120</xdr:col>
      <xdr:colOff>28252</xdr:colOff>
      <xdr:row>494</xdr:row>
      <xdr:rowOff>164337</xdr:rowOff>
    </xdr:from>
    <xdr:ext cx="638059" cy="328744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CB3AEC26-A09A-4E7E-80D8-6B8B6DB82B10}"/>
            </a:ext>
          </a:extLst>
        </xdr:cNvPr>
        <xdr:cNvSpPr txBox="1"/>
      </xdr:nvSpPr>
      <xdr:spPr>
        <a:xfrm>
          <a:off x="9382596" y="88322181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_size2*1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_size3*1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37</xdr:col>
      <xdr:colOff>57943</xdr:colOff>
      <xdr:row>430</xdr:row>
      <xdr:rowOff>14288</xdr:rowOff>
    </xdr:from>
    <xdr:ext cx="551306" cy="125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F0F9FB27-F5AF-4B61-894F-5D2F72F50F99}"/>
            </a:ext>
          </a:extLst>
        </xdr:cNvPr>
        <xdr:cNvSpPr txBox="1"/>
      </xdr:nvSpPr>
      <xdr:spPr>
        <a:xfrm>
          <a:off x="4141787" y="76353194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28</xdr:col>
      <xdr:colOff>55562</xdr:colOff>
      <xdr:row>426</xdr:row>
      <xdr:rowOff>11907</xdr:rowOff>
    </xdr:from>
    <xdr:ext cx="551306" cy="125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E3A84C4B-C8C4-4B11-B3F0-7EBFA80C6569}"/>
            </a:ext>
          </a:extLst>
        </xdr:cNvPr>
        <xdr:cNvSpPr txBox="1"/>
      </xdr:nvSpPr>
      <xdr:spPr>
        <a:xfrm>
          <a:off x="3567906" y="75588813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19</xdr:col>
      <xdr:colOff>29368</xdr:colOff>
      <xdr:row>422</xdr:row>
      <xdr:rowOff>21432</xdr:rowOff>
    </xdr:from>
    <xdr:ext cx="551306" cy="125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D8B16FD-5DDF-4DA0-B196-77569E65F3CC}"/>
            </a:ext>
          </a:extLst>
        </xdr:cNvPr>
        <xdr:cNvSpPr txBox="1"/>
      </xdr:nvSpPr>
      <xdr:spPr>
        <a:xfrm>
          <a:off x="2970212" y="74836338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gate1_offset1</a:t>
          </a:r>
        </a:p>
      </xdr:txBody>
    </xdr:sp>
    <xdr:clientData/>
  </xdr:oneCellAnchor>
  <xdr:oneCellAnchor>
    <xdr:from>
      <xdr:col>41</xdr:col>
      <xdr:colOff>49436</xdr:colOff>
      <xdr:row>421</xdr:row>
      <xdr:rowOff>26989</xdr:rowOff>
    </xdr:from>
    <xdr:ext cx="1379544" cy="125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9FB52C5C-5A2C-4A8C-820C-622EDE4E0763}"/>
            </a:ext>
          </a:extLst>
        </xdr:cNvPr>
        <xdr:cNvSpPr txBox="1"/>
      </xdr:nvSpPr>
      <xdr:spPr>
        <a:xfrm>
          <a:off x="4387280" y="74651395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FF000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svo3_off - gate1_offset2 </a:t>
          </a:r>
          <a:endParaRPr lang="en-US" altLang="ko-KR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23243</xdr:colOff>
      <xdr:row>425</xdr:row>
      <xdr:rowOff>32546</xdr:rowOff>
    </xdr:from>
    <xdr:ext cx="1379544" cy="125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BB9A3677-7819-408A-A449-70F2FC67693D}"/>
            </a:ext>
          </a:extLst>
        </xdr:cNvPr>
        <xdr:cNvSpPr txBox="1"/>
      </xdr:nvSpPr>
      <xdr:spPr>
        <a:xfrm>
          <a:off x="5059587" y="75418952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svo1_off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92</xdr:col>
      <xdr:colOff>60549</xdr:colOff>
      <xdr:row>429</xdr:row>
      <xdr:rowOff>34133</xdr:rowOff>
    </xdr:from>
    <xdr:ext cx="1379544" cy="125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F685AA8D-2268-4B83-AB32-1D39D6BD6852}"/>
            </a:ext>
          </a:extLst>
        </xdr:cNvPr>
        <xdr:cNvSpPr txBox="1"/>
      </xdr:nvSpPr>
      <xdr:spPr>
        <a:xfrm>
          <a:off x="7636893" y="7618253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27</xdr:col>
      <xdr:colOff>50005</xdr:colOff>
      <xdr:row>455</xdr:row>
      <xdr:rowOff>29368</xdr:rowOff>
    </xdr:from>
    <xdr:ext cx="551306" cy="125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123450C1-D345-4469-AEF1-8049612EB610}"/>
            </a:ext>
          </a:extLst>
        </xdr:cNvPr>
        <xdr:cNvSpPr txBox="1"/>
      </xdr:nvSpPr>
      <xdr:spPr>
        <a:xfrm>
          <a:off x="3498849" y="81027587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16</xdr:col>
      <xdr:colOff>39687</xdr:colOff>
      <xdr:row>451</xdr:row>
      <xdr:rowOff>23017</xdr:rowOff>
    </xdr:from>
    <xdr:ext cx="551306" cy="125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8259598A-4944-4488-963B-0BBBED5E0B02}"/>
            </a:ext>
          </a:extLst>
        </xdr:cNvPr>
        <xdr:cNvSpPr txBox="1"/>
      </xdr:nvSpPr>
      <xdr:spPr>
        <a:xfrm>
          <a:off x="2790031" y="80259236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33</xdr:col>
      <xdr:colOff>15306</xdr:colOff>
      <xdr:row>450</xdr:row>
      <xdr:rowOff>31750</xdr:rowOff>
    </xdr:from>
    <xdr:ext cx="1379544" cy="125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CE75DE14-B5AD-475A-BAD4-4D80AD8DF6CB}"/>
            </a:ext>
          </a:extLst>
        </xdr:cNvPr>
        <xdr:cNvSpPr txBox="1"/>
      </xdr:nvSpPr>
      <xdr:spPr>
        <a:xfrm>
          <a:off x="3845150" y="8007746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svo3_off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44</xdr:col>
      <xdr:colOff>20862</xdr:colOff>
      <xdr:row>454</xdr:row>
      <xdr:rowOff>41274</xdr:rowOff>
    </xdr:from>
    <xdr:ext cx="1379544" cy="125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2C5F1064-AED0-4B38-B52E-2710593F51A1}"/>
            </a:ext>
          </a:extLst>
        </xdr:cNvPr>
        <xdr:cNvSpPr txBox="1"/>
      </xdr:nvSpPr>
      <xdr:spPr>
        <a:xfrm>
          <a:off x="4549206" y="80848993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64</xdr:col>
      <xdr:colOff>63387</xdr:colOff>
      <xdr:row>422</xdr:row>
      <xdr:rowOff>95441</xdr:rowOff>
    </xdr:from>
    <xdr:to>
      <xdr:col>66</xdr:col>
      <xdr:colOff>62387</xdr:colOff>
      <xdr:row>422</xdr:row>
      <xdr:rowOff>95441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CF579F2D-C192-4B59-99E4-A0954BDED1CE}"/>
            </a:ext>
          </a:extLst>
        </xdr:cNvPr>
        <xdr:cNvCxnSpPr/>
      </xdr:nvCxnSpPr>
      <xdr:spPr>
        <a:xfrm>
          <a:off x="3575731" y="74910347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128</xdr:col>
      <xdr:colOff>48477</xdr:colOff>
      <xdr:row>108</xdr:row>
      <xdr:rowOff>126711</xdr:rowOff>
    </xdr:from>
    <xdr:ext cx="3686641" cy="1275351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B21A6201-2D0E-479E-87A6-4E84FBBA6582}"/>
            </a:ext>
          </a:extLst>
        </xdr:cNvPr>
        <xdr:cNvSpPr txBox="1"/>
      </xdr:nvSpPr>
      <xdr:spPr>
        <a:xfrm>
          <a:off x="12310327" y="20014911"/>
          <a:ext cx="3686641" cy="12753517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no. 1,2,3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thermal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 (a) from a analog part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thermal_det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&lt;=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THERMAL(a)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thermal_all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thermal_det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short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short_en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= CH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S_DET_EN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short_lat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SHORT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@ pwmox falling edge</a:t>
          </a:r>
        </a:p>
        <a:p>
          <a:endParaRPr lang="en-US" altLang="ko-KR" sz="1000">
            <a:solidFill>
              <a:schemeClr val="tx1"/>
            </a:solidFill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latin typeface="+mn-lt"/>
            </a:rPr>
            <a:t>     short_det</a:t>
          </a:r>
          <a:r>
            <a:rPr lang="en-US" altLang="ko-KR" sz="1000" b="1" i="1" u="sng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: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(fault_(auto)_read done)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0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(short_lat</a:t>
          </a:r>
          <a:r>
            <a:rPr lang="en-US" altLang="ko-KR" sz="1000" b="1" i="1" u="sng" baseline="0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1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(no else)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short_all = short_det1 || short_det2 || ... || short_det12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3. open </a:t>
          </a:r>
          <a:r>
            <a:rPr lang="ko-KR" altLang="en-US" sz="1000" b="1" baseline="0">
              <a:solidFill>
                <a:schemeClr val="tx1"/>
              </a:solidFill>
              <a:latin typeface="+mn-lt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 CH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_EN &amp;&amp; O_DET_EN ;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&lt;=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&amp;&amp; open_en</a:t>
          </a:r>
          <a:r>
            <a:rPr lang="en-US" altLang="ko-KR" sz="10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@ pwmox falling edge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open_det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(fault_(auto)_read done)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0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(open_lat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1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endParaRPr lang="ko-KR" altLang="ko-KR" sz="1000">
            <a:effectLst/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open_all = open_det1 || open_det2 || ... || open_det12</a:t>
          </a:r>
          <a:endParaRPr lang="ko-KR" altLang="ko-KR" sz="1000">
            <a:effectLst/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fb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muxing]</a:t>
          </a:r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ld_type=01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ld_type=10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 pwmo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[fb_det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 CHx_EN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(fault_(auto)_read done)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1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pPr eaLnBrk="1" fontAlgn="auto" latinLnBrk="0" hangingPunct="1"/>
          <a:r>
            <a:rPr lang="en-US" altLang="ko-KR" sz="1000">
              <a:effectLst/>
              <a:latin typeface="+mn-lt"/>
            </a:rPr>
            <a:t>    </a:t>
          </a:r>
        </a:p>
        <a:p>
          <a:pPr eaLnBrk="1" fontAlgn="auto" latinLnBrk="0" hangingPunct="1"/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fb1_all = fb_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det1_1 || fb_det2_1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fb_det3_1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fb_det12_1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[ld_type=01]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[ld_type=10]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oneCellAnchor>
    <xdr:from>
      <xdr:col>19</xdr:col>
      <xdr:colOff>25197</xdr:colOff>
      <xdr:row>7</xdr:row>
      <xdr:rowOff>122966</xdr:rowOff>
    </xdr:from>
    <xdr:ext cx="340093" cy="125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76696B5-DE78-4A2A-9AAA-E15AD6B4C1A6}"/>
            </a:ext>
          </a:extLst>
        </xdr:cNvPr>
        <xdr:cNvSpPr txBox="1"/>
      </xdr:nvSpPr>
      <xdr:spPr>
        <a:xfrm>
          <a:off x="4787697" y="2324299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53007</xdr:colOff>
      <xdr:row>8</xdr:row>
      <xdr:rowOff>72236</xdr:rowOff>
    </xdr:from>
    <xdr:to>
      <xdr:col>16</xdr:col>
      <xdr:colOff>23507</xdr:colOff>
      <xdr:row>8</xdr:row>
      <xdr:rowOff>72236</xdr:rowOff>
    </xdr:to>
    <xdr:cxnSp macro="">
      <xdr:nvCxnSpPr>
        <xdr:cNvPr id="243" name="직선 화살표 연결선 242">
          <a:extLst>
            <a:ext uri="{FF2B5EF4-FFF2-40B4-BE49-F238E27FC236}">
              <a16:creationId xmlns:a16="http://schemas.microsoft.com/office/drawing/2014/main" id="{4E9447A0-CF0C-469B-B4AC-55275DDD7852}"/>
            </a:ext>
          </a:extLst>
        </xdr:cNvPr>
        <xdr:cNvCxnSpPr/>
      </xdr:nvCxnSpPr>
      <xdr:spPr>
        <a:xfrm>
          <a:off x="4307507" y="245701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40120</xdr:colOff>
      <xdr:row>7</xdr:row>
      <xdr:rowOff>114849</xdr:rowOff>
    </xdr:from>
    <xdr:ext cx="285784" cy="125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2FE1286-F06B-497C-AA00-4B6CA1886F17}"/>
            </a:ext>
          </a:extLst>
        </xdr:cNvPr>
        <xdr:cNvSpPr txBox="1"/>
      </xdr:nvSpPr>
      <xdr:spPr>
        <a:xfrm>
          <a:off x="4294620" y="23161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8568</xdr:colOff>
      <xdr:row>8</xdr:row>
      <xdr:rowOff>73577</xdr:rowOff>
    </xdr:from>
    <xdr:to>
      <xdr:col>30</xdr:col>
      <xdr:colOff>19568</xdr:colOff>
      <xdr:row>8</xdr:row>
      <xdr:rowOff>73577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2A77D74-F38A-4F4D-B12A-FE5B851083F9}"/>
            </a:ext>
          </a:extLst>
        </xdr:cNvPr>
        <xdr:cNvCxnSpPr/>
      </xdr:nvCxnSpPr>
      <xdr:spPr>
        <a:xfrm>
          <a:off x="4580568" y="2458355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44635</xdr:colOff>
      <xdr:row>8</xdr:row>
      <xdr:rowOff>75316</xdr:rowOff>
    </xdr:from>
    <xdr:to>
      <xdr:col>34</xdr:col>
      <xdr:colOff>15135</xdr:colOff>
      <xdr:row>8</xdr:row>
      <xdr:rowOff>75316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71430352-E2D0-4473-A7EA-8262521E21EB}"/>
            </a:ext>
          </a:extLst>
        </xdr:cNvPr>
        <xdr:cNvCxnSpPr/>
      </xdr:nvCxnSpPr>
      <xdr:spPr>
        <a:xfrm>
          <a:off x="5442135" y="246009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44851</xdr:colOff>
      <xdr:row>7</xdr:row>
      <xdr:rowOff>114400</xdr:rowOff>
    </xdr:from>
    <xdr:ext cx="285784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DC080E6-3DF2-43DD-9E30-61BBB175AF13}"/>
            </a:ext>
          </a:extLst>
        </xdr:cNvPr>
        <xdr:cNvSpPr txBox="1"/>
      </xdr:nvSpPr>
      <xdr:spPr>
        <a:xfrm>
          <a:off x="5442351" y="231573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33</xdr:col>
      <xdr:colOff>59164</xdr:colOff>
      <xdr:row>8</xdr:row>
      <xdr:rowOff>73129</xdr:rowOff>
    </xdr:from>
    <xdr:to>
      <xdr:col>39</xdr:col>
      <xdr:colOff>2164</xdr:colOff>
      <xdr:row>8</xdr:row>
      <xdr:rowOff>73129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4BA0042D-8F48-4455-B7F8-B77F0154B887}"/>
            </a:ext>
          </a:extLst>
        </xdr:cNvPr>
        <xdr:cNvCxnSpPr/>
      </xdr:nvCxnSpPr>
      <xdr:spPr>
        <a:xfrm>
          <a:off x="5710664" y="245790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39700</xdr:colOff>
      <xdr:row>7</xdr:row>
      <xdr:rowOff>120202</xdr:rowOff>
    </xdr:from>
    <xdr:ext cx="340093" cy="125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37B581D-7B4E-4554-986A-40A3B736BFA2}"/>
            </a:ext>
          </a:extLst>
        </xdr:cNvPr>
        <xdr:cNvSpPr txBox="1"/>
      </xdr:nvSpPr>
      <xdr:spPr>
        <a:xfrm>
          <a:off x="6326200" y="23215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40294</xdr:colOff>
      <xdr:row>8</xdr:row>
      <xdr:rowOff>74510</xdr:rowOff>
    </xdr:from>
    <xdr:to>
      <xdr:col>43</xdr:col>
      <xdr:colOff>10794</xdr:colOff>
      <xdr:row>8</xdr:row>
      <xdr:rowOff>74510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E80B134E-5082-4C24-82B1-4E7A6ADDE4FF}"/>
            </a:ext>
          </a:extLst>
        </xdr:cNvPr>
        <xdr:cNvCxnSpPr/>
      </xdr:nvCxnSpPr>
      <xdr:spPr>
        <a:xfrm>
          <a:off x="6009294" y="2459288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7249</xdr:colOff>
      <xdr:row>7</xdr:row>
      <xdr:rowOff>120649</xdr:rowOff>
    </xdr:from>
    <xdr:ext cx="285784" cy="125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8C9038A-6BDA-4763-A8B3-558F6CFCFA4C}"/>
            </a:ext>
          </a:extLst>
        </xdr:cNvPr>
        <xdr:cNvSpPr txBox="1"/>
      </xdr:nvSpPr>
      <xdr:spPr>
        <a:xfrm>
          <a:off x="5976249" y="23219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393</xdr:colOff>
      <xdr:row>8</xdr:row>
      <xdr:rowOff>75851</xdr:rowOff>
    </xdr:from>
    <xdr:to>
      <xdr:col>48</xdr:col>
      <xdr:colOff>6893</xdr:colOff>
      <xdr:row>8</xdr:row>
      <xdr:rowOff>75851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881D0C8D-5293-496D-A7FC-BDEECA959BF7}"/>
            </a:ext>
          </a:extLst>
        </xdr:cNvPr>
        <xdr:cNvCxnSpPr/>
      </xdr:nvCxnSpPr>
      <xdr:spPr>
        <a:xfrm>
          <a:off x="6286893" y="2460629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2712</xdr:colOff>
      <xdr:row>8</xdr:row>
      <xdr:rowOff>84215</xdr:rowOff>
    </xdr:from>
    <xdr:ext cx="340093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5648437-3111-4AF8-ACA4-E8F45DBF562C}"/>
            </a:ext>
          </a:extLst>
        </xdr:cNvPr>
        <xdr:cNvSpPr txBox="1"/>
      </xdr:nvSpPr>
      <xdr:spPr>
        <a:xfrm>
          <a:off x="5717712" y="246899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</xdr:col>
      <xdr:colOff>0</xdr:colOff>
      <xdr:row>3</xdr:row>
      <xdr:rowOff>66977</xdr:rowOff>
    </xdr:from>
    <xdr:to>
      <xdr:col>8</xdr:col>
      <xdr:colOff>0</xdr:colOff>
      <xdr:row>53</xdr:row>
      <xdr:rowOff>100643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BDAE7AE-CC81-45CF-9FD9-16A54E2A92DB}"/>
            </a:ext>
          </a:extLst>
        </xdr:cNvPr>
        <xdr:cNvCxnSpPr/>
      </xdr:nvCxnSpPr>
      <xdr:spPr>
        <a:xfrm flipH="1">
          <a:off x="4059464" y="1554691"/>
          <a:ext cx="0" cy="821609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63497</xdr:colOff>
      <xdr:row>4</xdr:row>
      <xdr:rowOff>27211</xdr:rowOff>
    </xdr:from>
    <xdr:to>
      <xdr:col>10</xdr:col>
      <xdr:colOff>63497</xdr:colOff>
      <xdr:row>5</xdr:row>
      <xdr:rowOff>129247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E3989F2-DC1A-4333-B09E-2CDBA0AA9CA3}"/>
            </a:ext>
          </a:extLst>
        </xdr:cNvPr>
        <xdr:cNvCxnSpPr/>
      </xdr:nvCxnSpPr>
      <xdr:spPr>
        <a:xfrm>
          <a:off x="4249961" y="1700890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51856</xdr:colOff>
      <xdr:row>9</xdr:row>
      <xdr:rowOff>10916</xdr:rowOff>
    </xdr:from>
    <xdr:to>
      <xdr:col>59</xdr:col>
      <xdr:colOff>24356</xdr:colOff>
      <xdr:row>10</xdr:row>
      <xdr:rowOff>7100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D3D2DC8F-2600-45F6-ABC9-2685D2EB4FAD}"/>
            </a:ext>
          </a:extLst>
        </xdr:cNvPr>
        <xdr:cNvGrpSpPr/>
      </xdr:nvGrpSpPr>
      <xdr:grpSpPr>
        <a:xfrm>
          <a:off x="7663389" y="1687316"/>
          <a:ext cx="36000" cy="182451"/>
          <a:chOff x="11556979" y="1922463"/>
          <a:chExt cx="188140" cy="204787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7FCB46E2-9ACA-923E-26D8-4001AEB4CA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0F7CD932-FAA4-C223-C901-9E4F8CBD4A1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43223</xdr:colOff>
      <xdr:row>15</xdr:row>
      <xdr:rowOff>0</xdr:rowOff>
    </xdr:from>
    <xdr:to>
      <xdr:col>59</xdr:col>
      <xdr:colOff>15723</xdr:colOff>
      <xdr:row>15</xdr:row>
      <xdr:rowOff>177880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1ABC2BC3-625D-4B59-8A1E-3D289DFD1AF9}"/>
            </a:ext>
          </a:extLst>
        </xdr:cNvPr>
        <xdr:cNvGrpSpPr/>
      </xdr:nvGrpSpPr>
      <xdr:grpSpPr>
        <a:xfrm>
          <a:off x="7654756" y="2794000"/>
          <a:ext cx="36000" cy="177880"/>
          <a:chOff x="11556979" y="1922463"/>
          <a:chExt cx="188140" cy="204787"/>
        </a:xfrm>
      </xdr:grpSpPr>
      <xdr:sp macro="" textlink="">
        <xdr:nvSpPr>
          <xdr:cNvPr id="12" name="자유형: 도형 11">
            <a:extLst>
              <a:ext uri="{FF2B5EF4-FFF2-40B4-BE49-F238E27FC236}">
                <a16:creationId xmlns:a16="http://schemas.microsoft.com/office/drawing/2014/main" id="{34DC9B71-C1AC-8637-D93F-FE87A72A3AD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D2ECEFC2-1508-35C6-AFF2-ABA9E87C708C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49741</xdr:colOff>
      <xdr:row>17</xdr:row>
      <xdr:rowOff>15129</xdr:rowOff>
    </xdr:from>
    <xdr:to>
      <xdr:col>59</xdr:col>
      <xdr:colOff>22241</xdr:colOff>
      <xdr:row>18</xdr:row>
      <xdr:rowOff>11313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C811D3C7-3038-451D-83E7-250863613DEA}"/>
            </a:ext>
          </a:extLst>
        </xdr:cNvPr>
        <xdr:cNvGrpSpPr/>
      </xdr:nvGrpSpPr>
      <xdr:grpSpPr>
        <a:xfrm>
          <a:off x="7661274" y="3181662"/>
          <a:ext cx="36000" cy="182451"/>
          <a:chOff x="11556979" y="1937259"/>
          <a:chExt cx="188140" cy="204787"/>
        </a:xfrm>
      </xdr:grpSpPr>
      <xdr:sp macro="" textlink="">
        <xdr:nvSpPr>
          <xdr:cNvPr id="15" name="자유형: 도형 14">
            <a:extLst>
              <a:ext uri="{FF2B5EF4-FFF2-40B4-BE49-F238E27FC236}">
                <a16:creationId xmlns:a16="http://schemas.microsoft.com/office/drawing/2014/main" id="{F6CBEC6D-E20E-F69D-5630-D074D0CC6F0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7410548A-AE9B-0DC8-1C12-08D2019C7A9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456</xdr:colOff>
      <xdr:row>10</xdr:row>
      <xdr:rowOff>68651</xdr:rowOff>
    </xdr:from>
    <xdr:to>
      <xdr:col>13</xdr:col>
      <xdr:colOff>456</xdr:colOff>
      <xdr:row>27</xdr:row>
      <xdr:rowOff>121540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20A449B-DA0C-4C1F-A1CD-2664A71A5655}"/>
            </a:ext>
          </a:extLst>
        </xdr:cNvPr>
        <xdr:cNvCxnSpPr/>
      </xdr:nvCxnSpPr>
      <xdr:spPr>
        <a:xfrm flipH="1">
          <a:off x="4381956" y="2820318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7</xdr:row>
      <xdr:rowOff>72272</xdr:rowOff>
    </xdr:from>
    <xdr:to>
      <xdr:col>120</xdr:col>
      <xdr:colOff>9684</xdr:colOff>
      <xdr:row>7</xdr:row>
      <xdr:rowOff>72272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3C2BF06F-A96E-4B6E-BB48-77BE5481136D}"/>
            </a:ext>
          </a:extLst>
        </xdr:cNvPr>
        <xdr:cNvCxnSpPr/>
      </xdr:nvCxnSpPr>
      <xdr:spPr>
        <a:xfrm>
          <a:off x="4309684" y="2273605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755857</xdr:colOff>
      <xdr:row>6</xdr:row>
      <xdr:rowOff>160971</xdr:rowOff>
    </xdr:from>
    <xdr:ext cx="480068" cy="14087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4740DA0-768F-425A-80F9-6119AA58DECB}"/>
            </a:ext>
          </a:extLst>
        </xdr:cNvPr>
        <xdr:cNvSpPr txBox="1"/>
      </xdr:nvSpPr>
      <xdr:spPr>
        <a:xfrm>
          <a:off x="3372964" y="220657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9</xdr:row>
      <xdr:rowOff>142594</xdr:rowOff>
    </xdr:from>
    <xdr:ext cx="368819" cy="14087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C8DF4D7-59D7-47EE-8F86-190E74328584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7</xdr:row>
      <xdr:rowOff>23419</xdr:rowOff>
    </xdr:from>
    <xdr:ext cx="376385" cy="125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6EA434B-88DC-4D6C-ADA8-B9A16C402E03}"/>
            </a:ext>
          </a:extLst>
        </xdr:cNvPr>
        <xdr:cNvSpPr txBox="1"/>
      </xdr:nvSpPr>
      <xdr:spPr>
        <a:xfrm>
          <a:off x="7883023" y="131987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58</xdr:col>
      <xdr:colOff>45508</xdr:colOff>
      <xdr:row>19</xdr:row>
      <xdr:rowOff>14586</xdr:rowOff>
    </xdr:from>
    <xdr:to>
      <xdr:col>59</xdr:col>
      <xdr:colOff>18008</xdr:colOff>
      <xdr:row>20</xdr:row>
      <xdr:rowOff>10771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E397A777-D9BB-41B2-A81C-C2C40AE1627C}"/>
            </a:ext>
          </a:extLst>
        </xdr:cNvPr>
        <xdr:cNvGrpSpPr/>
      </xdr:nvGrpSpPr>
      <xdr:grpSpPr>
        <a:xfrm>
          <a:off x="7657041" y="3553653"/>
          <a:ext cx="36000" cy="182451"/>
          <a:chOff x="11556979" y="1937259"/>
          <a:chExt cx="188140" cy="204787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E7A23756-C99F-34BA-B78D-A703A8260EF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33851FAD-041C-E0E2-3BED-386DE22D42AD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21</xdr:row>
      <xdr:rowOff>28769</xdr:rowOff>
    </xdr:from>
    <xdr:ext cx="228204" cy="140872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BB25C29-4454-45F1-A047-D533F99476C5}"/>
            </a:ext>
          </a:extLst>
        </xdr:cNvPr>
        <xdr:cNvSpPr txBox="1"/>
      </xdr:nvSpPr>
      <xdr:spPr>
        <a:xfrm>
          <a:off x="4882362" y="43422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21</xdr:row>
      <xdr:rowOff>29032</xdr:rowOff>
    </xdr:from>
    <xdr:ext cx="228204" cy="14087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381159C-5CE1-44CF-90E7-1762780FB8B3}"/>
            </a:ext>
          </a:extLst>
        </xdr:cNvPr>
        <xdr:cNvSpPr txBox="1"/>
      </xdr:nvSpPr>
      <xdr:spPr>
        <a:xfrm>
          <a:off x="6295931" y="434249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1881</xdr:colOff>
      <xdr:row>24</xdr:row>
      <xdr:rowOff>135677</xdr:rowOff>
    </xdr:from>
    <xdr:ext cx="287515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223BB3C-7599-4588-B9B3-BEC41A33E2E6}"/>
            </a:ext>
          </a:extLst>
        </xdr:cNvPr>
        <xdr:cNvSpPr txBox="1"/>
      </xdr:nvSpPr>
      <xdr:spPr>
        <a:xfrm>
          <a:off x="5012031" y="538395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35</xdr:col>
      <xdr:colOff>49676</xdr:colOff>
      <xdr:row>24</xdr:row>
      <xdr:rowOff>122268</xdr:rowOff>
    </xdr:from>
    <xdr:ext cx="287515" cy="125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BAC5E50-33A2-47A5-8C33-51A99212F9B5}"/>
            </a:ext>
          </a:extLst>
        </xdr:cNvPr>
        <xdr:cNvSpPr txBox="1"/>
      </xdr:nvSpPr>
      <xdr:spPr>
        <a:xfrm>
          <a:off x="5926601" y="537054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44</xdr:col>
      <xdr:colOff>49439</xdr:colOff>
      <xdr:row>24</xdr:row>
      <xdr:rowOff>131759</xdr:rowOff>
    </xdr:from>
    <xdr:ext cx="287515" cy="125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4809D71-67EA-41DB-9F4E-CFC6D2AF839F}"/>
            </a:ext>
          </a:extLst>
        </xdr:cNvPr>
        <xdr:cNvSpPr txBox="1"/>
      </xdr:nvSpPr>
      <xdr:spPr>
        <a:xfrm>
          <a:off x="6526439" y="538003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11288</xdr:colOff>
      <xdr:row>25</xdr:row>
      <xdr:rowOff>83047</xdr:rowOff>
    </xdr:from>
    <xdr:ext cx="900000" cy="0"/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2E76FF6A-A25E-473D-8374-D6564E606479}"/>
            </a:ext>
          </a:extLst>
        </xdr:cNvPr>
        <xdr:cNvCxnSpPr/>
      </xdr:nvCxnSpPr>
      <xdr:spPr>
        <a:xfrm flipV="1">
          <a:off x="4688063" y="5512297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44</xdr:col>
      <xdr:colOff>29224</xdr:colOff>
      <xdr:row>25</xdr:row>
      <xdr:rowOff>84890</xdr:rowOff>
    </xdr:from>
    <xdr:ext cx="324000" cy="0"/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47E33D7-991C-47C1-953B-D0447C3B2BA0}"/>
            </a:ext>
          </a:extLst>
        </xdr:cNvPr>
        <xdr:cNvCxnSpPr/>
      </xdr:nvCxnSpPr>
      <xdr:spPr>
        <a:xfrm>
          <a:off x="6506224" y="551414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23</xdr:col>
      <xdr:colOff>53029</xdr:colOff>
      <xdr:row>53</xdr:row>
      <xdr:rowOff>10660</xdr:rowOff>
    </xdr:from>
    <xdr:ext cx="425053" cy="125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B4E5AA9-46E4-4FE4-AC90-9EC206F3E6A9}"/>
            </a:ext>
          </a:extLst>
        </xdr:cNvPr>
        <xdr:cNvSpPr txBox="1"/>
      </xdr:nvSpPr>
      <xdr:spPr>
        <a:xfrm>
          <a:off x="2986729" y="22699210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34</xdr:col>
      <xdr:colOff>18943</xdr:colOff>
      <xdr:row>53</xdr:row>
      <xdr:rowOff>9101</xdr:rowOff>
    </xdr:from>
    <xdr:ext cx="425053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E12A203-623F-491B-9BDF-32568CA58F01}"/>
            </a:ext>
          </a:extLst>
        </xdr:cNvPr>
        <xdr:cNvSpPr txBox="1"/>
      </xdr:nvSpPr>
      <xdr:spPr>
        <a:xfrm>
          <a:off x="3651143" y="22697651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21169</xdr:colOff>
      <xdr:row>53</xdr:row>
      <xdr:rowOff>9605</xdr:rowOff>
    </xdr:from>
    <xdr:ext cx="425053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BA19864-762B-42A4-8935-A55B3A243DEF}"/>
            </a:ext>
          </a:extLst>
        </xdr:cNvPr>
        <xdr:cNvSpPr txBox="1"/>
      </xdr:nvSpPr>
      <xdr:spPr>
        <a:xfrm>
          <a:off x="4224869" y="22698155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42890</xdr:colOff>
      <xdr:row>4</xdr:row>
      <xdr:rowOff>38015</xdr:rowOff>
    </xdr:from>
    <xdr:ext cx="311624" cy="109582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38737947-7E68-44BE-84C9-9291921E44F9}"/>
            </a:ext>
          </a:extLst>
        </xdr:cNvPr>
        <xdr:cNvSpPr txBox="1"/>
      </xdr:nvSpPr>
      <xdr:spPr>
        <a:xfrm>
          <a:off x="4292854" y="1711694"/>
          <a:ext cx="31162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chemeClr val="tx1"/>
              </a:solidFill>
              <a:latin typeface="+mn-lt"/>
            </a:rPr>
            <a:t>vo_delay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1</xdr:colOff>
      <xdr:row>66</xdr:row>
      <xdr:rowOff>58459</xdr:rowOff>
    </xdr:from>
    <xdr:to>
      <xdr:col>13</xdr:col>
      <xdr:colOff>1</xdr:colOff>
      <xdr:row>94</xdr:row>
      <xdr:rowOff>54681</xdr:rowOff>
    </xdr:to>
    <xdr:cxnSp macro="">
      <xdr:nvCxnSpPr>
        <xdr:cNvPr id="295" name="직선 연결선 294">
          <a:extLst>
            <a:ext uri="{FF2B5EF4-FFF2-40B4-BE49-F238E27FC236}">
              <a16:creationId xmlns:a16="http://schemas.microsoft.com/office/drawing/2014/main" id="{299A7CB4-F65B-42E5-8A92-55805A162252}"/>
            </a:ext>
          </a:extLst>
        </xdr:cNvPr>
        <xdr:cNvCxnSpPr/>
      </xdr:nvCxnSpPr>
      <xdr:spPr>
        <a:xfrm flipH="1">
          <a:off x="4381501" y="12532681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68</xdr:row>
      <xdr:rowOff>67639</xdr:rowOff>
    </xdr:from>
    <xdr:to>
      <xdr:col>17</xdr:col>
      <xdr:colOff>463</xdr:colOff>
      <xdr:row>94</xdr:row>
      <xdr:rowOff>70750</xdr:rowOff>
    </xdr:to>
    <xdr:cxnSp macro="">
      <xdr:nvCxnSpPr>
        <xdr:cNvPr id="297" name="직선 연결선 296">
          <a:extLst>
            <a:ext uri="{FF2B5EF4-FFF2-40B4-BE49-F238E27FC236}">
              <a16:creationId xmlns:a16="http://schemas.microsoft.com/office/drawing/2014/main" id="{2DBFD68A-353A-4335-AE61-5751FD799352}"/>
            </a:ext>
          </a:extLst>
        </xdr:cNvPr>
        <xdr:cNvCxnSpPr/>
      </xdr:nvCxnSpPr>
      <xdr:spPr>
        <a:xfrm flipH="1">
          <a:off x="4635963" y="12908750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63</xdr:row>
      <xdr:rowOff>51007</xdr:rowOff>
    </xdr:from>
    <xdr:to>
      <xdr:col>120</xdr:col>
      <xdr:colOff>457</xdr:colOff>
      <xdr:row>91</xdr:row>
      <xdr:rowOff>83229</xdr:rowOff>
    </xdr:to>
    <xdr:cxnSp macro="">
      <xdr:nvCxnSpPr>
        <xdr:cNvPr id="298" name="직선 연결선 297">
          <a:extLst>
            <a:ext uri="{FF2B5EF4-FFF2-40B4-BE49-F238E27FC236}">
              <a16:creationId xmlns:a16="http://schemas.microsoft.com/office/drawing/2014/main" id="{CB2E8D08-9FC6-4CE9-BC38-6AC6B65D1442}"/>
            </a:ext>
          </a:extLst>
        </xdr:cNvPr>
        <xdr:cNvCxnSpPr/>
      </xdr:nvCxnSpPr>
      <xdr:spPr>
        <a:xfrm flipH="1">
          <a:off x="11176457" y="11974896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63</xdr:row>
      <xdr:rowOff>89912</xdr:rowOff>
    </xdr:from>
    <xdr:to>
      <xdr:col>120</xdr:col>
      <xdr:colOff>9684</xdr:colOff>
      <xdr:row>63</xdr:row>
      <xdr:rowOff>89912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CF911C64-DB71-4FD5-84A7-535DAC215D27}"/>
            </a:ext>
          </a:extLst>
        </xdr:cNvPr>
        <xdr:cNvCxnSpPr/>
      </xdr:nvCxnSpPr>
      <xdr:spPr>
        <a:xfrm>
          <a:off x="2290384" y="2461996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62</xdr:row>
      <xdr:rowOff>156435</xdr:rowOff>
    </xdr:from>
    <xdr:ext cx="480068" cy="140872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4C98FECD-FDF9-44F6-A4CB-C07D32DD72CA}"/>
            </a:ext>
          </a:extLst>
        </xdr:cNvPr>
        <xdr:cNvSpPr txBox="1"/>
      </xdr:nvSpPr>
      <xdr:spPr>
        <a:xfrm>
          <a:off x="3368429" y="11500256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63</xdr:row>
      <xdr:rowOff>28711</xdr:rowOff>
    </xdr:from>
    <xdr:ext cx="376385" cy="125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8E8678AD-592F-4D1E-A8CA-D8BB1408A4A5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79</xdr:row>
      <xdr:rowOff>24295</xdr:rowOff>
    </xdr:from>
    <xdr:ext cx="228204" cy="140872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CEFD4845-3AE2-4EF8-B395-32FB43ED52F4}"/>
            </a:ext>
          </a:extLst>
        </xdr:cNvPr>
        <xdr:cNvSpPr txBox="1"/>
      </xdr:nvSpPr>
      <xdr:spPr>
        <a:xfrm>
          <a:off x="4972691" y="1398522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79</xdr:row>
      <xdr:rowOff>23743</xdr:rowOff>
    </xdr:from>
    <xdr:ext cx="228204" cy="14087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6FFACEC3-F205-4B36-9A52-640EEDFFEA30}"/>
            </a:ext>
          </a:extLst>
        </xdr:cNvPr>
        <xdr:cNvSpPr txBox="1"/>
      </xdr:nvSpPr>
      <xdr:spPr>
        <a:xfrm>
          <a:off x="6128676" y="13984672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122</xdr:row>
      <xdr:rowOff>11209</xdr:rowOff>
    </xdr:from>
    <xdr:to>
      <xdr:col>59</xdr:col>
      <xdr:colOff>13172</xdr:colOff>
      <xdr:row>123</xdr:row>
      <xdr:rowOff>7393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9FA76AF4-D14C-4AEC-BC6E-5B67E2C7C9AE}"/>
            </a:ext>
          </a:extLst>
        </xdr:cNvPr>
        <xdr:cNvGrpSpPr/>
      </xdr:nvGrpSpPr>
      <xdr:grpSpPr>
        <a:xfrm>
          <a:off x="7652205" y="22735742"/>
          <a:ext cx="36000" cy="182451"/>
          <a:chOff x="11556979" y="1922463"/>
          <a:chExt cx="188140" cy="204787"/>
        </a:xfrm>
      </xdr:grpSpPr>
      <xdr:sp macro="" textlink="">
        <xdr:nvSpPr>
          <xdr:cNvPr id="313" name="자유형: 도형 312">
            <a:extLst>
              <a:ext uri="{FF2B5EF4-FFF2-40B4-BE49-F238E27FC236}">
                <a16:creationId xmlns:a16="http://schemas.microsoft.com/office/drawing/2014/main" id="{64EA3F3A-EECA-0B12-F2CC-B890FF9593E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14" name="자유형: 도형 313">
            <a:extLst>
              <a:ext uri="{FF2B5EF4-FFF2-40B4-BE49-F238E27FC236}">
                <a16:creationId xmlns:a16="http://schemas.microsoft.com/office/drawing/2014/main" id="{E2DB2A7E-0875-0204-1655-DCB429C5D69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93</xdr:row>
      <xdr:rowOff>53259</xdr:rowOff>
    </xdr:from>
    <xdr:ext cx="287515" cy="125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00CE612-0A51-45CC-8165-0409517DD280}"/>
            </a:ext>
          </a:extLst>
        </xdr:cNvPr>
        <xdr:cNvSpPr txBox="1"/>
      </xdr:nvSpPr>
      <xdr:spPr>
        <a:xfrm>
          <a:off x="4989826" y="1439579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93</xdr:row>
      <xdr:rowOff>60245</xdr:rowOff>
    </xdr:from>
    <xdr:ext cx="28751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D05D7FFA-0AE0-4327-933A-BC1464D08C69}"/>
            </a:ext>
          </a:extLst>
        </xdr:cNvPr>
        <xdr:cNvSpPr txBox="1"/>
      </xdr:nvSpPr>
      <xdr:spPr>
        <a:xfrm>
          <a:off x="6113732" y="1440277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93</xdr:row>
      <xdr:rowOff>182224</xdr:rowOff>
    </xdr:from>
    <xdr:ext cx="1152000" cy="0"/>
    <xdr:cxnSp macro="">
      <xdr:nvCxnSpPr>
        <xdr:cNvPr id="317" name="직선 화살표 연결선 316">
          <a:extLst>
            <a:ext uri="{FF2B5EF4-FFF2-40B4-BE49-F238E27FC236}">
              <a16:creationId xmlns:a16="http://schemas.microsoft.com/office/drawing/2014/main" id="{E52F308B-2AB7-4366-9A30-C5F890A7F43F}"/>
            </a:ext>
          </a:extLst>
        </xdr:cNvPr>
        <xdr:cNvCxnSpPr/>
      </xdr:nvCxnSpPr>
      <xdr:spPr>
        <a:xfrm flipV="1">
          <a:off x="4515555" y="1452475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93</xdr:row>
      <xdr:rowOff>181194</xdr:rowOff>
    </xdr:from>
    <xdr:ext cx="648000" cy="0"/>
    <xdr:cxnSp macro="">
      <xdr:nvCxnSpPr>
        <xdr:cNvPr id="318" name="직선 화살표 연결선 317">
          <a:extLst>
            <a:ext uri="{FF2B5EF4-FFF2-40B4-BE49-F238E27FC236}">
              <a16:creationId xmlns:a16="http://schemas.microsoft.com/office/drawing/2014/main" id="{A62DF0B0-0EC6-4FF5-9F89-C2A794366CF2}"/>
            </a:ext>
          </a:extLst>
        </xdr:cNvPr>
        <xdr:cNvCxnSpPr/>
      </xdr:nvCxnSpPr>
      <xdr:spPr>
        <a:xfrm>
          <a:off x="5921118" y="1452372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78</xdr:row>
      <xdr:rowOff>165105</xdr:rowOff>
    </xdr:from>
    <xdr:to>
      <xdr:col>17</xdr:col>
      <xdr:colOff>29011</xdr:colOff>
      <xdr:row>79</xdr:row>
      <xdr:rowOff>182895</xdr:rowOff>
    </xdr:to>
    <xdr:grpSp>
      <xdr:nvGrpSpPr>
        <xdr:cNvPr id="322" name="그룹 321">
          <a:extLst>
            <a:ext uri="{FF2B5EF4-FFF2-40B4-BE49-F238E27FC236}">
              <a16:creationId xmlns:a16="http://schemas.microsoft.com/office/drawing/2014/main" id="{3A7459A7-1A59-46FC-8AA8-8E83E946777F}"/>
            </a:ext>
          </a:extLst>
        </xdr:cNvPr>
        <xdr:cNvGrpSpPr/>
      </xdr:nvGrpSpPr>
      <xdr:grpSpPr>
        <a:xfrm>
          <a:off x="4774023" y="14693905"/>
          <a:ext cx="263021" cy="204057"/>
          <a:chOff x="2051991" y="27765565"/>
          <a:chExt cx="263021" cy="202124"/>
        </a:xfrm>
      </xdr:grpSpPr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565EEA22-4ADE-B87D-0C98-5C28A21FDC7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75863CDB-89B0-B2D7-85A2-690172ECDA69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60</xdr:row>
      <xdr:rowOff>31201</xdr:rowOff>
    </xdr:from>
    <xdr:ext cx="356251" cy="125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9772AC35-0BAB-4808-B400-E30F6BBCE8A2}"/>
            </a:ext>
          </a:extLst>
        </xdr:cNvPr>
        <xdr:cNvSpPr txBox="1"/>
      </xdr:nvSpPr>
      <xdr:spPr>
        <a:xfrm>
          <a:off x="4294420" y="11404757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8738</xdr:colOff>
      <xdr:row>77</xdr:row>
      <xdr:rowOff>23251</xdr:rowOff>
    </xdr:from>
    <xdr:ext cx="228204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C61273F-4D86-4DDF-BFC0-FFD2B1BD5347}"/>
            </a:ext>
          </a:extLst>
        </xdr:cNvPr>
        <xdr:cNvSpPr txBox="1"/>
      </xdr:nvSpPr>
      <xdr:spPr>
        <a:xfrm>
          <a:off x="6150095" y="154582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73</xdr:row>
      <xdr:rowOff>243</xdr:rowOff>
    </xdr:from>
    <xdr:to>
      <xdr:col>58</xdr:col>
      <xdr:colOff>11673</xdr:colOff>
      <xdr:row>73</xdr:row>
      <xdr:rowOff>180243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6679D6DA-33CA-4FE6-ACCF-620026CD77C6}"/>
            </a:ext>
          </a:extLst>
        </xdr:cNvPr>
        <xdr:cNvGrpSpPr/>
      </xdr:nvGrpSpPr>
      <xdr:grpSpPr>
        <a:xfrm>
          <a:off x="7587206" y="13597710"/>
          <a:ext cx="36000" cy="180000"/>
          <a:chOff x="11556979" y="1937259"/>
          <a:chExt cx="188140" cy="204787"/>
        </a:xfrm>
      </xdr:grpSpPr>
      <xdr:sp macro="" textlink="">
        <xdr:nvSpPr>
          <xdr:cNvPr id="331" name="자유형: 도형 330">
            <a:extLst>
              <a:ext uri="{FF2B5EF4-FFF2-40B4-BE49-F238E27FC236}">
                <a16:creationId xmlns:a16="http://schemas.microsoft.com/office/drawing/2014/main" id="{98F27BFF-234F-C663-87FA-4043ADDF5E6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2" name="자유형: 도형 331">
            <a:extLst>
              <a:ext uri="{FF2B5EF4-FFF2-40B4-BE49-F238E27FC236}">
                <a16:creationId xmlns:a16="http://schemas.microsoft.com/office/drawing/2014/main" id="{DBEE7B27-E17A-BFE8-930D-7BB7E2D036F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124</xdr:row>
      <xdr:rowOff>19404</xdr:rowOff>
    </xdr:from>
    <xdr:to>
      <xdr:col>59</xdr:col>
      <xdr:colOff>14682</xdr:colOff>
      <xdr:row>125</xdr:row>
      <xdr:rowOff>15588</xdr:rowOff>
    </xdr:to>
    <xdr:grpSp>
      <xdr:nvGrpSpPr>
        <xdr:cNvPr id="333" name="그룹 332">
          <a:extLst>
            <a:ext uri="{FF2B5EF4-FFF2-40B4-BE49-F238E27FC236}">
              <a16:creationId xmlns:a16="http://schemas.microsoft.com/office/drawing/2014/main" id="{D5CE0799-B011-44DC-8A31-463D9C13683D}"/>
            </a:ext>
          </a:extLst>
        </xdr:cNvPr>
        <xdr:cNvGrpSpPr/>
      </xdr:nvGrpSpPr>
      <xdr:grpSpPr>
        <a:xfrm>
          <a:off x="7653715" y="23116471"/>
          <a:ext cx="36000" cy="182450"/>
          <a:chOff x="11556979" y="1922463"/>
          <a:chExt cx="188140" cy="204787"/>
        </a:xfrm>
      </xdr:grpSpPr>
      <xdr:sp macro="" textlink="">
        <xdr:nvSpPr>
          <xdr:cNvPr id="334" name="자유형: 도형 333">
            <a:extLst>
              <a:ext uri="{FF2B5EF4-FFF2-40B4-BE49-F238E27FC236}">
                <a16:creationId xmlns:a16="http://schemas.microsoft.com/office/drawing/2014/main" id="{AABB58F3-AA70-5789-BF3C-3C2AD5376FF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5" name="자유형: 도형 334">
            <a:extLst>
              <a:ext uri="{FF2B5EF4-FFF2-40B4-BE49-F238E27FC236}">
                <a16:creationId xmlns:a16="http://schemas.microsoft.com/office/drawing/2014/main" id="{9F8994DC-4810-A8C7-BCC0-54EF7C296F4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77</xdr:row>
      <xdr:rowOff>6149</xdr:rowOff>
    </xdr:from>
    <xdr:to>
      <xdr:col>59</xdr:col>
      <xdr:colOff>15905</xdr:colOff>
      <xdr:row>78</xdr:row>
      <xdr:rowOff>2333</xdr:rowOff>
    </xdr:to>
    <xdr:grpSp>
      <xdr:nvGrpSpPr>
        <xdr:cNvPr id="337" name="그룹 336">
          <a:extLst>
            <a:ext uri="{FF2B5EF4-FFF2-40B4-BE49-F238E27FC236}">
              <a16:creationId xmlns:a16="http://schemas.microsoft.com/office/drawing/2014/main" id="{9AFA5654-90D4-4F05-A3B7-5E0CD90D9411}"/>
            </a:ext>
          </a:extLst>
        </xdr:cNvPr>
        <xdr:cNvGrpSpPr/>
      </xdr:nvGrpSpPr>
      <xdr:grpSpPr>
        <a:xfrm>
          <a:off x="7654938" y="14348682"/>
          <a:ext cx="36000" cy="182451"/>
          <a:chOff x="11556979" y="1937259"/>
          <a:chExt cx="188140" cy="204787"/>
        </a:xfrm>
      </xdr:grpSpPr>
      <xdr:sp macro="" textlink="">
        <xdr:nvSpPr>
          <xdr:cNvPr id="338" name="자유형: 도형 337">
            <a:extLst>
              <a:ext uri="{FF2B5EF4-FFF2-40B4-BE49-F238E27FC236}">
                <a16:creationId xmlns:a16="http://schemas.microsoft.com/office/drawing/2014/main" id="{D51BB783-9D6A-CC0F-6FA6-EC115B0A7B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9" name="자유형: 도형 338">
            <a:extLst>
              <a:ext uri="{FF2B5EF4-FFF2-40B4-BE49-F238E27FC236}">
                <a16:creationId xmlns:a16="http://schemas.microsoft.com/office/drawing/2014/main" id="{D02EA04A-9F8F-0700-6385-97846C0DA47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79</xdr:row>
      <xdr:rowOff>7360</xdr:rowOff>
    </xdr:from>
    <xdr:to>
      <xdr:col>59</xdr:col>
      <xdr:colOff>20139</xdr:colOff>
      <xdr:row>80</xdr:row>
      <xdr:rowOff>3544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E83FD534-20AF-4B37-BC98-8798895787F7}"/>
            </a:ext>
          </a:extLst>
        </xdr:cNvPr>
        <xdr:cNvGrpSpPr/>
      </xdr:nvGrpSpPr>
      <xdr:grpSpPr>
        <a:xfrm>
          <a:off x="7659172" y="14722427"/>
          <a:ext cx="36000" cy="182450"/>
          <a:chOff x="11556979" y="1937259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5A7C9F42-8F9D-377F-9AD0-7F268D0CB0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93ACCF68-0969-7E8E-39AB-2D0E8536BCA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75</xdr:row>
      <xdr:rowOff>25502</xdr:rowOff>
    </xdr:from>
    <xdr:to>
      <xdr:col>58</xdr:col>
      <xdr:colOff>26187</xdr:colOff>
      <xdr:row>76</xdr:row>
      <xdr:rowOff>21686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D5B88725-35F8-4626-AF95-B913B18FD451}"/>
            </a:ext>
          </a:extLst>
        </xdr:cNvPr>
        <xdr:cNvGrpSpPr/>
      </xdr:nvGrpSpPr>
      <xdr:grpSpPr>
        <a:xfrm>
          <a:off x="7601720" y="13995502"/>
          <a:ext cx="36000" cy="182451"/>
          <a:chOff x="11556979" y="1937259"/>
          <a:chExt cx="188140" cy="204787"/>
        </a:xfrm>
      </xdr:grpSpPr>
      <xdr:sp macro="" textlink="">
        <xdr:nvSpPr>
          <xdr:cNvPr id="344" name="자유형: 도형 343">
            <a:extLst>
              <a:ext uri="{FF2B5EF4-FFF2-40B4-BE49-F238E27FC236}">
                <a16:creationId xmlns:a16="http://schemas.microsoft.com/office/drawing/2014/main" id="{C44035DA-0B7F-48FF-0EDB-5BC2507B71C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5" name="자유형: 도형 344">
            <a:extLst>
              <a:ext uri="{FF2B5EF4-FFF2-40B4-BE49-F238E27FC236}">
                <a16:creationId xmlns:a16="http://schemas.microsoft.com/office/drawing/2014/main" id="{80EE04D5-A520-7C89-C1A4-23798F0ECA4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45508</xdr:colOff>
      <xdr:row>21</xdr:row>
      <xdr:rowOff>9096</xdr:rowOff>
    </xdr:from>
    <xdr:to>
      <xdr:col>60</xdr:col>
      <xdr:colOff>18008</xdr:colOff>
      <xdr:row>22</xdr:row>
      <xdr:rowOff>5280</xdr:rowOff>
    </xdr:to>
    <xdr:grpSp>
      <xdr:nvGrpSpPr>
        <xdr:cNvPr id="347" name="그룹 346">
          <a:extLst>
            <a:ext uri="{FF2B5EF4-FFF2-40B4-BE49-F238E27FC236}">
              <a16:creationId xmlns:a16="http://schemas.microsoft.com/office/drawing/2014/main" id="{9A5910BC-46D4-4A34-889C-6ED7570F1517}"/>
            </a:ext>
          </a:extLst>
        </xdr:cNvPr>
        <xdr:cNvGrpSpPr/>
      </xdr:nvGrpSpPr>
      <xdr:grpSpPr>
        <a:xfrm>
          <a:off x="7720541" y="3920696"/>
          <a:ext cx="36000" cy="182451"/>
          <a:chOff x="11556979" y="1937259"/>
          <a:chExt cx="188140" cy="204787"/>
        </a:xfrm>
      </xdr:grpSpPr>
      <xdr:sp macro="" textlink="">
        <xdr:nvSpPr>
          <xdr:cNvPr id="348" name="자유형: 도형 347">
            <a:extLst>
              <a:ext uri="{FF2B5EF4-FFF2-40B4-BE49-F238E27FC236}">
                <a16:creationId xmlns:a16="http://schemas.microsoft.com/office/drawing/2014/main" id="{F5CA0EC6-22AC-CFF6-599E-CB503720C15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9" name="자유형: 도형 348">
            <a:extLst>
              <a:ext uri="{FF2B5EF4-FFF2-40B4-BE49-F238E27FC236}">
                <a16:creationId xmlns:a16="http://schemas.microsoft.com/office/drawing/2014/main" id="{26F372A5-2ED8-012C-F9C8-D1D086A1106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48379</xdr:colOff>
      <xdr:row>91</xdr:row>
      <xdr:rowOff>149678</xdr:rowOff>
    </xdr:from>
    <xdr:to>
      <xdr:col>59</xdr:col>
      <xdr:colOff>20879</xdr:colOff>
      <xdr:row>93</xdr:row>
      <xdr:rowOff>20678</xdr:rowOff>
    </xdr:to>
    <xdr:sp macro="" textlink="">
      <xdr:nvSpPr>
        <xdr:cNvPr id="350" name="자유형: 도형 349">
          <a:extLst>
            <a:ext uri="{FF2B5EF4-FFF2-40B4-BE49-F238E27FC236}">
              <a16:creationId xmlns:a16="http://schemas.microsoft.com/office/drawing/2014/main" id="{62F0DDF6-150A-4D16-8459-40C5697C92F4}"/>
            </a:ext>
          </a:extLst>
        </xdr:cNvPr>
        <xdr:cNvSpPr/>
      </xdr:nvSpPr>
      <xdr:spPr>
        <a:xfrm>
          <a:off x="7169450" y="142965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57</xdr:col>
      <xdr:colOff>47944</xdr:colOff>
      <xdr:row>65</xdr:row>
      <xdr:rowOff>25803</xdr:rowOff>
    </xdr:from>
    <xdr:to>
      <xdr:col>58</xdr:col>
      <xdr:colOff>20444</xdr:colOff>
      <xdr:row>66</xdr:row>
      <xdr:rowOff>21988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ECA85F0E-CD8F-4A36-B063-9A874FB3ACA0}"/>
            </a:ext>
          </a:extLst>
        </xdr:cNvPr>
        <xdr:cNvGrpSpPr/>
      </xdr:nvGrpSpPr>
      <xdr:grpSpPr>
        <a:xfrm>
          <a:off x="7595977" y="12133136"/>
          <a:ext cx="36000" cy="182452"/>
          <a:chOff x="11556979" y="1937259"/>
          <a:chExt cx="188140" cy="204787"/>
        </a:xfrm>
      </xdr:grpSpPr>
      <xdr:sp macro="" textlink="">
        <xdr:nvSpPr>
          <xdr:cNvPr id="353" name="자유형: 도형 352">
            <a:extLst>
              <a:ext uri="{FF2B5EF4-FFF2-40B4-BE49-F238E27FC236}">
                <a16:creationId xmlns:a16="http://schemas.microsoft.com/office/drawing/2014/main" id="{7B0295C3-93E3-66B8-A678-E03EDA9AA4B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D5743063-6F4A-1273-1819-5A381D74018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78</xdr:row>
      <xdr:rowOff>170283</xdr:rowOff>
    </xdr:from>
    <xdr:to>
      <xdr:col>39</xdr:col>
      <xdr:colOff>15102</xdr:colOff>
      <xdr:row>80</xdr:row>
      <xdr:rowOff>2108</xdr:rowOff>
    </xdr:to>
    <xdr:grpSp>
      <xdr:nvGrpSpPr>
        <xdr:cNvPr id="355" name="그룹 354">
          <a:extLst>
            <a:ext uri="{FF2B5EF4-FFF2-40B4-BE49-F238E27FC236}">
              <a16:creationId xmlns:a16="http://schemas.microsoft.com/office/drawing/2014/main" id="{0982A813-B3FB-47E3-B824-DCE8FFEAE4D7}"/>
            </a:ext>
          </a:extLst>
        </xdr:cNvPr>
        <xdr:cNvGrpSpPr/>
      </xdr:nvGrpSpPr>
      <xdr:grpSpPr>
        <a:xfrm>
          <a:off x="6157114" y="14699083"/>
          <a:ext cx="263021" cy="204358"/>
          <a:chOff x="2051991" y="27765565"/>
          <a:chExt cx="263021" cy="202124"/>
        </a:xfrm>
      </xdr:grpSpPr>
      <xdr:sp macro="" textlink="">
        <xdr:nvSpPr>
          <xdr:cNvPr id="356" name="TextBox 355">
            <a:extLst>
              <a:ext uri="{FF2B5EF4-FFF2-40B4-BE49-F238E27FC236}">
                <a16:creationId xmlns:a16="http://schemas.microsoft.com/office/drawing/2014/main" id="{C436F50B-4915-1945-2C3D-CADE66874D3C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57" name="TextBox 356">
            <a:extLst>
              <a:ext uri="{FF2B5EF4-FFF2-40B4-BE49-F238E27FC236}">
                <a16:creationId xmlns:a16="http://schemas.microsoft.com/office/drawing/2014/main" id="{F4E797D5-81C2-C052-61BF-7E667BA6AD9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746786</xdr:colOff>
      <xdr:row>203</xdr:row>
      <xdr:rowOff>142828</xdr:rowOff>
    </xdr:from>
    <xdr:ext cx="480068" cy="140872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C2254399-215A-4B6D-A3DA-C8974FA47E2A}"/>
            </a:ext>
          </a:extLst>
        </xdr:cNvPr>
        <xdr:cNvSpPr txBox="1"/>
      </xdr:nvSpPr>
      <xdr:spPr>
        <a:xfrm>
          <a:off x="3363893" y="2357432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19606</xdr:colOff>
      <xdr:row>204</xdr:row>
      <xdr:rowOff>28711</xdr:rowOff>
    </xdr:from>
    <xdr:ext cx="376385" cy="125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8AB8729C-4AFE-413B-ACAF-5560205C1518}"/>
            </a:ext>
          </a:extLst>
        </xdr:cNvPr>
        <xdr:cNvSpPr txBox="1"/>
      </xdr:nvSpPr>
      <xdr:spPr>
        <a:xfrm>
          <a:off x="7576106" y="2461026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56444</xdr:colOff>
      <xdr:row>220</xdr:row>
      <xdr:rowOff>7746</xdr:rowOff>
    </xdr:from>
    <xdr:ext cx="1152000" cy="0"/>
    <xdr:cxnSp macro="">
      <xdr:nvCxnSpPr>
        <xdr:cNvPr id="571" name="직선 화살표 연결선 570">
          <a:extLst>
            <a:ext uri="{FF2B5EF4-FFF2-40B4-BE49-F238E27FC236}">
              <a16:creationId xmlns:a16="http://schemas.microsoft.com/office/drawing/2014/main" id="{99130B81-9983-41BC-BEA1-04217999CCB9}"/>
            </a:ext>
          </a:extLst>
        </xdr:cNvPr>
        <xdr:cNvCxnSpPr/>
      </xdr:nvCxnSpPr>
      <xdr:spPr>
        <a:xfrm flipV="1">
          <a:off x="4619977" y="41358946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220</xdr:row>
      <xdr:rowOff>11252</xdr:rowOff>
    </xdr:from>
    <xdr:ext cx="648000" cy="0"/>
    <xdr:cxnSp macro="">
      <xdr:nvCxnSpPr>
        <xdr:cNvPr id="572" name="직선 화살표 연결선 571">
          <a:extLst>
            <a:ext uri="{FF2B5EF4-FFF2-40B4-BE49-F238E27FC236}">
              <a16:creationId xmlns:a16="http://schemas.microsoft.com/office/drawing/2014/main" id="{5EA524B1-4F73-49EE-AC11-4B039E705241}"/>
            </a:ext>
          </a:extLst>
        </xdr:cNvPr>
        <xdr:cNvCxnSpPr/>
      </xdr:nvCxnSpPr>
      <xdr:spPr>
        <a:xfrm>
          <a:off x="6018484" y="4136245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22</xdr:col>
      <xdr:colOff>35649</xdr:colOff>
      <xdr:row>216</xdr:row>
      <xdr:rowOff>24309</xdr:rowOff>
    </xdr:from>
    <xdr:ext cx="228204" cy="140872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3A3F71AA-4743-407E-A29F-806C36F04C47}"/>
            </a:ext>
          </a:extLst>
        </xdr:cNvPr>
        <xdr:cNvSpPr txBox="1"/>
      </xdr:nvSpPr>
      <xdr:spPr>
        <a:xfrm>
          <a:off x="4980182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216</xdr:row>
      <xdr:rowOff>6149</xdr:rowOff>
    </xdr:from>
    <xdr:to>
      <xdr:col>58</xdr:col>
      <xdr:colOff>12380</xdr:colOff>
      <xdr:row>217</xdr:row>
      <xdr:rowOff>2333</xdr:rowOff>
    </xdr:to>
    <xdr:grpSp>
      <xdr:nvGrpSpPr>
        <xdr:cNvPr id="583" name="그룹 582">
          <a:extLst>
            <a:ext uri="{FF2B5EF4-FFF2-40B4-BE49-F238E27FC236}">
              <a16:creationId xmlns:a16="http://schemas.microsoft.com/office/drawing/2014/main" id="{D257E4AF-8A2C-4D9A-A75E-53AC30CCDE6E}"/>
            </a:ext>
          </a:extLst>
        </xdr:cNvPr>
        <xdr:cNvGrpSpPr/>
      </xdr:nvGrpSpPr>
      <xdr:grpSpPr>
        <a:xfrm>
          <a:off x="7587913" y="40239749"/>
          <a:ext cx="36000" cy="182451"/>
          <a:chOff x="11556979" y="1937259"/>
          <a:chExt cx="188140" cy="204787"/>
        </a:xfrm>
      </xdr:grpSpPr>
      <xdr:sp macro="" textlink="">
        <xdr:nvSpPr>
          <xdr:cNvPr id="584" name="자유형: 도형 583">
            <a:extLst>
              <a:ext uri="{FF2B5EF4-FFF2-40B4-BE49-F238E27FC236}">
                <a16:creationId xmlns:a16="http://schemas.microsoft.com/office/drawing/2014/main" id="{805814DB-5A73-8229-3FB8-659E18F53D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5" name="자유형: 도형 584">
            <a:extLst>
              <a:ext uri="{FF2B5EF4-FFF2-40B4-BE49-F238E27FC236}">
                <a16:creationId xmlns:a16="http://schemas.microsoft.com/office/drawing/2014/main" id="{C7647AAB-2E11-7673-5255-DCB72E9B1A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37998</xdr:colOff>
      <xdr:row>222</xdr:row>
      <xdr:rowOff>181128</xdr:rowOff>
    </xdr:from>
    <xdr:to>
      <xdr:col>58</xdr:col>
      <xdr:colOff>10498</xdr:colOff>
      <xdr:row>226</xdr:row>
      <xdr:rowOff>61200</xdr:rowOff>
    </xdr:to>
    <xdr:sp macro="" textlink="">
      <xdr:nvSpPr>
        <xdr:cNvPr id="590" name="자유형: 도형 589">
          <a:extLst>
            <a:ext uri="{FF2B5EF4-FFF2-40B4-BE49-F238E27FC236}">
              <a16:creationId xmlns:a16="http://schemas.microsoft.com/office/drawing/2014/main" id="{A41649CA-4485-4CBB-AFFD-943B52592D67}"/>
            </a:ext>
          </a:extLst>
        </xdr:cNvPr>
        <xdr:cNvSpPr/>
      </xdr:nvSpPr>
      <xdr:spPr>
        <a:xfrm>
          <a:off x="7213498" y="27697795"/>
          <a:ext cx="36000" cy="24696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35</xdr:col>
      <xdr:colOff>43903</xdr:colOff>
      <xdr:row>21</xdr:row>
      <xdr:rowOff>22682</xdr:rowOff>
    </xdr:from>
    <xdr:ext cx="228204" cy="140872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8B2BE675-82DA-452F-9D51-2AC2F57AE9F3}"/>
            </a:ext>
          </a:extLst>
        </xdr:cNvPr>
        <xdr:cNvSpPr txBox="1"/>
      </xdr:nvSpPr>
      <xdr:spPr>
        <a:xfrm>
          <a:off x="5704474" y="433614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54428</xdr:colOff>
      <xdr:row>27</xdr:row>
      <xdr:rowOff>149678</xdr:rowOff>
    </xdr:from>
    <xdr:to>
      <xdr:col>60</xdr:col>
      <xdr:colOff>26928</xdr:colOff>
      <xdr:row>31</xdr:row>
      <xdr:rowOff>29749</xdr:rowOff>
    </xdr:to>
    <xdr:sp macro="" textlink="">
      <xdr:nvSpPr>
        <xdr:cNvPr id="1042" name="자유형: 도형 1041">
          <a:extLst>
            <a:ext uri="{FF2B5EF4-FFF2-40B4-BE49-F238E27FC236}">
              <a16:creationId xmlns:a16="http://schemas.microsoft.com/office/drawing/2014/main" id="{53B62162-92DF-4450-95B0-8F313F4F6F3C}"/>
            </a:ext>
          </a:extLst>
        </xdr:cNvPr>
        <xdr:cNvSpPr/>
      </xdr:nvSpPr>
      <xdr:spPr>
        <a:xfrm>
          <a:off x="7238999" y="5397499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20</xdr:col>
      <xdr:colOff>29148</xdr:colOff>
      <xdr:row>26</xdr:row>
      <xdr:rowOff>24233</xdr:rowOff>
    </xdr:from>
    <xdr:ext cx="510909" cy="140872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3E8533CE-A426-46B3-85CA-D60CD4869FBD}"/>
            </a:ext>
          </a:extLst>
        </xdr:cNvPr>
        <xdr:cNvSpPr txBox="1"/>
      </xdr:nvSpPr>
      <xdr:spPr>
        <a:xfrm>
          <a:off x="4737219" y="50860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27574</xdr:colOff>
      <xdr:row>26</xdr:row>
      <xdr:rowOff>24494</xdr:rowOff>
    </xdr:from>
    <xdr:ext cx="280398" cy="140872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05BA4CE-9C1D-40FE-A961-040623DE6A9D}"/>
            </a:ext>
          </a:extLst>
        </xdr:cNvPr>
        <xdr:cNvSpPr txBox="1"/>
      </xdr:nvSpPr>
      <xdr:spPr>
        <a:xfrm>
          <a:off x="6259645" y="5086351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45508</xdr:colOff>
      <xdr:row>26</xdr:row>
      <xdr:rowOff>978</xdr:rowOff>
    </xdr:from>
    <xdr:to>
      <xdr:col>60</xdr:col>
      <xdr:colOff>18008</xdr:colOff>
      <xdr:row>26</xdr:row>
      <xdr:rowOff>180978</xdr:rowOff>
    </xdr:to>
    <xdr:grpSp>
      <xdr:nvGrpSpPr>
        <xdr:cNvPr id="1045" name="그룹 1044">
          <a:extLst>
            <a:ext uri="{FF2B5EF4-FFF2-40B4-BE49-F238E27FC236}">
              <a16:creationId xmlns:a16="http://schemas.microsoft.com/office/drawing/2014/main" id="{310BA9F5-4B0C-4DA1-8E12-F61C9A681602}"/>
            </a:ext>
          </a:extLst>
        </xdr:cNvPr>
        <xdr:cNvGrpSpPr/>
      </xdr:nvGrpSpPr>
      <xdr:grpSpPr>
        <a:xfrm>
          <a:off x="7720541" y="4843911"/>
          <a:ext cx="36000" cy="180000"/>
          <a:chOff x="11556979" y="1937259"/>
          <a:chExt cx="188140" cy="204787"/>
        </a:xfrm>
      </xdr:grpSpPr>
      <xdr:sp macro="" textlink="">
        <xdr:nvSpPr>
          <xdr:cNvPr id="1046" name="자유형: 도형 1045">
            <a:extLst>
              <a:ext uri="{FF2B5EF4-FFF2-40B4-BE49-F238E27FC236}">
                <a16:creationId xmlns:a16="http://schemas.microsoft.com/office/drawing/2014/main" id="{A2A41B30-DC90-24F5-F8A8-DAA426D7E7F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47" name="자유형: 도형 1046">
            <a:extLst>
              <a:ext uri="{FF2B5EF4-FFF2-40B4-BE49-F238E27FC236}">
                <a16:creationId xmlns:a16="http://schemas.microsoft.com/office/drawing/2014/main" id="{7840A1CE-70C7-E9D8-F04A-0648125BC3F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25761</xdr:colOff>
      <xdr:row>26</xdr:row>
      <xdr:rowOff>27218</xdr:rowOff>
    </xdr:from>
    <xdr:ext cx="280398" cy="140872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4BBC82BC-8CC3-4558-A7B7-5F190F7AC16B}"/>
            </a:ext>
          </a:extLst>
        </xdr:cNvPr>
        <xdr:cNvSpPr txBox="1"/>
      </xdr:nvSpPr>
      <xdr:spPr>
        <a:xfrm>
          <a:off x="5698428" y="5056418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42180</xdr:colOff>
      <xdr:row>31</xdr:row>
      <xdr:rowOff>183315</xdr:rowOff>
    </xdr:from>
    <xdr:to>
      <xdr:col>60</xdr:col>
      <xdr:colOff>14680</xdr:colOff>
      <xdr:row>32</xdr:row>
      <xdr:rowOff>179500</xdr:rowOff>
    </xdr:to>
    <xdr:grpSp>
      <xdr:nvGrpSpPr>
        <xdr:cNvPr id="1055" name="그룹 1054">
          <a:extLst>
            <a:ext uri="{FF2B5EF4-FFF2-40B4-BE49-F238E27FC236}">
              <a16:creationId xmlns:a16="http://schemas.microsoft.com/office/drawing/2014/main" id="{F2959543-D5C6-4BE1-8497-69716C8FEA23}"/>
            </a:ext>
          </a:extLst>
        </xdr:cNvPr>
        <xdr:cNvGrpSpPr/>
      </xdr:nvGrpSpPr>
      <xdr:grpSpPr>
        <a:xfrm>
          <a:off x="7717213" y="5957582"/>
          <a:ext cx="36000" cy="182451"/>
          <a:chOff x="11556979" y="1937259"/>
          <a:chExt cx="188140" cy="204787"/>
        </a:xfrm>
      </xdr:grpSpPr>
      <xdr:sp macro="" textlink="">
        <xdr:nvSpPr>
          <xdr:cNvPr id="1056" name="자유형: 도형 1055">
            <a:extLst>
              <a:ext uri="{FF2B5EF4-FFF2-40B4-BE49-F238E27FC236}">
                <a16:creationId xmlns:a16="http://schemas.microsoft.com/office/drawing/2014/main" id="{4915B3E4-1E53-1B68-4B2D-8455348F4F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57" name="자유형: 도형 1056">
            <a:extLst>
              <a:ext uri="{FF2B5EF4-FFF2-40B4-BE49-F238E27FC236}">
                <a16:creationId xmlns:a16="http://schemas.microsoft.com/office/drawing/2014/main" id="{43DD4DE1-FD7F-8981-692C-C35C44B0DD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47924</xdr:colOff>
      <xdr:row>34</xdr:row>
      <xdr:rowOff>47244</xdr:rowOff>
    </xdr:from>
    <xdr:to>
      <xdr:col>60</xdr:col>
      <xdr:colOff>20424</xdr:colOff>
      <xdr:row>35</xdr:row>
      <xdr:rowOff>43428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BDD0E90C-B3EC-4B45-99F2-59EE1BAAA125}"/>
            </a:ext>
          </a:extLst>
        </xdr:cNvPr>
        <xdr:cNvGrpSpPr/>
      </xdr:nvGrpSpPr>
      <xdr:grpSpPr>
        <a:xfrm>
          <a:off x="7722957" y="6380311"/>
          <a:ext cx="36000" cy="182450"/>
          <a:chOff x="11556979" y="1937259"/>
          <a:chExt cx="188140" cy="204787"/>
        </a:xfrm>
      </xdr:grpSpPr>
      <xdr:sp macro="" textlink="">
        <xdr:nvSpPr>
          <xdr:cNvPr id="1059" name="자유형: 도형 1058">
            <a:extLst>
              <a:ext uri="{FF2B5EF4-FFF2-40B4-BE49-F238E27FC236}">
                <a16:creationId xmlns:a16="http://schemas.microsoft.com/office/drawing/2014/main" id="{E4EC8D66-ECE2-A457-0FFC-E1B8B622B32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0" name="자유형: 도형 1059">
            <a:extLst>
              <a:ext uri="{FF2B5EF4-FFF2-40B4-BE49-F238E27FC236}">
                <a16:creationId xmlns:a16="http://schemas.microsoft.com/office/drawing/2014/main" id="{F0E3B442-E8F0-E621-9645-D62228CCA1A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42585</xdr:colOff>
      <xdr:row>39</xdr:row>
      <xdr:rowOff>631</xdr:rowOff>
    </xdr:from>
    <xdr:to>
      <xdr:col>60</xdr:col>
      <xdr:colOff>15085</xdr:colOff>
      <xdr:row>39</xdr:row>
      <xdr:rowOff>180631</xdr:rowOff>
    </xdr:to>
    <xdr:grpSp>
      <xdr:nvGrpSpPr>
        <xdr:cNvPr id="1061" name="그룹 1060">
          <a:extLst>
            <a:ext uri="{FF2B5EF4-FFF2-40B4-BE49-F238E27FC236}">
              <a16:creationId xmlns:a16="http://schemas.microsoft.com/office/drawing/2014/main" id="{2EAEE037-0B13-4AB0-BB65-E221E6667434}"/>
            </a:ext>
          </a:extLst>
        </xdr:cNvPr>
        <xdr:cNvGrpSpPr/>
      </xdr:nvGrpSpPr>
      <xdr:grpSpPr>
        <a:xfrm>
          <a:off x="7717618" y="7265031"/>
          <a:ext cx="36000" cy="180000"/>
          <a:chOff x="11556979" y="1937259"/>
          <a:chExt cx="188140" cy="204787"/>
        </a:xfrm>
      </xdr:grpSpPr>
      <xdr:sp macro="" textlink="">
        <xdr:nvSpPr>
          <xdr:cNvPr id="1062" name="자유형: 도형 1061">
            <a:extLst>
              <a:ext uri="{FF2B5EF4-FFF2-40B4-BE49-F238E27FC236}">
                <a16:creationId xmlns:a16="http://schemas.microsoft.com/office/drawing/2014/main" id="{47655CB4-6A3F-06C9-7DCF-BB183D095BE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3" name="자유형: 도형 1062">
            <a:extLst>
              <a:ext uri="{FF2B5EF4-FFF2-40B4-BE49-F238E27FC236}">
                <a16:creationId xmlns:a16="http://schemas.microsoft.com/office/drawing/2014/main" id="{DA9D8184-FCE3-4141-2A23-2E966508B99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30</xdr:col>
      <xdr:colOff>27214</xdr:colOff>
      <xdr:row>39</xdr:row>
      <xdr:rowOff>145143</xdr:rowOff>
    </xdr:from>
    <xdr:to>
      <xdr:col>31</xdr:col>
      <xdr:colOff>37240</xdr:colOff>
      <xdr:row>40</xdr:row>
      <xdr:rowOff>22107</xdr:rowOff>
    </xdr:to>
    <xdr:sp macro="" textlink="">
      <xdr:nvSpPr>
        <xdr:cNvPr id="1068" name="이등변 삼각형 1067">
          <a:extLst>
            <a:ext uri="{FF2B5EF4-FFF2-40B4-BE49-F238E27FC236}">
              <a16:creationId xmlns:a16="http://schemas.microsoft.com/office/drawing/2014/main" id="{75F8E22A-54D9-4563-B5B8-F685597053B5}"/>
            </a:ext>
          </a:extLst>
        </xdr:cNvPr>
        <xdr:cNvSpPr/>
      </xdr:nvSpPr>
      <xdr:spPr>
        <a:xfrm rot="10800000">
          <a:off x="5306785" y="7497536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39</xdr:col>
      <xdr:colOff>25400</xdr:colOff>
      <xdr:row>39</xdr:row>
      <xdr:rowOff>129722</xdr:rowOff>
    </xdr:from>
    <xdr:to>
      <xdr:col>40</xdr:col>
      <xdr:colOff>35426</xdr:colOff>
      <xdr:row>40</xdr:row>
      <xdr:rowOff>6686</xdr:rowOff>
    </xdr:to>
    <xdr:sp macro="" textlink="">
      <xdr:nvSpPr>
        <xdr:cNvPr id="1069" name="이등변 삼각형 1068">
          <a:extLst>
            <a:ext uri="{FF2B5EF4-FFF2-40B4-BE49-F238E27FC236}">
              <a16:creationId xmlns:a16="http://schemas.microsoft.com/office/drawing/2014/main" id="{89154228-0AC2-4E0B-B975-50119A54DB0C}"/>
            </a:ext>
          </a:extLst>
        </xdr:cNvPr>
        <xdr:cNvSpPr/>
      </xdr:nvSpPr>
      <xdr:spPr>
        <a:xfrm rot="10800000">
          <a:off x="5939971" y="7482115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32657</xdr:colOff>
      <xdr:row>39</xdr:row>
      <xdr:rowOff>132444</xdr:rowOff>
    </xdr:from>
    <xdr:to>
      <xdr:col>49</xdr:col>
      <xdr:colOff>42683</xdr:colOff>
      <xdr:row>40</xdr:row>
      <xdr:rowOff>9408</xdr:rowOff>
    </xdr:to>
    <xdr:sp macro="" textlink="">
      <xdr:nvSpPr>
        <xdr:cNvPr id="1070" name="이등변 삼각형 1069">
          <a:extLst>
            <a:ext uri="{FF2B5EF4-FFF2-40B4-BE49-F238E27FC236}">
              <a16:creationId xmlns:a16="http://schemas.microsoft.com/office/drawing/2014/main" id="{BBC98838-64C1-4A68-A093-C0CBDFA51800}"/>
            </a:ext>
          </a:extLst>
        </xdr:cNvPr>
        <xdr:cNvSpPr/>
      </xdr:nvSpPr>
      <xdr:spPr>
        <a:xfrm rot="10800000">
          <a:off x="6518728" y="7484837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59</xdr:col>
      <xdr:colOff>35630</xdr:colOff>
      <xdr:row>47</xdr:row>
      <xdr:rowOff>17004</xdr:rowOff>
    </xdr:from>
    <xdr:to>
      <xdr:col>60</xdr:col>
      <xdr:colOff>8130</xdr:colOff>
      <xdr:row>48</xdr:row>
      <xdr:rowOff>13188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D68065ED-AB27-4880-A8D7-2321E06B5B47}"/>
            </a:ext>
          </a:extLst>
        </xdr:cNvPr>
        <xdr:cNvGrpSpPr/>
      </xdr:nvGrpSpPr>
      <xdr:grpSpPr>
        <a:xfrm>
          <a:off x="7710663" y="8771537"/>
          <a:ext cx="36000" cy="182451"/>
          <a:chOff x="11556979" y="1937259"/>
          <a:chExt cx="188140" cy="204787"/>
        </a:xfrm>
      </xdr:grpSpPr>
      <xdr:sp macro="" textlink="">
        <xdr:nvSpPr>
          <xdr:cNvPr id="1078" name="자유형: 도형 1077">
            <a:extLst>
              <a:ext uri="{FF2B5EF4-FFF2-40B4-BE49-F238E27FC236}">
                <a16:creationId xmlns:a16="http://schemas.microsoft.com/office/drawing/2014/main" id="{1B5A5635-1FB8-AB60-EC9E-3EA8BB229D6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9" name="자유형: 도형 1078">
            <a:extLst>
              <a:ext uri="{FF2B5EF4-FFF2-40B4-BE49-F238E27FC236}">
                <a16:creationId xmlns:a16="http://schemas.microsoft.com/office/drawing/2014/main" id="{A971761F-AAC8-CE0D-3DA6-4D42DE39B8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37847</xdr:colOff>
      <xdr:row>45</xdr:row>
      <xdr:rowOff>23556</xdr:rowOff>
    </xdr:from>
    <xdr:to>
      <xdr:col>60</xdr:col>
      <xdr:colOff>10347</xdr:colOff>
      <xdr:row>46</xdr:row>
      <xdr:rowOff>19740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5064DAA0-9D6E-41A2-BDDB-5C2F3A41F178}"/>
            </a:ext>
          </a:extLst>
        </xdr:cNvPr>
        <xdr:cNvGrpSpPr/>
      </xdr:nvGrpSpPr>
      <xdr:grpSpPr>
        <a:xfrm>
          <a:off x="7712880" y="8405556"/>
          <a:ext cx="36000" cy="182451"/>
          <a:chOff x="11556979" y="1937259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5BC03A78-69F4-FF7F-D454-3DD10CE2365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6D090EE3-7BED-69F0-C9DF-6C7F9F87DC2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562637</xdr:colOff>
      <xdr:row>49</xdr:row>
      <xdr:rowOff>156873</xdr:rowOff>
    </xdr:from>
    <xdr:ext cx="557910" cy="140872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924F862D-7207-43E0-9411-8F49A2C1081D}"/>
            </a:ext>
          </a:extLst>
        </xdr:cNvPr>
        <xdr:cNvSpPr txBox="1"/>
      </xdr:nvSpPr>
      <xdr:spPr>
        <a:xfrm>
          <a:off x="3179744" y="9223766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4</xdr:col>
      <xdr:colOff>553766</xdr:colOff>
      <xdr:row>25</xdr:row>
      <xdr:rowOff>38895</xdr:rowOff>
    </xdr:from>
    <xdr:ext cx="1031180" cy="140872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11C2C0A2-CCA3-462C-BAD0-1D0A88B557CB}"/>
            </a:ext>
          </a:extLst>
        </xdr:cNvPr>
        <xdr:cNvSpPr txBox="1"/>
      </xdr:nvSpPr>
      <xdr:spPr>
        <a:xfrm>
          <a:off x="3173141" y="466910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40</xdr:col>
      <xdr:colOff>360</xdr:colOff>
      <xdr:row>90</xdr:row>
      <xdr:rowOff>24493</xdr:rowOff>
    </xdr:from>
    <xdr:ext cx="510909" cy="140872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B81F6E09-B0F5-409D-8E57-1B91E36FFE6D}"/>
            </a:ext>
          </a:extLst>
        </xdr:cNvPr>
        <xdr:cNvSpPr txBox="1"/>
      </xdr:nvSpPr>
      <xdr:spPr>
        <a:xfrm>
          <a:off x="6078217" y="18063029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43360</xdr:colOff>
      <xdr:row>90</xdr:row>
      <xdr:rowOff>9098</xdr:rowOff>
    </xdr:from>
    <xdr:to>
      <xdr:col>59</xdr:col>
      <xdr:colOff>15860</xdr:colOff>
      <xdr:row>91</xdr:row>
      <xdr:rowOff>5282</xdr:rowOff>
    </xdr:to>
    <xdr:grpSp>
      <xdr:nvGrpSpPr>
        <xdr:cNvPr id="1100" name="그룹 1099">
          <a:extLst>
            <a:ext uri="{FF2B5EF4-FFF2-40B4-BE49-F238E27FC236}">
              <a16:creationId xmlns:a16="http://schemas.microsoft.com/office/drawing/2014/main" id="{ED5652F8-BC2C-41DE-AFF5-9E88131564D3}"/>
            </a:ext>
          </a:extLst>
        </xdr:cNvPr>
        <xdr:cNvGrpSpPr/>
      </xdr:nvGrpSpPr>
      <xdr:grpSpPr>
        <a:xfrm>
          <a:off x="7654893" y="16773098"/>
          <a:ext cx="36000" cy="182451"/>
          <a:chOff x="11556979" y="1937259"/>
          <a:chExt cx="188140" cy="204787"/>
        </a:xfrm>
      </xdr:grpSpPr>
      <xdr:sp macro="" textlink="">
        <xdr:nvSpPr>
          <xdr:cNvPr id="1101" name="자유형: 도형 1100">
            <a:extLst>
              <a:ext uri="{FF2B5EF4-FFF2-40B4-BE49-F238E27FC236}">
                <a16:creationId xmlns:a16="http://schemas.microsoft.com/office/drawing/2014/main" id="{A7B00C1A-2050-8DF0-24C9-AE61B5D03BB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02" name="자유형: 도형 1101">
            <a:extLst>
              <a:ext uri="{FF2B5EF4-FFF2-40B4-BE49-F238E27FC236}">
                <a16:creationId xmlns:a16="http://schemas.microsoft.com/office/drawing/2014/main" id="{8AD0B2D0-307F-3634-EB68-F2F5026E27B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21</xdr:col>
      <xdr:colOff>52975</xdr:colOff>
      <xdr:row>90</xdr:row>
      <xdr:rowOff>22682</xdr:rowOff>
    </xdr:from>
    <xdr:ext cx="510909" cy="140872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38DF2A18-E5BB-4D37-B68A-50326A1A4F06}"/>
            </a:ext>
          </a:extLst>
        </xdr:cNvPr>
        <xdr:cNvSpPr txBox="1"/>
      </xdr:nvSpPr>
      <xdr:spPr>
        <a:xfrm>
          <a:off x="4924332" y="1806121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105</xdr:row>
      <xdr:rowOff>1886</xdr:rowOff>
    </xdr:from>
    <xdr:to>
      <xdr:col>59</xdr:col>
      <xdr:colOff>11659</xdr:colOff>
      <xdr:row>105</xdr:row>
      <xdr:rowOff>181886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AEAAF1EF-253E-4331-B5E2-B68DD5B971E6}"/>
            </a:ext>
          </a:extLst>
        </xdr:cNvPr>
        <xdr:cNvGrpSpPr/>
      </xdr:nvGrpSpPr>
      <xdr:grpSpPr>
        <a:xfrm>
          <a:off x="7650692" y="19559886"/>
          <a:ext cx="36000" cy="180000"/>
          <a:chOff x="11556979" y="1937259"/>
          <a:chExt cx="188140" cy="204787"/>
        </a:xfrm>
      </xdr:grpSpPr>
      <xdr:sp macro="" textlink="">
        <xdr:nvSpPr>
          <xdr:cNvPr id="1114" name="자유형: 도형 1113">
            <a:extLst>
              <a:ext uri="{FF2B5EF4-FFF2-40B4-BE49-F238E27FC236}">
                <a16:creationId xmlns:a16="http://schemas.microsoft.com/office/drawing/2014/main" id="{1280C9BD-6F66-5AA2-4E1E-FE07971D795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15" name="자유형: 도형 1114">
            <a:extLst>
              <a:ext uri="{FF2B5EF4-FFF2-40B4-BE49-F238E27FC236}">
                <a16:creationId xmlns:a16="http://schemas.microsoft.com/office/drawing/2014/main" id="{56E81731-0C61-A97F-4CCD-196C5B61703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105</xdr:row>
      <xdr:rowOff>131536</xdr:rowOff>
    </xdr:from>
    <xdr:to>
      <xdr:col>121</xdr:col>
      <xdr:colOff>37239</xdr:colOff>
      <xdr:row>106</xdr:row>
      <xdr:rowOff>8500</xdr:rowOff>
    </xdr:to>
    <xdr:sp macro="" textlink="">
      <xdr:nvSpPr>
        <xdr:cNvPr id="1116" name="이등변 삼각형 1115">
          <a:extLst>
            <a:ext uri="{FF2B5EF4-FFF2-40B4-BE49-F238E27FC236}">
              <a16:creationId xmlns:a16="http://schemas.microsoft.com/office/drawing/2014/main" id="{979BE1E8-994A-4748-B790-3A9C67B7D360}"/>
            </a:ext>
          </a:extLst>
        </xdr:cNvPr>
        <xdr:cNvSpPr/>
      </xdr:nvSpPr>
      <xdr:spPr>
        <a:xfrm rot="10800000">
          <a:off x="11085284" y="17757322"/>
          <a:ext cx="73526" cy="67464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117</xdr:row>
      <xdr:rowOff>156873</xdr:rowOff>
    </xdr:from>
    <xdr:ext cx="557910" cy="140872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B22393B4-F7F6-46E8-9990-B0AE9DB4ED60}"/>
            </a:ext>
          </a:extLst>
        </xdr:cNvPr>
        <xdr:cNvSpPr txBox="1"/>
      </xdr:nvSpPr>
      <xdr:spPr>
        <a:xfrm>
          <a:off x="3179744" y="9219230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31296</xdr:colOff>
      <xdr:row>88</xdr:row>
      <xdr:rowOff>20865</xdr:rowOff>
    </xdr:from>
    <xdr:ext cx="510909" cy="140872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16F22D68-27FA-4CEA-9A44-5A65629A3329}"/>
            </a:ext>
          </a:extLst>
        </xdr:cNvPr>
        <xdr:cNvSpPr txBox="1"/>
      </xdr:nvSpPr>
      <xdr:spPr>
        <a:xfrm>
          <a:off x="4974771" y="164895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49891</xdr:colOff>
      <xdr:row>94</xdr:row>
      <xdr:rowOff>154214</xdr:rowOff>
    </xdr:from>
    <xdr:to>
      <xdr:col>59</xdr:col>
      <xdr:colOff>22391</xdr:colOff>
      <xdr:row>96</xdr:row>
      <xdr:rowOff>34285</xdr:rowOff>
    </xdr:to>
    <xdr:sp macro="" textlink="">
      <xdr:nvSpPr>
        <xdr:cNvPr id="1141" name="자유형: 도형 1140">
          <a:extLst>
            <a:ext uri="{FF2B5EF4-FFF2-40B4-BE49-F238E27FC236}">
              <a16:creationId xmlns:a16="http://schemas.microsoft.com/office/drawing/2014/main" id="{CA11A105-754D-46D3-AECD-9C745DFB16C4}"/>
            </a:ext>
          </a:extLst>
        </xdr:cNvPr>
        <xdr:cNvSpPr/>
      </xdr:nvSpPr>
      <xdr:spPr>
        <a:xfrm>
          <a:off x="7170962" y="148680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58</xdr:col>
      <xdr:colOff>41059</xdr:colOff>
      <xdr:row>88</xdr:row>
      <xdr:rowOff>9072</xdr:rowOff>
    </xdr:from>
    <xdr:to>
      <xdr:col>59</xdr:col>
      <xdr:colOff>13559</xdr:colOff>
      <xdr:row>89</xdr:row>
      <xdr:rowOff>5256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5BF6517A-9F70-4B54-B44C-1B85F87EE18E}"/>
            </a:ext>
          </a:extLst>
        </xdr:cNvPr>
        <xdr:cNvGrpSpPr/>
      </xdr:nvGrpSpPr>
      <xdr:grpSpPr>
        <a:xfrm>
          <a:off x="7652592" y="16400539"/>
          <a:ext cx="36000" cy="182450"/>
          <a:chOff x="11556979" y="1937259"/>
          <a:chExt cx="188140" cy="204787"/>
        </a:xfrm>
      </xdr:grpSpPr>
      <xdr:sp macro="" textlink="">
        <xdr:nvSpPr>
          <xdr:cNvPr id="1144" name="자유형: 도형 1143">
            <a:extLst>
              <a:ext uri="{FF2B5EF4-FFF2-40B4-BE49-F238E27FC236}">
                <a16:creationId xmlns:a16="http://schemas.microsoft.com/office/drawing/2014/main" id="{563906AA-47B8-B034-248E-A03756AA77A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45" name="자유형: 도형 1144">
            <a:extLst>
              <a:ext uri="{FF2B5EF4-FFF2-40B4-BE49-F238E27FC236}">
                <a16:creationId xmlns:a16="http://schemas.microsoft.com/office/drawing/2014/main" id="{164FEDCA-8E25-3038-35E7-A8EBC18DFCF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38435</xdr:colOff>
      <xdr:row>98</xdr:row>
      <xdr:rowOff>1</xdr:rowOff>
    </xdr:from>
    <xdr:to>
      <xdr:col>59</xdr:col>
      <xdr:colOff>10935</xdr:colOff>
      <xdr:row>98</xdr:row>
      <xdr:rowOff>180001</xdr:rowOff>
    </xdr:to>
    <xdr:grpSp>
      <xdr:nvGrpSpPr>
        <xdr:cNvPr id="1152" name="그룹 1151">
          <a:extLst>
            <a:ext uri="{FF2B5EF4-FFF2-40B4-BE49-F238E27FC236}">
              <a16:creationId xmlns:a16="http://schemas.microsoft.com/office/drawing/2014/main" id="{4FCDA76B-B988-47C0-A6AE-0072463C290B}"/>
            </a:ext>
          </a:extLst>
        </xdr:cNvPr>
        <xdr:cNvGrpSpPr/>
      </xdr:nvGrpSpPr>
      <xdr:grpSpPr>
        <a:xfrm>
          <a:off x="7649968" y="18254134"/>
          <a:ext cx="36000" cy="180000"/>
          <a:chOff x="11556979" y="1937259"/>
          <a:chExt cx="188140" cy="204787"/>
        </a:xfrm>
      </xdr:grpSpPr>
      <xdr:sp macro="" textlink="">
        <xdr:nvSpPr>
          <xdr:cNvPr id="1153" name="자유형: 도형 1152">
            <a:extLst>
              <a:ext uri="{FF2B5EF4-FFF2-40B4-BE49-F238E27FC236}">
                <a16:creationId xmlns:a16="http://schemas.microsoft.com/office/drawing/2014/main" id="{1AC7B2E4-B2C8-6BB7-F02D-E52FB216013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54" name="자유형: 도형 1153">
            <a:extLst>
              <a:ext uri="{FF2B5EF4-FFF2-40B4-BE49-F238E27FC236}">
                <a16:creationId xmlns:a16="http://schemas.microsoft.com/office/drawing/2014/main" id="{DB853774-A62D-DE5B-F99B-F7193CFF3D3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99</xdr:row>
      <xdr:rowOff>182019</xdr:rowOff>
    </xdr:from>
    <xdr:to>
      <xdr:col>59</xdr:col>
      <xdr:colOff>11508</xdr:colOff>
      <xdr:row>100</xdr:row>
      <xdr:rowOff>178204</xdr:rowOff>
    </xdr:to>
    <xdr:grpSp>
      <xdr:nvGrpSpPr>
        <xdr:cNvPr id="1158" name="그룹 1157">
          <a:extLst>
            <a:ext uri="{FF2B5EF4-FFF2-40B4-BE49-F238E27FC236}">
              <a16:creationId xmlns:a16="http://schemas.microsoft.com/office/drawing/2014/main" id="{2B9E8114-8FE1-469E-9C7A-E6693ED951A6}"/>
            </a:ext>
          </a:extLst>
        </xdr:cNvPr>
        <xdr:cNvGrpSpPr/>
      </xdr:nvGrpSpPr>
      <xdr:grpSpPr>
        <a:xfrm>
          <a:off x="7650541" y="18622419"/>
          <a:ext cx="36000" cy="182452"/>
          <a:chOff x="11556979" y="1937259"/>
          <a:chExt cx="188140" cy="204787"/>
        </a:xfrm>
      </xdr:grpSpPr>
      <xdr:sp macro="" textlink="">
        <xdr:nvSpPr>
          <xdr:cNvPr id="1159" name="자유형: 도형 1158">
            <a:extLst>
              <a:ext uri="{FF2B5EF4-FFF2-40B4-BE49-F238E27FC236}">
                <a16:creationId xmlns:a16="http://schemas.microsoft.com/office/drawing/2014/main" id="{6CC2FB23-C6B6-82D0-F44E-8517259569F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0" name="자유형: 도형 1159">
            <a:extLst>
              <a:ext uri="{FF2B5EF4-FFF2-40B4-BE49-F238E27FC236}">
                <a16:creationId xmlns:a16="http://schemas.microsoft.com/office/drawing/2014/main" id="{999D863C-10D4-299C-2EFA-300325D735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102</xdr:row>
      <xdr:rowOff>21916</xdr:rowOff>
    </xdr:from>
    <xdr:to>
      <xdr:col>59</xdr:col>
      <xdr:colOff>18765</xdr:colOff>
      <xdr:row>103</xdr:row>
      <xdr:rowOff>18100</xdr:rowOff>
    </xdr:to>
    <xdr:grpSp>
      <xdr:nvGrpSpPr>
        <xdr:cNvPr id="1161" name="그룹 1160">
          <a:extLst>
            <a:ext uri="{FF2B5EF4-FFF2-40B4-BE49-F238E27FC236}">
              <a16:creationId xmlns:a16="http://schemas.microsoft.com/office/drawing/2014/main" id="{CA6A8CD7-BF25-4905-9F4B-86C994CCB748}"/>
            </a:ext>
          </a:extLst>
        </xdr:cNvPr>
        <xdr:cNvGrpSpPr/>
      </xdr:nvGrpSpPr>
      <xdr:grpSpPr>
        <a:xfrm>
          <a:off x="7657798" y="19021116"/>
          <a:ext cx="36000" cy="182451"/>
          <a:chOff x="11556979" y="1937259"/>
          <a:chExt cx="188140" cy="204787"/>
        </a:xfrm>
      </xdr:grpSpPr>
      <xdr:sp macro="" textlink="">
        <xdr:nvSpPr>
          <xdr:cNvPr id="1162" name="자유형: 도형 1161">
            <a:extLst>
              <a:ext uri="{FF2B5EF4-FFF2-40B4-BE49-F238E27FC236}">
                <a16:creationId xmlns:a16="http://schemas.microsoft.com/office/drawing/2014/main" id="{44076CFE-9EEE-74AD-99B4-68641B662BC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3" name="자유형: 도형 1162">
            <a:extLst>
              <a:ext uri="{FF2B5EF4-FFF2-40B4-BE49-F238E27FC236}">
                <a16:creationId xmlns:a16="http://schemas.microsoft.com/office/drawing/2014/main" id="{D3B6089F-D4A4-F258-89D0-E114A9FB4AE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107</xdr:row>
      <xdr:rowOff>6304</xdr:rowOff>
    </xdr:from>
    <xdr:to>
      <xdr:col>59</xdr:col>
      <xdr:colOff>11508</xdr:colOff>
      <xdr:row>108</xdr:row>
      <xdr:rowOff>2488</xdr:rowOff>
    </xdr:to>
    <xdr:grpSp>
      <xdr:nvGrpSpPr>
        <xdr:cNvPr id="1164" name="그룹 1163">
          <a:extLst>
            <a:ext uri="{FF2B5EF4-FFF2-40B4-BE49-F238E27FC236}">
              <a16:creationId xmlns:a16="http://schemas.microsoft.com/office/drawing/2014/main" id="{4FD5B9C1-27D3-45A7-9E31-FAA28995B828}"/>
            </a:ext>
          </a:extLst>
        </xdr:cNvPr>
        <xdr:cNvGrpSpPr/>
      </xdr:nvGrpSpPr>
      <xdr:grpSpPr>
        <a:xfrm>
          <a:off x="7650541" y="19936837"/>
          <a:ext cx="36000" cy="182451"/>
          <a:chOff x="11556979" y="1937259"/>
          <a:chExt cx="188140" cy="204787"/>
        </a:xfrm>
      </xdr:grpSpPr>
      <xdr:sp macro="" textlink="">
        <xdr:nvSpPr>
          <xdr:cNvPr id="1165" name="자유형: 도형 1164">
            <a:extLst>
              <a:ext uri="{FF2B5EF4-FFF2-40B4-BE49-F238E27FC236}">
                <a16:creationId xmlns:a16="http://schemas.microsoft.com/office/drawing/2014/main" id="{08A519A1-DEDB-EC26-812A-DC61444DE52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6" name="자유형: 도형 1165">
            <a:extLst>
              <a:ext uri="{FF2B5EF4-FFF2-40B4-BE49-F238E27FC236}">
                <a16:creationId xmlns:a16="http://schemas.microsoft.com/office/drawing/2014/main" id="{A937A3CD-2611-D760-8291-CEF6087D65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31751</xdr:colOff>
      <xdr:row>109</xdr:row>
      <xdr:rowOff>172597</xdr:rowOff>
    </xdr:from>
    <xdr:to>
      <xdr:col>59</xdr:col>
      <xdr:colOff>4251</xdr:colOff>
      <xdr:row>110</xdr:row>
      <xdr:rowOff>168781</xdr:rowOff>
    </xdr:to>
    <xdr:grpSp>
      <xdr:nvGrpSpPr>
        <xdr:cNvPr id="1170" name="그룹 1169">
          <a:extLst>
            <a:ext uri="{FF2B5EF4-FFF2-40B4-BE49-F238E27FC236}">
              <a16:creationId xmlns:a16="http://schemas.microsoft.com/office/drawing/2014/main" id="{C12ADB8E-E543-4069-AA03-4F92C3B624E7}"/>
            </a:ext>
          </a:extLst>
        </xdr:cNvPr>
        <xdr:cNvGrpSpPr/>
      </xdr:nvGrpSpPr>
      <xdr:grpSpPr>
        <a:xfrm>
          <a:off x="7643284" y="20475664"/>
          <a:ext cx="36000" cy="182450"/>
          <a:chOff x="11556979" y="1937259"/>
          <a:chExt cx="188140" cy="204787"/>
        </a:xfrm>
      </xdr:grpSpPr>
      <xdr:sp macro="" textlink="">
        <xdr:nvSpPr>
          <xdr:cNvPr id="1171" name="자유형: 도형 1170">
            <a:extLst>
              <a:ext uri="{FF2B5EF4-FFF2-40B4-BE49-F238E27FC236}">
                <a16:creationId xmlns:a16="http://schemas.microsoft.com/office/drawing/2014/main" id="{B8042607-E808-FAA9-C4BE-7950907AF7A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2" name="자유형: 도형 1171">
            <a:extLst>
              <a:ext uri="{FF2B5EF4-FFF2-40B4-BE49-F238E27FC236}">
                <a16:creationId xmlns:a16="http://schemas.microsoft.com/office/drawing/2014/main" id="{43E046F3-CB49-2AE0-F98B-440E1CE3869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112</xdr:row>
      <xdr:rowOff>2722</xdr:rowOff>
    </xdr:from>
    <xdr:to>
      <xdr:col>59</xdr:col>
      <xdr:colOff>11508</xdr:colOff>
      <xdr:row>112</xdr:row>
      <xdr:rowOff>182722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DEC127B1-E232-4BEC-9EAF-FF04FA7FDD96}"/>
            </a:ext>
          </a:extLst>
        </xdr:cNvPr>
        <xdr:cNvGrpSpPr/>
      </xdr:nvGrpSpPr>
      <xdr:grpSpPr>
        <a:xfrm>
          <a:off x="7650541" y="20864589"/>
          <a:ext cx="36000" cy="180000"/>
          <a:chOff x="11556979" y="1937259"/>
          <a:chExt cx="188140" cy="204787"/>
        </a:xfrm>
      </xdr:grpSpPr>
      <xdr:sp macro="" textlink="">
        <xdr:nvSpPr>
          <xdr:cNvPr id="1174" name="자유형: 도형 1173">
            <a:extLst>
              <a:ext uri="{FF2B5EF4-FFF2-40B4-BE49-F238E27FC236}">
                <a16:creationId xmlns:a16="http://schemas.microsoft.com/office/drawing/2014/main" id="{E9896FF4-E5B3-E5B3-815B-57C5D00C807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5" name="자유형: 도형 1174">
            <a:extLst>
              <a:ext uri="{FF2B5EF4-FFF2-40B4-BE49-F238E27FC236}">
                <a16:creationId xmlns:a16="http://schemas.microsoft.com/office/drawing/2014/main" id="{B78AB35E-A3DA-73D2-0770-EA060C2B166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114</xdr:row>
      <xdr:rowOff>21676</xdr:rowOff>
    </xdr:from>
    <xdr:to>
      <xdr:col>59</xdr:col>
      <xdr:colOff>18765</xdr:colOff>
      <xdr:row>115</xdr:row>
      <xdr:rowOff>17860</xdr:rowOff>
    </xdr:to>
    <xdr:grpSp>
      <xdr:nvGrpSpPr>
        <xdr:cNvPr id="1176" name="그룹 1175">
          <a:extLst>
            <a:ext uri="{FF2B5EF4-FFF2-40B4-BE49-F238E27FC236}">
              <a16:creationId xmlns:a16="http://schemas.microsoft.com/office/drawing/2014/main" id="{3EB55746-6E5C-40A6-8CFC-C558148168DA}"/>
            </a:ext>
          </a:extLst>
        </xdr:cNvPr>
        <xdr:cNvGrpSpPr/>
      </xdr:nvGrpSpPr>
      <xdr:grpSpPr>
        <a:xfrm>
          <a:off x="7657798" y="21256076"/>
          <a:ext cx="36000" cy="182451"/>
          <a:chOff x="11556979" y="1937259"/>
          <a:chExt cx="188140" cy="204787"/>
        </a:xfrm>
      </xdr:grpSpPr>
      <xdr:sp macro="" textlink="">
        <xdr:nvSpPr>
          <xdr:cNvPr id="1177" name="자유형: 도형 1176">
            <a:extLst>
              <a:ext uri="{FF2B5EF4-FFF2-40B4-BE49-F238E27FC236}">
                <a16:creationId xmlns:a16="http://schemas.microsoft.com/office/drawing/2014/main" id="{A3CD2BC0-9302-629F-A19C-E357EF66B3E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8" name="자유형: 도형 1177">
            <a:extLst>
              <a:ext uri="{FF2B5EF4-FFF2-40B4-BE49-F238E27FC236}">
                <a16:creationId xmlns:a16="http://schemas.microsoft.com/office/drawing/2014/main" id="{25640BA1-313B-F3E5-6E18-51449F44F1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119</xdr:row>
      <xdr:rowOff>184087</xdr:rowOff>
    </xdr:from>
    <xdr:ext cx="557910" cy="140872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13B17044-2AA9-4314-B776-01D8FDEA3418}"/>
            </a:ext>
          </a:extLst>
        </xdr:cNvPr>
        <xdr:cNvSpPr txBox="1"/>
      </xdr:nvSpPr>
      <xdr:spPr>
        <a:xfrm>
          <a:off x="3166137" y="2111640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117</xdr:row>
      <xdr:rowOff>2149</xdr:rowOff>
    </xdr:from>
    <xdr:to>
      <xdr:col>59</xdr:col>
      <xdr:colOff>4251</xdr:colOff>
      <xdr:row>117</xdr:row>
      <xdr:rowOff>182149</xdr:rowOff>
    </xdr:to>
    <xdr:grpSp>
      <xdr:nvGrpSpPr>
        <xdr:cNvPr id="1180" name="그룹 1179">
          <a:extLst>
            <a:ext uri="{FF2B5EF4-FFF2-40B4-BE49-F238E27FC236}">
              <a16:creationId xmlns:a16="http://schemas.microsoft.com/office/drawing/2014/main" id="{04C75592-0B48-44FB-AA36-46A3AEBF2A9B}"/>
            </a:ext>
          </a:extLst>
        </xdr:cNvPr>
        <xdr:cNvGrpSpPr/>
      </xdr:nvGrpSpPr>
      <xdr:grpSpPr>
        <a:xfrm>
          <a:off x="7643284" y="21795349"/>
          <a:ext cx="36000" cy="180000"/>
          <a:chOff x="11556979" y="1937259"/>
          <a:chExt cx="188140" cy="204787"/>
        </a:xfrm>
      </xdr:grpSpPr>
      <xdr:sp macro="" textlink="">
        <xdr:nvSpPr>
          <xdr:cNvPr id="1181" name="자유형: 도형 1180">
            <a:extLst>
              <a:ext uri="{FF2B5EF4-FFF2-40B4-BE49-F238E27FC236}">
                <a16:creationId xmlns:a16="http://schemas.microsoft.com/office/drawing/2014/main" id="{FB67A9CC-6121-6685-A0DA-6B0268EC83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2" name="자유형: 도형 1181">
            <a:extLst>
              <a:ext uri="{FF2B5EF4-FFF2-40B4-BE49-F238E27FC236}">
                <a16:creationId xmlns:a16="http://schemas.microsoft.com/office/drawing/2014/main" id="{10748A9D-E439-2058-89AD-012ACD0FEB6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119</xdr:row>
      <xdr:rowOff>7258</xdr:rowOff>
    </xdr:from>
    <xdr:to>
      <xdr:col>59</xdr:col>
      <xdr:colOff>11508</xdr:colOff>
      <xdr:row>119</xdr:row>
      <xdr:rowOff>187258</xdr:rowOff>
    </xdr:to>
    <xdr:grpSp>
      <xdr:nvGrpSpPr>
        <xdr:cNvPr id="1183" name="그룹 1182">
          <a:extLst>
            <a:ext uri="{FF2B5EF4-FFF2-40B4-BE49-F238E27FC236}">
              <a16:creationId xmlns:a16="http://schemas.microsoft.com/office/drawing/2014/main" id="{B8976917-272E-4945-B036-8991CAB95655}"/>
            </a:ext>
          </a:extLst>
        </xdr:cNvPr>
        <xdr:cNvGrpSpPr/>
      </xdr:nvGrpSpPr>
      <xdr:grpSpPr>
        <a:xfrm>
          <a:off x="7650541" y="22172991"/>
          <a:ext cx="36000" cy="180000"/>
          <a:chOff x="11556979" y="1937259"/>
          <a:chExt cx="188140" cy="204787"/>
        </a:xfrm>
      </xdr:grpSpPr>
      <xdr:sp macro="" textlink="">
        <xdr:nvSpPr>
          <xdr:cNvPr id="1184" name="자유형: 도형 1183">
            <a:extLst>
              <a:ext uri="{FF2B5EF4-FFF2-40B4-BE49-F238E27FC236}">
                <a16:creationId xmlns:a16="http://schemas.microsoft.com/office/drawing/2014/main" id="{7F5E42B4-2D30-7FB6-A7E5-9CE739E6F1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5" name="자유형: 도형 1184">
            <a:extLst>
              <a:ext uri="{FF2B5EF4-FFF2-40B4-BE49-F238E27FC236}">
                <a16:creationId xmlns:a16="http://schemas.microsoft.com/office/drawing/2014/main" id="{29FE019A-073F-CEF2-D27D-0F43922F342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46771</xdr:colOff>
      <xdr:row>242</xdr:row>
      <xdr:rowOff>7704</xdr:rowOff>
    </xdr:from>
    <xdr:to>
      <xdr:col>58</xdr:col>
      <xdr:colOff>19271</xdr:colOff>
      <xdr:row>243</xdr:row>
      <xdr:rowOff>3888</xdr:rowOff>
    </xdr:to>
    <xdr:grpSp>
      <xdr:nvGrpSpPr>
        <xdr:cNvPr id="1191" name="그룹 1190">
          <a:extLst>
            <a:ext uri="{FF2B5EF4-FFF2-40B4-BE49-F238E27FC236}">
              <a16:creationId xmlns:a16="http://schemas.microsoft.com/office/drawing/2014/main" id="{101762A9-2FB7-4EEE-B313-4253CD9A14C0}"/>
            </a:ext>
          </a:extLst>
        </xdr:cNvPr>
        <xdr:cNvGrpSpPr/>
      </xdr:nvGrpSpPr>
      <xdr:grpSpPr>
        <a:xfrm>
          <a:off x="7594804" y="45084237"/>
          <a:ext cx="36000" cy="182451"/>
          <a:chOff x="11556979" y="1922463"/>
          <a:chExt cx="188140" cy="204787"/>
        </a:xfrm>
      </xdr:grpSpPr>
      <xdr:sp macro="" textlink="">
        <xdr:nvSpPr>
          <xdr:cNvPr id="1192" name="자유형: 도형 1191">
            <a:extLst>
              <a:ext uri="{FF2B5EF4-FFF2-40B4-BE49-F238E27FC236}">
                <a16:creationId xmlns:a16="http://schemas.microsoft.com/office/drawing/2014/main" id="{0E208CFE-896D-D6D3-02E6-4D4DD36689D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3" name="자유형: 도형 1192">
            <a:extLst>
              <a:ext uri="{FF2B5EF4-FFF2-40B4-BE49-F238E27FC236}">
                <a16:creationId xmlns:a16="http://schemas.microsoft.com/office/drawing/2014/main" id="{37F2728B-D31D-3CA4-A991-72FB37B8DB96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22677</xdr:colOff>
      <xdr:row>231</xdr:row>
      <xdr:rowOff>127001</xdr:rowOff>
    </xdr:from>
    <xdr:to>
      <xdr:col>35</xdr:col>
      <xdr:colOff>32703</xdr:colOff>
      <xdr:row>232</xdr:row>
      <xdr:rowOff>3965</xdr:rowOff>
    </xdr:to>
    <xdr:sp macro="" textlink="">
      <xdr:nvSpPr>
        <xdr:cNvPr id="1202" name="이등변 삼각형 1201">
          <a:extLst>
            <a:ext uri="{FF2B5EF4-FFF2-40B4-BE49-F238E27FC236}">
              <a16:creationId xmlns:a16="http://schemas.microsoft.com/office/drawing/2014/main" id="{DE3E83F9-C7EF-44C3-B48C-A0DB420C1998}"/>
            </a:ext>
          </a:extLst>
        </xdr:cNvPr>
        <xdr:cNvSpPr/>
      </xdr:nvSpPr>
      <xdr:spPr>
        <a:xfrm rot="10800000">
          <a:off x="5619748" y="2792639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239</xdr:row>
      <xdr:rowOff>156873</xdr:rowOff>
    </xdr:from>
    <xdr:ext cx="557910" cy="140872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55567769-0055-40D7-BADE-9C0AE8AF9C1E}"/>
            </a:ext>
          </a:extLst>
        </xdr:cNvPr>
        <xdr:cNvSpPr txBox="1"/>
      </xdr:nvSpPr>
      <xdr:spPr>
        <a:xfrm>
          <a:off x="3179744" y="20708194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20</xdr:col>
      <xdr:colOff>5745</xdr:colOff>
      <xdr:row>221</xdr:row>
      <xdr:rowOff>22680</xdr:rowOff>
    </xdr:from>
    <xdr:ext cx="510909" cy="140872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5AF800D4-4065-4CA8-AFBB-5CC12ACC86E7}"/>
            </a:ext>
          </a:extLst>
        </xdr:cNvPr>
        <xdr:cNvSpPr txBox="1"/>
      </xdr:nvSpPr>
      <xdr:spPr>
        <a:xfrm>
          <a:off x="4823278" y="4137388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221</xdr:row>
      <xdr:rowOff>9071</xdr:rowOff>
    </xdr:from>
    <xdr:to>
      <xdr:col>58</xdr:col>
      <xdr:colOff>5257</xdr:colOff>
      <xdr:row>222</xdr:row>
      <xdr:rowOff>5256</xdr:rowOff>
    </xdr:to>
    <xdr:grpSp>
      <xdr:nvGrpSpPr>
        <xdr:cNvPr id="1209" name="그룹 1208">
          <a:extLst>
            <a:ext uri="{FF2B5EF4-FFF2-40B4-BE49-F238E27FC236}">
              <a16:creationId xmlns:a16="http://schemas.microsoft.com/office/drawing/2014/main" id="{94C27441-FB56-4241-8A29-912489686305}"/>
            </a:ext>
          </a:extLst>
        </xdr:cNvPr>
        <xdr:cNvGrpSpPr/>
      </xdr:nvGrpSpPr>
      <xdr:grpSpPr>
        <a:xfrm>
          <a:off x="7580790" y="41174004"/>
          <a:ext cx="36000" cy="182452"/>
          <a:chOff x="11556979" y="1937259"/>
          <a:chExt cx="188140" cy="204787"/>
        </a:xfrm>
      </xdr:grpSpPr>
      <xdr:sp macro="" textlink="">
        <xdr:nvSpPr>
          <xdr:cNvPr id="1210" name="자유형: 도형 1209">
            <a:extLst>
              <a:ext uri="{FF2B5EF4-FFF2-40B4-BE49-F238E27FC236}">
                <a16:creationId xmlns:a16="http://schemas.microsoft.com/office/drawing/2014/main" id="{78D9FA78-5BD0-40EA-6CC4-F3819E892D0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1" name="자유형: 도형 1210">
            <a:extLst>
              <a:ext uri="{FF2B5EF4-FFF2-40B4-BE49-F238E27FC236}">
                <a16:creationId xmlns:a16="http://schemas.microsoft.com/office/drawing/2014/main" id="{96E39039-CF89-9581-704A-24A60D9417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32760</xdr:colOff>
      <xdr:row>226</xdr:row>
      <xdr:rowOff>180474</xdr:rowOff>
    </xdr:from>
    <xdr:to>
      <xdr:col>58</xdr:col>
      <xdr:colOff>5260</xdr:colOff>
      <xdr:row>227</xdr:row>
      <xdr:rowOff>176658</xdr:rowOff>
    </xdr:to>
    <xdr:grpSp>
      <xdr:nvGrpSpPr>
        <xdr:cNvPr id="1212" name="그룹 1211">
          <a:extLst>
            <a:ext uri="{FF2B5EF4-FFF2-40B4-BE49-F238E27FC236}">
              <a16:creationId xmlns:a16="http://schemas.microsoft.com/office/drawing/2014/main" id="{8280D376-F03C-4E11-B5E0-B0397658C5C4}"/>
            </a:ext>
          </a:extLst>
        </xdr:cNvPr>
        <xdr:cNvGrpSpPr/>
      </xdr:nvGrpSpPr>
      <xdr:grpSpPr>
        <a:xfrm>
          <a:off x="7580793" y="42276741"/>
          <a:ext cx="36000" cy="182450"/>
          <a:chOff x="11556979" y="1937259"/>
          <a:chExt cx="188140" cy="204787"/>
        </a:xfrm>
      </xdr:grpSpPr>
      <xdr:sp macro="" textlink="">
        <xdr:nvSpPr>
          <xdr:cNvPr id="1213" name="자유형: 도형 1212">
            <a:extLst>
              <a:ext uri="{FF2B5EF4-FFF2-40B4-BE49-F238E27FC236}">
                <a16:creationId xmlns:a16="http://schemas.microsoft.com/office/drawing/2014/main" id="{3727F758-3F8A-08F0-A74C-3F05844435B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4" name="자유형: 도형 1213">
            <a:extLst>
              <a:ext uri="{FF2B5EF4-FFF2-40B4-BE49-F238E27FC236}">
                <a16:creationId xmlns:a16="http://schemas.microsoft.com/office/drawing/2014/main" id="{9FC6D241-8425-ACB2-267F-B9BE57F02B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44551</xdr:colOff>
      <xdr:row>229</xdr:row>
      <xdr:rowOff>20862</xdr:rowOff>
    </xdr:from>
    <xdr:to>
      <xdr:col>58</xdr:col>
      <xdr:colOff>17051</xdr:colOff>
      <xdr:row>230</xdr:row>
      <xdr:rowOff>17047</xdr:rowOff>
    </xdr:to>
    <xdr:grpSp>
      <xdr:nvGrpSpPr>
        <xdr:cNvPr id="1247" name="그룹 1246">
          <a:extLst>
            <a:ext uri="{FF2B5EF4-FFF2-40B4-BE49-F238E27FC236}">
              <a16:creationId xmlns:a16="http://schemas.microsoft.com/office/drawing/2014/main" id="{3CCC154E-E06E-4659-9030-EA609483F810}"/>
            </a:ext>
          </a:extLst>
        </xdr:cNvPr>
        <xdr:cNvGrpSpPr/>
      </xdr:nvGrpSpPr>
      <xdr:grpSpPr>
        <a:xfrm>
          <a:off x="7592584" y="42675929"/>
          <a:ext cx="36000" cy="182451"/>
          <a:chOff x="11556979" y="1937259"/>
          <a:chExt cx="188140" cy="204787"/>
        </a:xfrm>
      </xdr:grpSpPr>
      <xdr:sp macro="" textlink="">
        <xdr:nvSpPr>
          <xdr:cNvPr id="1248" name="자유형: 도형 1247">
            <a:extLst>
              <a:ext uri="{FF2B5EF4-FFF2-40B4-BE49-F238E27FC236}">
                <a16:creationId xmlns:a16="http://schemas.microsoft.com/office/drawing/2014/main" id="{F8611CA7-C0DA-A0E2-4DDC-5015D275C0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9" name="자유형: 도형 1248">
            <a:extLst>
              <a:ext uri="{FF2B5EF4-FFF2-40B4-BE49-F238E27FC236}">
                <a16:creationId xmlns:a16="http://schemas.microsoft.com/office/drawing/2014/main" id="{34694A5B-A883-7C0E-2BCD-D8EF54ADE91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30944</xdr:colOff>
      <xdr:row>230</xdr:row>
      <xdr:rowOff>182336</xdr:rowOff>
    </xdr:from>
    <xdr:to>
      <xdr:col>58</xdr:col>
      <xdr:colOff>3444</xdr:colOff>
      <xdr:row>231</xdr:row>
      <xdr:rowOff>178520</xdr:rowOff>
    </xdr:to>
    <xdr:grpSp>
      <xdr:nvGrpSpPr>
        <xdr:cNvPr id="1253" name="그룹 1252">
          <a:extLst>
            <a:ext uri="{FF2B5EF4-FFF2-40B4-BE49-F238E27FC236}">
              <a16:creationId xmlns:a16="http://schemas.microsoft.com/office/drawing/2014/main" id="{C0D85880-298E-4661-AAFD-CAD02BA25BE0}"/>
            </a:ext>
          </a:extLst>
        </xdr:cNvPr>
        <xdr:cNvGrpSpPr/>
      </xdr:nvGrpSpPr>
      <xdr:grpSpPr>
        <a:xfrm>
          <a:off x="7578977" y="43023669"/>
          <a:ext cx="36000" cy="182451"/>
          <a:chOff x="11556979" y="1937259"/>
          <a:chExt cx="188140" cy="204787"/>
        </a:xfrm>
      </xdr:grpSpPr>
      <xdr:sp macro="" textlink="">
        <xdr:nvSpPr>
          <xdr:cNvPr id="1254" name="자유형: 도형 1253">
            <a:extLst>
              <a:ext uri="{FF2B5EF4-FFF2-40B4-BE49-F238E27FC236}">
                <a16:creationId xmlns:a16="http://schemas.microsoft.com/office/drawing/2014/main" id="{6523D150-FCB0-11CF-B7DE-4E3D8EB57F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55" name="자유형: 도형 1254">
            <a:extLst>
              <a:ext uri="{FF2B5EF4-FFF2-40B4-BE49-F238E27FC236}">
                <a16:creationId xmlns:a16="http://schemas.microsoft.com/office/drawing/2014/main" id="{28055DA1-168E-37D6-1E4E-6D2B01BC7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29934</xdr:colOff>
      <xdr:row>231</xdr:row>
      <xdr:rowOff>120651</xdr:rowOff>
    </xdr:from>
    <xdr:to>
      <xdr:col>49</xdr:col>
      <xdr:colOff>39960</xdr:colOff>
      <xdr:row>231</xdr:row>
      <xdr:rowOff>183579</xdr:rowOff>
    </xdr:to>
    <xdr:sp macro="" textlink="">
      <xdr:nvSpPr>
        <xdr:cNvPr id="1271" name="이등변 삼각형 1270">
          <a:extLst>
            <a:ext uri="{FF2B5EF4-FFF2-40B4-BE49-F238E27FC236}">
              <a16:creationId xmlns:a16="http://schemas.microsoft.com/office/drawing/2014/main" id="{114E8C98-05D1-4615-80CF-1A5BC0BDABD5}"/>
            </a:ext>
          </a:extLst>
        </xdr:cNvPr>
        <xdr:cNvSpPr/>
      </xdr:nvSpPr>
      <xdr:spPr>
        <a:xfrm rot="10800000">
          <a:off x="6516005" y="27920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34</xdr:col>
      <xdr:colOff>22678</xdr:colOff>
      <xdr:row>107</xdr:row>
      <xdr:rowOff>136072</xdr:rowOff>
    </xdr:from>
    <xdr:to>
      <xdr:col>35</xdr:col>
      <xdr:colOff>32704</xdr:colOff>
      <xdr:row>107</xdr:row>
      <xdr:rowOff>199000</xdr:rowOff>
    </xdr:to>
    <xdr:sp macro="" textlink="">
      <xdr:nvSpPr>
        <xdr:cNvPr id="1272" name="이등변 삼각형 1271">
          <a:extLst>
            <a:ext uri="{FF2B5EF4-FFF2-40B4-BE49-F238E27FC236}">
              <a16:creationId xmlns:a16="http://schemas.microsoft.com/office/drawing/2014/main" id="{800CBAB8-1FFB-4FA9-9A9F-90F642389D76}"/>
            </a:ext>
          </a:extLst>
        </xdr:cNvPr>
        <xdr:cNvSpPr/>
      </xdr:nvSpPr>
      <xdr:spPr>
        <a:xfrm rot="10800000">
          <a:off x="5619749" y="18129251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107</xdr:row>
      <xdr:rowOff>147865</xdr:rowOff>
    </xdr:from>
    <xdr:to>
      <xdr:col>49</xdr:col>
      <xdr:colOff>39961</xdr:colOff>
      <xdr:row>108</xdr:row>
      <xdr:rowOff>6686</xdr:rowOff>
    </xdr:to>
    <xdr:sp macro="" textlink="">
      <xdr:nvSpPr>
        <xdr:cNvPr id="1273" name="이등변 삼각형 1272">
          <a:extLst>
            <a:ext uri="{FF2B5EF4-FFF2-40B4-BE49-F238E27FC236}">
              <a16:creationId xmlns:a16="http://schemas.microsoft.com/office/drawing/2014/main" id="{26216A3A-7FE0-4B89-8A81-2784751C12FB}"/>
            </a:ext>
          </a:extLst>
        </xdr:cNvPr>
        <xdr:cNvSpPr/>
      </xdr:nvSpPr>
      <xdr:spPr>
        <a:xfrm rot="10800000">
          <a:off x="6516006" y="18141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57</xdr:col>
      <xdr:colOff>37296</xdr:colOff>
      <xdr:row>235</xdr:row>
      <xdr:rowOff>370</xdr:rowOff>
    </xdr:from>
    <xdr:to>
      <xdr:col>58</xdr:col>
      <xdr:colOff>9796</xdr:colOff>
      <xdr:row>235</xdr:row>
      <xdr:rowOff>180000</xdr:rowOff>
    </xdr:to>
    <xdr:grpSp>
      <xdr:nvGrpSpPr>
        <xdr:cNvPr id="1274" name="그룹 1273">
          <a:extLst>
            <a:ext uri="{FF2B5EF4-FFF2-40B4-BE49-F238E27FC236}">
              <a16:creationId xmlns:a16="http://schemas.microsoft.com/office/drawing/2014/main" id="{E9B867E4-5E1E-4C2E-977C-E45D811430DA}"/>
            </a:ext>
          </a:extLst>
        </xdr:cNvPr>
        <xdr:cNvGrpSpPr/>
      </xdr:nvGrpSpPr>
      <xdr:grpSpPr>
        <a:xfrm>
          <a:off x="7585329" y="43773037"/>
          <a:ext cx="36000" cy="179630"/>
          <a:chOff x="11556979" y="1937259"/>
          <a:chExt cx="188140" cy="204787"/>
        </a:xfrm>
      </xdr:grpSpPr>
      <xdr:sp macro="" textlink="">
        <xdr:nvSpPr>
          <xdr:cNvPr id="1275" name="자유형: 도형 1274">
            <a:extLst>
              <a:ext uri="{FF2B5EF4-FFF2-40B4-BE49-F238E27FC236}">
                <a16:creationId xmlns:a16="http://schemas.microsoft.com/office/drawing/2014/main" id="{9C918B63-873A-246F-F616-BE7F9A0AFD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6" name="자유형: 도형 1275">
            <a:extLst>
              <a:ext uri="{FF2B5EF4-FFF2-40B4-BE49-F238E27FC236}">
                <a16:creationId xmlns:a16="http://schemas.microsoft.com/office/drawing/2014/main" id="{31027273-E7AF-3691-53A9-2FA5F2DFE9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37296</xdr:colOff>
      <xdr:row>239</xdr:row>
      <xdr:rowOff>334</xdr:rowOff>
    </xdr:from>
    <xdr:to>
      <xdr:col>58</xdr:col>
      <xdr:colOff>9796</xdr:colOff>
      <xdr:row>239</xdr:row>
      <xdr:rowOff>180334</xdr:rowOff>
    </xdr:to>
    <xdr:grpSp>
      <xdr:nvGrpSpPr>
        <xdr:cNvPr id="1277" name="그룹 1276">
          <a:extLst>
            <a:ext uri="{FF2B5EF4-FFF2-40B4-BE49-F238E27FC236}">
              <a16:creationId xmlns:a16="http://schemas.microsoft.com/office/drawing/2014/main" id="{CC355E9F-A604-4744-8114-4EE8E3CE2F92}"/>
            </a:ext>
          </a:extLst>
        </xdr:cNvPr>
        <xdr:cNvGrpSpPr/>
      </xdr:nvGrpSpPr>
      <xdr:grpSpPr>
        <a:xfrm>
          <a:off x="7585329" y="44518067"/>
          <a:ext cx="36000" cy="180000"/>
          <a:chOff x="11556979" y="1937259"/>
          <a:chExt cx="188140" cy="204787"/>
        </a:xfrm>
      </xdr:grpSpPr>
      <xdr:sp macro="" textlink="">
        <xdr:nvSpPr>
          <xdr:cNvPr id="1278" name="자유형: 도형 1277">
            <a:extLst>
              <a:ext uri="{FF2B5EF4-FFF2-40B4-BE49-F238E27FC236}">
                <a16:creationId xmlns:a16="http://schemas.microsoft.com/office/drawing/2014/main" id="{F71F596D-E930-6BD2-6109-CAFBF92E194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9" name="자유형: 도형 1278">
            <a:extLst>
              <a:ext uri="{FF2B5EF4-FFF2-40B4-BE49-F238E27FC236}">
                <a16:creationId xmlns:a16="http://schemas.microsoft.com/office/drawing/2014/main" id="{B2F8BAE6-C7FB-BAA9-AD21-404B32AC6CD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128</xdr:col>
      <xdr:colOff>48477</xdr:colOff>
      <xdr:row>87</xdr:row>
      <xdr:rowOff>157738</xdr:rowOff>
    </xdr:from>
    <xdr:ext cx="3751595" cy="85529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3EEEFE48-BA63-49B6-B5F4-123F45AB641D}"/>
            </a:ext>
          </a:extLst>
        </xdr:cNvPr>
        <xdr:cNvSpPr txBox="1"/>
      </xdr:nvSpPr>
      <xdr:spPr>
        <a:xfrm>
          <a:off x="12310327" y="16178788"/>
          <a:ext cx="3751595" cy="855290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[fb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muxing</a:t>
          </a:r>
          <a:r>
            <a:rPr lang="en-US" altLang="ko-KR" sz="1000" baseline="0">
              <a:solidFill>
                <a:schemeClr val="tx1"/>
              </a:solidFill>
            </a:rPr>
            <a:t> to a analog part]</a:t>
          </a:r>
          <a:endParaRPr lang="en-US" altLang="ko-KR" sz="1000">
            <a:solidFill>
              <a:schemeClr val="tx1"/>
            </a:solidFill>
          </a:endParaRPr>
        </a:p>
        <a:p>
          <a:endParaRPr lang="en-US" altLang="ko-KR" sz="1000">
            <a:solidFill>
              <a:schemeClr val="tx1"/>
            </a:solidFill>
          </a:endParaRPr>
        </a:p>
        <a:p>
          <a:r>
            <a:rPr lang="en-US" altLang="ko-KR" sz="1000" b="1" baseline="0">
              <a:solidFill>
                <a:schemeClr val="tx1"/>
              </a:solidFill>
            </a:rPr>
            <a:t>trigger signals : </a:t>
          </a:r>
          <a:r>
            <a:rPr lang="en-US" altLang="ko-KR" sz="1000" baseline="0">
              <a:solidFill>
                <a:schemeClr val="tx1"/>
              </a:solidFill>
            </a:rPr>
            <a:t>vsync, svsync, ld_type, deadcnt starting (or pwmclk end)</a:t>
          </a:r>
        </a:p>
        <a:p>
          <a:endParaRPr lang="en-US" altLang="ko-KR" sz="1000" baseline="0">
            <a:solidFill>
              <a:schemeClr val="tx1"/>
            </a:solidFill>
          </a:endParaRPr>
        </a:p>
        <a:p>
          <a:r>
            <a:rPr lang="en-US" altLang="ko-KR" sz="1000">
              <a:solidFill>
                <a:schemeClr val="tx1"/>
              </a:solidFill>
            </a:rPr>
            <a:t>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= ....., wherein</a:t>
          </a:r>
          <a:r>
            <a:rPr lang="en-US" altLang="ko-KR" sz="1000" baseline="0">
              <a:solidFill>
                <a:schemeClr val="tx1"/>
              </a:solidFill>
            </a:rPr>
            <a:t> x means ch#, 1,2, ... , 12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twoCellAnchor>
    <xdr:from>
      <xdr:col>59</xdr:col>
      <xdr:colOff>36790</xdr:colOff>
      <xdr:row>43</xdr:row>
      <xdr:rowOff>1008</xdr:rowOff>
    </xdr:from>
    <xdr:to>
      <xdr:col>60</xdr:col>
      <xdr:colOff>9290</xdr:colOff>
      <xdr:row>43</xdr:row>
      <xdr:rowOff>181008</xdr:rowOff>
    </xdr:to>
    <xdr:grpSp>
      <xdr:nvGrpSpPr>
        <xdr:cNvPr id="1286" name="그룹 1285">
          <a:extLst>
            <a:ext uri="{FF2B5EF4-FFF2-40B4-BE49-F238E27FC236}">
              <a16:creationId xmlns:a16="http://schemas.microsoft.com/office/drawing/2014/main" id="{5260DE43-5D6B-4D10-A207-4899BDD6E17B}"/>
            </a:ext>
          </a:extLst>
        </xdr:cNvPr>
        <xdr:cNvGrpSpPr/>
      </xdr:nvGrpSpPr>
      <xdr:grpSpPr>
        <a:xfrm>
          <a:off x="7711823" y="8010475"/>
          <a:ext cx="36000" cy="180000"/>
          <a:chOff x="11556979" y="1937259"/>
          <a:chExt cx="188140" cy="204787"/>
        </a:xfrm>
      </xdr:grpSpPr>
      <xdr:sp macro="" textlink="">
        <xdr:nvSpPr>
          <xdr:cNvPr id="1287" name="자유형: 도형 1286">
            <a:extLst>
              <a:ext uri="{FF2B5EF4-FFF2-40B4-BE49-F238E27FC236}">
                <a16:creationId xmlns:a16="http://schemas.microsoft.com/office/drawing/2014/main" id="{19DA5B82-3FB7-9A93-3527-0AE3E3DFE3A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88" name="자유형: 도형 1287">
            <a:extLst>
              <a:ext uri="{FF2B5EF4-FFF2-40B4-BE49-F238E27FC236}">
                <a16:creationId xmlns:a16="http://schemas.microsoft.com/office/drawing/2014/main" id="{DE305ABC-BF07-A7EB-3061-63EC6E2855E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32808</xdr:colOff>
      <xdr:row>49</xdr:row>
      <xdr:rowOff>575</xdr:rowOff>
    </xdr:from>
    <xdr:to>
      <xdr:col>60</xdr:col>
      <xdr:colOff>5308</xdr:colOff>
      <xdr:row>49</xdr:row>
      <xdr:rowOff>180575</xdr:rowOff>
    </xdr:to>
    <xdr:grpSp>
      <xdr:nvGrpSpPr>
        <xdr:cNvPr id="1349" name="그룹 1348">
          <a:extLst>
            <a:ext uri="{FF2B5EF4-FFF2-40B4-BE49-F238E27FC236}">
              <a16:creationId xmlns:a16="http://schemas.microsoft.com/office/drawing/2014/main" id="{71D10B74-8F30-41D5-8778-BA8F037BF8E4}"/>
            </a:ext>
          </a:extLst>
        </xdr:cNvPr>
        <xdr:cNvGrpSpPr/>
      </xdr:nvGrpSpPr>
      <xdr:grpSpPr>
        <a:xfrm>
          <a:off x="7707841" y="9127642"/>
          <a:ext cx="36000" cy="180000"/>
          <a:chOff x="11556979" y="1937259"/>
          <a:chExt cx="188140" cy="204787"/>
        </a:xfrm>
      </xdr:grpSpPr>
      <xdr:sp macro="" textlink="">
        <xdr:nvSpPr>
          <xdr:cNvPr id="1350" name="자유형: 도형 1349">
            <a:extLst>
              <a:ext uri="{FF2B5EF4-FFF2-40B4-BE49-F238E27FC236}">
                <a16:creationId xmlns:a16="http://schemas.microsoft.com/office/drawing/2014/main" id="{3B6ABF45-D2F6-077B-F2CB-55E8064C8A8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1" name="자유형: 도형 1350">
            <a:extLst>
              <a:ext uri="{FF2B5EF4-FFF2-40B4-BE49-F238E27FC236}">
                <a16:creationId xmlns:a16="http://schemas.microsoft.com/office/drawing/2014/main" id="{3DAA56FA-1A26-97A3-9342-DE973320A92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37042</xdr:colOff>
      <xdr:row>52</xdr:row>
      <xdr:rowOff>4807</xdr:rowOff>
    </xdr:from>
    <xdr:to>
      <xdr:col>60</xdr:col>
      <xdr:colOff>9542</xdr:colOff>
      <xdr:row>53</xdr:row>
      <xdr:rowOff>991</xdr:rowOff>
    </xdr:to>
    <xdr:grpSp>
      <xdr:nvGrpSpPr>
        <xdr:cNvPr id="1352" name="그룹 1351">
          <a:extLst>
            <a:ext uri="{FF2B5EF4-FFF2-40B4-BE49-F238E27FC236}">
              <a16:creationId xmlns:a16="http://schemas.microsoft.com/office/drawing/2014/main" id="{948D2E91-B7B1-41C6-BC8F-0631D3945998}"/>
            </a:ext>
          </a:extLst>
        </xdr:cNvPr>
        <xdr:cNvGrpSpPr/>
      </xdr:nvGrpSpPr>
      <xdr:grpSpPr>
        <a:xfrm>
          <a:off x="7712075" y="9690674"/>
          <a:ext cx="36000" cy="182450"/>
          <a:chOff x="11556979" y="1937259"/>
          <a:chExt cx="188140" cy="204787"/>
        </a:xfrm>
      </xdr:grpSpPr>
      <xdr:sp macro="" textlink="">
        <xdr:nvSpPr>
          <xdr:cNvPr id="1353" name="자유형: 도형 1352">
            <a:extLst>
              <a:ext uri="{FF2B5EF4-FFF2-40B4-BE49-F238E27FC236}">
                <a16:creationId xmlns:a16="http://schemas.microsoft.com/office/drawing/2014/main" id="{BD0540F4-6EB1-976D-2687-ABB9C367428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4" name="자유형: 도형 1353">
            <a:extLst>
              <a:ext uri="{FF2B5EF4-FFF2-40B4-BE49-F238E27FC236}">
                <a16:creationId xmlns:a16="http://schemas.microsoft.com/office/drawing/2014/main" id="{CB9348D1-8AF6-4128-B424-0F1D04C1F23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49135</xdr:colOff>
      <xdr:row>36</xdr:row>
      <xdr:rowOff>27788</xdr:rowOff>
    </xdr:from>
    <xdr:to>
      <xdr:col>60</xdr:col>
      <xdr:colOff>21635</xdr:colOff>
      <xdr:row>37</xdr:row>
      <xdr:rowOff>23973</xdr:rowOff>
    </xdr:to>
    <xdr:grpSp>
      <xdr:nvGrpSpPr>
        <xdr:cNvPr id="1358" name="그룹 1357">
          <a:extLst>
            <a:ext uri="{FF2B5EF4-FFF2-40B4-BE49-F238E27FC236}">
              <a16:creationId xmlns:a16="http://schemas.microsoft.com/office/drawing/2014/main" id="{D592C42C-A2B2-4FE0-A225-9A1FCCAB044F}"/>
            </a:ext>
          </a:extLst>
        </xdr:cNvPr>
        <xdr:cNvGrpSpPr/>
      </xdr:nvGrpSpPr>
      <xdr:grpSpPr>
        <a:xfrm>
          <a:off x="7724168" y="6733388"/>
          <a:ext cx="36000" cy="182452"/>
          <a:chOff x="11556979" y="1937259"/>
          <a:chExt cx="188140" cy="204787"/>
        </a:xfrm>
      </xdr:grpSpPr>
      <xdr:sp macro="" textlink="">
        <xdr:nvSpPr>
          <xdr:cNvPr id="1359" name="자유형: 도형 1358">
            <a:extLst>
              <a:ext uri="{FF2B5EF4-FFF2-40B4-BE49-F238E27FC236}">
                <a16:creationId xmlns:a16="http://schemas.microsoft.com/office/drawing/2014/main" id="{EABC3BB3-E17E-A63D-7765-AF842239F0B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60" name="자유형: 도형 1359">
            <a:extLst>
              <a:ext uri="{FF2B5EF4-FFF2-40B4-BE49-F238E27FC236}">
                <a16:creationId xmlns:a16="http://schemas.microsoft.com/office/drawing/2014/main" id="{D9075F6F-A0B0-4A84-A698-7CAC28B8FC2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25400</xdr:colOff>
      <xdr:row>39</xdr:row>
      <xdr:rowOff>129722</xdr:rowOff>
    </xdr:from>
    <xdr:to>
      <xdr:col>49</xdr:col>
      <xdr:colOff>35426</xdr:colOff>
      <xdr:row>40</xdr:row>
      <xdr:rowOff>6686</xdr:rowOff>
    </xdr:to>
    <xdr:sp macro="" textlink="">
      <xdr:nvSpPr>
        <xdr:cNvPr id="1364" name="이등변 삼각형 1363">
          <a:extLst>
            <a:ext uri="{FF2B5EF4-FFF2-40B4-BE49-F238E27FC236}">
              <a16:creationId xmlns:a16="http://schemas.microsoft.com/office/drawing/2014/main" id="{59EBE23C-F6C6-4135-A3BC-AA4C6320AEA3}"/>
            </a:ext>
          </a:extLst>
        </xdr:cNvPr>
        <xdr:cNvSpPr/>
      </xdr:nvSpPr>
      <xdr:spPr>
        <a:xfrm rot="10800000">
          <a:off x="5952067" y="7207855"/>
          <a:ext cx="73526" cy="63231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128</xdr:col>
      <xdr:colOff>44605</xdr:colOff>
      <xdr:row>93</xdr:row>
      <xdr:rowOff>1594</xdr:rowOff>
    </xdr:from>
    <xdr:ext cx="5568247" cy="2798706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94ADBA2D-24B6-4D64-8B85-5BCEAC6E8A3C}"/>
            </a:ext>
          </a:extLst>
        </xdr:cNvPr>
        <xdr:cNvSpPr txBox="1"/>
      </xdr:nvSpPr>
      <xdr:spPr>
        <a:xfrm>
          <a:off x="12306455" y="17127544"/>
          <a:ext cx="5568247" cy="279870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 b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[pwmox muxing]</a:t>
          </a:r>
          <a:endParaRPr lang="en-US" altLang="ko-KR" sz="1000" b="1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ld_type = 01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10 :</a:t>
          </a:r>
          <a:endParaRPr lang="ko-KR" altLang="ko-KR" sz="1000" b="1">
            <a:solidFill>
              <a:schemeClr val="tx1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_1) ;</a:t>
          </a:r>
          <a:endParaRPr lang="en-US" altLang="ko-KR" sz="1000">
            <a:solidFill>
              <a:schemeClr val="tx1"/>
            </a:solidFill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[out to analog]</a:t>
          </a: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 ~  ( ( O_OFF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&amp;&amp;  open_det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(S_OFF &amp;&amp; short_det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(T_OFF &amp;&amp; thermal_det ) )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pwmout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= (TEST_EN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PWMOUT_FULL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_EN)  ?  1'b1  : (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;</a:t>
          </a:r>
          <a:endParaRPr lang="ko-KR" altLang="ko-KR" sz="1000">
            <a:effectLst/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65</xdr:row>
      <xdr:rowOff>142594</xdr:rowOff>
    </xdr:from>
    <xdr:ext cx="368819" cy="1408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6F973C-A67B-4D8F-A8EF-0BEA416F9A2F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AABE20F-B8F9-4D07-B0CD-AC38689D52F5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54426</xdr:colOff>
      <xdr:row>4</xdr:row>
      <xdr:rowOff>99786</xdr:rowOff>
    </xdr:from>
    <xdr:to>
      <xdr:col>11</xdr:col>
      <xdr:colOff>17426</xdr:colOff>
      <xdr:row>4</xdr:row>
      <xdr:rowOff>99786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24C98F3C-8B82-48C3-B8BD-F3F5A44128C4}"/>
            </a:ext>
          </a:extLst>
        </xdr:cNvPr>
        <xdr:cNvCxnSpPr/>
      </xdr:nvCxnSpPr>
      <xdr:spPr>
        <a:xfrm>
          <a:off x="4177390" y="1773465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62142</xdr:colOff>
      <xdr:row>12</xdr:row>
      <xdr:rowOff>57761</xdr:rowOff>
    </xdr:from>
    <xdr:to>
      <xdr:col>16</xdr:col>
      <xdr:colOff>62142</xdr:colOff>
      <xdr:row>27</xdr:row>
      <xdr:rowOff>117539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E9A067E8-0D9B-495C-ADEF-3A76341EB96D}"/>
            </a:ext>
          </a:extLst>
        </xdr:cNvPr>
        <xdr:cNvCxnSpPr/>
      </xdr:nvCxnSpPr>
      <xdr:spPr>
        <a:xfrm flipH="1">
          <a:off x="4634142" y="3176317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49392</xdr:rowOff>
    </xdr:from>
    <xdr:to>
      <xdr:col>12</xdr:col>
      <xdr:colOff>0</xdr:colOff>
      <xdr:row>8</xdr:row>
      <xdr:rowOff>153947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CD6096F6-7347-4681-BBAA-0E77FBBE8374}"/>
            </a:ext>
          </a:extLst>
        </xdr:cNvPr>
        <xdr:cNvCxnSpPr/>
      </xdr:nvCxnSpPr>
      <xdr:spPr>
        <a:xfrm>
          <a:off x="4318000" y="2250725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</xdr:row>
      <xdr:rowOff>84665</xdr:rowOff>
    </xdr:from>
    <xdr:to>
      <xdr:col>31</xdr:col>
      <xdr:colOff>0</xdr:colOff>
      <xdr:row>27</xdr:row>
      <xdr:rowOff>137554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D48A9175-81AB-4822-BD22-43583AD86FB9}"/>
            </a:ext>
          </a:extLst>
        </xdr:cNvPr>
        <xdr:cNvCxnSpPr/>
      </xdr:nvCxnSpPr>
      <xdr:spPr>
        <a:xfrm flipH="1">
          <a:off x="5524500" y="2836332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1714</xdr:colOff>
      <xdr:row>12</xdr:row>
      <xdr:rowOff>73775</xdr:rowOff>
    </xdr:from>
    <xdr:to>
      <xdr:col>35</xdr:col>
      <xdr:colOff>1714</xdr:colOff>
      <xdr:row>27</xdr:row>
      <xdr:rowOff>133553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1948AA06-24CB-4470-B26B-10DA9E769EDE}"/>
            </a:ext>
          </a:extLst>
        </xdr:cNvPr>
        <xdr:cNvCxnSpPr/>
      </xdr:nvCxnSpPr>
      <xdr:spPr>
        <a:xfrm flipH="1">
          <a:off x="5780214" y="3192331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706</xdr:colOff>
      <xdr:row>10</xdr:row>
      <xdr:rowOff>78312</xdr:rowOff>
    </xdr:from>
    <xdr:to>
      <xdr:col>40</xdr:col>
      <xdr:colOff>706</xdr:colOff>
      <xdr:row>27</xdr:row>
      <xdr:rowOff>131201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1B5CB327-3DC1-4791-A99B-382750131B62}"/>
            </a:ext>
          </a:extLst>
        </xdr:cNvPr>
        <xdr:cNvCxnSpPr/>
      </xdr:nvCxnSpPr>
      <xdr:spPr>
        <a:xfrm flipH="1">
          <a:off x="6096706" y="282997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62392</xdr:colOff>
      <xdr:row>12</xdr:row>
      <xdr:rowOff>67422</xdr:rowOff>
    </xdr:from>
    <xdr:to>
      <xdr:col>43</xdr:col>
      <xdr:colOff>62392</xdr:colOff>
      <xdr:row>27</xdr:row>
      <xdr:rowOff>127200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9C62DBAB-985E-4928-8840-5B11970F6625}"/>
            </a:ext>
          </a:extLst>
        </xdr:cNvPr>
        <xdr:cNvCxnSpPr/>
      </xdr:nvCxnSpPr>
      <xdr:spPr>
        <a:xfrm flipH="1">
          <a:off x="6348892" y="3185978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10</xdr:row>
      <xdr:rowOff>81138</xdr:rowOff>
    </xdr:from>
    <xdr:to>
      <xdr:col>49</xdr:col>
      <xdr:colOff>0</xdr:colOff>
      <xdr:row>27</xdr:row>
      <xdr:rowOff>134027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D9CFD6C8-62B0-4502-A1A1-A3501B93D19E}"/>
            </a:ext>
          </a:extLst>
        </xdr:cNvPr>
        <xdr:cNvCxnSpPr/>
      </xdr:nvCxnSpPr>
      <xdr:spPr>
        <a:xfrm flipH="1">
          <a:off x="6667500" y="2832805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705</xdr:colOff>
      <xdr:row>7</xdr:row>
      <xdr:rowOff>46566</xdr:rowOff>
    </xdr:from>
    <xdr:to>
      <xdr:col>120</xdr:col>
      <xdr:colOff>705</xdr:colOff>
      <xdr:row>24</xdr:row>
      <xdr:rowOff>99455</xdr:rowOff>
    </xdr:to>
    <xdr:cxnSp macro="">
      <xdr:nvCxnSpPr>
        <xdr:cNvPr id="77" name="직선 연결선 76">
          <a:extLst>
            <a:ext uri="{FF2B5EF4-FFF2-40B4-BE49-F238E27FC236}">
              <a16:creationId xmlns:a16="http://schemas.microsoft.com/office/drawing/2014/main" id="{D89F7B2A-865D-4972-B0A6-31897757A25A}"/>
            </a:ext>
          </a:extLst>
        </xdr:cNvPr>
        <xdr:cNvCxnSpPr/>
      </xdr:nvCxnSpPr>
      <xdr:spPr>
        <a:xfrm flipH="1">
          <a:off x="11176705" y="224789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2015</xdr:colOff>
      <xdr:row>60</xdr:row>
      <xdr:rowOff>28222</xdr:rowOff>
    </xdr:from>
    <xdr:to>
      <xdr:col>11</xdr:col>
      <xdr:colOff>2015</xdr:colOff>
      <xdr:row>61</xdr:row>
      <xdr:rowOff>130258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4685A39-4F26-48F8-AEA2-7E23AFD262C1}"/>
            </a:ext>
          </a:extLst>
        </xdr:cNvPr>
        <xdr:cNvCxnSpPr/>
      </xdr:nvCxnSpPr>
      <xdr:spPr>
        <a:xfrm>
          <a:off x="4256515" y="11401778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60</xdr:row>
      <xdr:rowOff>100797</xdr:rowOff>
    </xdr:from>
    <xdr:to>
      <xdr:col>11</xdr:col>
      <xdr:colOff>19444</xdr:colOff>
      <xdr:row>60</xdr:row>
      <xdr:rowOff>100797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A04F6DD1-BBC0-477D-AA80-EB8FB9ED497B}"/>
            </a:ext>
          </a:extLst>
        </xdr:cNvPr>
        <xdr:cNvCxnSpPr/>
      </xdr:nvCxnSpPr>
      <xdr:spPr>
        <a:xfrm>
          <a:off x="4183944" y="11474353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63</xdr:row>
      <xdr:rowOff>149734</xdr:rowOff>
    </xdr:from>
    <xdr:ext cx="340093" cy="125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4AB9050-DC97-4EA8-A1FD-76559D14D1BF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63</xdr:row>
      <xdr:rowOff>149678</xdr:rowOff>
    </xdr:from>
    <xdr:ext cx="340093" cy="125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C37F494-E5B8-4101-9B3D-BFF564E8C4B5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64</xdr:row>
      <xdr:rowOff>95421</xdr:rowOff>
    </xdr:from>
    <xdr:to>
      <xdr:col>16</xdr:col>
      <xdr:colOff>22193</xdr:colOff>
      <xdr:row>64</xdr:row>
      <xdr:rowOff>95421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A07516E-932F-459A-83B4-70946DF209E7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63</xdr:row>
      <xdr:rowOff>145089</xdr:rowOff>
    </xdr:from>
    <xdr:ext cx="285784" cy="125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2722A63-F83E-4B5E-A4C9-2484439FBB6F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64</xdr:row>
      <xdr:rowOff>96762</xdr:rowOff>
    </xdr:from>
    <xdr:to>
      <xdr:col>34</xdr:col>
      <xdr:colOff>16254</xdr:colOff>
      <xdr:row>64</xdr:row>
      <xdr:rowOff>96762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C594B2CA-B12C-4606-B1C5-A6E595CA481F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64</xdr:row>
      <xdr:rowOff>98501</xdr:rowOff>
    </xdr:from>
    <xdr:to>
      <xdr:col>38</xdr:col>
      <xdr:colOff>17353</xdr:colOff>
      <xdr:row>64</xdr:row>
      <xdr:rowOff>98501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9242A1F8-EF23-4A4A-BE30-CEC3CED8F700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63</xdr:row>
      <xdr:rowOff>148168</xdr:rowOff>
    </xdr:from>
    <xdr:ext cx="285784" cy="125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48F6CA0-96E6-43C2-BD5D-C8AE88361335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64</xdr:row>
      <xdr:rowOff>96314</xdr:rowOff>
    </xdr:from>
    <xdr:to>
      <xdr:col>48</xdr:col>
      <xdr:colOff>10882</xdr:colOff>
      <xdr:row>64</xdr:row>
      <xdr:rowOff>96314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D938C11D-286C-4BF9-BD33-03E7098C3658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63499</xdr:colOff>
      <xdr:row>7</xdr:row>
      <xdr:rowOff>155223</xdr:rowOff>
    </xdr:from>
    <xdr:to>
      <xdr:col>47</xdr:col>
      <xdr:colOff>63499</xdr:colOff>
      <xdr:row>8</xdr:row>
      <xdr:rowOff>151778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7A815FC9-EF76-417E-A612-B083B9777318}"/>
            </a:ext>
          </a:extLst>
        </xdr:cNvPr>
        <xdr:cNvCxnSpPr/>
      </xdr:nvCxnSpPr>
      <xdr:spPr>
        <a:xfrm>
          <a:off x="6603999" y="235655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7</xdr:row>
      <xdr:rowOff>151698</xdr:rowOff>
    </xdr:from>
    <xdr:to>
      <xdr:col>39</xdr:col>
      <xdr:colOff>0</xdr:colOff>
      <xdr:row>8</xdr:row>
      <xdr:rowOff>148253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CFC3028A-2514-4CF2-A46C-E4B742F9C18B}"/>
            </a:ext>
          </a:extLst>
        </xdr:cNvPr>
        <xdr:cNvCxnSpPr/>
      </xdr:nvCxnSpPr>
      <xdr:spPr>
        <a:xfrm>
          <a:off x="6032500" y="235303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7</xdr:row>
      <xdr:rowOff>158752</xdr:rowOff>
    </xdr:from>
    <xdr:to>
      <xdr:col>30</xdr:col>
      <xdr:colOff>0</xdr:colOff>
      <xdr:row>8</xdr:row>
      <xdr:rowOff>155307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7904E6AD-540B-42CD-BC1F-C3B8B4CA2F7B}"/>
            </a:ext>
          </a:extLst>
        </xdr:cNvPr>
        <xdr:cNvCxnSpPr/>
      </xdr:nvCxnSpPr>
      <xdr:spPr>
        <a:xfrm>
          <a:off x="5461000" y="2360085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705</xdr:colOff>
      <xdr:row>7</xdr:row>
      <xdr:rowOff>152401</xdr:rowOff>
    </xdr:from>
    <xdr:to>
      <xdr:col>16</xdr:col>
      <xdr:colOff>705</xdr:colOff>
      <xdr:row>8</xdr:row>
      <xdr:rowOff>148956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44DAE9E7-7D6C-46EF-A95F-AFDB1FB5AA5C}"/>
            </a:ext>
          </a:extLst>
        </xdr:cNvPr>
        <xdr:cNvCxnSpPr/>
      </xdr:nvCxnSpPr>
      <xdr:spPr>
        <a:xfrm>
          <a:off x="4572705" y="2353734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705</xdr:colOff>
      <xdr:row>7</xdr:row>
      <xdr:rowOff>159456</xdr:rowOff>
    </xdr:from>
    <xdr:to>
      <xdr:col>34</xdr:col>
      <xdr:colOff>705</xdr:colOff>
      <xdr:row>8</xdr:row>
      <xdr:rowOff>156011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7079A06-3800-4EF2-B2F2-2432E13CC664}"/>
            </a:ext>
          </a:extLst>
        </xdr:cNvPr>
        <xdr:cNvCxnSpPr/>
      </xdr:nvCxnSpPr>
      <xdr:spPr>
        <a:xfrm>
          <a:off x="5715705" y="2360789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1411</xdr:colOff>
      <xdr:row>7</xdr:row>
      <xdr:rowOff>163685</xdr:rowOff>
    </xdr:from>
    <xdr:to>
      <xdr:col>43</xdr:col>
      <xdr:colOff>1411</xdr:colOff>
      <xdr:row>8</xdr:row>
      <xdr:rowOff>160240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B92542D2-7850-4D15-A3F4-1E7A7E344626}"/>
            </a:ext>
          </a:extLst>
        </xdr:cNvPr>
        <xdr:cNvCxnSpPr/>
      </xdr:nvCxnSpPr>
      <xdr:spPr>
        <a:xfrm>
          <a:off x="6287911" y="2365018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63</xdr:row>
      <xdr:rowOff>50098</xdr:rowOff>
    </xdr:from>
    <xdr:to>
      <xdr:col>12</xdr:col>
      <xdr:colOff>706</xdr:colOff>
      <xdr:row>91</xdr:row>
      <xdr:rowOff>82320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E6BFA5F8-C1DF-4742-8EE9-EBF930BF1B5B}"/>
            </a:ext>
          </a:extLst>
        </xdr:cNvPr>
        <xdr:cNvCxnSpPr/>
      </xdr:nvCxnSpPr>
      <xdr:spPr>
        <a:xfrm>
          <a:off x="4318706" y="1197398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63</xdr:row>
      <xdr:rowOff>152404</xdr:rowOff>
    </xdr:from>
    <xdr:to>
      <xdr:col>38</xdr:col>
      <xdr:colOff>702</xdr:colOff>
      <xdr:row>64</xdr:row>
      <xdr:rowOff>148960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CFDF5B97-5B6B-4B38-B353-6137A4B8B0ED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63</xdr:row>
      <xdr:rowOff>159458</xdr:rowOff>
    </xdr:from>
    <xdr:to>
      <xdr:col>48</xdr:col>
      <xdr:colOff>715</xdr:colOff>
      <xdr:row>64</xdr:row>
      <xdr:rowOff>156014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2F6DA1E6-CD93-4596-B865-A071A6D5F53E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63</xdr:row>
      <xdr:rowOff>153107</xdr:rowOff>
    </xdr:from>
    <xdr:to>
      <xdr:col>16</xdr:col>
      <xdr:colOff>1411</xdr:colOff>
      <xdr:row>64</xdr:row>
      <xdr:rowOff>149663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EDB3BBA3-E907-4AD1-A9C3-DCB084C73BCC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63</xdr:row>
      <xdr:rowOff>160162</xdr:rowOff>
    </xdr:from>
    <xdr:to>
      <xdr:col>34</xdr:col>
      <xdr:colOff>1411</xdr:colOff>
      <xdr:row>64</xdr:row>
      <xdr:rowOff>156718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737BB502-E4AF-4172-91AB-87DC785DDA01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66</xdr:row>
      <xdr:rowOff>70553</xdr:rowOff>
    </xdr:from>
    <xdr:to>
      <xdr:col>34</xdr:col>
      <xdr:colOff>63498</xdr:colOff>
      <xdr:row>94</xdr:row>
      <xdr:rowOff>66775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BEDABDD7-AE8E-418E-A314-948827F5C916}"/>
            </a:ext>
          </a:extLst>
        </xdr:cNvPr>
        <xdr:cNvCxnSpPr/>
      </xdr:nvCxnSpPr>
      <xdr:spPr>
        <a:xfrm flipH="1">
          <a:off x="5778498" y="12544775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68</xdr:row>
      <xdr:rowOff>79733</xdr:rowOff>
    </xdr:from>
    <xdr:to>
      <xdr:col>39</xdr:col>
      <xdr:colOff>460</xdr:colOff>
      <xdr:row>94</xdr:row>
      <xdr:rowOff>82844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1027ED1E-112E-4D3C-8A29-AB06F419F7C1}"/>
            </a:ext>
          </a:extLst>
        </xdr:cNvPr>
        <xdr:cNvCxnSpPr/>
      </xdr:nvCxnSpPr>
      <xdr:spPr>
        <a:xfrm flipH="1">
          <a:off x="6032960" y="12920844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67</xdr:row>
      <xdr:rowOff>25803</xdr:rowOff>
    </xdr:from>
    <xdr:to>
      <xdr:col>58</xdr:col>
      <xdr:colOff>20444</xdr:colOff>
      <xdr:row>68</xdr:row>
      <xdr:rowOff>21988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4DE1C44C-2D12-4131-96C5-2CD4FBD234E6}"/>
            </a:ext>
          </a:extLst>
        </xdr:cNvPr>
        <xdr:cNvGrpSpPr/>
      </xdr:nvGrpSpPr>
      <xdr:grpSpPr>
        <a:xfrm>
          <a:off x="7595977" y="12505670"/>
          <a:ext cx="36000" cy="182451"/>
          <a:chOff x="11556979" y="1937259"/>
          <a:chExt cx="188140" cy="204787"/>
        </a:xfrm>
      </xdr:grpSpPr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9B7A9733-BCF4-081C-13A0-5275249A501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" name="자유형: 도형 106">
            <a:extLst>
              <a:ext uri="{FF2B5EF4-FFF2-40B4-BE49-F238E27FC236}">
                <a16:creationId xmlns:a16="http://schemas.microsoft.com/office/drawing/2014/main" id="{C0E21472-4326-34AF-65BF-34EB11E4477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53BFEC2B-215B-4A7B-ABA9-F63CC446F95F}"/>
            </a:ext>
          </a:extLst>
        </xdr:cNvPr>
        <xdr:cNvGrpSpPr/>
      </xdr:nvGrpSpPr>
      <xdr:grpSpPr>
        <a:xfrm>
          <a:off x="7595977" y="12878203"/>
          <a:ext cx="36000" cy="182452"/>
          <a:chOff x="11556979" y="1937259"/>
          <a:chExt cx="188140" cy="204787"/>
        </a:xfrm>
      </xdr:grpSpPr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355B9DC8-BA79-6BE0-B71A-4CB7F7B255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" name="자유형: 도형 115">
            <a:extLst>
              <a:ext uri="{FF2B5EF4-FFF2-40B4-BE49-F238E27FC236}">
                <a16:creationId xmlns:a16="http://schemas.microsoft.com/office/drawing/2014/main" id="{7DE04C95-2C52-28EE-5B93-F912D2C1E2B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8E272071-EBD5-4B57-A731-62BAE24280D5}"/>
            </a:ext>
          </a:extLst>
        </xdr:cNvPr>
        <xdr:cNvGrpSpPr/>
      </xdr:nvGrpSpPr>
      <xdr:grpSpPr>
        <a:xfrm>
          <a:off x="7595977" y="12878203"/>
          <a:ext cx="36000" cy="182452"/>
          <a:chOff x="11556979" y="1937259"/>
          <a:chExt cx="188140" cy="204787"/>
        </a:xfrm>
      </xdr:grpSpPr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03699445-39C2-9D69-9DD6-A8D74C46D4D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" name="자유형: 도형 118">
            <a:extLst>
              <a:ext uri="{FF2B5EF4-FFF2-40B4-BE49-F238E27FC236}">
                <a16:creationId xmlns:a16="http://schemas.microsoft.com/office/drawing/2014/main" id="{79E46668-AB3A-EAAC-BB72-0FD3EFF411F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66</xdr:row>
      <xdr:rowOff>70554</xdr:rowOff>
    </xdr:from>
    <xdr:to>
      <xdr:col>48</xdr:col>
      <xdr:colOff>63498</xdr:colOff>
      <xdr:row>94</xdr:row>
      <xdr:rowOff>66776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DB93FA4A-E4C2-4037-8515-2ABC4F45B8EA}"/>
            </a:ext>
          </a:extLst>
        </xdr:cNvPr>
        <xdr:cNvCxnSpPr/>
      </xdr:nvCxnSpPr>
      <xdr:spPr>
        <a:xfrm flipH="1">
          <a:off x="6667498" y="1254477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68</xdr:row>
      <xdr:rowOff>79734</xdr:rowOff>
    </xdr:from>
    <xdr:to>
      <xdr:col>53</xdr:col>
      <xdr:colOff>460</xdr:colOff>
      <xdr:row>94</xdr:row>
      <xdr:rowOff>82845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716D0ED6-4ABC-47F7-877C-A3061ECECB9C}"/>
            </a:ext>
          </a:extLst>
        </xdr:cNvPr>
        <xdr:cNvCxnSpPr/>
      </xdr:nvCxnSpPr>
      <xdr:spPr>
        <a:xfrm flipH="1">
          <a:off x="6921960" y="1292084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66</xdr:row>
      <xdr:rowOff>63498</xdr:rowOff>
    </xdr:from>
    <xdr:to>
      <xdr:col>121</xdr:col>
      <xdr:colOff>0</xdr:colOff>
      <xdr:row>94</xdr:row>
      <xdr:rowOff>59720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93318963-F836-4F31-97FD-5FBB5991C28C}"/>
            </a:ext>
          </a:extLst>
        </xdr:cNvPr>
        <xdr:cNvCxnSpPr/>
      </xdr:nvCxnSpPr>
      <xdr:spPr>
        <a:xfrm flipH="1">
          <a:off x="11239500" y="12537720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68</xdr:row>
      <xdr:rowOff>72678</xdr:rowOff>
    </xdr:from>
    <xdr:to>
      <xdr:col>125</xdr:col>
      <xdr:colOff>462</xdr:colOff>
      <xdr:row>94</xdr:row>
      <xdr:rowOff>75789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D846BB41-02FA-4DFB-B9C2-0C5049B10F03}"/>
            </a:ext>
          </a:extLst>
        </xdr:cNvPr>
        <xdr:cNvCxnSpPr/>
      </xdr:nvCxnSpPr>
      <xdr:spPr>
        <a:xfrm flipH="1">
          <a:off x="11493962" y="12913789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204</xdr:row>
      <xdr:rowOff>51007</xdr:rowOff>
    </xdr:from>
    <xdr:to>
      <xdr:col>120</xdr:col>
      <xdr:colOff>457</xdr:colOff>
      <xdr:row>205</xdr:row>
      <xdr:rowOff>119563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CFDBD3A6-006A-4942-BC1B-25D4E98CC341}"/>
            </a:ext>
          </a:extLst>
        </xdr:cNvPr>
        <xdr:cNvCxnSpPr/>
      </xdr:nvCxnSpPr>
      <xdr:spPr>
        <a:xfrm flipH="1">
          <a:off x="11176457" y="1197489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204</xdr:row>
      <xdr:rowOff>89912</xdr:rowOff>
    </xdr:from>
    <xdr:to>
      <xdr:col>120</xdr:col>
      <xdr:colOff>9684</xdr:colOff>
      <xdr:row>204</xdr:row>
      <xdr:rowOff>89912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4B6EE401-610D-4DB0-B9F5-DC28E7217D2A}"/>
            </a:ext>
          </a:extLst>
        </xdr:cNvPr>
        <xdr:cNvCxnSpPr/>
      </xdr:nvCxnSpPr>
      <xdr:spPr>
        <a:xfrm>
          <a:off x="4309684" y="12013801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62</xdr:col>
      <xdr:colOff>19606</xdr:colOff>
      <xdr:row>204</xdr:row>
      <xdr:rowOff>28711</xdr:rowOff>
    </xdr:from>
    <xdr:ext cx="376385" cy="125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6349091-F6F0-4A5E-BEC2-5DACAF6FACCD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57</xdr:col>
      <xdr:colOff>47944</xdr:colOff>
      <xdr:row>206</xdr:row>
      <xdr:rowOff>25803</xdr:rowOff>
    </xdr:from>
    <xdr:to>
      <xdr:col>58</xdr:col>
      <xdr:colOff>20444</xdr:colOff>
      <xdr:row>207</xdr:row>
      <xdr:rowOff>21988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F7E90FE8-CF79-4FD4-B2A5-228362DD0D95}"/>
            </a:ext>
          </a:extLst>
        </xdr:cNvPr>
        <xdr:cNvGrpSpPr/>
      </xdr:nvGrpSpPr>
      <xdr:grpSpPr>
        <a:xfrm>
          <a:off x="7595977" y="38396736"/>
          <a:ext cx="36000" cy="182452"/>
          <a:chOff x="11556979" y="1937259"/>
          <a:chExt cx="188140" cy="204787"/>
        </a:xfrm>
      </xdr:grpSpPr>
      <xdr:sp macro="" textlink="">
        <xdr:nvSpPr>
          <xdr:cNvPr id="137" name="자유형: 도형 136">
            <a:extLst>
              <a:ext uri="{FF2B5EF4-FFF2-40B4-BE49-F238E27FC236}">
                <a16:creationId xmlns:a16="http://schemas.microsoft.com/office/drawing/2014/main" id="{0EB79DC7-AD46-4547-CC8E-0B83E6E0999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9F325CC3-1422-B7FE-6F83-2F719EC09CA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9501A7D-74AF-419E-A063-ABB4ED58FD4B}"/>
            </a:ext>
          </a:extLst>
        </xdr:cNvPr>
        <xdr:cNvSpPr txBox="1"/>
      </xdr:nvSpPr>
      <xdr:spPr>
        <a:xfrm>
          <a:off x="3479310" y="124333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19042</xdr:colOff>
      <xdr:row>204</xdr:row>
      <xdr:rowOff>149734</xdr:rowOff>
    </xdr:from>
    <xdr:ext cx="340093" cy="125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316724F-7786-448B-96FF-53A7379773FD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204</xdr:row>
      <xdr:rowOff>149678</xdr:rowOff>
    </xdr:from>
    <xdr:ext cx="340093" cy="125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5688E61-59AC-48B4-B898-40975590713F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205</xdr:row>
      <xdr:rowOff>95421</xdr:rowOff>
    </xdr:from>
    <xdr:to>
      <xdr:col>16</xdr:col>
      <xdr:colOff>22193</xdr:colOff>
      <xdr:row>205</xdr:row>
      <xdr:rowOff>95421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72A05762-A133-49D5-8670-39731C4D679D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204</xdr:row>
      <xdr:rowOff>145089</xdr:rowOff>
    </xdr:from>
    <xdr:ext cx="285784" cy="125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6A17C63-8046-4E38-A8E9-917D826DF437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205</xdr:row>
      <xdr:rowOff>96762</xdr:rowOff>
    </xdr:from>
    <xdr:to>
      <xdr:col>34</xdr:col>
      <xdr:colOff>16254</xdr:colOff>
      <xdr:row>205</xdr:row>
      <xdr:rowOff>96762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6681C6FF-6E76-49B6-AFB3-F1C36F832CF2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205</xdr:row>
      <xdr:rowOff>98501</xdr:rowOff>
    </xdr:from>
    <xdr:to>
      <xdr:col>38</xdr:col>
      <xdr:colOff>17353</xdr:colOff>
      <xdr:row>205</xdr:row>
      <xdr:rowOff>98501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F7710436-0836-40D3-9838-9A3895F4C0AD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204</xdr:row>
      <xdr:rowOff>148168</xdr:rowOff>
    </xdr:from>
    <xdr:ext cx="285784" cy="125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CC2852C-149D-4016-9D02-5EE2028AA80E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205</xdr:row>
      <xdr:rowOff>96314</xdr:rowOff>
    </xdr:from>
    <xdr:to>
      <xdr:col>48</xdr:col>
      <xdr:colOff>10882</xdr:colOff>
      <xdr:row>205</xdr:row>
      <xdr:rowOff>96314</xdr:rowOff>
    </xdr:to>
    <xdr:cxnSp macro="">
      <xdr:nvCxnSpPr>
        <xdr:cNvPr id="147" name="직선 화살표 연결선 146">
          <a:extLst>
            <a:ext uri="{FF2B5EF4-FFF2-40B4-BE49-F238E27FC236}">
              <a16:creationId xmlns:a16="http://schemas.microsoft.com/office/drawing/2014/main" id="{C0E95D8F-8BF2-4039-8265-684066B0800E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204</xdr:row>
      <xdr:rowOff>50098</xdr:rowOff>
    </xdr:from>
    <xdr:to>
      <xdr:col>12</xdr:col>
      <xdr:colOff>706</xdr:colOff>
      <xdr:row>205</xdr:row>
      <xdr:rowOff>154654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354CA35-49D7-445C-9AFD-B01AFB933F5B}"/>
            </a:ext>
          </a:extLst>
        </xdr:cNvPr>
        <xdr:cNvCxnSpPr/>
      </xdr:nvCxnSpPr>
      <xdr:spPr>
        <a:xfrm>
          <a:off x="4318706" y="11973987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204</xdr:row>
      <xdr:rowOff>152404</xdr:rowOff>
    </xdr:from>
    <xdr:to>
      <xdr:col>38</xdr:col>
      <xdr:colOff>702</xdr:colOff>
      <xdr:row>205</xdr:row>
      <xdr:rowOff>148960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DDDCDDD1-4D15-4EF9-BFEB-4A1A67ADC111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204</xdr:row>
      <xdr:rowOff>159458</xdr:rowOff>
    </xdr:from>
    <xdr:to>
      <xdr:col>48</xdr:col>
      <xdr:colOff>715</xdr:colOff>
      <xdr:row>205</xdr:row>
      <xdr:rowOff>156014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61E046AB-6726-406D-B812-2875658B5D02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204</xdr:row>
      <xdr:rowOff>153107</xdr:rowOff>
    </xdr:from>
    <xdr:to>
      <xdr:col>16</xdr:col>
      <xdr:colOff>1411</xdr:colOff>
      <xdr:row>205</xdr:row>
      <xdr:rowOff>149663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7A09BFA4-A896-4A32-AFA1-ED9926475056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204</xdr:row>
      <xdr:rowOff>160162</xdr:rowOff>
    </xdr:from>
    <xdr:to>
      <xdr:col>34</xdr:col>
      <xdr:colOff>1411</xdr:colOff>
      <xdr:row>205</xdr:row>
      <xdr:rowOff>156718</xdr:rowOff>
    </xdr:to>
    <xdr:cxnSp macro="">
      <xdr:nvCxnSpPr>
        <xdr:cNvPr id="152" name="직선 연결선 151">
          <a:extLst>
            <a:ext uri="{FF2B5EF4-FFF2-40B4-BE49-F238E27FC236}">
              <a16:creationId xmlns:a16="http://schemas.microsoft.com/office/drawing/2014/main" id="{6FD33C69-8C96-4293-9CE9-FB58329B3A92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208</xdr:row>
      <xdr:rowOff>25803</xdr:rowOff>
    </xdr:from>
    <xdr:to>
      <xdr:col>58</xdr:col>
      <xdr:colOff>20444</xdr:colOff>
      <xdr:row>209</xdr:row>
      <xdr:rowOff>21988</xdr:rowOff>
    </xdr:to>
    <xdr:grpSp>
      <xdr:nvGrpSpPr>
        <xdr:cNvPr id="153" name="그룹 152">
          <a:extLst>
            <a:ext uri="{FF2B5EF4-FFF2-40B4-BE49-F238E27FC236}">
              <a16:creationId xmlns:a16="http://schemas.microsoft.com/office/drawing/2014/main" id="{6092C3E6-4565-4911-9FA0-3F9CA5D64172}"/>
            </a:ext>
          </a:extLst>
        </xdr:cNvPr>
        <xdr:cNvGrpSpPr/>
      </xdr:nvGrpSpPr>
      <xdr:grpSpPr>
        <a:xfrm>
          <a:off x="7595977" y="38769270"/>
          <a:ext cx="36000" cy="182451"/>
          <a:chOff x="11556979" y="1937259"/>
          <a:chExt cx="188140" cy="204787"/>
        </a:xfrm>
      </xdr:grpSpPr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0EF6509F-3C20-15C1-A716-DD78A6B214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5" name="자유형: 도형 154">
            <a:extLst>
              <a:ext uri="{FF2B5EF4-FFF2-40B4-BE49-F238E27FC236}">
                <a16:creationId xmlns:a16="http://schemas.microsoft.com/office/drawing/2014/main" id="{EC99248A-BFD0-F37E-B323-3A8A468F2C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C33C700B-67DE-409E-AA03-619217211846}"/>
            </a:ext>
          </a:extLst>
        </xdr:cNvPr>
        <xdr:cNvGrpSpPr/>
      </xdr:nvGrpSpPr>
      <xdr:grpSpPr>
        <a:xfrm>
          <a:off x="7595977" y="39141803"/>
          <a:ext cx="36000" cy="182452"/>
          <a:chOff x="11556979" y="1937259"/>
          <a:chExt cx="188140" cy="204787"/>
        </a:xfrm>
      </xdr:grpSpPr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C31DC1FC-92AA-F944-232D-EE1B781381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8" name="자유형: 도형 157">
            <a:extLst>
              <a:ext uri="{FF2B5EF4-FFF2-40B4-BE49-F238E27FC236}">
                <a16:creationId xmlns:a16="http://schemas.microsoft.com/office/drawing/2014/main" id="{EC802381-7329-BD07-B151-536EDC5EB94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26523F26-109E-43F2-9946-8DF211FE3BFC}"/>
            </a:ext>
          </a:extLst>
        </xdr:cNvPr>
        <xdr:cNvGrpSpPr/>
      </xdr:nvGrpSpPr>
      <xdr:grpSpPr>
        <a:xfrm>
          <a:off x="7595977" y="39141803"/>
          <a:ext cx="36000" cy="182452"/>
          <a:chOff x="11556979" y="1937259"/>
          <a:chExt cx="188140" cy="204787"/>
        </a:xfrm>
      </xdr:grpSpPr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673F387A-CB0B-EA01-47BE-FE87758622A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1" name="자유형: 도형 160">
            <a:extLst>
              <a:ext uri="{FF2B5EF4-FFF2-40B4-BE49-F238E27FC236}">
                <a16:creationId xmlns:a16="http://schemas.microsoft.com/office/drawing/2014/main" id="{729BC04A-95C7-67B6-A3BF-1F706DCF7E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0</xdr:colOff>
      <xdr:row>207</xdr:row>
      <xdr:rowOff>49389</xdr:rowOff>
    </xdr:from>
    <xdr:to>
      <xdr:col>13</xdr:col>
      <xdr:colOff>0</xdr:colOff>
      <xdr:row>222</xdr:row>
      <xdr:rowOff>148611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272D70B9-9AD2-4EDF-BE26-CD361A39FD12}"/>
            </a:ext>
          </a:extLst>
        </xdr:cNvPr>
        <xdr:cNvCxnSpPr/>
      </xdr:nvCxnSpPr>
      <xdr:spPr>
        <a:xfrm flipH="1">
          <a:off x="4373033" y="38792856"/>
          <a:ext cx="0" cy="307948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462</xdr:colOff>
      <xdr:row>209</xdr:row>
      <xdr:rowOff>58569</xdr:rowOff>
    </xdr:from>
    <xdr:to>
      <xdr:col>17</xdr:col>
      <xdr:colOff>462</xdr:colOff>
      <xdr:row>222</xdr:row>
      <xdr:rowOff>128680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B34EE945-312E-48E7-9D9E-0AB495A5D8A2}"/>
            </a:ext>
          </a:extLst>
        </xdr:cNvPr>
        <xdr:cNvCxnSpPr/>
      </xdr:nvCxnSpPr>
      <xdr:spPr>
        <a:xfrm flipH="1">
          <a:off x="4635962" y="25557347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63499</xdr:colOff>
      <xdr:row>207</xdr:row>
      <xdr:rowOff>45858</xdr:rowOff>
    </xdr:from>
    <xdr:to>
      <xdr:col>34</xdr:col>
      <xdr:colOff>63499</xdr:colOff>
      <xdr:row>222</xdr:row>
      <xdr:rowOff>145080</xdr:rowOff>
    </xdr:to>
    <xdr:cxnSp macro="">
      <xdr:nvCxnSpPr>
        <xdr:cNvPr id="164" name="직선 연결선 163">
          <a:extLst>
            <a:ext uri="{FF2B5EF4-FFF2-40B4-BE49-F238E27FC236}">
              <a16:creationId xmlns:a16="http://schemas.microsoft.com/office/drawing/2014/main" id="{40BAA5BD-D85B-4CFC-BAD4-DF40576F4637}"/>
            </a:ext>
          </a:extLst>
        </xdr:cNvPr>
        <xdr:cNvCxnSpPr/>
      </xdr:nvCxnSpPr>
      <xdr:spPr>
        <a:xfrm flipH="1">
          <a:off x="5770032" y="38789325"/>
          <a:ext cx="0" cy="28932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463</xdr:colOff>
      <xdr:row>209</xdr:row>
      <xdr:rowOff>86790</xdr:rowOff>
    </xdr:from>
    <xdr:to>
      <xdr:col>39</xdr:col>
      <xdr:colOff>463</xdr:colOff>
      <xdr:row>222</xdr:row>
      <xdr:rowOff>156901</xdr:rowOff>
    </xdr:to>
    <xdr:cxnSp macro="">
      <xdr:nvCxnSpPr>
        <xdr:cNvPr id="165" name="직선 연결선 164">
          <a:extLst>
            <a:ext uri="{FF2B5EF4-FFF2-40B4-BE49-F238E27FC236}">
              <a16:creationId xmlns:a16="http://schemas.microsoft.com/office/drawing/2014/main" id="{93D64EF7-FDA4-4AE2-97E1-9BC873899A21}"/>
            </a:ext>
          </a:extLst>
        </xdr:cNvPr>
        <xdr:cNvCxnSpPr/>
      </xdr:nvCxnSpPr>
      <xdr:spPr>
        <a:xfrm flipH="1">
          <a:off x="6032963" y="25585568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706</xdr:colOff>
      <xdr:row>207</xdr:row>
      <xdr:rowOff>71258</xdr:rowOff>
    </xdr:from>
    <xdr:to>
      <xdr:col>49</xdr:col>
      <xdr:colOff>706</xdr:colOff>
      <xdr:row>222</xdr:row>
      <xdr:rowOff>170480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E4D907D8-372E-496A-A31C-C236F3690736}"/>
            </a:ext>
          </a:extLst>
        </xdr:cNvPr>
        <xdr:cNvCxnSpPr/>
      </xdr:nvCxnSpPr>
      <xdr:spPr>
        <a:xfrm flipH="1">
          <a:off x="6668206" y="25203147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1168</xdr:colOff>
      <xdr:row>209</xdr:row>
      <xdr:rowOff>80438</xdr:rowOff>
    </xdr:from>
    <xdr:to>
      <xdr:col>53</xdr:col>
      <xdr:colOff>1168</xdr:colOff>
      <xdr:row>222</xdr:row>
      <xdr:rowOff>150549</xdr:rowOff>
    </xdr:to>
    <xdr:cxnSp macro="">
      <xdr:nvCxnSpPr>
        <xdr:cNvPr id="167" name="직선 연결선 166">
          <a:extLst>
            <a:ext uri="{FF2B5EF4-FFF2-40B4-BE49-F238E27FC236}">
              <a16:creationId xmlns:a16="http://schemas.microsoft.com/office/drawing/2014/main" id="{A8388313-7EC6-4025-AD4F-B7AAAB6F4B43}"/>
            </a:ext>
          </a:extLst>
        </xdr:cNvPr>
        <xdr:cNvCxnSpPr/>
      </xdr:nvCxnSpPr>
      <xdr:spPr>
        <a:xfrm flipH="1">
          <a:off x="6922668" y="25579216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1411</xdr:colOff>
      <xdr:row>207</xdr:row>
      <xdr:rowOff>54327</xdr:rowOff>
    </xdr:from>
    <xdr:to>
      <xdr:col>121</xdr:col>
      <xdr:colOff>1411</xdr:colOff>
      <xdr:row>233</xdr:row>
      <xdr:rowOff>50549</xdr:rowOff>
    </xdr:to>
    <xdr:cxnSp macro="">
      <xdr:nvCxnSpPr>
        <xdr:cNvPr id="168" name="직선 연결선 167">
          <a:extLst>
            <a:ext uri="{FF2B5EF4-FFF2-40B4-BE49-F238E27FC236}">
              <a16:creationId xmlns:a16="http://schemas.microsoft.com/office/drawing/2014/main" id="{92FEB818-1F05-409F-B3AB-A4B099F9FC6D}"/>
            </a:ext>
          </a:extLst>
        </xdr:cNvPr>
        <xdr:cNvCxnSpPr/>
      </xdr:nvCxnSpPr>
      <xdr:spPr>
        <a:xfrm flipH="1">
          <a:off x="11240911" y="2518621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61845</xdr:colOff>
      <xdr:row>209</xdr:row>
      <xdr:rowOff>63507</xdr:rowOff>
    </xdr:from>
    <xdr:to>
      <xdr:col>124</xdr:col>
      <xdr:colOff>61845</xdr:colOff>
      <xdr:row>233</xdr:row>
      <xdr:rowOff>66618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E68CADA5-13FC-491D-805B-DEBB2CB43304}"/>
            </a:ext>
          </a:extLst>
        </xdr:cNvPr>
        <xdr:cNvCxnSpPr/>
      </xdr:nvCxnSpPr>
      <xdr:spPr>
        <a:xfrm flipH="1">
          <a:off x="11491845" y="2556228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42333</xdr:colOff>
      <xdr:row>211</xdr:row>
      <xdr:rowOff>172861</xdr:rowOff>
    </xdr:from>
    <xdr:to>
      <xdr:col>58</xdr:col>
      <xdr:colOff>14833</xdr:colOff>
      <xdr:row>212</xdr:row>
      <xdr:rowOff>169045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3BB23FC-0D44-4EC1-A7F7-D755C94EF105}"/>
            </a:ext>
          </a:extLst>
        </xdr:cNvPr>
        <xdr:cNvGrpSpPr/>
      </xdr:nvGrpSpPr>
      <xdr:grpSpPr>
        <a:xfrm>
          <a:off x="7590366" y="39475128"/>
          <a:ext cx="36000" cy="182450"/>
          <a:chOff x="11556979" y="1937259"/>
          <a:chExt cx="188140" cy="204787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68CBB739-96A1-525F-7EF0-877125BFD71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25530AD1-02E2-78EF-7ABA-7FABC75023C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43039</xdr:colOff>
      <xdr:row>214</xdr:row>
      <xdr:rowOff>7762</xdr:rowOff>
    </xdr:from>
    <xdr:to>
      <xdr:col>58</xdr:col>
      <xdr:colOff>15539</xdr:colOff>
      <xdr:row>215</xdr:row>
      <xdr:rowOff>3946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3098FA24-64E7-4A9C-BD4A-58482A238BB6}"/>
            </a:ext>
          </a:extLst>
        </xdr:cNvPr>
        <xdr:cNvGrpSpPr/>
      </xdr:nvGrpSpPr>
      <xdr:grpSpPr>
        <a:xfrm>
          <a:off x="7591072" y="39868829"/>
          <a:ext cx="36000" cy="182450"/>
          <a:chOff x="11556979" y="1937259"/>
          <a:chExt cx="188140" cy="204787"/>
        </a:xfrm>
      </xdr:grpSpPr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C503866E-F674-C744-2A39-CD8D3616742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4F6CCBF7-7355-7C57-C3F2-F198D47188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23</xdr:col>
      <xdr:colOff>59404</xdr:colOff>
      <xdr:row>219</xdr:row>
      <xdr:rowOff>120792</xdr:rowOff>
    </xdr:from>
    <xdr:ext cx="287515" cy="125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EEDA1F2C-460C-4BD4-905D-70322017AA96}"/>
            </a:ext>
          </a:extLst>
        </xdr:cNvPr>
        <xdr:cNvSpPr txBox="1"/>
      </xdr:nvSpPr>
      <xdr:spPr>
        <a:xfrm>
          <a:off x="5067437" y="41099459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57949</xdr:colOff>
      <xdr:row>219</xdr:row>
      <xdr:rowOff>125661</xdr:rowOff>
    </xdr:from>
    <xdr:ext cx="287515" cy="125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50C39B33-31AB-4F8B-B6FE-BEA1B43DB7D4}"/>
            </a:ext>
          </a:extLst>
        </xdr:cNvPr>
        <xdr:cNvSpPr txBox="1"/>
      </xdr:nvSpPr>
      <xdr:spPr>
        <a:xfrm>
          <a:off x="6208982" y="411043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36393</xdr:colOff>
      <xdr:row>201</xdr:row>
      <xdr:rowOff>24146</xdr:rowOff>
    </xdr:from>
    <xdr:ext cx="356251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69C512C-200E-4B37-9852-958A1D982369}"/>
            </a:ext>
          </a:extLst>
        </xdr:cNvPr>
        <xdr:cNvSpPr txBox="1"/>
      </xdr:nvSpPr>
      <xdr:spPr>
        <a:xfrm>
          <a:off x="4290893" y="24055368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61988</xdr:colOff>
      <xdr:row>201</xdr:row>
      <xdr:rowOff>21167</xdr:rowOff>
    </xdr:from>
    <xdr:to>
      <xdr:col>10</xdr:col>
      <xdr:colOff>61988</xdr:colOff>
      <xdr:row>202</xdr:row>
      <xdr:rowOff>123202</xdr:rowOff>
    </xdr:to>
    <xdr:cxnSp macro="">
      <xdr:nvCxnSpPr>
        <xdr:cNvPr id="177" name="직선 연결선 176">
          <a:extLst>
            <a:ext uri="{FF2B5EF4-FFF2-40B4-BE49-F238E27FC236}">
              <a16:creationId xmlns:a16="http://schemas.microsoft.com/office/drawing/2014/main" id="{B5987A0B-FB9A-48C6-B552-F3E772BC5B5C}"/>
            </a:ext>
          </a:extLst>
        </xdr:cNvPr>
        <xdr:cNvCxnSpPr/>
      </xdr:nvCxnSpPr>
      <xdr:spPr>
        <a:xfrm>
          <a:off x="4252988" y="24052389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52917</xdr:colOff>
      <xdr:row>201</xdr:row>
      <xdr:rowOff>93742</xdr:rowOff>
    </xdr:from>
    <xdr:to>
      <xdr:col>11</xdr:col>
      <xdr:colOff>15917</xdr:colOff>
      <xdr:row>201</xdr:row>
      <xdr:rowOff>93742</xdr:rowOff>
    </xdr:to>
    <xdr:cxnSp macro="">
      <xdr:nvCxnSpPr>
        <xdr:cNvPr id="178" name="직선 화살표 연결선 177">
          <a:extLst>
            <a:ext uri="{FF2B5EF4-FFF2-40B4-BE49-F238E27FC236}">
              <a16:creationId xmlns:a16="http://schemas.microsoft.com/office/drawing/2014/main" id="{00AD021F-79A5-4456-8C1F-E69AEDE5AC51}"/>
            </a:ext>
          </a:extLst>
        </xdr:cNvPr>
        <xdr:cNvCxnSpPr/>
      </xdr:nvCxnSpPr>
      <xdr:spPr>
        <a:xfrm>
          <a:off x="4180417" y="24124964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657289</xdr:colOff>
      <xdr:row>90</xdr:row>
      <xdr:rowOff>172633</xdr:rowOff>
    </xdr:from>
    <xdr:ext cx="562655" cy="1408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578F42-6FCA-4ECB-8E5A-87826D060C06}"/>
            </a:ext>
          </a:extLst>
        </xdr:cNvPr>
        <xdr:cNvSpPr txBox="1"/>
      </xdr:nvSpPr>
      <xdr:spPr>
        <a:xfrm>
          <a:off x="3275443" y="16135556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515760</xdr:colOff>
      <xdr:row>95</xdr:row>
      <xdr:rowOff>164042</xdr:rowOff>
    </xdr:from>
    <xdr:ext cx="695447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D4A22F-7D5A-433F-AC5A-C2E8AB4D5505}"/>
            </a:ext>
          </a:extLst>
        </xdr:cNvPr>
        <xdr:cNvSpPr txBox="1"/>
      </xdr:nvSpPr>
      <xdr:spPr>
        <a:xfrm>
          <a:off x="3144660" y="17899592"/>
          <a:ext cx="695447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even</a:t>
          </a:r>
          <a:r>
            <a:rPr lang="en-US" altLang="ko-KR" sz="900" i="1">
              <a:solidFill>
                <a:srgbClr val="FF00FF"/>
              </a:solidFill>
            </a:rPr>
            <a:t> svi_falling</a:t>
          </a:r>
        </a:p>
      </xdr:txBody>
    </xdr:sp>
    <xdr:clientData/>
  </xdr:oneCellAnchor>
  <xdr:oneCellAnchor>
    <xdr:from>
      <xdr:col>4</xdr:col>
      <xdr:colOff>585610</xdr:colOff>
      <xdr:row>92</xdr:row>
      <xdr:rowOff>145346</xdr:rowOff>
    </xdr:from>
    <xdr:ext cx="638060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B8FC49-B4BD-41FC-AEB5-DDC574FE76E7}"/>
            </a:ext>
          </a:extLst>
        </xdr:cNvPr>
        <xdr:cNvSpPr txBox="1"/>
      </xdr:nvSpPr>
      <xdr:spPr>
        <a:xfrm>
          <a:off x="3206749" y="16288457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648226</xdr:colOff>
      <xdr:row>79</xdr:row>
      <xdr:rowOff>159228</xdr:rowOff>
    </xdr:from>
    <xdr:ext cx="58426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B1B207E-C511-4D92-A9CF-D80BA390189C}"/>
            </a:ext>
          </a:extLst>
        </xdr:cNvPr>
        <xdr:cNvSpPr txBox="1"/>
      </xdr:nvSpPr>
      <xdr:spPr>
        <a:xfrm>
          <a:off x="3266380" y="15194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654810</xdr:colOff>
      <xdr:row>88</xdr:row>
      <xdr:rowOff>173403</xdr:rowOff>
    </xdr:from>
    <xdr:ext cx="562655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F8B843C-4377-46B1-8EAD-D6CD9B8FACA9}"/>
            </a:ext>
          </a:extLst>
        </xdr:cNvPr>
        <xdr:cNvSpPr txBox="1"/>
      </xdr:nvSpPr>
      <xdr:spPr>
        <a:xfrm>
          <a:off x="3272964" y="15765095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646219</xdr:colOff>
      <xdr:row>77</xdr:row>
      <xdr:rowOff>167531</xdr:rowOff>
    </xdr:from>
    <xdr:ext cx="584263" cy="140872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EB5662-83E3-40AB-9427-285CAFFE84B5}"/>
            </a:ext>
          </a:extLst>
        </xdr:cNvPr>
        <xdr:cNvSpPr txBox="1"/>
      </xdr:nvSpPr>
      <xdr:spPr>
        <a:xfrm>
          <a:off x="3264373" y="14831146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758473</xdr:colOff>
      <xdr:row>30</xdr:row>
      <xdr:rowOff>154517</xdr:rowOff>
    </xdr:from>
    <xdr:ext cx="468654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0C08B1B-A394-49FE-A324-4CB2898928A4}"/>
            </a:ext>
          </a:extLst>
        </xdr:cNvPr>
        <xdr:cNvSpPr txBox="1"/>
      </xdr:nvSpPr>
      <xdr:spPr>
        <a:xfrm>
          <a:off x="3379612" y="6024739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556738</xdr:colOff>
      <xdr:row>21</xdr:row>
      <xdr:rowOff>154409</xdr:rowOff>
    </xdr:from>
    <xdr:ext cx="671274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D062206-EFB6-4209-A87D-EC2B49B4F199}"/>
            </a:ext>
          </a:extLst>
        </xdr:cNvPr>
        <xdr:cNvSpPr txBox="1"/>
      </xdr:nvSpPr>
      <xdr:spPr>
        <a:xfrm>
          <a:off x="3174892" y="498040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543277</xdr:colOff>
      <xdr:row>26</xdr:row>
      <xdr:rowOff>172590</xdr:rowOff>
    </xdr:from>
    <xdr:ext cx="671274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1B3E6E3-DBD2-45CF-A445-69778AA9488A}"/>
            </a:ext>
          </a:extLst>
        </xdr:cNvPr>
        <xdr:cNvSpPr txBox="1"/>
      </xdr:nvSpPr>
      <xdr:spPr>
        <a:xfrm>
          <a:off x="3161431" y="5741052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198261</xdr:colOff>
      <xdr:row>87</xdr:row>
      <xdr:rowOff>62795</xdr:rowOff>
    </xdr:from>
    <xdr:ext cx="1031180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A2B34B7-D1DE-407E-BF5D-16871DB04CFF}"/>
            </a:ext>
          </a:extLst>
        </xdr:cNvPr>
        <xdr:cNvSpPr txBox="1"/>
      </xdr:nvSpPr>
      <xdr:spPr>
        <a:xfrm>
          <a:off x="2818694" y="16081728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773598</xdr:colOff>
      <xdr:row>225</xdr:row>
      <xdr:rowOff>136877</xdr:rowOff>
    </xdr:from>
    <xdr:ext cx="468654" cy="14087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CC40733-C710-4C84-BE3B-135B315C0FF1}"/>
            </a:ext>
          </a:extLst>
        </xdr:cNvPr>
        <xdr:cNvSpPr txBox="1"/>
      </xdr:nvSpPr>
      <xdr:spPr>
        <a:xfrm>
          <a:off x="3394737" y="27836988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777831</xdr:colOff>
      <xdr:row>221</xdr:row>
      <xdr:rowOff>162277</xdr:rowOff>
    </xdr:from>
    <xdr:ext cx="438774" cy="1408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4999CE1-3F01-4B3D-8138-0EC7702514BA}"/>
            </a:ext>
          </a:extLst>
        </xdr:cNvPr>
        <xdr:cNvSpPr txBox="1"/>
      </xdr:nvSpPr>
      <xdr:spPr>
        <a:xfrm>
          <a:off x="3398970" y="2749549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</xdr:col>
      <xdr:colOff>218722</xdr:colOff>
      <xdr:row>220</xdr:row>
      <xdr:rowOff>6414</xdr:rowOff>
    </xdr:from>
    <xdr:ext cx="1031180" cy="14087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18B623F-1702-496C-B9E3-1D7C374C4CD8}"/>
            </a:ext>
          </a:extLst>
        </xdr:cNvPr>
        <xdr:cNvSpPr txBox="1"/>
      </xdr:nvSpPr>
      <xdr:spPr>
        <a:xfrm>
          <a:off x="2839861" y="27156192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807861</xdr:colOff>
      <xdr:row>216</xdr:row>
      <xdr:rowOff>144640</xdr:rowOff>
    </xdr:from>
    <xdr:ext cx="438774" cy="14087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74A8BF7-443E-45B4-A787-0F2F31A824BD}"/>
            </a:ext>
          </a:extLst>
        </xdr:cNvPr>
        <xdr:cNvSpPr txBox="1"/>
      </xdr:nvSpPr>
      <xdr:spPr>
        <a:xfrm>
          <a:off x="3427236" y="40149640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twoCellAnchor>
    <xdr:from>
      <xdr:col>13</xdr:col>
      <xdr:colOff>1</xdr:colOff>
      <xdr:row>136</xdr:row>
      <xdr:rowOff>58459</xdr:rowOff>
    </xdr:from>
    <xdr:to>
      <xdr:col>13</xdr:col>
      <xdr:colOff>1</xdr:colOff>
      <xdr:row>162</xdr:row>
      <xdr:rowOff>54681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83778D9-FB51-441D-B260-8AE58C49FD74}"/>
            </a:ext>
          </a:extLst>
        </xdr:cNvPr>
        <xdr:cNvCxnSpPr/>
      </xdr:nvCxnSpPr>
      <xdr:spPr>
        <a:xfrm flipH="1">
          <a:off x="4371732" y="12680305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138</xdr:row>
      <xdr:rowOff>67639</xdr:rowOff>
    </xdr:from>
    <xdr:to>
      <xdr:col>17</xdr:col>
      <xdr:colOff>463</xdr:colOff>
      <xdr:row>162</xdr:row>
      <xdr:rowOff>70750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EE406FA-1F3C-4C12-BB3A-1E36DE3B57C8}"/>
            </a:ext>
          </a:extLst>
        </xdr:cNvPr>
        <xdr:cNvCxnSpPr/>
      </xdr:nvCxnSpPr>
      <xdr:spPr>
        <a:xfrm flipH="1">
          <a:off x="4626194" y="13060716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133</xdr:row>
      <xdr:rowOff>51007</xdr:rowOff>
    </xdr:from>
    <xdr:to>
      <xdr:col>120</xdr:col>
      <xdr:colOff>457</xdr:colOff>
      <xdr:row>159</xdr:row>
      <xdr:rowOff>83229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E59A9131-7EF4-47B0-9263-380C1D5C1BF2}"/>
            </a:ext>
          </a:extLst>
        </xdr:cNvPr>
        <xdr:cNvCxnSpPr/>
      </xdr:nvCxnSpPr>
      <xdr:spPr>
        <a:xfrm flipH="1">
          <a:off x="11166688" y="12116007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133</xdr:row>
      <xdr:rowOff>89912</xdr:rowOff>
    </xdr:from>
    <xdr:to>
      <xdr:col>120</xdr:col>
      <xdr:colOff>9684</xdr:colOff>
      <xdr:row>133</xdr:row>
      <xdr:rowOff>89912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A5140DCA-11BD-4F8A-BA0A-2DB426829445}"/>
            </a:ext>
          </a:extLst>
        </xdr:cNvPr>
        <xdr:cNvCxnSpPr/>
      </xdr:nvCxnSpPr>
      <xdr:spPr>
        <a:xfrm>
          <a:off x="4299915" y="1215491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132</xdr:row>
      <xdr:rowOff>156435</xdr:rowOff>
    </xdr:from>
    <xdr:ext cx="480068" cy="14087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8ECD2D4-83A4-47B7-BB50-14370DE27C05}"/>
            </a:ext>
          </a:extLst>
        </xdr:cNvPr>
        <xdr:cNvSpPr txBox="1"/>
      </xdr:nvSpPr>
      <xdr:spPr>
        <a:xfrm>
          <a:off x="3369476" y="120358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133</xdr:row>
      <xdr:rowOff>28711</xdr:rowOff>
    </xdr:from>
    <xdr:ext cx="376385" cy="125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AB529B-F68F-458B-875C-5C4F182F1352}"/>
            </a:ext>
          </a:extLst>
        </xdr:cNvPr>
        <xdr:cNvSpPr txBox="1"/>
      </xdr:nvSpPr>
      <xdr:spPr>
        <a:xfrm>
          <a:off x="7502837" y="1209371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149</xdr:row>
      <xdr:rowOff>24295</xdr:rowOff>
    </xdr:from>
    <xdr:ext cx="228204" cy="14087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0F9774-41B8-4D8D-8213-6A6C088463AE}"/>
            </a:ext>
          </a:extLst>
        </xdr:cNvPr>
        <xdr:cNvSpPr txBox="1"/>
      </xdr:nvSpPr>
      <xdr:spPr>
        <a:xfrm>
          <a:off x="5080851" y="1505914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149</xdr:row>
      <xdr:rowOff>23743</xdr:rowOff>
    </xdr:from>
    <xdr:ext cx="228204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695977F-63EB-4E45-864F-B507C4FEBA60}"/>
            </a:ext>
          </a:extLst>
        </xdr:cNvPr>
        <xdr:cNvSpPr txBox="1"/>
      </xdr:nvSpPr>
      <xdr:spPr>
        <a:xfrm>
          <a:off x="6236836" y="1505858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190</xdr:row>
      <xdr:rowOff>11209</xdr:rowOff>
    </xdr:from>
    <xdr:to>
      <xdr:col>59</xdr:col>
      <xdr:colOff>13172</xdr:colOff>
      <xdr:row>191</xdr:row>
      <xdr:rowOff>7393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16BC92CC-D777-4966-B54C-3E97058BEF64}"/>
            </a:ext>
          </a:extLst>
        </xdr:cNvPr>
        <xdr:cNvGrpSpPr/>
      </xdr:nvGrpSpPr>
      <xdr:grpSpPr>
        <a:xfrm>
          <a:off x="7652205" y="35401876"/>
          <a:ext cx="36000" cy="182450"/>
          <a:chOff x="11556979" y="1922463"/>
          <a:chExt cx="188140" cy="204787"/>
        </a:xfrm>
      </xdr:grpSpPr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973CC6B1-DCC4-744F-D678-4A428BE8BED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62239434-1973-CD1D-7455-917EB1D5861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161</xdr:row>
      <xdr:rowOff>53259</xdr:rowOff>
    </xdr:from>
    <xdr:ext cx="287515" cy="125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F30F516-D2D5-490A-B336-5CEDB61B1822}"/>
            </a:ext>
          </a:extLst>
        </xdr:cNvPr>
        <xdr:cNvSpPr txBox="1"/>
      </xdr:nvSpPr>
      <xdr:spPr>
        <a:xfrm>
          <a:off x="5085890" y="165730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161</xdr:row>
      <xdr:rowOff>60245</xdr:rowOff>
    </xdr:from>
    <xdr:ext cx="287515" cy="125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D8A022A-0B95-4CDC-A9A1-74E967F7EED6}"/>
            </a:ext>
          </a:extLst>
        </xdr:cNvPr>
        <xdr:cNvSpPr txBox="1"/>
      </xdr:nvSpPr>
      <xdr:spPr>
        <a:xfrm>
          <a:off x="6209796" y="1658001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161</xdr:row>
      <xdr:rowOff>182224</xdr:rowOff>
    </xdr:from>
    <xdr:ext cx="1152000" cy="0"/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C2AFBDA2-696B-42A1-B24E-99AAA636EBDF}"/>
            </a:ext>
          </a:extLst>
        </xdr:cNvPr>
        <xdr:cNvCxnSpPr/>
      </xdr:nvCxnSpPr>
      <xdr:spPr>
        <a:xfrm flipV="1">
          <a:off x="4611619" y="16701993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161</xdr:row>
      <xdr:rowOff>181194</xdr:rowOff>
    </xdr:from>
    <xdr:ext cx="648000" cy="0"/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4689E603-E48A-4A5F-9905-A952966CD316}"/>
            </a:ext>
          </a:extLst>
        </xdr:cNvPr>
        <xdr:cNvCxnSpPr/>
      </xdr:nvCxnSpPr>
      <xdr:spPr>
        <a:xfrm>
          <a:off x="6017182" y="16700963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148</xdr:row>
      <xdr:rowOff>165105</xdr:rowOff>
    </xdr:from>
    <xdr:to>
      <xdr:col>17</xdr:col>
      <xdr:colOff>29011</xdr:colOff>
      <xdr:row>149</xdr:row>
      <xdr:rowOff>182895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8DB01F7D-8BB1-4A17-B6C9-53D11138D52F}"/>
            </a:ext>
          </a:extLst>
        </xdr:cNvPr>
        <xdr:cNvGrpSpPr/>
      </xdr:nvGrpSpPr>
      <xdr:grpSpPr>
        <a:xfrm>
          <a:off x="4774023" y="27732572"/>
          <a:ext cx="263021" cy="204056"/>
          <a:chOff x="2051991" y="27765565"/>
          <a:chExt cx="263021" cy="20212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4A4DE80E-5054-94CA-9569-A354AB527FB3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DF4F837F-2B0B-B90D-7A48-E0547F0525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130</xdr:row>
      <xdr:rowOff>31201</xdr:rowOff>
    </xdr:from>
    <xdr:ext cx="356251" cy="125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E7540B1-DDA1-496B-8827-0F76C7FDEA86}"/>
            </a:ext>
          </a:extLst>
        </xdr:cNvPr>
        <xdr:cNvSpPr txBox="1"/>
      </xdr:nvSpPr>
      <xdr:spPr>
        <a:xfrm>
          <a:off x="4284651" y="11539355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39</xdr:col>
      <xdr:colOff>22345</xdr:colOff>
      <xdr:row>147</xdr:row>
      <xdr:rowOff>24612</xdr:rowOff>
    </xdr:from>
    <xdr:ext cx="228204" cy="140872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AF1DB98-45BE-4969-970A-302329769421}"/>
            </a:ext>
          </a:extLst>
        </xdr:cNvPr>
        <xdr:cNvSpPr txBox="1"/>
      </xdr:nvSpPr>
      <xdr:spPr>
        <a:xfrm>
          <a:off x="6045076" y="1468822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143</xdr:row>
      <xdr:rowOff>243</xdr:rowOff>
    </xdr:from>
    <xdr:to>
      <xdr:col>58</xdr:col>
      <xdr:colOff>11673</xdr:colOff>
      <xdr:row>143</xdr:row>
      <xdr:rowOff>180243</xdr:rowOff>
    </xdr:to>
    <xdr:grpSp>
      <xdr:nvGrpSpPr>
        <xdr:cNvPr id="112" name="그룹 111">
          <a:extLst>
            <a:ext uri="{FF2B5EF4-FFF2-40B4-BE49-F238E27FC236}">
              <a16:creationId xmlns:a16="http://schemas.microsoft.com/office/drawing/2014/main" id="{4890BD1A-B6FA-49CE-8406-10AC3C82EF69}"/>
            </a:ext>
          </a:extLst>
        </xdr:cNvPr>
        <xdr:cNvGrpSpPr/>
      </xdr:nvGrpSpPr>
      <xdr:grpSpPr>
        <a:xfrm>
          <a:off x="7587206" y="26636376"/>
          <a:ext cx="36000" cy="180000"/>
          <a:chOff x="11556979" y="1937259"/>
          <a:chExt cx="188140" cy="204787"/>
        </a:xfrm>
      </xdr:grpSpPr>
      <xdr:sp macro="" textlink="">
        <xdr:nvSpPr>
          <xdr:cNvPr id="113" name="자유형: 도형 112">
            <a:extLst>
              <a:ext uri="{FF2B5EF4-FFF2-40B4-BE49-F238E27FC236}">
                <a16:creationId xmlns:a16="http://schemas.microsoft.com/office/drawing/2014/main" id="{F7E0A608-4896-C5AA-05EF-AD752B0246F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612E05F5-77F4-06FF-545E-AF0CE523957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192</xdr:row>
      <xdr:rowOff>19404</xdr:rowOff>
    </xdr:from>
    <xdr:to>
      <xdr:col>59</xdr:col>
      <xdr:colOff>14682</xdr:colOff>
      <xdr:row>193</xdr:row>
      <xdr:rowOff>15588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DC95D32B-CF70-42C1-9423-4F3150477E3C}"/>
            </a:ext>
          </a:extLst>
        </xdr:cNvPr>
        <xdr:cNvGrpSpPr/>
      </xdr:nvGrpSpPr>
      <xdr:grpSpPr>
        <a:xfrm>
          <a:off x="7653715" y="35782604"/>
          <a:ext cx="36000" cy="182451"/>
          <a:chOff x="11556979" y="1922463"/>
          <a:chExt cx="188140" cy="204787"/>
        </a:xfrm>
      </xdr:grpSpPr>
      <xdr:sp macro="" textlink="">
        <xdr:nvSpPr>
          <xdr:cNvPr id="122" name="자유형: 도형 121">
            <a:extLst>
              <a:ext uri="{FF2B5EF4-FFF2-40B4-BE49-F238E27FC236}">
                <a16:creationId xmlns:a16="http://schemas.microsoft.com/office/drawing/2014/main" id="{7C2D99ED-C820-5BAC-110E-F3A36725B5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A0076A54-8076-9BFB-BC43-83FC6C6B54B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147</xdr:row>
      <xdr:rowOff>6149</xdr:rowOff>
    </xdr:from>
    <xdr:to>
      <xdr:col>59</xdr:col>
      <xdr:colOff>15905</xdr:colOff>
      <xdr:row>148</xdr:row>
      <xdr:rowOff>2333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533403EF-D5B5-456F-865D-5148809B6E6C}"/>
            </a:ext>
          </a:extLst>
        </xdr:cNvPr>
        <xdr:cNvGrpSpPr/>
      </xdr:nvGrpSpPr>
      <xdr:grpSpPr>
        <a:xfrm>
          <a:off x="7654938" y="27387349"/>
          <a:ext cx="36000" cy="182451"/>
          <a:chOff x="11556979" y="1937259"/>
          <a:chExt cx="188140" cy="204787"/>
        </a:xfrm>
      </xdr:grpSpPr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FF91102D-0C68-97FF-C164-3CF3EEED5B9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EDB724CE-6CB7-77D3-12B1-F5B17E76A4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149</xdr:row>
      <xdr:rowOff>7360</xdr:rowOff>
    </xdr:from>
    <xdr:to>
      <xdr:col>59</xdr:col>
      <xdr:colOff>20139</xdr:colOff>
      <xdr:row>150</xdr:row>
      <xdr:rowOff>3544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4EB140BF-15C9-4046-8FEB-E81DADB75FFF}"/>
            </a:ext>
          </a:extLst>
        </xdr:cNvPr>
        <xdr:cNvGrpSpPr/>
      </xdr:nvGrpSpPr>
      <xdr:grpSpPr>
        <a:xfrm>
          <a:off x="7659172" y="27761093"/>
          <a:ext cx="36000" cy="182451"/>
          <a:chOff x="11556979" y="1937259"/>
          <a:chExt cx="188140" cy="204787"/>
        </a:xfrm>
      </xdr:grpSpPr>
      <xdr:sp macro="" textlink="">
        <xdr:nvSpPr>
          <xdr:cNvPr id="134" name="자유형: 도형 133">
            <a:extLst>
              <a:ext uri="{FF2B5EF4-FFF2-40B4-BE49-F238E27FC236}">
                <a16:creationId xmlns:a16="http://schemas.microsoft.com/office/drawing/2014/main" id="{58BBAA0E-D9A4-CA72-F577-F76C8395BB6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2FF988EF-CB42-4685-6D16-5F16D426B8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145</xdr:row>
      <xdr:rowOff>25502</xdr:rowOff>
    </xdr:from>
    <xdr:to>
      <xdr:col>58</xdr:col>
      <xdr:colOff>26187</xdr:colOff>
      <xdr:row>146</xdr:row>
      <xdr:rowOff>21686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EF46AA0D-2223-43C2-BF0F-C1DC55A5B308}"/>
            </a:ext>
          </a:extLst>
        </xdr:cNvPr>
        <xdr:cNvGrpSpPr/>
      </xdr:nvGrpSpPr>
      <xdr:grpSpPr>
        <a:xfrm>
          <a:off x="7601720" y="27034169"/>
          <a:ext cx="36000" cy="182450"/>
          <a:chOff x="11556979" y="1937259"/>
          <a:chExt cx="188140" cy="204787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5C2908AE-48C1-A52C-A278-A1C6BBD74B6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CEE870AF-1B9A-B7F1-73AF-96466092C2A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135</xdr:row>
      <xdr:rowOff>25803</xdr:rowOff>
    </xdr:from>
    <xdr:to>
      <xdr:col>58</xdr:col>
      <xdr:colOff>20444</xdr:colOff>
      <xdr:row>136</xdr:row>
      <xdr:rowOff>21988</xdr:rowOff>
    </xdr:to>
    <xdr:grpSp>
      <xdr:nvGrpSpPr>
        <xdr:cNvPr id="184" name="그룹 183">
          <a:extLst>
            <a:ext uri="{FF2B5EF4-FFF2-40B4-BE49-F238E27FC236}">
              <a16:creationId xmlns:a16="http://schemas.microsoft.com/office/drawing/2014/main" id="{04556AE1-51B8-4054-B8BD-390AE9CA5FF3}"/>
            </a:ext>
          </a:extLst>
        </xdr:cNvPr>
        <xdr:cNvGrpSpPr/>
      </xdr:nvGrpSpPr>
      <xdr:grpSpPr>
        <a:xfrm>
          <a:off x="7595977" y="25171803"/>
          <a:ext cx="36000" cy="182452"/>
          <a:chOff x="11556979" y="1937259"/>
          <a:chExt cx="188140" cy="204787"/>
        </a:xfrm>
      </xdr:grpSpPr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5351AA98-7FC3-E4E0-F818-5F3806D8341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406A2B89-75D4-CA29-B968-E7287EEA8E1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148</xdr:row>
      <xdr:rowOff>170283</xdr:rowOff>
    </xdr:from>
    <xdr:to>
      <xdr:col>39</xdr:col>
      <xdr:colOff>15102</xdr:colOff>
      <xdr:row>150</xdr:row>
      <xdr:rowOff>2108</xdr:rowOff>
    </xdr:to>
    <xdr:grpSp>
      <xdr:nvGrpSpPr>
        <xdr:cNvPr id="187" name="그룹 186">
          <a:extLst>
            <a:ext uri="{FF2B5EF4-FFF2-40B4-BE49-F238E27FC236}">
              <a16:creationId xmlns:a16="http://schemas.microsoft.com/office/drawing/2014/main" id="{0F69F479-6DE5-4DBE-BA52-BA5DD139AF5F}"/>
            </a:ext>
          </a:extLst>
        </xdr:cNvPr>
        <xdr:cNvGrpSpPr/>
      </xdr:nvGrpSpPr>
      <xdr:grpSpPr>
        <a:xfrm>
          <a:off x="6157114" y="27737750"/>
          <a:ext cx="263021" cy="204358"/>
          <a:chOff x="2051991" y="27765565"/>
          <a:chExt cx="263021" cy="202124"/>
        </a:xfrm>
      </xdr:grpSpPr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8BD7FD7B-F168-E1DA-1F02-74D495735464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2091E31D-C1EF-6218-93F6-02DDE3F6205F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40</xdr:col>
      <xdr:colOff>4896</xdr:colOff>
      <xdr:row>158</xdr:row>
      <xdr:rowOff>24493</xdr:rowOff>
    </xdr:from>
    <xdr:ext cx="510909" cy="140872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D692C64-1EE1-4CF3-940E-9DA9686CBD5F}"/>
            </a:ext>
          </a:extLst>
        </xdr:cNvPr>
        <xdr:cNvSpPr txBox="1"/>
      </xdr:nvSpPr>
      <xdr:spPr>
        <a:xfrm>
          <a:off x="6082753" y="30522636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3083</xdr:colOff>
      <xdr:row>158</xdr:row>
      <xdr:rowOff>27218</xdr:rowOff>
    </xdr:from>
    <xdr:ext cx="510909" cy="140872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5B09E7D-8106-4ADE-873A-6F916C84A51B}"/>
            </a:ext>
          </a:extLst>
        </xdr:cNvPr>
        <xdr:cNvSpPr txBox="1"/>
      </xdr:nvSpPr>
      <xdr:spPr>
        <a:xfrm>
          <a:off x="4937940" y="3052536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173</xdr:row>
      <xdr:rowOff>1886</xdr:rowOff>
    </xdr:from>
    <xdr:to>
      <xdr:col>59</xdr:col>
      <xdr:colOff>11659</xdr:colOff>
      <xdr:row>173</xdr:row>
      <xdr:rowOff>181886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E62A668B-E0CD-4F74-A37D-9C37863B4E3A}"/>
            </a:ext>
          </a:extLst>
        </xdr:cNvPr>
        <xdr:cNvGrpSpPr/>
      </xdr:nvGrpSpPr>
      <xdr:grpSpPr>
        <a:xfrm>
          <a:off x="7650692" y="32226019"/>
          <a:ext cx="36000" cy="180000"/>
          <a:chOff x="11556979" y="1937259"/>
          <a:chExt cx="188140" cy="204787"/>
        </a:xfrm>
      </xdr:grpSpPr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0975D11F-B2C7-6558-FFAB-AE7D055AED8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7" name="자유형: 도형 196">
            <a:extLst>
              <a:ext uri="{FF2B5EF4-FFF2-40B4-BE49-F238E27FC236}">
                <a16:creationId xmlns:a16="http://schemas.microsoft.com/office/drawing/2014/main" id="{05348B0B-5C95-AA5C-EB22-1D826D0FEA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173</xdr:row>
      <xdr:rowOff>131536</xdr:rowOff>
    </xdr:from>
    <xdr:to>
      <xdr:col>121</xdr:col>
      <xdr:colOff>37239</xdr:colOff>
      <xdr:row>174</xdr:row>
      <xdr:rowOff>8500</xdr:rowOff>
    </xdr:to>
    <xdr:sp macro="" textlink="">
      <xdr:nvSpPr>
        <xdr:cNvPr id="198" name="이등변 삼각형 197">
          <a:extLst>
            <a:ext uri="{FF2B5EF4-FFF2-40B4-BE49-F238E27FC236}">
              <a16:creationId xmlns:a16="http://schemas.microsoft.com/office/drawing/2014/main" id="{F39E619E-A3F6-4329-ADAA-B31691C69F81}"/>
            </a:ext>
          </a:extLst>
        </xdr:cNvPr>
        <xdr:cNvSpPr/>
      </xdr:nvSpPr>
      <xdr:spPr>
        <a:xfrm rot="10800000">
          <a:off x="11193444" y="18878690"/>
          <a:ext cx="73526" cy="62579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185</xdr:row>
      <xdr:rowOff>156873</xdr:rowOff>
    </xdr:from>
    <xdr:ext cx="557910" cy="140872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D4891BDE-A826-4CBD-9976-9A076649B750}"/>
            </a:ext>
          </a:extLst>
        </xdr:cNvPr>
        <xdr:cNvSpPr txBox="1"/>
      </xdr:nvSpPr>
      <xdr:spPr>
        <a:xfrm>
          <a:off x="3180791" y="2168825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4535</xdr:colOff>
      <xdr:row>156</xdr:row>
      <xdr:rowOff>31751</xdr:rowOff>
    </xdr:from>
    <xdr:ext cx="510909" cy="140872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26616484-0CB3-498C-BE0C-578F810303E0}"/>
            </a:ext>
          </a:extLst>
        </xdr:cNvPr>
        <xdr:cNvSpPr txBox="1"/>
      </xdr:nvSpPr>
      <xdr:spPr>
        <a:xfrm>
          <a:off x="4875892" y="3071585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41059</xdr:colOff>
      <xdr:row>156</xdr:row>
      <xdr:rowOff>9072</xdr:rowOff>
    </xdr:from>
    <xdr:to>
      <xdr:col>59</xdr:col>
      <xdr:colOff>13559</xdr:colOff>
      <xdr:row>157</xdr:row>
      <xdr:rowOff>5256</xdr:rowOff>
    </xdr:to>
    <xdr:grpSp>
      <xdr:nvGrpSpPr>
        <xdr:cNvPr id="205" name="그룹 204">
          <a:extLst>
            <a:ext uri="{FF2B5EF4-FFF2-40B4-BE49-F238E27FC236}">
              <a16:creationId xmlns:a16="http://schemas.microsoft.com/office/drawing/2014/main" id="{CD5065BE-ED38-4481-8844-4454B505B952}"/>
            </a:ext>
          </a:extLst>
        </xdr:cNvPr>
        <xdr:cNvGrpSpPr/>
      </xdr:nvGrpSpPr>
      <xdr:grpSpPr>
        <a:xfrm>
          <a:off x="7652592" y="29066672"/>
          <a:ext cx="36000" cy="182451"/>
          <a:chOff x="11556979" y="1937259"/>
          <a:chExt cx="188140" cy="204787"/>
        </a:xfrm>
      </xdr:grpSpPr>
      <xdr:sp macro="" textlink="">
        <xdr:nvSpPr>
          <xdr:cNvPr id="206" name="자유형: 도형 205">
            <a:extLst>
              <a:ext uri="{FF2B5EF4-FFF2-40B4-BE49-F238E27FC236}">
                <a16:creationId xmlns:a16="http://schemas.microsoft.com/office/drawing/2014/main" id="{63747D5F-46F4-1BA5-4528-3C4A70283A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6EF7B098-A7D3-97A6-BA73-D04EB628E9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18896</xdr:colOff>
      <xdr:row>166</xdr:row>
      <xdr:rowOff>9770</xdr:rowOff>
    </xdr:from>
    <xdr:to>
      <xdr:col>58</xdr:col>
      <xdr:colOff>54896</xdr:colOff>
      <xdr:row>167</xdr:row>
      <xdr:rowOff>4155</xdr:rowOff>
    </xdr:to>
    <xdr:grpSp>
      <xdr:nvGrpSpPr>
        <xdr:cNvPr id="208" name="그룹 207">
          <a:extLst>
            <a:ext uri="{FF2B5EF4-FFF2-40B4-BE49-F238E27FC236}">
              <a16:creationId xmlns:a16="http://schemas.microsoft.com/office/drawing/2014/main" id="{3EE1918C-CBCF-4A12-AB3C-DE8D03FF620E}"/>
            </a:ext>
          </a:extLst>
        </xdr:cNvPr>
        <xdr:cNvGrpSpPr/>
      </xdr:nvGrpSpPr>
      <xdr:grpSpPr>
        <a:xfrm>
          <a:off x="7630429" y="30930037"/>
          <a:ext cx="36000" cy="180651"/>
          <a:chOff x="11556979" y="1937259"/>
          <a:chExt cx="188140" cy="204787"/>
        </a:xfrm>
      </xdr:grpSpPr>
      <xdr:sp macro="" textlink="">
        <xdr:nvSpPr>
          <xdr:cNvPr id="209" name="자유형: 도형 208">
            <a:extLst>
              <a:ext uri="{FF2B5EF4-FFF2-40B4-BE49-F238E27FC236}">
                <a16:creationId xmlns:a16="http://schemas.microsoft.com/office/drawing/2014/main" id="{F1D89C6F-8681-F740-B49D-6C937F005A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1209FAB8-C5CA-66F9-1CE8-5FB930DBC95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167</xdr:row>
      <xdr:rowOff>182019</xdr:rowOff>
    </xdr:from>
    <xdr:to>
      <xdr:col>59</xdr:col>
      <xdr:colOff>11508</xdr:colOff>
      <xdr:row>168</xdr:row>
      <xdr:rowOff>178204</xdr:rowOff>
    </xdr:to>
    <xdr:grpSp>
      <xdr:nvGrpSpPr>
        <xdr:cNvPr id="211" name="그룹 210">
          <a:extLst>
            <a:ext uri="{FF2B5EF4-FFF2-40B4-BE49-F238E27FC236}">
              <a16:creationId xmlns:a16="http://schemas.microsoft.com/office/drawing/2014/main" id="{52EB8338-C6A7-4F2F-A141-9FB0A93CCD9B}"/>
            </a:ext>
          </a:extLst>
        </xdr:cNvPr>
        <xdr:cNvGrpSpPr/>
      </xdr:nvGrpSpPr>
      <xdr:grpSpPr>
        <a:xfrm>
          <a:off x="7650541" y="31288552"/>
          <a:ext cx="36000" cy="182452"/>
          <a:chOff x="11556979" y="1937259"/>
          <a:chExt cx="188140" cy="204787"/>
        </a:xfrm>
      </xdr:grpSpPr>
      <xdr:sp macro="" textlink="">
        <xdr:nvSpPr>
          <xdr:cNvPr id="212" name="자유형: 도형 211">
            <a:extLst>
              <a:ext uri="{FF2B5EF4-FFF2-40B4-BE49-F238E27FC236}">
                <a16:creationId xmlns:a16="http://schemas.microsoft.com/office/drawing/2014/main" id="{848AA692-E4AD-0D5B-A42E-640D9B3960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D7117F51-0F70-DF04-75DD-EB2FF14A154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170</xdr:row>
      <xdr:rowOff>21916</xdr:rowOff>
    </xdr:from>
    <xdr:to>
      <xdr:col>59</xdr:col>
      <xdr:colOff>18765</xdr:colOff>
      <xdr:row>171</xdr:row>
      <xdr:rowOff>18100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6C15573C-FABD-4BC7-9D7F-5EB27BEBA74A}"/>
            </a:ext>
          </a:extLst>
        </xdr:cNvPr>
        <xdr:cNvGrpSpPr/>
      </xdr:nvGrpSpPr>
      <xdr:grpSpPr>
        <a:xfrm>
          <a:off x="7657798" y="31687249"/>
          <a:ext cx="36000" cy="182451"/>
          <a:chOff x="11556979" y="1937259"/>
          <a:chExt cx="188140" cy="204787"/>
        </a:xfrm>
      </xdr:grpSpPr>
      <xdr:sp macro="" textlink="">
        <xdr:nvSpPr>
          <xdr:cNvPr id="215" name="자유형: 도형 214">
            <a:extLst>
              <a:ext uri="{FF2B5EF4-FFF2-40B4-BE49-F238E27FC236}">
                <a16:creationId xmlns:a16="http://schemas.microsoft.com/office/drawing/2014/main" id="{C2F000AA-835E-2E82-BD4D-22CA1185408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6" name="자유형: 도형 215">
            <a:extLst>
              <a:ext uri="{FF2B5EF4-FFF2-40B4-BE49-F238E27FC236}">
                <a16:creationId xmlns:a16="http://schemas.microsoft.com/office/drawing/2014/main" id="{A325F1AA-4369-90FD-9C96-B490B2D59A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175</xdr:row>
      <xdr:rowOff>6304</xdr:rowOff>
    </xdr:from>
    <xdr:to>
      <xdr:col>59</xdr:col>
      <xdr:colOff>11508</xdr:colOff>
      <xdr:row>176</xdr:row>
      <xdr:rowOff>2488</xdr:rowOff>
    </xdr:to>
    <xdr:grpSp>
      <xdr:nvGrpSpPr>
        <xdr:cNvPr id="217" name="그룹 216">
          <a:extLst>
            <a:ext uri="{FF2B5EF4-FFF2-40B4-BE49-F238E27FC236}">
              <a16:creationId xmlns:a16="http://schemas.microsoft.com/office/drawing/2014/main" id="{CE9264F6-702D-4E5D-BA92-F8B673DFBC73}"/>
            </a:ext>
          </a:extLst>
        </xdr:cNvPr>
        <xdr:cNvGrpSpPr/>
      </xdr:nvGrpSpPr>
      <xdr:grpSpPr>
        <a:xfrm>
          <a:off x="7650541" y="32602971"/>
          <a:ext cx="36000" cy="182450"/>
          <a:chOff x="11556979" y="1937259"/>
          <a:chExt cx="188140" cy="204787"/>
        </a:xfrm>
      </xdr:grpSpPr>
      <xdr:sp macro="" textlink="">
        <xdr:nvSpPr>
          <xdr:cNvPr id="218" name="자유형: 도형 217">
            <a:extLst>
              <a:ext uri="{FF2B5EF4-FFF2-40B4-BE49-F238E27FC236}">
                <a16:creationId xmlns:a16="http://schemas.microsoft.com/office/drawing/2014/main" id="{F3D44E8A-4A55-1EAB-C9AB-6DF6730CB6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9" name="자유형: 도형 218">
            <a:extLst>
              <a:ext uri="{FF2B5EF4-FFF2-40B4-BE49-F238E27FC236}">
                <a16:creationId xmlns:a16="http://schemas.microsoft.com/office/drawing/2014/main" id="{BA9A37A7-4BBE-4B3B-1779-8B8B0EC5AA7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180</xdr:row>
      <xdr:rowOff>2722</xdr:rowOff>
    </xdr:from>
    <xdr:to>
      <xdr:col>59</xdr:col>
      <xdr:colOff>11508</xdr:colOff>
      <xdr:row>180</xdr:row>
      <xdr:rowOff>182722</xdr:rowOff>
    </xdr:to>
    <xdr:grpSp>
      <xdr:nvGrpSpPr>
        <xdr:cNvPr id="223" name="그룹 222">
          <a:extLst>
            <a:ext uri="{FF2B5EF4-FFF2-40B4-BE49-F238E27FC236}">
              <a16:creationId xmlns:a16="http://schemas.microsoft.com/office/drawing/2014/main" id="{F5D9D2FE-0BB2-4239-BCB0-8E03C19279CA}"/>
            </a:ext>
          </a:extLst>
        </xdr:cNvPr>
        <xdr:cNvGrpSpPr/>
      </xdr:nvGrpSpPr>
      <xdr:grpSpPr>
        <a:xfrm>
          <a:off x="7650541" y="33530722"/>
          <a:ext cx="36000" cy="180000"/>
          <a:chOff x="11556979" y="1937259"/>
          <a:chExt cx="188140" cy="204787"/>
        </a:xfrm>
      </xdr:grpSpPr>
      <xdr:sp macro="" textlink="">
        <xdr:nvSpPr>
          <xdr:cNvPr id="224" name="자유형: 도형 223">
            <a:extLst>
              <a:ext uri="{FF2B5EF4-FFF2-40B4-BE49-F238E27FC236}">
                <a16:creationId xmlns:a16="http://schemas.microsoft.com/office/drawing/2014/main" id="{D2F25EF9-1D4C-EE91-EA8A-824A29CD787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5" name="자유형: 도형 224">
            <a:extLst>
              <a:ext uri="{FF2B5EF4-FFF2-40B4-BE49-F238E27FC236}">
                <a16:creationId xmlns:a16="http://schemas.microsoft.com/office/drawing/2014/main" id="{DC7A1B0A-7450-A40C-15A0-FDFFEDAF4B5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182</xdr:row>
      <xdr:rowOff>21676</xdr:rowOff>
    </xdr:from>
    <xdr:to>
      <xdr:col>59</xdr:col>
      <xdr:colOff>18765</xdr:colOff>
      <xdr:row>183</xdr:row>
      <xdr:rowOff>17860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CB6AD17E-E7BC-4C2D-9F96-0148DC3435ED}"/>
            </a:ext>
          </a:extLst>
        </xdr:cNvPr>
        <xdr:cNvGrpSpPr/>
      </xdr:nvGrpSpPr>
      <xdr:grpSpPr>
        <a:xfrm>
          <a:off x="7657798" y="33922209"/>
          <a:ext cx="36000" cy="182451"/>
          <a:chOff x="11556979" y="1937259"/>
          <a:chExt cx="188140" cy="204787"/>
        </a:xfrm>
      </xdr:grpSpPr>
      <xdr:sp macro="" textlink="">
        <xdr:nvSpPr>
          <xdr:cNvPr id="227" name="자유형: 도형 226">
            <a:extLst>
              <a:ext uri="{FF2B5EF4-FFF2-40B4-BE49-F238E27FC236}">
                <a16:creationId xmlns:a16="http://schemas.microsoft.com/office/drawing/2014/main" id="{AB4A3E2C-2284-F3B2-EACA-A26DD6C4C15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8" name="자유형: 도형 227">
            <a:extLst>
              <a:ext uri="{FF2B5EF4-FFF2-40B4-BE49-F238E27FC236}">
                <a16:creationId xmlns:a16="http://schemas.microsoft.com/office/drawing/2014/main" id="{BF065A1E-2B78-8DE4-98A7-3B4C5DD61CC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187</xdr:row>
      <xdr:rowOff>184087</xdr:rowOff>
    </xdr:from>
    <xdr:ext cx="557910" cy="140872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CEAD479-ED9B-4758-880F-5D9CF827F7C8}"/>
            </a:ext>
          </a:extLst>
        </xdr:cNvPr>
        <xdr:cNvSpPr txBox="1"/>
      </xdr:nvSpPr>
      <xdr:spPr>
        <a:xfrm>
          <a:off x="3167184" y="22086702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185</xdr:row>
      <xdr:rowOff>2149</xdr:rowOff>
    </xdr:from>
    <xdr:to>
      <xdr:col>59</xdr:col>
      <xdr:colOff>4251</xdr:colOff>
      <xdr:row>185</xdr:row>
      <xdr:rowOff>182149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3681149-454E-43F1-8FD3-155E93E69048}"/>
            </a:ext>
          </a:extLst>
        </xdr:cNvPr>
        <xdr:cNvGrpSpPr/>
      </xdr:nvGrpSpPr>
      <xdr:grpSpPr>
        <a:xfrm>
          <a:off x="7643284" y="34461482"/>
          <a:ext cx="36000" cy="180000"/>
          <a:chOff x="11556979" y="1937259"/>
          <a:chExt cx="188140" cy="204787"/>
        </a:xfrm>
      </xdr:grpSpPr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1E7A9ACA-C0CA-2761-EA53-70BCB9CBC9D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2" name="자유형: 도형 231">
            <a:extLst>
              <a:ext uri="{FF2B5EF4-FFF2-40B4-BE49-F238E27FC236}">
                <a16:creationId xmlns:a16="http://schemas.microsoft.com/office/drawing/2014/main" id="{50B658E0-CEE3-5A73-EAA2-3FE4D99F0F9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187</xdr:row>
      <xdr:rowOff>7258</xdr:rowOff>
    </xdr:from>
    <xdr:to>
      <xdr:col>59</xdr:col>
      <xdr:colOff>11508</xdr:colOff>
      <xdr:row>188</xdr:row>
      <xdr:rowOff>1642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B89A367-3B60-45D9-8B2E-612F35C9C808}"/>
            </a:ext>
          </a:extLst>
        </xdr:cNvPr>
        <xdr:cNvGrpSpPr/>
      </xdr:nvGrpSpPr>
      <xdr:grpSpPr>
        <a:xfrm>
          <a:off x="7650541" y="34839125"/>
          <a:ext cx="36000" cy="180650"/>
          <a:chOff x="11556979" y="1937259"/>
          <a:chExt cx="188140" cy="204787"/>
        </a:xfrm>
      </xdr:grpSpPr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47C72540-D5B8-2D7E-8D17-9DCFD66A007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5" name="자유형: 도형 234">
            <a:extLst>
              <a:ext uri="{FF2B5EF4-FFF2-40B4-BE49-F238E27FC236}">
                <a16:creationId xmlns:a16="http://schemas.microsoft.com/office/drawing/2014/main" id="{479853B1-E231-2924-E84F-70432F1C7F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35378</xdr:colOff>
      <xdr:row>175</xdr:row>
      <xdr:rowOff>136072</xdr:rowOff>
    </xdr:from>
    <xdr:to>
      <xdr:col>35</xdr:col>
      <xdr:colOff>39054</xdr:colOff>
      <xdr:row>176</xdr:row>
      <xdr:rowOff>2150</xdr:rowOff>
    </xdr:to>
    <xdr:sp macro="" textlink="">
      <xdr:nvSpPr>
        <xdr:cNvPr id="236" name="이등변 삼각형 235">
          <a:extLst>
            <a:ext uri="{FF2B5EF4-FFF2-40B4-BE49-F238E27FC236}">
              <a16:creationId xmlns:a16="http://schemas.microsoft.com/office/drawing/2014/main" id="{D897F863-9259-4FB0-BFF7-34BD0A8325C2}"/>
            </a:ext>
          </a:extLst>
        </xdr:cNvPr>
        <xdr:cNvSpPr/>
      </xdr:nvSpPr>
      <xdr:spPr>
        <a:xfrm rot="10800000">
          <a:off x="5845628" y="32892547"/>
          <a:ext cx="70351" cy="47053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175</xdr:row>
      <xdr:rowOff>147865</xdr:rowOff>
    </xdr:from>
    <xdr:to>
      <xdr:col>49</xdr:col>
      <xdr:colOff>39961</xdr:colOff>
      <xdr:row>176</xdr:row>
      <xdr:rowOff>6686</xdr:rowOff>
    </xdr:to>
    <xdr:sp macro="" textlink="">
      <xdr:nvSpPr>
        <xdr:cNvPr id="237" name="이등변 삼각형 236">
          <a:extLst>
            <a:ext uri="{FF2B5EF4-FFF2-40B4-BE49-F238E27FC236}">
              <a16:creationId xmlns:a16="http://schemas.microsoft.com/office/drawing/2014/main" id="{74BD8876-6160-4B16-8E91-D716FE2E6BAA}"/>
            </a:ext>
          </a:extLst>
        </xdr:cNvPr>
        <xdr:cNvSpPr/>
      </xdr:nvSpPr>
      <xdr:spPr>
        <a:xfrm rot="10800000">
          <a:off x="6624166" y="19266250"/>
          <a:ext cx="73526" cy="44436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858171</xdr:colOff>
      <xdr:row>135</xdr:row>
      <xdr:rowOff>142594</xdr:rowOff>
    </xdr:from>
    <xdr:ext cx="368819" cy="140872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50566B1-04A2-4677-9AB8-EBAC54BFB906}"/>
            </a:ext>
          </a:extLst>
        </xdr:cNvPr>
        <xdr:cNvSpPr txBox="1"/>
      </xdr:nvSpPr>
      <xdr:spPr>
        <a:xfrm>
          <a:off x="3476325" y="12578825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2015</xdr:colOff>
      <xdr:row>130</xdr:row>
      <xdr:rowOff>28222</xdr:rowOff>
    </xdr:from>
    <xdr:to>
      <xdr:col>11</xdr:col>
      <xdr:colOff>2015</xdr:colOff>
      <xdr:row>131</xdr:row>
      <xdr:rowOff>130258</xdr:rowOff>
    </xdr:to>
    <xdr:cxnSp macro="">
      <xdr:nvCxnSpPr>
        <xdr:cNvPr id="242" name="직선 연결선 241">
          <a:extLst>
            <a:ext uri="{FF2B5EF4-FFF2-40B4-BE49-F238E27FC236}">
              <a16:creationId xmlns:a16="http://schemas.microsoft.com/office/drawing/2014/main" id="{A09A5413-4898-49A4-ADE2-17FF2182E813}"/>
            </a:ext>
          </a:extLst>
        </xdr:cNvPr>
        <xdr:cNvCxnSpPr/>
      </xdr:nvCxnSpPr>
      <xdr:spPr>
        <a:xfrm>
          <a:off x="4246746" y="11536376"/>
          <a:ext cx="0" cy="2876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130</xdr:row>
      <xdr:rowOff>100797</xdr:rowOff>
    </xdr:from>
    <xdr:to>
      <xdr:col>11</xdr:col>
      <xdr:colOff>19444</xdr:colOff>
      <xdr:row>130</xdr:row>
      <xdr:rowOff>100797</xdr:rowOff>
    </xdr:to>
    <xdr:cxnSp macro="">
      <xdr:nvCxnSpPr>
        <xdr:cNvPr id="244" name="직선 화살표 연결선 243">
          <a:extLst>
            <a:ext uri="{FF2B5EF4-FFF2-40B4-BE49-F238E27FC236}">
              <a16:creationId xmlns:a16="http://schemas.microsoft.com/office/drawing/2014/main" id="{3BD9DED0-FB78-4A9E-ABA5-36031D5F9A28}"/>
            </a:ext>
          </a:extLst>
        </xdr:cNvPr>
        <xdr:cNvCxnSpPr/>
      </xdr:nvCxnSpPr>
      <xdr:spPr>
        <a:xfrm>
          <a:off x="4174175" y="11608951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133</xdr:row>
      <xdr:rowOff>149734</xdr:rowOff>
    </xdr:from>
    <xdr:ext cx="340093" cy="125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17D67E90-A222-417C-A2A3-E54AE5338628}"/>
            </a:ext>
          </a:extLst>
        </xdr:cNvPr>
        <xdr:cNvSpPr txBox="1"/>
      </xdr:nvSpPr>
      <xdr:spPr>
        <a:xfrm>
          <a:off x="6105273" y="12214734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133</xdr:row>
      <xdr:rowOff>149678</xdr:rowOff>
    </xdr:from>
    <xdr:ext cx="340093" cy="125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27D77B8C-589C-46A8-B409-C2B32F230A8B}"/>
            </a:ext>
          </a:extLst>
        </xdr:cNvPr>
        <xdr:cNvSpPr txBox="1"/>
      </xdr:nvSpPr>
      <xdr:spPr>
        <a:xfrm>
          <a:off x="4938893" y="12214678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134</xdr:row>
      <xdr:rowOff>95421</xdr:rowOff>
    </xdr:from>
    <xdr:to>
      <xdr:col>16</xdr:col>
      <xdr:colOff>22193</xdr:colOff>
      <xdr:row>134</xdr:row>
      <xdr:rowOff>95421</xdr:rowOff>
    </xdr:to>
    <xdr:cxnSp macro="">
      <xdr:nvCxnSpPr>
        <xdr:cNvPr id="249" name="직선 화살표 연결선 248">
          <a:extLst>
            <a:ext uri="{FF2B5EF4-FFF2-40B4-BE49-F238E27FC236}">
              <a16:creationId xmlns:a16="http://schemas.microsoft.com/office/drawing/2014/main" id="{1BCEC997-E231-4767-B917-42E4CF2E88C1}"/>
            </a:ext>
          </a:extLst>
        </xdr:cNvPr>
        <xdr:cNvCxnSpPr/>
      </xdr:nvCxnSpPr>
      <xdr:spPr>
        <a:xfrm>
          <a:off x="4296424" y="12346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133</xdr:row>
      <xdr:rowOff>145089</xdr:rowOff>
    </xdr:from>
    <xdr:ext cx="285784" cy="125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D99D5A4-9BB3-4A41-B0E4-C83BFABAA673}"/>
            </a:ext>
          </a:extLst>
        </xdr:cNvPr>
        <xdr:cNvSpPr txBox="1"/>
      </xdr:nvSpPr>
      <xdr:spPr>
        <a:xfrm>
          <a:off x="4283537" y="12210089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134</xdr:row>
      <xdr:rowOff>96762</xdr:rowOff>
    </xdr:from>
    <xdr:to>
      <xdr:col>34</xdr:col>
      <xdr:colOff>16254</xdr:colOff>
      <xdr:row>134</xdr:row>
      <xdr:rowOff>96762</xdr:rowOff>
    </xdr:to>
    <xdr:cxnSp macro="">
      <xdr:nvCxnSpPr>
        <xdr:cNvPr id="251" name="직선 화살표 연결선 250">
          <a:extLst>
            <a:ext uri="{FF2B5EF4-FFF2-40B4-BE49-F238E27FC236}">
              <a16:creationId xmlns:a16="http://schemas.microsoft.com/office/drawing/2014/main" id="{9E24BCB4-2FDF-4CF4-8C30-C94F9A925C5B}"/>
            </a:ext>
          </a:extLst>
        </xdr:cNvPr>
        <xdr:cNvCxnSpPr/>
      </xdr:nvCxnSpPr>
      <xdr:spPr>
        <a:xfrm>
          <a:off x="4569485" y="1234737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134</xdr:row>
      <xdr:rowOff>98501</xdr:rowOff>
    </xdr:from>
    <xdr:to>
      <xdr:col>38</xdr:col>
      <xdr:colOff>17353</xdr:colOff>
      <xdr:row>134</xdr:row>
      <xdr:rowOff>98501</xdr:rowOff>
    </xdr:to>
    <xdr:cxnSp macro="">
      <xdr:nvCxnSpPr>
        <xdr:cNvPr id="252" name="직선 화살표 연결선 251">
          <a:extLst>
            <a:ext uri="{FF2B5EF4-FFF2-40B4-BE49-F238E27FC236}">
              <a16:creationId xmlns:a16="http://schemas.microsoft.com/office/drawing/2014/main" id="{6844C438-C232-4990-8B89-F0204D46DEAB}"/>
            </a:ext>
          </a:extLst>
        </xdr:cNvPr>
        <xdr:cNvCxnSpPr/>
      </xdr:nvCxnSpPr>
      <xdr:spPr>
        <a:xfrm>
          <a:off x="5688584" y="1234911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133</xdr:row>
      <xdr:rowOff>148168</xdr:rowOff>
    </xdr:from>
    <xdr:ext cx="285784" cy="125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DF68FFAB-2687-4CC8-8C0E-C0BF680BB925}"/>
            </a:ext>
          </a:extLst>
        </xdr:cNvPr>
        <xdr:cNvSpPr txBox="1"/>
      </xdr:nvSpPr>
      <xdr:spPr>
        <a:xfrm>
          <a:off x="5695856" y="1221316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134</xdr:row>
      <xdr:rowOff>96314</xdr:rowOff>
    </xdr:from>
    <xdr:to>
      <xdr:col>48</xdr:col>
      <xdr:colOff>10882</xdr:colOff>
      <xdr:row>134</xdr:row>
      <xdr:rowOff>96314</xdr:rowOff>
    </xdr:to>
    <xdr:cxnSp macro="">
      <xdr:nvCxnSpPr>
        <xdr:cNvPr id="254" name="직선 화살표 연결선 253">
          <a:extLst>
            <a:ext uri="{FF2B5EF4-FFF2-40B4-BE49-F238E27FC236}">
              <a16:creationId xmlns:a16="http://schemas.microsoft.com/office/drawing/2014/main" id="{77A8AAA8-B378-4468-9B47-BBF518AD66F6}"/>
            </a:ext>
          </a:extLst>
        </xdr:cNvPr>
        <xdr:cNvCxnSpPr/>
      </xdr:nvCxnSpPr>
      <xdr:spPr>
        <a:xfrm>
          <a:off x="5957113" y="123469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133</xdr:row>
      <xdr:rowOff>50098</xdr:rowOff>
    </xdr:from>
    <xdr:to>
      <xdr:col>12</xdr:col>
      <xdr:colOff>706</xdr:colOff>
      <xdr:row>159</xdr:row>
      <xdr:rowOff>82320</xdr:rowOff>
    </xdr:to>
    <xdr:cxnSp macro="">
      <xdr:nvCxnSpPr>
        <xdr:cNvPr id="255" name="직선 연결선 254">
          <a:extLst>
            <a:ext uri="{FF2B5EF4-FFF2-40B4-BE49-F238E27FC236}">
              <a16:creationId xmlns:a16="http://schemas.microsoft.com/office/drawing/2014/main" id="{1077E655-2380-4EF0-B532-948E9D12DE1F}"/>
            </a:ext>
          </a:extLst>
        </xdr:cNvPr>
        <xdr:cNvCxnSpPr/>
      </xdr:nvCxnSpPr>
      <xdr:spPr>
        <a:xfrm>
          <a:off x="4308937" y="12115098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133</xdr:row>
      <xdr:rowOff>152404</xdr:rowOff>
    </xdr:from>
    <xdr:to>
      <xdr:col>38</xdr:col>
      <xdr:colOff>702</xdr:colOff>
      <xdr:row>134</xdr:row>
      <xdr:rowOff>148960</xdr:rowOff>
    </xdr:to>
    <xdr:cxnSp macro="">
      <xdr:nvCxnSpPr>
        <xdr:cNvPr id="256" name="직선 연결선 255">
          <a:extLst>
            <a:ext uri="{FF2B5EF4-FFF2-40B4-BE49-F238E27FC236}">
              <a16:creationId xmlns:a16="http://schemas.microsoft.com/office/drawing/2014/main" id="{014BCFA4-7B7C-4BCD-85D8-C49034E58840}"/>
            </a:ext>
          </a:extLst>
        </xdr:cNvPr>
        <xdr:cNvCxnSpPr/>
      </xdr:nvCxnSpPr>
      <xdr:spPr>
        <a:xfrm>
          <a:off x="5959933" y="12217404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133</xdr:row>
      <xdr:rowOff>159458</xdr:rowOff>
    </xdr:from>
    <xdr:to>
      <xdr:col>48</xdr:col>
      <xdr:colOff>715</xdr:colOff>
      <xdr:row>134</xdr:row>
      <xdr:rowOff>156014</xdr:rowOff>
    </xdr:to>
    <xdr:cxnSp macro="">
      <xdr:nvCxnSpPr>
        <xdr:cNvPr id="257" name="직선 연결선 256">
          <a:extLst>
            <a:ext uri="{FF2B5EF4-FFF2-40B4-BE49-F238E27FC236}">
              <a16:creationId xmlns:a16="http://schemas.microsoft.com/office/drawing/2014/main" id="{33591845-C195-4E87-87DE-B183003370CE}"/>
            </a:ext>
          </a:extLst>
        </xdr:cNvPr>
        <xdr:cNvCxnSpPr/>
      </xdr:nvCxnSpPr>
      <xdr:spPr>
        <a:xfrm>
          <a:off x="6594946" y="12224458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133</xdr:row>
      <xdr:rowOff>153107</xdr:rowOff>
    </xdr:from>
    <xdr:to>
      <xdr:col>16</xdr:col>
      <xdr:colOff>1411</xdr:colOff>
      <xdr:row>134</xdr:row>
      <xdr:rowOff>149663</xdr:rowOff>
    </xdr:to>
    <xdr:cxnSp macro="">
      <xdr:nvCxnSpPr>
        <xdr:cNvPr id="258" name="직선 연결선 257">
          <a:extLst>
            <a:ext uri="{FF2B5EF4-FFF2-40B4-BE49-F238E27FC236}">
              <a16:creationId xmlns:a16="http://schemas.microsoft.com/office/drawing/2014/main" id="{CB77FE39-C3F6-4AA1-9C02-255AD15BDA02}"/>
            </a:ext>
          </a:extLst>
        </xdr:cNvPr>
        <xdr:cNvCxnSpPr/>
      </xdr:nvCxnSpPr>
      <xdr:spPr>
        <a:xfrm>
          <a:off x="4563642" y="12218107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133</xdr:row>
      <xdr:rowOff>160162</xdr:rowOff>
    </xdr:from>
    <xdr:to>
      <xdr:col>34</xdr:col>
      <xdr:colOff>1411</xdr:colOff>
      <xdr:row>134</xdr:row>
      <xdr:rowOff>156718</xdr:rowOff>
    </xdr:to>
    <xdr:cxnSp macro="">
      <xdr:nvCxnSpPr>
        <xdr:cNvPr id="259" name="직선 연결선 258">
          <a:extLst>
            <a:ext uri="{FF2B5EF4-FFF2-40B4-BE49-F238E27FC236}">
              <a16:creationId xmlns:a16="http://schemas.microsoft.com/office/drawing/2014/main" id="{85DA8A53-37E5-493B-9A3A-82CD36F244DC}"/>
            </a:ext>
          </a:extLst>
        </xdr:cNvPr>
        <xdr:cNvCxnSpPr/>
      </xdr:nvCxnSpPr>
      <xdr:spPr>
        <a:xfrm>
          <a:off x="5706642" y="12225162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136</xdr:row>
      <xdr:rowOff>70553</xdr:rowOff>
    </xdr:from>
    <xdr:to>
      <xdr:col>34</xdr:col>
      <xdr:colOff>63498</xdr:colOff>
      <xdr:row>162</xdr:row>
      <xdr:rowOff>66775</xdr:rowOff>
    </xdr:to>
    <xdr:cxnSp macro="">
      <xdr:nvCxnSpPr>
        <xdr:cNvPr id="260" name="직선 연결선 259">
          <a:extLst>
            <a:ext uri="{FF2B5EF4-FFF2-40B4-BE49-F238E27FC236}">
              <a16:creationId xmlns:a16="http://schemas.microsoft.com/office/drawing/2014/main" id="{9BE59D65-C839-4512-B5BF-5A0278FAF7AE}"/>
            </a:ext>
          </a:extLst>
        </xdr:cNvPr>
        <xdr:cNvCxnSpPr/>
      </xdr:nvCxnSpPr>
      <xdr:spPr>
        <a:xfrm flipH="1">
          <a:off x="5768729" y="12692399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138</xdr:row>
      <xdr:rowOff>79733</xdr:rowOff>
    </xdr:from>
    <xdr:to>
      <xdr:col>39</xdr:col>
      <xdr:colOff>460</xdr:colOff>
      <xdr:row>162</xdr:row>
      <xdr:rowOff>82844</xdr:rowOff>
    </xdr:to>
    <xdr:cxnSp macro="">
      <xdr:nvCxnSpPr>
        <xdr:cNvPr id="261" name="직선 연결선 260">
          <a:extLst>
            <a:ext uri="{FF2B5EF4-FFF2-40B4-BE49-F238E27FC236}">
              <a16:creationId xmlns:a16="http://schemas.microsoft.com/office/drawing/2014/main" id="{F235EC23-1B0E-429C-9CB8-C6DEE5320951}"/>
            </a:ext>
          </a:extLst>
        </xdr:cNvPr>
        <xdr:cNvCxnSpPr/>
      </xdr:nvCxnSpPr>
      <xdr:spPr>
        <a:xfrm flipH="1">
          <a:off x="6023191" y="13072810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137</xdr:row>
      <xdr:rowOff>25803</xdr:rowOff>
    </xdr:from>
    <xdr:to>
      <xdr:col>58</xdr:col>
      <xdr:colOff>20444</xdr:colOff>
      <xdr:row>138</xdr:row>
      <xdr:rowOff>21988</xdr:rowOff>
    </xdr:to>
    <xdr:grpSp>
      <xdr:nvGrpSpPr>
        <xdr:cNvPr id="262" name="그룹 261">
          <a:extLst>
            <a:ext uri="{FF2B5EF4-FFF2-40B4-BE49-F238E27FC236}">
              <a16:creationId xmlns:a16="http://schemas.microsoft.com/office/drawing/2014/main" id="{392E2BB7-9236-4422-AD49-9174972C18EE}"/>
            </a:ext>
          </a:extLst>
        </xdr:cNvPr>
        <xdr:cNvGrpSpPr/>
      </xdr:nvGrpSpPr>
      <xdr:grpSpPr>
        <a:xfrm>
          <a:off x="7595977" y="25544336"/>
          <a:ext cx="36000" cy="182452"/>
          <a:chOff x="11556979" y="1937259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AB8D8A3B-3405-A2E8-8322-894175AD94D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4" name="자유형: 도형 263">
            <a:extLst>
              <a:ext uri="{FF2B5EF4-FFF2-40B4-BE49-F238E27FC236}">
                <a16:creationId xmlns:a16="http://schemas.microsoft.com/office/drawing/2014/main" id="{5D67BB1F-F57C-1493-13F2-5A206DE6DB1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5" name="그룹 264">
          <a:extLst>
            <a:ext uri="{FF2B5EF4-FFF2-40B4-BE49-F238E27FC236}">
              <a16:creationId xmlns:a16="http://schemas.microsoft.com/office/drawing/2014/main" id="{80CD5766-A364-4DC6-A4DE-51822101A3BE}"/>
            </a:ext>
          </a:extLst>
        </xdr:cNvPr>
        <xdr:cNvGrpSpPr/>
      </xdr:nvGrpSpPr>
      <xdr:grpSpPr>
        <a:xfrm>
          <a:off x="7595977" y="25916870"/>
          <a:ext cx="36000" cy="182451"/>
          <a:chOff x="11556979" y="1937259"/>
          <a:chExt cx="188140" cy="204787"/>
        </a:xfrm>
      </xdr:grpSpPr>
      <xdr:sp macro="" textlink="">
        <xdr:nvSpPr>
          <xdr:cNvPr id="266" name="자유형: 도형 265">
            <a:extLst>
              <a:ext uri="{FF2B5EF4-FFF2-40B4-BE49-F238E27FC236}">
                <a16:creationId xmlns:a16="http://schemas.microsoft.com/office/drawing/2014/main" id="{2A2417A3-A435-8FD6-81C5-E7726ABDB5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7" name="자유형: 도형 266">
            <a:extLst>
              <a:ext uri="{FF2B5EF4-FFF2-40B4-BE49-F238E27FC236}">
                <a16:creationId xmlns:a16="http://schemas.microsoft.com/office/drawing/2014/main" id="{C887BA34-AD2E-2B54-BA37-53C0A22C806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8" name="그룹 267">
          <a:extLst>
            <a:ext uri="{FF2B5EF4-FFF2-40B4-BE49-F238E27FC236}">
              <a16:creationId xmlns:a16="http://schemas.microsoft.com/office/drawing/2014/main" id="{C35028A1-8681-46C6-AEA3-81710A5F43CC}"/>
            </a:ext>
          </a:extLst>
        </xdr:cNvPr>
        <xdr:cNvGrpSpPr/>
      </xdr:nvGrpSpPr>
      <xdr:grpSpPr>
        <a:xfrm>
          <a:off x="7595977" y="25916870"/>
          <a:ext cx="36000" cy="182451"/>
          <a:chOff x="11556979" y="1937259"/>
          <a:chExt cx="188140" cy="204787"/>
        </a:xfrm>
      </xdr:grpSpPr>
      <xdr:sp macro="" textlink="">
        <xdr:nvSpPr>
          <xdr:cNvPr id="269" name="자유형: 도형 268">
            <a:extLst>
              <a:ext uri="{FF2B5EF4-FFF2-40B4-BE49-F238E27FC236}">
                <a16:creationId xmlns:a16="http://schemas.microsoft.com/office/drawing/2014/main" id="{365A81B7-2214-C186-7EB4-6C021586109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0" name="자유형: 도형 269">
            <a:extLst>
              <a:ext uri="{FF2B5EF4-FFF2-40B4-BE49-F238E27FC236}">
                <a16:creationId xmlns:a16="http://schemas.microsoft.com/office/drawing/2014/main" id="{6379ED18-A22B-5807-A69E-7E5C5225D62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136</xdr:row>
      <xdr:rowOff>70554</xdr:rowOff>
    </xdr:from>
    <xdr:to>
      <xdr:col>48</xdr:col>
      <xdr:colOff>63498</xdr:colOff>
      <xdr:row>162</xdr:row>
      <xdr:rowOff>66776</xdr:rowOff>
    </xdr:to>
    <xdr:cxnSp macro="">
      <xdr:nvCxnSpPr>
        <xdr:cNvPr id="271" name="직선 연결선 270">
          <a:extLst>
            <a:ext uri="{FF2B5EF4-FFF2-40B4-BE49-F238E27FC236}">
              <a16:creationId xmlns:a16="http://schemas.microsoft.com/office/drawing/2014/main" id="{657B3B63-4B46-43FC-804F-8130F4AE01CA}"/>
            </a:ext>
          </a:extLst>
        </xdr:cNvPr>
        <xdr:cNvCxnSpPr/>
      </xdr:nvCxnSpPr>
      <xdr:spPr>
        <a:xfrm flipH="1">
          <a:off x="6657729" y="12692400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138</xdr:row>
      <xdr:rowOff>79734</xdr:rowOff>
    </xdr:from>
    <xdr:to>
      <xdr:col>53</xdr:col>
      <xdr:colOff>460</xdr:colOff>
      <xdr:row>162</xdr:row>
      <xdr:rowOff>82845</xdr:rowOff>
    </xdr:to>
    <xdr:cxnSp macro="">
      <xdr:nvCxnSpPr>
        <xdr:cNvPr id="272" name="직선 연결선 271">
          <a:extLst>
            <a:ext uri="{FF2B5EF4-FFF2-40B4-BE49-F238E27FC236}">
              <a16:creationId xmlns:a16="http://schemas.microsoft.com/office/drawing/2014/main" id="{7F432D0C-E564-4546-8E28-BB7474C9A08F}"/>
            </a:ext>
          </a:extLst>
        </xdr:cNvPr>
        <xdr:cNvCxnSpPr/>
      </xdr:nvCxnSpPr>
      <xdr:spPr>
        <a:xfrm flipH="1">
          <a:off x="6912191" y="13072811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136</xdr:row>
      <xdr:rowOff>63498</xdr:rowOff>
    </xdr:from>
    <xdr:to>
      <xdr:col>121</xdr:col>
      <xdr:colOff>0</xdr:colOff>
      <xdr:row>162</xdr:row>
      <xdr:rowOff>59720</xdr:rowOff>
    </xdr:to>
    <xdr:cxnSp macro="">
      <xdr:nvCxnSpPr>
        <xdr:cNvPr id="273" name="직선 연결선 272">
          <a:extLst>
            <a:ext uri="{FF2B5EF4-FFF2-40B4-BE49-F238E27FC236}">
              <a16:creationId xmlns:a16="http://schemas.microsoft.com/office/drawing/2014/main" id="{4537F724-5736-49AD-86B5-D7CF7C5AC6C1}"/>
            </a:ext>
          </a:extLst>
        </xdr:cNvPr>
        <xdr:cNvCxnSpPr/>
      </xdr:nvCxnSpPr>
      <xdr:spPr>
        <a:xfrm flipH="1">
          <a:off x="11229731" y="12685344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138</xdr:row>
      <xdr:rowOff>72678</xdr:rowOff>
    </xdr:from>
    <xdr:to>
      <xdr:col>125</xdr:col>
      <xdr:colOff>462</xdr:colOff>
      <xdr:row>162</xdr:row>
      <xdr:rowOff>75789</xdr:rowOff>
    </xdr:to>
    <xdr:cxnSp macro="">
      <xdr:nvCxnSpPr>
        <xdr:cNvPr id="274" name="직선 연결선 273">
          <a:extLst>
            <a:ext uri="{FF2B5EF4-FFF2-40B4-BE49-F238E27FC236}">
              <a16:creationId xmlns:a16="http://schemas.microsoft.com/office/drawing/2014/main" id="{1011F374-A17E-45E1-9B57-A1496A295B57}"/>
            </a:ext>
          </a:extLst>
        </xdr:cNvPr>
        <xdr:cNvCxnSpPr/>
      </xdr:nvCxnSpPr>
      <xdr:spPr>
        <a:xfrm flipH="1">
          <a:off x="11484193" y="13065755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652404</xdr:colOff>
      <xdr:row>158</xdr:row>
      <xdr:rowOff>162865</xdr:rowOff>
    </xdr:from>
    <xdr:ext cx="562655" cy="140872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6FA5642-1FB5-4196-84D5-8DAA5E7286F9}"/>
            </a:ext>
          </a:extLst>
        </xdr:cNvPr>
        <xdr:cNvSpPr txBox="1"/>
      </xdr:nvSpPr>
      <xdr:spPr>
        <a:xfrm>
          <a:off x="3270558" y="28562019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604172</xdr:colOff>
      <xdr:row>163</xdr:row>
      <xdr:rowOff>157937</xdr:rowOff>
    </xdr:from>
    <xdr:ext cx="592535" cy="140872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9EEF4A6B-90BC-407D-AA7B-E45C07319FF0}"/>
            </a:ext>
          </a:extLst>
        </xdr:cNvPr>
        <xdr:cNvSpPr txBox="1"/>
      </xdr:nvSpPr>
      <xdr:spPr>
        <a:xfrm>
          <a:off x="3222326" y="29485168"/>
          <a:ext cx="59253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svi_falling1,2</a:t>
          </a:r>
        </a:p>
      </xdr:txBody>
    </xdr:sp>
    <xdr:clientData/>
  </xdr:oneCellAnchor>
  <xdr:oneCellAnchor>
    <xdr:from>
      <xdr:col>4</xdr:col>
      <xdr:colOff>585610</xdr:colOff>
      <xdr:row>160</xdr:row>
      <xdr:rowOff>145346</xdr:rowOff>
    </xdr:from>
    <xdr:ext cx="638060" cy="140872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C0EDA261-3C6C-4464-9880-E5861D6271BB}"/>
            </a:ext>
          </a:extLst>
        </xdr:cNvPr>
        <xdr:cNvSpPr txBox="1"/>
      </xdr:nvSpPr>
      <xdr:spPr>
        <a:xfrm>
          <a:off x="3203764" y="16479500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638457</xdr:colOff>
      <xdr:row>149</xdr:row>
      <xdr:rowOff>168997</xdr:rowOff>
    </xdr:from>
    <xdr:ext cx="584263" cy="140872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36E36C09-9C8D-4B30-A50F-FB81F79CF664}"/>
            </a:ext>
          </a:extLst>
        </xdr:cNvPr>
        <xdr:cNvSpPr txBox="1"/>
      </xdr:nvSpPr>
      <xdr:spPr>
        <a:xfrm>
          <a:off x="3256611" y="27640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1,2</a:t>
          </a:r>
        </a:p>
      </xdr:txBody>
    </xdr:sp>
    <xdr:clientData/>
  </xdr:oneCellAnchor>
  <xdr:oneCellAnchor>
    <xdr:from>
      <xdr:col>4</xdr:col>
      <xdr:colOff>645040</xdr:colOff>
      <xdr:row>156</xdr:row>
      <xdr:rowOff>168519</xdr:rowOff>
    </xdr:from>
    <xdr:ext cx="562655" cy="140872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6DD9624-BC2E-464A-9FB8-D41AC301880C}"/>
            </a:ext>
          </a:extLst>
        </xdr:cNvPr>
        <xdr:cNvSpPr txBox="1"/>
      </xdr:nvSpPr>
      <xdr:spPr>
        <a:xfrm>
          <a:off x="3263194" y="28196442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651103</xdr:colOff>
      <xdr:row>147</xdr:row>
      <xdr:rowOff>182185</xdr:rowOff>
    </xdr:from>
    <xdr:ext cx="584263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E60F7AED-5D12-41BD-82E5-0571D09168F4}"/>
            </a:ext>
          </a:extLst>
        </xdr:cNvPr>
        <xdr:cNvSpPr txBox="1"/>
      </xdr:nvSpPr>
      <xdr:spPr>
        <a:xfrm>
          <a:off x="3269257" y="2728203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194028</xdr:colOff>
      <xdr:row>150</xdr:row>
      <xdr:rowOff>172861</xdr:rowOff>
    </xdr:from>
    <xdr:ext cx="1031180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CBE669E1-78D7-4D7B-8BA8-38617F0BAF21}"/>
            </a:ext>
          </a:extLst>
        </xdr:cNvPr>
        <xdr:cNvSpPr txBox="1"/>
      </xdr:nvSpPr>
      <xdr:spPr>
        <a:xfrm>
          <a:off x="2812182" y="1539332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593479</xdr:colOff>
      <xdr:row>98</xdr:row>
      <xdr:rowOff>178995</xdr:rowOff>
    </xdr:from>
    <xdr:ext cx="638060" cy="140872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8DEC2EE2-24C8-45A6-B52B-B5F2E6B49B4F}"/>
            </a:ext>
          </a:extLst>
        </xdr:cNvPr>
        <xdr:cNvSpPr txBox="1"/>
      </xdr:nvSpPr>
      <xdr:spPr>
        <a:xfrm>
          <a:off x="3211633" y="17626841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714618</xdr:colOff>
      <xdr:row>100</xdr:row>
      <xdr:rowOff>160649</xdr:rowOff>
    </xdr:from>
    <xdr:ext cx="505523" cy="140872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BD253287-F313-42C6-8366-3E637462F856}"/>
            </a:ext>
          </a:extLst>
        </xdr:cNvPr>
        <xdr:cNvSpPr txBox="1"/>
      </xdr:nvSpPr>
      <xdr:spPr>
        <a:xfrm>
          <a:off x="3332772" y="1797972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715594</xdr:colOff>
      <xdr:row>102</xdr:row>
      <xdr:rowOff>161626</xdr:rowOff>
    </xdr:from>
    <xdr:ext cx="505523" cy="140872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B1B21EB-2EF1-4AC6-9044-910E2E7655D7}"/>
            </a:ext>
          </a:extLst>
        </xdr:cNvPr>
        <xdr:cNvSpPr txBox="1"/>
      </xdr:nvSpPr>
      <xdr:spPr>
        <a:xfrm>
          <a:off x="3333748" y="18351934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oneCellAnchor>
    <xdr:from>
      <xdr:col>4</xdr:col>
      <xdr:colOff>712611</xdr:colOff>
      <xdr:row>32</xdr:row>
      <xdr:rowOff>168085</xdr:rowOff>
    </xdr:from>
    <xdr:ext cx="527132" cy="140872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64BA4EDC-B697-4BDD-A744-9FF53B936451}"/>
            </a:ext>
          </a:extLst>
        </xdr:cNvPr>
        <xdr:cNvSpPr txBox="1"/>
      </xdr:nvSpPr>
      <xdr:spPr>
        <a:xfrm>
          <a:off x="3330765" y="6479008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 </a:t>
          </a:r>
        </a:p>
      </xdr:txBody>
    </xdr:sp>
    <xdr:clientData/>
  </xdr:oneCellAnchor>
  <xdr:oneCellAnchor>
    <xdr:from>
      <xdr:col>4</xdr:col>
      <xdr:colOff>713589</xdr:colOff>
      <xdr:row>34</xdr:row>
      <xdr:rowOff>169061</xdr:rowOff>
    </xdr:from>
    <xdr:ext cx="527132" cy="140872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88A75BF6-9ABC-46F2-B57E-B13809AE5D40}"/>
            </a:ext>
          </a:extLst>
        </xdr:cNvPr>
        <xdr:cNvSpPr txBox="1"/>
      </xdr:nvSpPr>
      <xdr:spPr>
        <a:xfrm>
          <a:off x="3331743" y="6851215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 </a:t>
          </a:r>
        </a:p>
      </xdr:txBody>
    </xdr:sp>
    <xdr:clientData/>
  </xdr:oneCellAnchor>
  <xdr:oneCellAnchor>
    <xdr:from>
      <xdr:col>4</xdr:col>
      <xdr:colOff>724336</xdr:colOff>
      <xdr:row>36</xdr:row>
      <xdr:rowOff>170039</xdr:rowOff>
    </xdr:from>
    <xdr:ext cx="527132" cy="140872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DBBE8FAD-951A-42CC-94C1-DAD74DFB51DF}"/>
            </a:ext>
          </a:extLst>
        </xdr:cNvPr>
        <xdr:cNvSpPr txBox="1"/>
      </xdr:nvSpPr>
      <xdr:spPr>
        <a:xfrm>
          <a:off x="3342490" y="7223424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svi_falling3 </a:t>
          </a:r>
        </a:p>
      </xdr:txBody>
    </xdr:sp>
    <xdr:clientData/>
  </xdr:oneCellAnchor>
  <xdr:twoCellAnchor>
    <xdr:from>
      <xdr:col>58</xdr:col>
      <xdr:colOff>37151</xdr:colOff>
      <xdr:row>158</xdr:row>
      <xdr:rowOff>5164</xdr:rowOff>
    </xdr:from>
    <xdr:to>
      <xdr:col>59</xdr:col>
      <xdr:colOff>9651</xdr:colOff>
      <xdr:row>159</xdr:row>
      <xdr:rowOff>1348</xdr:rowOff>
    </xdr:to>
    <xdr:grpSp>
      <xdr:nvGrpSpPr>
        <xdr:cNvPr id="289" name="그룹 288">
          <a:extLst>
            <a:ext uri="{FF2B5EF4-FFF2-40B4-BE49-F238E27FC236}">
              <a16:creationId xmlns:a16="http://schemas.microsoft.com/office/drawing/2014/main" id="{CA367511-61EF-4ACF-9002-EFF08C5BBE42}"/>
            </a:ext>
          </a:extLst>
        </xdr:cNvPr>
        <xdr:cNvGrpSpPr/>
      </xdr:nvGrpSpPr>
      <xdr:grpSpPr>
        <a:xfrm>
          <a:off x="7648684" y="29435297"/>
          <a:ext cx="36000" cy="182451"/>
          <a:chOff x="11556979" y="1937259"/>
          <a:chExt cx="188140" cy="204787"/>
        </a:xfrm>
      </xdr:grpSpPr>
      <xdr:sp macro="" textlink="">
        <xdr:nvSpPr>
          <xdr:cNvPr id="290" name="자유형: 도형 289">
            <a:extLst>
              <a:ext uri="{FF2B5EF4-FFF2-40B4-BE49-F238E27FC236}">
                <a16:creationId xmlns:a16="http://schemas.microsoft.com/office/drawing/2014/main" id="{C3079F7B-C879-E3F5-966A-D1951862E45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1" name="자유형: 도형 290">
            <a:extLst>
              <a:ext uri="{FF2B5EF4-FFF2-40B4-BE49-F238E27FC236}">
                <a16:creationId xmlns:a16="http://schemas.microsoft.com/office/drawing/2014/main" id="{0460C527-0EB0-26CA-F688-0C45F63A101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13705</xdr:colOff>
      <xdr:row>160</xdr:row>
      <xdr:rowOff>1257</xdr:rowOff>
    </xdr:from>
    <xdr:to>
      <xdr:col>58</xdr:col>
      <xdr:colOff>49705</xdr:colOff>
      <xdr:row>160</xdr:row>
      <xdr:rowOff>183056</xdr:rowOff>
    </xdr:to>
    <xdr:grpSp>
      <xdr:nvGrpSpPr>
        <xdr:cNvPr id="292" name="그룹 291">
          <a:extLst>
            <a:ext uri="{FF2B5EF4-FFF2-40B4-BE49-F238E27FC236}">
              <a16:creationId xmlns:a16="http://schemas.microsoft.com/office/drawing/2014/main" id="{3EC0AC62-FD5B-4569-87A1-A2E6E757E911}"/>
            </a:ext>
          </a:extLst>
        </xdr:cNvPr>
        <xdr:cNvGrpSpPr/>
      </xdr:nvGrpSpPr>
      <xdr:grpSpPr>
        <a:xfrm>
          <a:off x="7625238" y="29803924"/>
          <a:ext cx="36000" cy="181799"/>
          <a:chOff x="11556979" y="1937259"/>
          <a:chExt cx="188140" cy="204787"/>
        </a:xfrm>
      </xdr:grpSpPr>
      <xdr:sp macro="" textlink="">
        <xdr:nvSpPr>
          <xdr:cNvPr id="293" name="자유형: 도형 292">
            <a:extLst>
              <a:ext uri="{FF2B5EF4-FFF2-40B4-BE49-F238E27FC236}">
                <a16:creationId xmlns:a16="http://schemas.microsoft.com/office/drawing/2014/main" id="{D13B5761-D712-FA35-C2E4-970D89255FB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4" name="자유형: 도형 293">
            <a:extLst>
              <a:ext uri="{FF2B5EF4-FFF2-40B4-BE49-F238E27FC236}">
                <a16:creationId xmlns:a16="http://schemas.microsoft.com/office/drawing/2014/main" id="{3201CC2A-D865-5EBB-3CF1-75C4840407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9797</xdr:colOff>
      <xdr:row>163</xdr:row>
      <xdr:rowOff>7119</xdr:rowOff>
    </xdr:from>
    <xdr:to>
      <xdr:col>58</xdr:col>
      <xdr:colOff>45797</xdr:colOff>
      <xdr:row>164</xdr:row>
      <xdr:rowOff>3303</xdr:rowOff>
    </xdr:to>
    <xdr:grpSp>
      <xdr:nvGrpSpPr>
        <xdr:cNvPr id="319" name="그룹 318">
          <a:extLst>
            <a:ext uri="{FF2B5EF4-FFF2-40B4-BE49-F238E27FC236}">
              <a16:creationId xmlns:a16="http://schemas.microsoft.com/office/drawing/2014/main" id="{F1544D87-0C6D-4C8E-B6A1-232309FA3B5B}"/>
            </a:ext>
          </a:extLst>
        </xdr:cNvPr>
        <xdr:cNvGrpSpPr/>
      </xdr:nvGrpSpPr>
      <xdr:grpSpPr>
        <a:xfrm>
          <a:off x="7621330" y="30368586"/>
          <a:ext cx="36000" cy="182450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FC61DAC2-961F-059B-751F-53867C87009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1" name="자유형: 도형 320">
            <a:extLst>
              <a:ext uri="{FF2B5EF4-FFF2-40B4-BE49-F238E27FC236}">
                <a16:creationId xmlns:a16="http://schemas.microsoft.com/office/drawing/2014/main" id="{C53F3CE2-D029-29C5-B32F-61079F31162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591038</xdr:colOff>
      <xdr:row>166</xdr:row>
      <xdr:rowOff>161192</xdr:rowOff>
    </xdr:from>
    <xdr:ext cx="616451" cy="140872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D37D0CA9-F7BE-4B7D-AA95-BDCEDFDA02A1}"/>
            </a:ext>
          </a:extLst>
        </xdr:cNvPr>
        <xdr:cNvSpPr txBox="1"/>
      </xdr:nvSpPr>
      <xdr:spPr>
        <a:xfrm>
          <a:off x="3209192" y="30045269"/>
          <a:ext cx="616451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odd svi_rising</a:t>
          </a:r>
        </a:p>
      </xdr:txBody>
    </xdr:sp>
    <xdr:clientData/>
  </xdr:oneCellAnchor>
  <xdr:oneCellAnchor>
    <xdr:from>
      <xdr:col>4</xdr:col>
      <xdr:colOff>709246</xdr:colOff>
      <xdr:row>168</xdr:row>
      <xdr:rowOff>181708</xdr:rowOff>
    </xdr:from>
    <xdr:ext cx="505523" cy="140872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9B307ED0-0C80-49E5-AA80-ECC764DF8D5C}"/>
            </a:ext>
          </a:extLst>
        </xdr:cNvPr>
        <xdr:cNvSpPr txBox="1"/>
      </xdr:nvSpPr>
      <xdr:spPr>
        <a:xfrm>
          <a:off x="3327400" y="3043701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710223</xdr:colOff>
      <xdr:row>170</xdr:row>
      <xdr:rowOff>177801</xdr:rowOff>
    </xdr:from>
    <xdr:ext cx="505523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ACE3005-F068-4AB2-9DD3-E82E8959001A}"/>
            </a:ext>
          </a:extLst>
        </xdr:cNvPr>
        <xdr:cNvSpPr txBox="1"/>
      </xdr:nvSpPr>
      <xdr:spPr>
        <a:xfrm>
          <a:off x="3328377" y="30804339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twoCellAnchor>
    <xdr:from>
      <xdr:col>58</xdr:col>
      <xdr:colOff>18896</xdr:colOff>
      <xdr:row>178</xdr:row>
      <xdr:rowOff>9770</xdr:rowOff>
    </xdr:from>
    <xdr:to>
      <xdr:col>58</xdr:col>
      <xdr:colOff>54896</xdr:colOff>
      <xdr:row>179</xdr:row>
      <xdr:rowOff>4155</xdr:rowOff>
    </xdr:to>
    <xdr:grpSp>
      <xdr:nvGrpSpPr>
        <xdr:cNvPr id="358" name="그룹 357">
          <a:extLst>
            <a:ext uri="{FF2B5EF4-FFF2-40B4-BE49-F238E27FC236}">
              <a16:creationId xmlns:a16="http://schemas.microsoft.com/office/drawing/2014/main" id="{1D922FF6-4F09-4175-8912-66D209270FF0}"/>
            </a:ext>
          </a:extLst>
        </xdr:cNvPr>
        <xdr:cNvGrpSpPr/>
      </xdr:nvGrpSpPr>
      <xdr:grpSpPr>
        <a:xfrm>
          <a:off x="7630429" y="33165237"/>
          <a:ext cx="36000" cy="180651"/>
          <a:chOff x="11556979" y="1937259"/>
          <a:chExt cx="188140" cy="204787"/>
        </a:xfrm>
      </xdr:grpSpPr>
      <xdr:sp macro="" textlink="">
        <xdr:nvSpPr>
          <xdr:cNvPr id="359" name="자유형: 도형 358">
            <a:extLst>
              <a:ext uri="{FF2B5EF4-FFF2-40B4-BE49-F238E27FC236}">
                <a16:creationId xmlns:a16="http://schemas.microsoft.com/office/drawing/2014/main" id="{A7C876B4-A3AA-9695-2E32-727346B4B9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0" name="자유형: 도형 359">
            <a:extLst>
              <a:ext uri="{FF2B5EF4-FFF2-40B4-BE49-F238E27FC236}">
                <a16:creationId xmlns:a16="http://schemas.microsoft.com/office/drawing/2014/main" id="{F2B4A444-22A9-036E-DB02-1D6B33C118B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190</xdr:row>
      <xdr:rowOff>7258</xdr:rowOff>
    </xdr:from>
    <xdr:to>
      <xdr:col>59</xdr:col>
      <xdr:colOff>11508</xdr:colOff>
      <xdr:row>191</xdr:row>
      <xdr:rowOff>1642</xdr:rowOff>
    </xdr:to>
    <xdr:grpSp>
      <xdr:nvGrpSpPr>
        <xdr:cNvPr id="370" name="그룹 369">
          <a:extLst>
            <a:ext uri="{FF2B5EF4-FFF2-40B4-BE49-F238E27FC236}">
              <a16:creationId xmlns:a16="http://schemas.microsoft.com/office/drawing/2014/main" id="{2BAB0A69-35C2-4CAC-8371-7C87632A434F}"/>
            </a:ext>
          </a:extLst>
        </xdr:cNvPr>
        <xdr:cNvGrpSpPr/>
      </xdr:nvGrpSpPr>
      <xdr:grpSpPr>
        <a:xfrm>
          <a:off x="7650541" y="35397925"/>
          <a:ext cx="36000" cy="180650"/>
          <a:chOff x="11556979" y="1937259"/>
          <a:chExt cx="188140" cy="204787"/>
        </a:xfrm>
      </xdr:grpSpPr>
      <xdr:sp macro="" textlink="">
        <xdr:nvSpPr>
          <xdr:cNvPr id="371" name="자유형: 도형 370">
            <a:extLst>
              <a:ext uri="{FF2B5EF4-FFF2-40B4-BE49-F238E27FC236}">
                <a16:creationId xmlns:a16="http://schemas.microsoft.com/office/drawing/2014/main" id="{28AC1D4C-F23A-4FB0-0572-8A3941C563D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72" name="자유형: 도형 371">
            <a:extLst>
              <a:ext uri="{FF2B5EF4-FFF2-40B4-BE49-F238E27FC236}">
                <a16:creationId xmlns:a16="http://schemas.microsoft.com/office/drawing/2014/main" id="{5E58F23B-CF90-9806-0853-9362D4915C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758962</xdr:colOff>
      <xdr:row>39</xdr:row>
      <xdr:rowOff>169291</xdr:rowOff>
    </xdr:from>
    <xdr:ext cx="419730" cy="140872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BC4D63B3-D10C-4CD0-98BA-DBE1B827D701}"/>
            </a:ext>
          </a:extLst>
        </xdr:cNvPr>
        <xdr:cNvSpPr txBox="1"/>
      </xdr:nvSpPr>
      <xdr:spPr>
        <a:xfrm>
          <a:off x="3373216" y="7727839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757118</xdr:colOff>
      <xdr:row>105</xdr:row>
      <xdr:rowOff>171852</xdr:rowOff>
    </xdr:from>
    <xdr:ext cx="419730" cy="140872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6063A58B-836D-4F73-85AD-19ED6CC082AC}"/>
            </a:ext>
          </a:extLst>
        </xdr:cNvPr>
        <xdr:cNvSpPr txBox="1"/>
      </xdr:nvSpPr>
      <xdr:spPr>
        <a:xfrm>
          <a:off x="3371372" y="18791691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782826</xdr:colOff>
      <xdr:row>108</xdr:row>
      <xdr:rowOff>6752</xdr:rowOff>
    </xdr:from>
    <xdr:ext cx="419730" cy="140872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DABA0ED-4E7C-4718-A6CC-5F03A37D85A2}"/>
            </a:ext>
          </a:extLst>
        </xdr:cNvPr>
        <xdr:cNvSpPr txBox="1"/>
      </xdr:nvSpPr>
      <xdr:spPr>
        <a:xfrm>
          <a:off x="3397080" y="19179655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752679</xdr:colOff>
      <xdr:row>173</xdr:row>
      <xdr:rowOff>153629</xdr:rowOff>
    </xdr:from>
    <xdr:ext cx="419730" cy="140872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6BF987B-00C8-4F72-84F0-959B6722EC73}"/>
            </a:ext>
          </a:extLst>
        </xdr:cNvPr>
        <xdr:cNvSpPr txBox="1"/>
      </xdr:nvSpPr>
      <xdr:spPr>
        <a:xfrm>
          <a:off x="3366933" y="3112524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756572</xdr:colOff>
      <xdr:row>175</xdr:row>
      <xdr:rowOff>172884</xdr:rowOff>
    </xdr:from>
    <xdr:ext cx="419730" cy="140872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7AE090EE-1358-4CB5-9986-5A0C06C7DB70}"/>
            </a:ext>
          </a:extLst>
        </xdr:cNvPr>
        <xdr:cNvSpPr txBox="1"/>
      </xdr:nvSpPr>
      <xdr:spPr>
        <a:xfrm>
          <a:off x="3370826" y="31513207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624757</xdr:colOff>
      <xdr:row>231</xdr:row>
      <xdr:rowOff>176673</xdr:rowOff>
    </xdr:from>
    <xdr:ext cx="419730" cy="140872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43558925-05DC-41F1-94F6-D1856C936899}"/>
            </a:ext>
          </a:extLst>
        </xdr:cNvPr>
        <xdr:cNvSpPr txBox="1"/>
      </xdr:nvSpPr>
      <xdr:spPr>
        <a:xfrm>
          <a:off x="3239011" y="4165651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133</xdr:col>
      <xdr:colOff>147557</xdr:colOff>
      <xdr:row>169</xdr:row>
      <xdr:rowOff>58996</xdr:rowOff>
    </xdr:from>
    <xdr:ext cx="3515762" cy="737885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BB97D8F-5FB0-4458-A87E-A1C41E77685C}"/>
            </a:ext>
          </a:extLst>
        </xdr:cNvPr>
        <xdr:cNvSpPr txBox="1"/>
      </xdr:nvSpPr>
      <xdr:spPr>
        <a:xfrm>
          <a:off x="16075474" y="31359204"/>
          <a:ext cx="3515762" cy="737885"/>
        </a:xfrm>
        <a:prstGeom prst="rect">
          <a:avLst/>
        </a:prstGeom>
        <a:solidFill>
          <a:srgbClr val="FFFFEB"/>
        </a:solidFill>
        <a:ln w="38100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ld_type=01 </a:t>
          </a:r>
          <a:r>
            <a:rPr lang="ko-KR" altLang="en-US" sz="1000">
              <a:solidFill>
                <a:schemeClr val="tx1"/>
              </a:solidFill>
            </a:rPr>
            <a:t>일 때</a:t>
          </a:r>
          <a:r>
            <a:rPr lang="en-US" altLang="ko-KR" sz="1000">
              <a:solidFill>
                <a:schemeClr val="tx1"/>
              </a:solidFill>
            </a:rPr>
            <a:t>, fb </a:t>
          </a:r>
          <a:r>
            <a:rPr lang="ko-KR" altLang="en-US" sz="1000">
              <a:solidFill>
                <a:schemeClr val="tx1"/>
              </a:solidFill>
            </a:rPr>
            <a:t>처리</a:t>
          </a:r>
          <a:r>
            <a:rPr lang="en-US" altLang="ko-KR" sz="1000">
              <a:solidFill>
                <a:schemeClr val="tx1"/>
              </a:solidFill>
            </a:rPr>
            <a:t>.</a:t>
          </a:r>
        </a:p>
        <a:p>
          <a:r>
            <a:rPr lang="en-US" altLang="ko-KR" sz="1000">
              <a:solidFill>
                <a:schemeClr val="tx1"/>
              </a:solidFill>
            </a:rPr>
            <a:t>1. vled_g</a:t>
          </a:r>
          <a:r>
            <a:rPr lang="ko-KR" altLang="en-US" sz="1000">
              <a:solidFill>
                <a:schemeClr val="tx1"/>
              </a:solidFill>
            </a:rPr>
            <a:t>와 </a:t>
          </a:r>
          <a:r>
            <a:rPr lang="en-US" altLang="ko-KR" sz="1000">
              <a:solidFill>
                <a:schemeClr val="tx1"/>
              </a:solidFill>
            </a:rPr>
            <a:t>vled_b</a:t>
          </a:r>
          <a:r>
            <a:rPr lang="ko-KR" altLang="en-US" sz="1000">
              <a:solidFill>
                <a:schemeClr val="tx1"/>
              </a:solidFill>
            </a:rPr>
            <a:t>를 동일 </a:t>
          </a:r>
          <a:r>
            <a:rPr lang="en-US" altLang="ko-KR" sz="1000">
              <a:solidFill>
                <a:schemeClr val="tx1"/>
              </a:solidFill>
            </a:rPr>
            <a:t>vled</a:t>
          </a:r>
          <a:r>
            <a:rPr lang="ko-KR" altLang="en-US" sz="1000">
              <a:solidFill>
                <a:schemeClr val="tx1"/>
              </a:solidFill>
            </a:rPr>
            <a:t>로 사용 시 </a:t>
          </a:r>
          <a:r>
            <a:rPr lang="en-US" altLang="ko-KR" sz="1000">
              <a:solidFill>
                <a:schemeClr val="tx1"/>
              </a:solidFill>
            </a:rPr>
            <a:t>: </a:t>
          </a:r>
          <a:r>
            <a:rPr lang="en-US" altLang="ko-KR" sz="1000">
              <a:solidFill>
                <a:srgbClr val="FF00FF"/>
              </a:solidFill>
            </a:rPr>
            <a:t>xd</a:t>
          </a:r>
          <a:r>
            <a:rPr lang="ko-KR" altLang="en-US" sz="1000">
              <a:solidFill>
                <a:srgbClr val="FF00FF"/>
              </a:solidFill>
            </a:rPr>
            <a:t>에서 통합 처리</a:t>
          </a:r>
          <a:endParaRPr lang="en-US" altLang="ko-KR" sz="1000" baseline="0">
            <a:solidFill>
              <a:srgbClr val="FF00FF"/>
            </a:solidFill>
          </a:endParaRPr>
        </a:p>
        <a:p>
          <a:r>
            <a:rPr lang="en-US" altLang="ko-KR" sz="1000" baseline="0">
              <a:solidFill>
                <a:schemeClr val="tx1"/>
              </a:solidFill>
            </a:rPr>
            <a:t>2. vled_g</a:t>
          </a:r>
          <a:r>
            <a:rPr lang="ko-KR" altLang="en-US" sz="1000" baseline="0">
              <a:solidFill>
                <a:schemeClr val="tx1"/>
              </a:solidFill>
            </a:rPr>
            <a:t>와 </a:t>
          </a:r>
          <a:r>
            <a:rPr lang="en-US" altLang="ko-KR" sz="1000" baseline="0">
              <a:solidFill>
                <a:schemeClr val="tx1"/>
              </a:solidFill>
            </a:rPr>
            <a:t>vled_b</a:t>
          </a:r>
          <a:r>
            <a:rPr lang="ko-KR" altLang="en-US" sz="1000" baseline="0">
              <a:solidFill>
                <a:schemeClr val="tx1"/>
              </a:solidFill>
            </a:rPr>
            <a:t>를 다른 </a:t>
          </a:r>
          <a:r>
            <a:rPr lang="en-US" altLang="ko-KR" sz="1000" baseline="0">
              <a:solidFill>
                <a:schemeClr val="tx1"/>
              </a:solidFill>
            </a:rPr>
            <a:t>vled</a:t>
          </a:r>
          <a:r>
            <a:rPr lang="ko-KR" altLang="en-US" sz="1000" baseline="0">
              <a:solidFill>
                <a:schemeClr val="tx1"/>
              </a:solidFill>
            </a:rPr>
            <a:t>로 사용 시 </a:t>
          </a:r>
          <a:r>
            <a:rPr lang="en-US" altLang="ko-KR" sz="1000" baseline="0">
              <a:solidFill>
                <a:schemeClr val="tx1"/>
              </a:solidFill>
            </a:rPr>
            <a:t>: </a:t>
          </a:r>
          <a:r>
            <a:rPr lang="ko-KR" altLang="en-US" sz="1000" baseline="0">
              <a:solidFill>
                <a:schemeClr val="tx1"/>
              </a:solidFill>
            </a:rPr>
            <a:t>현재 구현 그대로 사용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oneCellAnchor>
    <xdr:from>
      <xdr:col>3</xdr:col>
      <xdr:colOff>3639</xdr:colOff>
      <xdr:row>79</xdr:row>
      <xdr:rowOff>25988</xdr:rowOff>
    </xdr:from>
    <xdr:ext cx="762645" cy="140872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16E66CF-1439-4EBC-AB7C-4359A4F58FA6}"/>
            </a:ext>
          </a:extLst>
        </xdr:cNvPr>
        <xdr:cNvSpPr txBox="1"/>
      </xdr:nvSpPr>
      <xdr:spPr>
        <a:xfrm>
          <a:off x="1972852" y="1549073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16458</xdr:colOff>
      <xdr:row>81</xdr:row>
      <xdr:rowOff>29162</xdr:rowOff>
    </xdr:from>
    <xdr:ext cx="762645" cy="140872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9E3BA59-3411-400B-B572-1F4607F77414}"/>
            </a:ext>
          </a:extLst>
        </xdr:cNvPr>
        <xdr:cNvSpPr txBox="1"/>
      </xdr:nvSpPr>
      <xdr:spPr>
        <a:xfrm>
          <a:off x="1985671" y="1585778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oneCellAnchor>
    <xdr:from>
      <xdr:col>24</xdr:col>
      <xdr:colOff>10620</xdr:colOff>
      <xdr:row>81</xdr:row>
      <xdr:rowOff>24295</xdr:rowOff>
    </xdr:from>
    <xdr:ext cx="228204" cy="140872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5156D029-C122-47B3-88DD-78EFD495915A}"/>
            </a:ext>
          </a:extLst>
        </xdr:cNvPr>
        <xdr:cNvSpPr txBox="1"/>
      </xdr:nvSpPr>
      <xdr:spPr>
        <a:xfrm>
          <a:off x="5082153" y="15111895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81</xdr:row>
      <xdr:rowOff>23743</xdr:rowOff>
    </xdr:from>
    <xdr:ext cx="228204" cy="140872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4364B68-A934-46B4-AC86-9539B56A351B}"/>
            </a:ext>
          </a:extLst>
        </xdr:cNvPr>
        <xdr:cNvSpPr txBox="1"/>
      </xdr:nvSpPr>
      <xdr:spPr>
        <a:xfrm>
          <a:off x="6238138" y="154838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effectLst/>
              <a:latin typeface="+mn-lt"/>
              <a:ea typeface="+mn-ea"/>
              <a:cs typeface="+mn-cs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80</xdr:row>
      <xdr:rowOff>165105</xdr:rowOff>
    </xdr:from>
    <xdr:to>
      <xdr:col>17</xdr:col>
      <xdr:colOff>29011</xdr:colOff>
      <xdr:row>81</xdr:row>
      <xdr:rowOff>182895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47FC8F96-4ABD-4431-A0D3-D71B60E5EFAA}"/>
            </a:ext>
          </a:extLst>
        </xdr:cNvPr>
        <xdr:cNvGrpSpPr/>
      </xdr:nvGrpSpPr>
      <xdr:grpSpPr>
        <a:xfrm>
          <a:off x="4774023" y="15066438"/>
          <a:ext cx="263021" cy="204057"/>
          <a:chOff x="2051991" y="27765565"/>
          <a:chExt cx="263021" cy="202124"/>
        </a:xfrm>
      </xdr:grpSpPr>
      <xdr:sp macro="" textlink="">
        <xdr:nvSpPr>
          <xdr:cNvPr id="221" name="TextBox 220">
            <a:extLst>
              <a:ext uri="{FF2B5EF4-FFF2-40B4-BE49-F238E27FC236}">
                <a16:creationId xmlns:a16="http://schemas.microsoft.com/office/drawing/2014/main" id="{3AA4859A-1081-469B-BDA6-D3A4CAE3B379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BCF60ACF-DD89-E6FF-A597-44D904E699A5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81</xdr:row>
      <xdr:rowOff>7360</xdr:rowOff>
    </xdr:from>
    <xdr:to>
      <xdr:col>59</xdr:col>
      <xdr:colOff>20139</xdr:colOff>
      <xdr:row>82</xdr:row>
      <xdr:rowOff>3544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9C231307-F347-42FB-B626-B5A0B640EC9C}"/>
            </a:ext>
          </a:extLst>
        </xdr:cNvPr>
        <xdr:cNvGrpSpPr/>
      </xdr:nvGrpSpPr>
      <xdr:grpSpPr>
        <a:xfrm>
          <a:off x="7659172" y="15094960"/>
          <a:ext cx="36000" cy="182451"/>
          <a:chOff x="11556979" y="1937259"/>
          <a:chExt cx="188140" cy="204787"/>
        </a:xfrm>
      </xdr:grpSpPr>
      <xdr:sp macro="" textlink="">
        <xdr:nvSpPr>
          <xdr:cNvPr id="296" name="자유형: 도형 295">
            <a:extLst>
              <a:ext uri="{FF2B5EF4-FFF2-40B4-BE49-F238E27FC236}">
                <a16:creationId xmlns:a16="http://schemas.microsoft.com/office/drawing/2014/main" id="{477FD776-FFE2-3A12-4B76-80E6ECC1512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9" name="자유형: 도형 298">
            <a:extLst>
              <a:ext uri="{FF2B5EF4-FFF2-40B4-BE49-F238E27FC236}">
                <a16:creationId xmlns:a16="http://schemas.microsoft.com/office/drawing/2014/main" id="{205F8C15-7F9B-4DCB-ECE8-F58265AC4A7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80</xdr:row>
      <xdr:rowOff>170283</xdr:rowOff>
    </xdr:from>
    <xdr:to>
      <xdr:col>39</xdr:col>
      <xdr:colOff>15102</xdr:colOff>
      <xdr:row>82</xdr:row>
      <xdr:rowOff>2108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CB8BBA04-575F-4B76-8C80-FDE640D6B580}"/>
            </a:ext>
          </a:extLst>
        </xdr:cNvPr>
        <xdr:cNvGrpSpPr/>
      </xdr:nvGrpSpPr>
      <xdr:grpSpPr>
        <a:xfrm>
          <a:off x="6157114" y="15071616"/>
          <a:ext cx="263021" cy="204359"/>
          <a:chOff x="2051991" y="27765565"/>
          <a:chExt cx="263021" cy="202124"/>
        </a:xfrm>
      </xdr:grpSpPr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CD582973-FF76-D582-8C1E-57502A4003A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377DBC4-B08F-F747-E46F-9F7830A1D92D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81</xdr:row>
      <xdr:rowOff>159228</xdr:rowOff>
    </xdr:from>
    <xdr:ext cx="584263" cy="140872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81586E5-65C8-4D7A-8F7A-64AC7D34D1C8}"/>
            </a:ext>
          </a:extLst>
        </xdr:cNvPr>
        <xdr:cNvSpPr txBox="1"/>
      </xdr:nvSpPr>
      <xdr:spPr>
        <a:xfrm>
          <a:off x="3268659" y="1524682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3</xdr:col>
      <xdr:colOff>546099</xdr:colOff>
      <xdr:row>216</xdr:row>
      <xdr:rowOff>29633</xdr:rowOff>
    </xdr:from>
    <xdr:ext cx="762645" cy="140872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C0E1D65-97FA-41EB-8AA1-030AFB357C83}"/>
            </a:ext>
          </a:extLst>
        </xdr:cNvPr>
        <xdr:cNvSpPr txBox="1"/>
      </xdr:nvSpPr>
      <xdr:spPr>
        <a:xfrm>
          <a:off x="2510366" y="40449500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543983</xdr:colOff>
      <xdr:row>218</xdr:row>
      <xdr:rowOff>33746</xdr:rowOff>
    </xdr:from>
    <xdr:ext cx="762645" cy="140872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679A7D7E-1E94-4EAF-A6DE-EE899A3789EF}"/>
            </a:ext>
          </a:extLst>
        </xdr:cNvPr>
        <xdr:cNvSpPr txBox="1"/>
      </xdr:nvSpPr>
      <xdr:spPr>
        <a:xfrm>
          <a:off x="2508250" y="4082614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86ACEFBD-E4D7-4BEE-956B-19A53D81AB26}"/>
            </a:ext>
          </a:extLst>
        </xdr:cNvPr>
        <xdr:cNvGrpSpPr/>
      </xdr:nvGrpSpPr>
      <xdr:grpSpPr>
        <a:xfrm>
          <a:off x="7587913" y="40612282"/>
          <a:ext cx="36000" cy="180118"/>
          <a:chOff x="11556979" y="1937259"/>
          <a:chExt cx="188140" cy="204787"/>
        </a:xfrm>
      </xdr:grpSpPr>
      <xdr:sp macro="" textlink="">
        <xdr:nvSpPr>
          <xdr:cNvPr id="364" name="자유형: 도형 363">
            <a:extLst>
              <a:ext uri="{FF2B5EF4-FFF2-40B4-BE49-F238E27FC236}">
                <a16:creationId xmlns:a16="http://schemas.microsoft.com/office/drawing/2014/main" id="{A62A87F7-B63D-8BEB-FF43-5D0FF6A94B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5" name="자유형: 도형 364">
            <a:extLst>
              <a:ext uri="{FF2B5EF4-FFF2-40B4-BE49-F238E27FC236}">
                <a16:creationId xmlns:a16="http://schemas.microsoft.com/office/drawing/2014/main" id="{AAE91C0D-2254-5E66-6D0D-D57CC9AA1C8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807861</xdr:colOff>
      <xdr:row>218</xdr:row>
      <xdr:rowOff>149932</xdr:rowOff>
    </xdr:from>
    <xdr:ext cx="438774" cy="140872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01EB8E7-7DBB-49A7-80B5-3AE42460C132}"/>
            </a:ext>
          </a:extLst>
        </xdr:cNvPr>
        <xdr:cNvSpPr txBox="1"/>
      </xdr:nvSpPr>
      <xdr:spPr>
        <a:xfrm>
          <a:off x="3427236" y="4052534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40</xdr:col>
      <xdr:colOff>61048</xdr:colOff>
      <xdr:row>216</xdr:row>
      <xdr:rowOff>24309</xdr:rowOff>
    </xdr:from>
    <xdr:ext cx="228204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FF02B0C-53E7-48ED-96ED-96F8B988FDD4}"/>
            </a:ext>
          </a:extLst>
        </xdr:cNvPr>
        <xdr:cNvSpPr txBox="1"/>
      </xdr:nvSpPr>
      <xdr:spPr>
        <a:xfrm>
          <a:off x="6148581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16933</xdr:colOff>
      <xdr:row>216</xdr:row>
      <xdr:rowOff>33866</xdr:rowOff>
    </xdr:from>
    <xdr:ext cx="228204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BE853AD1-26AB-46AB-83D2-09EEEDAB6641}"/>
            </a:ext>
          </a:extLst>
        </xdr:cNvPr>
        <xdr:cNvSpPr txBox="1"/>
      </xdr:nvSpPr>
      <xdr:spPr>
        <a:xfrm>
          <a:off x="9533466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29633</xdr:colOff>
      <xdr:row>216</xdr:row>
      <xdr:rowOff>29633</xdr:rowOff>
    </xdr:from>
    <xdr:ext cx="228204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F3CF5FA0-7BE7-4CC7-917A-14C23C3A7239}"/>
            </a:ext>
          </a:extLst>
        </xdr:cNvPr>
        <xdr:cNvSpPr txBox="1"/>
      </xdr:nvSpPr>
      <xdr:spPr>
        <a:xfrm>
          <a:off x="10689166" y="4044950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76</xdr:col>
      <xdr:colOff>21167</xdr:colOff>
      <xdr:row>216</xdr:row>
      <xdr:rowOff>33866</xdr:rowOff>
    </xdr:from>
    <xdr:ext cx="228204" cy="140872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F4438D5B-82CF-494E-8F97-67408D2E90A0}"/>
            </a:ext>
          </a:extLst>
        </xdr:cNvPr>
        <xdr:cNvSpPr txBox="1"/>
      </xdr:nvSpPr>
      <xdr:spPr>
        <a:xfrm>
          <a:off x="8394700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216</xdr:row>
      <xdr:rowOff>33866</xdr:rowOff>
    </xdr:from>
    <xdr:ext cx="228204" cy="140872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9295680A-3AE7-486E-8580-C1AAD7E0D34A}"/>
            </a:ext>
          </a:extLst>
        </xdr:cNvPr>
        <xdr:cNvSpPr txBox="1"/>
      </xdr:nvSpPr>
      <xdr:spPr>
        <a:xfrm>
          <a:off x="7573433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22</xdr:col>
      <xdr:colOff>35649</xdr:colOff>
      <xdr:row>218</xdr:row>
      <xdr:rowOff>24309</xdr:rowOff>
    </xdr:from>
    <xdr:ext cx="228204" cy="140872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2512D27-D7F3-4821-881F-8DE305A86201}"/>
            </a:ext>
          </a:extLst>
        </xdr:cNvPr>
        <xdr:cNvSpPr txBox="1"/>
      </xdr:nvSpPr>
      <xdr:spPr>
        <a:xfrm>
          <a:off x="4980182" y="4081670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535" name="그룹 534">
          <a:extLst>
            <a:ext uri="{FF2B5EF4-FFF2-40B4-BE49-F238E27FC236}">
              <a16:creationId xmlns:a16="http://schemas.microsoft.com/office/drawing/2014/main" id="{C8587087-7BB5-408D-B6D8-F7C372F97FD4}"/>
            </a:ext>
          </a:extLst>
        </xdr:cNvPr>
        <xdr:cNvGrpSpPr/>
      </xdr:nvGrpSpPr>
      <xdr:grpSpPr>
        <a:xfrm>
          <a:off x="7587913" y="40612282"/>
          <a:ext cx="36000" cy="180118"/>
          <a:chOff x="11556979" y="1937259"/>
          <a:chExt cx="188140" cy="204787"/>
        </a:xfrm>
      </xdr:grpSpPr>
      <xdr:sp macro="" textlink="">
        <xdr:nvSpPr>
          <xdr:cNvPr id="536" name="자유형: 도형 535">
            <a:extLst>
              <a:ext uri="{FF2B5EF4-FFF2-40B4-BE49-F238E27FC236}">
                <a16:creationId xmlns:a16="http://schemas.microsoft.com/office/drawing/2014/main" id="{C3578532-34FF-0E4D-F32D-4F5E4A814E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37" name="자유형: 도형 536">
            <a:extLst>
              <a:ext uri="{FF2B5EF4-FFF2-40B4-BE49-F238E27FC236}">
                <a16:creationId xmlns:a16="http://schemas.microsoft.com/office/drawing/2014/main" id="{1947E67F-CEF3-8DB7-6329-E66BB6BF3D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94</xdr:col>
      <xdr:colOff>16933</xdr:colOff>
      <xdr:row>218</xdr:row>
      <xdr:rowOff>33866</xdr:rowOff>
    </xdr:from>
    <xdr:ext cx="228204" cy="140872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057CDDD-DD9D-4774-8BDE-156A3B12DAC6}"/>
            </a:ext>
          </a:extLst>
        </xdr:cNvPr>
        <xdr:cNvSpPr txBox="1"/>
      </xdr:nvSpPr>
      <xdr:spPr>
        <a:xfrm>
          <a:off x="9533466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218</xdr:row>
      <xdr:rowOff>33866</xdr:rowOff>
    </xdr:from>
    <xdr:ext cx="228204" cy="140872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5F3305A4-4762-4B3F-AB19-2553DA0A54E7}"/>
            </a:ext>
          </a:extLst>
        </xdr:cNvPr>
        <xdr:cNvSpPr txBox="1"/>
      </xdr:nvSpPr>
      <xdr:spPr>
        <a:xfrm>
          <a:off x="7573433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8466</xdr:colOff>
      <xdr:row>218</xdr:row>
      <xdr:rowOff>33866</xdr:rowOff>
    </xdr:from>
    <xdr:ext cx="228204" cy="140872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888F79BD-E1F8-41BD-819B-AFEFB29EF104}"/>
            </a:ext>
          </a:extLst>
        </xdr:cNvPr>
        <xdr:cNvSpPr txBox="1"/>
      </xdr:nvSpPr>
      <xdr:spPr>
        <a:xfrm>
          <a:off x="6159499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76</xdr:col>
      <xdr:colOff>29633</xdr:colOff>
      <xdr:row>218</xdr:row>
      <xdr:rowOff>38099</xdr:rowOff>
    </xdr:from>
    <xdr:ext cx="228204" cy="140872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C6419B83-59C5-46F3-B942-43F02731B5A2}"/>
            </a:ext>
          </a:extLst>
        </xdr:cNvPr>
        <xdr:cNvSpPr txBox="1"/>
      </xdr:nvSpPr>
      <xdr:spPr>
        <a:xfrm>
          <a:off x="8403166" y="4083049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46567</xdr:colOff>
      <xdr:row>218</xdr:row>
      <xdr:rowOff>33866</xdr:rowOff>
    </xdr:from>
    <xdr:ext cx="228204" cy="140872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DB286B61-220C-41BF-8162-42D482F4E0BF}"/>
            </a:ext>
          </a:extLst>
        </xdr:cNvPr>
        <xdr:cNvSpPr txBox="1"/>
      </xdr:nvSpPr>
      <xdr:spPr>
        <a:xfrm>
          <a:off x="10706100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39</xdr:col>
      <xdr:colOff>31145</xdr:colOff>
      <xdr:row>221</xdr:row>
      <xdr:rowOff>26914</xdr:rowOff>
    </xdr:from>
    <xdr:ext cx="510909" cy="140872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8440F9D5-B449-47E8-A443-EEF461EF01C1}"/>
            </a:ext>
          </a:extLst>
        </xdr:cNvPr>
        <xdr:cNvSpPr txBox="1"/>
      </xdr:nvSpPr>
      <xdr:spPr>
        <a:xfrm>
          <a:off x="6055178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93</xdr:col>
      <xdr:colOff>14212</xdr:colOff>
      <xdr:row>221</xdr:row>
      <xdr:rowOff>26914</xdr:rowOff>
    </xdr:from>
    <xdr:ext cx="510909" cy="140872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72A8D237-57FE-4685-827C-471EEAB16786}"/>
            </a:ext>
          </a:extLst>
        </xdr:cNvPr>
        <xdr:cNvSpPr txBox="1"/>
      </xdr:nvSpPr>
      <xdr:spPr>
        <a:xfrm>
          <a:off x="9467245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110</xdr:col>
      <xdr:colOff>56545</xdr:colOff>
      <xdr:row>221</xdr:row>
      <xdr:rowOff>31148</xdr:rowOff>
    </xdr:from>
    <xdr:ext cx="510909" cy="140872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B7F78EDF-1FB3-4DDE-BFE6-C0CF998DA734}"/>
            </a:ext>
          </a:extLst>
        </xdr:cNvPr>
        <xdr:cNvSpPr txBox="1"/>
      </xdr:nvSpPr>
      <xdr:spPr>
        <a:xfrm>
          <a:off x="10589078" y="4138234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22679</xdr:colOff>
      <xdr:row>221</xdr:row>
      <xdr:rowOff>26915</xdr:rowOff>
    </xdr:from>
    <xdr:ext cx="510909" cy="140872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591A105D-DB8D-4EBC-BAF2-69A68427D506}"/>
            </a:ext>
          </a:extLst>
        </xdr:cNvPr>
        <xdr:cNvSpPr txBox="1"/>
      </xdr:nvSpPr>
      <xdr:spPr>
        <a:xfrm>
          <a:off x="7443712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74</xdr:col>
      <xdr:colOff>26912</xdr:colOff>
      <xdr:row>221</xdr:row>
      <xdr:rowOff>26915</xdr:rowOff>
    </xdr:from>
    <xdr:ext cx="510909" cy="14087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E0939DAA-A0E3-4DD9-81CF-D6DD65B37737}"/>
            </a:ext>
          </a:extLst>
        </xdr:cNvPr>
        <xdr:cNvSpPr txBox="1"/>
      </xdr:nvSpPr>
      <xdr:spPr>
        <a:xfrm>
          <a:off x="8273445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59404</xdr:colOff>
      <xdr:row>220</xdr:row>
      <xdr:rowOff>31893</xdr:rowOff>
    </xdr:from>
    <xdr:ext cx="412549" cy="125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2529A0B-BAB6-4231-BE10-AAA4A307AED6}"/>
            </a:ext>
          </a:extLst>
        </xdr:cNvPr>
        <xdr:cNvSpPr txBox="1"/>
      </xdr:nvSpPr>
      <xdr:spPr>
        <a:xfrm>
          <a:off x="5003937" y="41196826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B050"/>
              </a:solidFill>
              <a:latin typeface="+mn-lt"/>
            </a:rPr>
            <a:t>pwm_div2</a:t>
          </a:r>
          <a:endParaRPr lang="ko-KR" altLang="en-US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4370</xdr:colOff>
      <xdr:row>220</xdr:row>
      <xdr:rowOff>40359</xdr:rowOff>
    </xdr:from>
    <xdr:ext cx="412549" cy="125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DD22C4E6-00B6-4B69-AE0C-87EEBBBC6611}"/>
            </a:ext>
          </a:extLst>
        </xdr:cNvPr>
        <xdr:cNvSpPr txBox="1"/>
      </xdr:nvSpPr>
      <xdr:spPr>
        <a:xfrm>
          <a:off x="6155403" y="41205292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pwm_div3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127</xdr:col>
      <xdr:colOff>0</xdr:colOff>
      <xdr:row>231</xdr:row>
      <xdr:rowOff>135469</xdr:rowOff>
    </xdr:from>
    <xdr:ext cx="3686641" cy="2142066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57F8E182-B39A-4578-A917-31D03B9ECC1B}"/>
            </a:ext>
          </a:extLst>
        </xdr:cNvPr>
        <xdr:cNvSpPr txBox="1"/>
      </xdr:nvSpPr>
      <xdr:spPr>
        <a:xfrm>
          <a:off x="11730085" y="42976802"/>
          <a:ext cx="3686641" cy="214206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ld_type=11 :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twoCellAnchor>
    <xdr:from>
      <xdr:col>57</xdr:col>
      <xdr:colOff>37296</xdr:colOff>
      <xdr:row>237</xdr:row>
      <xdr:rowOff>370</xdr:rowOff>
    </xdr:from>
    <xdr:to>
      <xdr:col>58</xdr:col>
      <xdr:colOff>9796</xdr:colOff>
      <xdr:row>237</xdr:row>
      <xdr:rowOff>180000</xdr:rowOff>
    </xdr:to>
    <xdr:grpSp>
      <xdr:nvGrpSpPr>
        <xdr:cNvPr id="556" name="그룹 555">
          <a:extLst>
            <a:ext uri="{FF2B5EF4-FFF2-40B4-BE49-F238E27FC236}">
              <a16:creationId xmlns:a16="http://schemas.microsoft.com/office/drawing/2014/main" id="{C484D2BE-AE1E-40B9-8B94-162F9D1F06B1}"/>
            </a:ext>
          </a:extLst>
        </xdr:cNvPr>
        <xdr:cNvGrpSpPr/>
      </xdr:nvGrpSpPr>
      <xdr:grpSpPr>
        <a:xfrm>
          <a:off x="7585329" y="44145570"/>
          <a:ext cx="36000" cy="179630"/>
          <a:chOff x="11556979" y="1937259"/>
          <a:chExt cx="188140" cy="204787"/>
        </a:xfrm>
      </xdr:grpSpPr>
      <xdr:sp macro="" textlink="">
        <xdr:nvSpPr>
          <xdr:cNvPr id="557" name="자유형: 도형 556">
            <a:extLst>
              <a:ext uri="{FF2B5EF4-FFF2-40B4-BE49-F238E27FC236}">
                <a16:creationId xmlns:a16="http://schemas.microsoft.com/office/drawing/2014/main" id="{837FBDB4-EC55-C6E0-315C-C5945D6AA46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58" name="자유형: 도형 557">
            <a:extLst>
              <a:ext uri="{FF2B5EF4-FFF2-40B4-BE49-F238E27FC236}">
                <a16:creationId xmlns:a16="http://schemas.microsoft.com/office/drawing/2014/main" id="{D4E2D8D0-2B39-5BA1-175C-537F3CEF4B3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23</xdr:row>
      <xdr:rowOff>28769</xdr:rowOff>
    </xdr:from>
    <xdr:ext cx="228204" cy="140872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4DC59162-5D4D-42C0-A4F2-8A3D1DFEB25D}"/>
            </a:ext>
          </a:extLst>
        </xdr:cNvPr>
        <xdr:cNvSpPr txBox="1"/>
      </xdr:nvSpPr>
      <xdr:spPr>
        <a:xfrm>
          <a:off x="5060616" y="473094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23</xdr:row>
      <xdr:rowOff>29032</xdr:rowOff>
    </xdr:from>
    <xdr:ext cx="228204" cy="140872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B6DDE161-B7FD-4A2C-B133-7864830E9E73}"/>
            </a:ext>
          </a:extLst>
        </xdr:cNvPr>
        <xdr:cNvSpPr txBox="1"/>
      </xdr:nvSpPr>
      <xdr:spPr>
        <a:xfrm>
          <a:off x="6544035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23</xdr:row>
      <xdr:rowOff>12271</xdr:rowOff>
    </xdr:from>
    <xdr:to>
      <xdr:col>60</xdr:col>
      <xdr:colOff>18008</xdr:colOff>
      <xdr:row>24</xdr:row>
      <xdr:rowOff>8455</xdr:rowOff>
    </xdr:to>
    <xdr:grpSp>
      <xdr:nvGrpSpPr>
        <xdr:cNvPr id="361" name="그룹 360">
          <a:extLst>
            <a:ext uri="{FF2B5EF4-FFF2-40B4-BE49-F238E27FC236}">
              <a16:creationId xmlns:a16="http://schemas.microsoft.com/office/drawing/2014/main" id="{87C40DDD-4CBB-4FFD-8A64-9A9B85E67915}"/>
            </a:ext>
          </a:extLst>
        </xdr:cNvPr>
        <xdr:cNvGrpSpPr/>
      </xdr:nvGrpSpPr>
      <xdr:grpSpPr>
        <a:xfrm>
          <a:off x="7723716" y="4296404"/>
          <a:ext cx="32825" cy="182451"/>
          <a:chOff x="11556979" y="1937259"/>
          <a:chExt cx="188140" cy="204787"/>
        </a:xfrm>
      </xdr:grpSpPr>
      <xdr:sp macro="" textlink="">
        <xdr:nvSpPr>
          <xdr:cNvPr id="362" name="자유형: 도형 361">
            <a:extLst>
              <a:ext uri="{FF2B5EF4-FFF2-40B4-BE49-F238E27FC236}">
                <a16:creationId xmlns:a16="http://schemas.microsoft.com/office/drawing/2014/main" id="{90F135D4-DE92-B20E-167F-EA749C48735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74379792-B9BC-9961-0AFB-37CD7EB94EC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43903</xdr:colOff>
      <xdr:row>23</xdr:row>
      <xdr:rowOff>22682</xdr:rowOff>
    </xdr:from>
    <xdr:ext cx="228204" cy="140872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B42E0653-A526-4F3A-AD80-B1DBB90907C9}"/>
            </a:ext>
          </a:extLst>
        </xdr:cNvPr>
        <xdr:cNvSpPr txBox="1"/>
      </xdr:nvSpPr>
      <xdr:spPr>
        <a:xfrm>
          <a:off x="5924003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556738</xdr:colOff>
      <xdr:row>23</xdr:row>
      <xdr:rowOff>154409</xdr:rowOff>
    </xdr:from>
    <xdr:ext cx="671274" cy="140872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AB0F430F-ACEC-4393-AE71-8CA3B57AB151}"/>
            </a:ext>
          </a:extLst>
        </xdr:cNvPr>
        <xdr:cNvSpPr txBox="1"/>
      </xdr:nvSpPr>
      <xdr:spPr>
        <a:xfrm>
          <a:off x="3188813" y="485975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18</xdr:col>
      <xdr:colOff>38673</xdr:colOff>
      <xdr:row>28</xdr:row>
      <xdr:rowOff>40108</xdr:rowOff>
    </xdr:from>
    <xdr:ext cx="714619" cy="140872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2C7D5A3C-BF02-45E8-AF74-78F2284943F2}"/>
            </a:ext>
          </a:extLst>
        </xdr:cNvPr>
        <xdr:cNvSpPr txBox="1"/>
      </xdr:nvSpPr>
      <xdr:spPr>
        <a:xfrm>
          <a:off x="4782123" y="6012283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59324</xdr:colOff>
      <xdr:row>28</xdr:row>
      <xdr:rowOff>30844</xdr:rowOff>
    </xdr:from>
    <xdr:ext cx="218393" cy="140872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E9B0C97D-4526-4B68-BC4D-FEF566E580F4}"/>
            </a:ext>
          </a:extLst>
        </xdr:cNvPr>
        <xdr:cNvSpPr txBox="1"/>
      </xdr:nvSpPr>
      <xdr:spPr>
        <a:xfrm>
          <a:off x="6536324" y="6003019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28</xdr:row>
      <xdr:rowOff>978</xdr:rowOff>
    </xdr:from>
    <xdr:to>
      <xdr:col>60</xdr:col>
      <xdr:colOff>18008</xdr:colOff>
      <xdr:row>28</xdr:row>
      <xdr:rowOff>177803</xdr:rowOff>
    </xdr:to>
    <xdr:grpSp>
      <xdr:nvGrpSpPr>
        <xdr:cNvPr id="543" name="그룹 542">
          <a:extLst>
            <a:ext uri="{FF2B5EF4-FFF2-40B4-BE49-F238E27FC236}">
              <a16:creationId xmlns:a16="http://schemas.microsoft.com/office/drawing/2014/main" id="{66634C24-881A-4409-88E0-05AA437DC31E}"/>
            </a:ext>
          </a:extLst>
        </xdr:cNvPr>
        <xdr:cNvGrpSpPr/>
      </xdr:nvGrpSpPr>
      <xdr:grpSpPr>
        <a:xfrm>
          <a:off x="7723716" y="5216445"/>
          <a:ext cx="32825" cy="176825"/>
          <a:chOff x="11556979" y="1937259"/>
          <a:chExt cx="188140" cy="204787"/>
        </a:xfrm>
      </xdr:grpSpPr>
      <xdr:sp macro="" textlink="">
        <xdr:nvSpPr>
          <xdr:cNvPr id="560" name="자유형: 도형 559">
            <a:extLst>
              <a:ext uri="{FF2B5EF4-FFF2-40B4-BE49-F238E27FC236}">
                <a16:creationId xmlns:a16="http://schemas.microsoft.com/office/drawing/2014/main" id="{A4888599-1B4E-907C-095C-954C178043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1" name="자유형: 도형 560">
            <a:extLst>
              <a:ext uri="{FF2B5EF4-FFF2-40B4-BE49-F238E27FC236}">
                <a16:creationId xmlns:a16="http://schemas.microsoft.com/office/drawing/2014/main" id="{32924845-DD6A-A0FD-2D5D-6402B441417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57511</xdr:colOff>
      <xdr:row>28</xdr:row>
      <xdr:rowOff>27218</xdr:rowOff>
    </xdr:from>
    <xdr:ext cx="218393" cy="140872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FDA85667-80FE-4CD0-B349-4715DCB60C07}"/>
            </a:ext>
          </a:extLst>
        </xdr:cNvPr>
        <xdr:cNvSpPr txBox="1"/>
      </xdr:nvSpPr>
      <xdr:spPr>
        <a:xfrm>
          <a:off x="5934436" y="5999393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543277</xdr:colOff>
      <xdr:row>28</xdr:row>
      <xdr:rowOff>172590</xdr:rowOff>
    </xdr:from>
    <xdr:ext cx="67127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F77D2254-1796-4A80-B01A-552F8A77B1F4}"/>
            </a:ext>
          </a:extLst>
        </xdr:cNvPr>
        <xdr:cNvSpPr txBox="1"/>
      </xdr:nvSpPr>
      <xdr:spPr>
        <a:xfrm>
          <a:off x="3169002" y="5782815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21</xdr:col>
      <xdr:colOff>54095</xdr:colOff>
      <xdr:row>77</xdr:row>
      <xdr:rowOff>30962</xdr:rowOff>
    </xdr:from>
    <xdr:ext cx="228204" cy="140872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6694E3BE-E9DA-4B06-A635-47DF707C7CE9}"/>
            </a:ext>
          </a:extLst>
        </xdr:cNvPr>
        <xdr:cNvSpPr txBox="1"/>
      </xdr:nvSpPr>
      <xdr:spPr>
        <a:xfrm>
          <a:off x="4997570" y="150518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85</xdr:row>
      <xdr:rowOff>33366</xdr:rowOff>
    </xdr:from>
    <xdr:ext cx="714619" cy="140872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DF7831C3-A7AD-4FAA-BF6E-F9739B0E3B44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85</xdr:row>
      <xdr:rowOff>28279</xdr:rowOff>
    </xdr:from>
    <xdr:ext cx="597664" cy="140872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219E5F8B-8BB4-4C7C-909F-727DAA9E2E6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84</xdr:row>
      <xdr:rowOff>161930</xdr:rowOff>
    </xdr:from>
    <xdr:to>
      <xdr:col>17</xdr:col>
      <xdr:colOff>25836</xdr:colOff>
      <xdr:row>85</xdr:row>
      <xdr:rowOff>179720</xdr:rowOff>
    </xdr:to>
    <xdr:grpSp>
      <xdr:nvGrpSpPr>
        <xdr:cNvPr id="581" name="그룹 580">
          <a:extLst>
            <a:ext uri="{FF2B5EF4-FFF2-40B4-BE49-F238E27FC236}">
              <a16:creationId xmlns:a16="http://schemas.microsoft.com/office/drawing/2014/main" id="{B1F350F6-D6F5-49ED-B90A-909DB47F2794}"/>
            </a:ext>
          </a:extLst>
        </xdr:cNvPr>
        <xdr:cNvGrpSpPr/>
      </xdr:nvGrpSpPr>
      <xdr:grpSpPr>
        <a:xfrm>
          <a:off x="4774023" y="15808330"/>
          <a:ext cx="259846" cy="204057"/>
          <a:chOff x="2051991" y="27765565"/>
          <a:chExt cx="263021" cy="202124"/>
        </a:xfrm>
      </xdr:grpSpPr>
      <xdr:sp macro="" textlink="">
        <xdr:nvSpPr>
          <xdr:cNvPr id="582" name="TextBox 581">
            <a:extLst>
              <a:ext uri="{FF2B5EF4-FFF2-40B4-BE49-F238E27FC236}">
                <a16:creationId xmlns:a16="http://schemas.microsoft.com/office/drawing/2014/main" id="{3BEBB6CE-7398-DA1D-8BB3-B6560D411A1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86" name="TextBox 585">
            <a:extLst>
              <a:ext uri="{FF2B5EF4-FFF2-40B4-BE49-F238E27FC236}">
                <a16:creationId xmlns:a16="http://schemas.microsoft.com/office/drawing/2014/main" id="{00D26C02-618C-29DC-2AA2-EE2CDDE8A427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83</xdr:row>
      <xdr:rowOff>23250</xdr:rowOff>
    </xdr:from>
    <xdr:ext cx="714619" cy="140872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AE2CBA0D-8417-47A0-8FA8-93ABBDD2BA48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83</xdr:row>
      <xdr:rowOff>9324</xdr:rowOff>
    </xdr:from>
    <xdr:to>
      <xdr:col>59</xdr:col>
      <xdr:colOff>15905</xdr:colOff>
      <xdr:row>84</xdr:row>
      <xdr:rowOff>2333</xdr:rowOff>
    </xdr:to>
    <xdr:grpSp>
      <xdr:nvGrpSpPr>
        <xdr:cNvPr id="588" name="그룹 587">
          <a:extLst>
            <a:ext uri="{FF2B5EF4-FFF2-40B4-BE49-F238E27FC236}">
              <a16:creationId xmlns:a16="http://schemas.microsoft.com/office/drawing/2014/main" id="{DF111CD5-AE3C-4AE8-B5DE-42FE92CBEAB8}"/>
            </a:ext>
          </a:extLst>
        </xdr:cNvPr>
        <xdr:cNvGrpSpPr/>
      </xdr:nvGrpSpPr>
      <xdr:grpSpPr>
        <a:xfrm>
          <a:off x="7658113" y="15469457"/>
          <a:ext cx="32825" cy="179276"/>
          <a:chOff x="11556979" y="1937259"/>
          <a:chExt cx="188140" cy="204787"/>
        </a:xfrm>
      </xdr:grpSpPr>
      <xdr:sp macro="" textlink="">
        <xdr:nvSpPr>
          <xdr:cNvPr id="589" name="자유형: 도형 588">
            <a:extLst>
              <a:ext uri="{FF2B5EF4-FFF2-40B4-BE49-F238E27FC236}">
                <a16:creationId xmlns:a16="http://schemas.microsoft.com/office/drawing/2014/main" id="{FEDDAB82-3E56-21F3-B11C-F75C046757C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1" name="자유형: 도형 590">
            <a:extLst>
              <a:ext uri="{FF2B5EF4-FFF2-40B4-BE49-F238E27FC236}">
                <a16:creationId xmlns:a16="http://schemas.microsoft.com/office/drawing/2014/main" id="{DFD42BEE-F71E-BAEF-B947-A9C60330ACA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85</xdr:row>
      <xdr:rowOff>10535</xdr:rowOff>
    </xdr:from>
    <xdr:to>
      <xdr:col>59</xdr:col>
      <xdr:colOff>20139</xdr:colOff>
      <xdr:row>86</xdr:row>
      <xdr:rowOff>6719</xdr:rowOff>
    </xdr:to>
    <xdr:grpSp>
      <xdr:nvGrpSpPr>
        <xdr:cNvPr id="592" name="그룹 591">
          <a:extLst>
            <a:ext uri="{FF2B5EF4-FFF2-40B4-BE49-F238E27FC236}">
              <a16:creationId xmlns:a16="http://schemas.microsoft.com/office/drawing/2014/main" id="{223FE9AB-8DBC-4EF8-BE54-AA6D841D0752}"/>
            </a:ext>
          </a:extLst>
        </xdr:cNvPr>
        <xdr:cNvGrpSpPr/>
      </xdr:nvGrpSpPr>
      <xdr:grpSpPr>
        <a:xfrm>
          <a:off x="7655997" y="15843202"/>
          <a:ext cx="39175" cy="182450"/>
          <a:chOff x="11556979" y="1937259"/>
          <a:chExt cx="188140" cy="204787"/>
        </a:xfrm>
      </xdr:grpSpPr>
      <xdr:sp macro="" textlink="">
        <xdr:nvSpPr>
          <xdr:cNvPr id="593" name="자유형: 도형 592">
            <a:extLst>
              <a:ext uri="{FF2B5EF4-FFF2-40B4-BE49-F238E27FC236}">
                <a16:creationId xmlns:a16="http://schemas.microsoft.com/office/drawing/2014/main" id="{2A1163F0-88A7-BA7A-54F0-8A47B4CBE3D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4" name="자유형: 도형 593">
            <a:extLst>
              <a:ext uri="{FF2B5EF4-FFF2-40B4-BE49-F238E27FC236}">
                <a16:creationId xmlns:a16="http://schemas.microsoft.com/office/drawing/2014/main" id="{FFE4C646-8CAA-FB7C-B1C1-3D71DA279D1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84</xdr:row>
      <xdr:rowOff>170283</xdr:rowOff>
    </xdr:from>
    <xdr:to>
      <xdr:col>39</xdr:col>
      <xdr:colOff>11927</xdr:colOff>
      <xdr:row>86</xdr:row>
      <xdr:rowOff>2108</xdr:rowOff>
    </xdr:to>
    <xdr:grpSp>
      <xdr:nvGrpSpPr>
        <xdr:cNvPr id="595" name="그룹 594">
          <a:extLst>
            <a:ext uri="{FF2B5EF4-FFF2-40B4-BE49-F238E27FC236}">
              <a16:creationId xmlns:a16="http://schemas.microsoft.com/office/drawing/2014/main" id="{F0A9F578-03BB-4A0F-8D92-69573C64C2F0}"/>
            </a:ext>
          </a:extLst>
        </xdr:cNvPr>
        <xdr:cNvGrpSpPr/>
      </xdr:nvGrpSpPr>
      <xdr:grpSpPr>
        <a:xfrm>
          <a:off x="6160289" y="15816683"/>
          <a:ext cx="256671" cy="204358"/>
          <a:chOff x="2051991" y="27765565"/>
          <a:chExt cx="263021" cy="202124"/>
        </a:xfrm>
      </xdr:grpSpPr>
      <xdr:sp macro="" textlink="">
        <xdr:nvSpPr>
          <xdr:cNvPr id="596" name="TextBox 595">
            <a:extLst>
              <a:ext uri="{FF2B5EF4-FFF2-40B4-BE49-F238E27FC236}">
                <a16:creationId xmlns:a16="http://schemas.microsoft.com/office/drawing/2014/main" id="{4F65C9A4-1E7E-327B-8E63-BC1FF08281F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97" name="TextBox 596">
            <a:extLst>
              <a:ext uri="{FF2B5EF4-FFF2-40B4-BE49-F238E27FC236}">
                <a16:creationId xmlns:a16="http://schemas.microsoft.com/office/drawing/2014/main" id="{FA72CB1B-45FC-519A-CC1A-6ACE4CE6D2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85</xdr:row>
      <xdr:rowOff>159228</xdr:rowOff>
    </xdr:from>
    <xdr:ext cx="584263" cy="140872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E2C5EC72-0BF9-42A9-A764-1579CCDF6134}"/>
            </a:ext>
          </a:extLst>
        </xdr:cNvPr>
        <xdr:cNvSpPr txBox="1"/>
      </xdr:nvSpPr>
      <xdr:spPr>
        <a:xfrm>
          <a:off x="3277126" y="155452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83</xdr:row>
      <xdr:rowOff>167531</xdr:rowOff>
    </xdr:from>
    <xdr:ext cx="584263" cy="140872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358DB9DC-B615-4C35-A5FF-01D6B93E9340}"/>
            </a:ext>
          </a:extLst>
        </xdr:cNvPr>
        <xdr:cNvSpPr txBox="1"/>
      </xdr:nvSpPr>
      <xdr:spPr>
        <a:xfrm>
          <a:off x="3275119" y="1518528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83</xdr:row>
      <xdr:rowOff>21891</xdr:rowOff>
    </xdr:from>
    <xdr:ext cx="714619" cy="140872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B9F798D0-3C26-4FC2-87BC-B182D3052630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35</xdr:col>
      <xdr:colOff>6999</xdr:colOff>
      <xdr:row>25</xdr:row>
      <xdr:rowOff>88065</xdr:rowOff>
    </xdr:from>
    <xdr:ext cx="324000" cy="0"/>
    <xdr:cxnSp macro="">
      <xdr:nvCxnSpPr>
        <xdr:cNvPr id="605" name="직선 화살표 연결선 604">
          <a:extLst>
            <a:ext uri="{FF2B5EF4-FFF2-40B4-BE49-F238E27FC236}">
              <a16:creationId xmlns:a16="http://schemas.microsoft.com/office/drawing/2014/main" id="{144BDA48-2E3A-4637-BE47-2237B5BD4BFE}"/>
            </a:ext>
          </a:extLst>
        </xdr:cNvPr>
        <xdr:cNvCxnSpPr/>
      </xdr:nvCxnSpPr>
      <xdr:spPr>
        <a:xfrm>
          <a:off x="5883924" y="5517315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</xdr:col>
      <xdr:colOff>446768</xdr:colOff>
      <xdr:row>21</xdr:row>
      <xdr:rowOff>28575</xdr:rowOff>
    </xdr:from>
    <xdr:ext cx="762645" cy="14087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7C3A1FBD-F287-4A0A-960E-22DA3C82A153}"/>
            </a:ext>
          </a:extLst>
        </xdr:cNvPr>
        <xdr:cNvSpPr txBox="1"/>
      </xdr:nvSpPr>
      <xdr:spPr>
        <a:xfrm>
          <a:off x="2406197" y="39338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434975</xdr:colOff>
      <xdr:row>23</xdr:row>
      <xdr:rowOff>34925</xdr:rowOff>
    </xdr:from>
    <xdr:ext cx="762645" cy="14087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EC8FDCAE-9C2F-4FDE-8A75-26D8AE5AB49B}"/>
            </a:ext>
          </a:extLst>
        </xdr:cNvPr>
        <xdr:cNvSpPr txBox="1"/>
      </xdr:nvSpPr>
      <xdr:spPr>
        <a:xfrm>
          <a:off x="2406650" y="51022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426962</xdr:colOff>
      <xdr:row>24</xdr:row>
      <xdr:rowOff>136242</xdr:rowOff>
    </xdr:from>
    <xdr:ext cx="763863" cy="281744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CC1CCDB-E568-4719-A864-263A2B2DA455}"/>
            </a:ext>
          </a:extLst>
        </xdr:cNvPr>
        <xdr:cNvSpPr txBox="1"/>
      </xdr:nvSpPr>
      <xdr:spPr>
        <a:xfrm>
          <a:off x="2390170" y="4581242"/>
          <a:ext cx="763863" cy="281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  <a:p>
          <a:pPr algn="ctr"/>
          <a:r>
            <a:rPr lang="en-US" altLang="ko-KR" sz="900" b="0" i="1" u="none">
              <a:solidFill>
                <a:srgbClr val="FF0000"/>
              </a:solidFill>
            </a:rPr>
            <a:t> vref3=vref2</a:t>
          </a:r>
        </a:p>
      </xdr:txBody>
    </xdr:sp>
    <xdr:clientData/>
  </xdr:oneCellAnchor>
  <xdr:twoCellAnchor>
    <xdr:from>
      <xdr:col>57</xdr:col>
      <xdr:colOff>49087</xdr:colOff>
      <xdr:row>234</xdr:row>
      <xdr:rowOff>16326</xdr:rowOff>
    </xdr:from>
    <xdr:to>
      <xdr:col>58</xdr:col>
      <xdr:colOff>21587</xdr:colOff>
      <xdr:row>235</xdr:row>
      <xdr:rowOff>12510</xdr:rowOff>
    </xdr:to>
    <xdr:grpSp>
      <xdr:nvGrpSpPr>
        <xdr:cNvPr id="615" name="그룹 614">
          <a:extLst>
            <a:ext uri="{FF2B5EF4-FFF2-40B4-BE49-F238E27FC236}">
              <a16:creationId xmlns:a16="http://schemas.microsoft.com/office/drawing/2014/main" id="{2EB2D992-12BB-4612-BAC1-D50B718019F4}"/>
            </a:ext>
          </a:extLst>
        </xdr:cNvPr>
        <xdr:cNvGrpSpPr/>
      </xdr:nvGrpSpPr>
      <xdr:grpSpPr>
        <a:xfrm>
          <a:off x="7597120" y="43602726"/>
          <a:ext cx="36000" cy="182451"/>
          <a:chOff x="11556979" y="1937259"/>
          <a:chExt cx="188140" cy="204787"/>
        </a:xfrm>
      </xdr:grpSpPr>
      <xdr:sp macro="" textlink="">
        <xdr:nvSpPr>
          <xdr:cNvPr id="616" name="자유형: 도형 615">
            <a:extLst>
              <a:ext uri="{FF2B5EF4-FFF2-40B4-BE49-F238E27FC236}">
                <a16:creationId xmlns:a16="http://schemas.microsoft.com/office/drawing/2014/main" id="{3D577C8F-EEF2-1EB9-C026-14AC408BC2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7" name="자유형: 도형 616">
            <a:extLst>
              <a:ext uri="{FF2B5EF4-FFF2-40B4-BE49-F238E27FC236}">
                <a16:creationId xmlns:a16="http://schemas.microsoft.com/office/drawing/2014/main" id="{DCDACA6C-A181-5E5D-0D04-B22A2DE7B6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39</xdr:col>
      <xdr:colOff>27215</xdr:colOff>
      <xdr:row>88</xdr:row>
      <xdr:rowOff>18143</xdr:rowOff>
    </xdr:from>
    <xdr:ext cx="510909" cy="140872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CC374C4-9860-4673-9AB6-6921E30A0E33}"/>
            </a:ext>
          </a:extLst>
        </xdr:cNvPr>
        <xdr:cNvSpPr txBox="1"/>
      </xdr:nvSpPr>
      <xdr:spPr>
        <a:xfrm>
          <a:off x="6041572" y="1768475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154</xdr:row>
      <xdr:rowOff>33366</xdr:rowOff>
    </xdr:from>
    <xdr:ext cx="714619" cy="140872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CFF28CC1-BE6E-43E3-812F-D8F869A74CD8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154</xdr:row>
      <xdr:rowOff>28279</xdr:rowOff>
    </xdr:from>
    <xdr:ext cx="597664" cy="140872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CC7DD683-7609-413B-B3E4-78172D09CF2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153</xdr:row>
      <xdr:rowOff>161930</xdr:rowOff>
    </xdr:from>
    <xdr:to>
      <xdr:col>17</xdr:col>
      <xdr:colOff>25836</xdr:colOff>
      <xdr:row>154</xdr:row>
      <xdr:rowOff>179720</xdr:rowOff>
    </xdr:to>
    <xdr:grpSp>
      <xdr:nvGrpSpPr>
        <xdr:cNvPr id="600" name="그룹 599">
          <a:extLst>
            <a:ext uri="{FF2B5EF4-FFF2-40B4-BE49-F238E27FC236}">
              <a16:creationId xmlns:a16="http://schemas.microsoft.com/office/drawing/2014/main" id="{2D320DE3-B704-4A07-AA7F-193EC6AE48B9}"/>
            </a:ext>
          </a:extLst>
        </xdr:cNvPr>
        <xdr:cNvGrpSpPr/>
      </xdr:nvGrpSpPr>
      <xdr:grpSpPr>
        <a:xfrm>
          <a:off x="4774023" y="28660730"/>
          <a:ext cx="259846" cy="204057"/>
          <a:chOff x="2051991" y="27765565"/>
          <a:chExt cx="263021" cy="202124"/>
        </a:xfrm>
      </xdr:grpSpPr>
      <xdr:sp macro="" textlink="">
        <xdr:nvSpPr>
          <xdr:cNvPr id="609" name="TextBox 608">
            <a:extLst>
              <a:ext uri="{FF2B5EF4-FFF2-40B4-BE49-F238E27FC236}">
                <a16:creationId xmlns:a16="http://schemas.microsoft.com/office/drawing/2014/main" id="{FA4194B1-1999-97FB-5404-0BE68DCAA642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10" name="TextBox 609">
            <a:extLst>
              <a:ext uri="{FF2B5EF4-FFF2-40B4-BE49-F238E27FC236}">
                <a16:creationId xmlns:a16="http://schemas.microsoft.com/office/drawing/2014/main" id="{CE541E86-D764-6F85-CA80-D0E39EA123B8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152</xdr:row>
      <xdr:rowOff>23250</xdr:rowOff>
    </xdr:from>
    <xdr:ext cx="714619" cy="140872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316402A-B4EA-43CD-B11E-E4CC4A74D0E9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152</xdr:row>
      <xdr:rowOff>9324</xdr:rowOff>
    </xdr:from>
    <xdr:to>
      <xdr:col>59</xdr:col>
      <xdr:colOff>15905</xdr:colOff>
      <xdr:row>153</xdr:row>
      <xdr:rowOff>2333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2AE48B08-5EEE-4779-8F05-E15665B13629}"/>
            </a:ext>
          </a:extLst>
        </xdr:cNvPr>
        <xdr:cNvGrpSpPr/>
      </xdr:nvGrpSpPr>
      <xdr:grpSpPr>
        <a:xfrm>
          <a:off x="7658113" y="28321857"/>
          <a:ext cx="32825" cy="179276"/>
          <a:chOff x="11556979" y="1937259"/>
          <a:chExt cx="188140" cy="204787"/>
        </a:xfrm>
      </xdr:grpSpPr>
      <xdr:sp macro="" textlink="">
        <xdr:nvSpPr>
          <xdr:cNvPr id="613" name="자유형: 도형 612">
            <a:extLst>
              <a:ext uri="{FF2B5EF4-FFF2-40B4-BE49-F238E27FC236}">
                <a16:creationId xmlns:a16="http://schemas.microsoft.com/office/drawing/2014/main" id="{BFD32F05-D4C6-8B8E-8B20-9A2C2D23327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4" name="자유형: 도형 613">
            <a:extLst>
              <a:ext uri="{FF2B5EF4-FFF2-40B4-BE49-F238E27FC236}">
                <a16:creationId xmlns:a16="http://schemas.microsoft.com/office/drawing/2014/main" id="{639F387A-96E9-B7A9-2209-B09EC89E53D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154</xdr:row>
      <xdr:rowOff>10535</xdr:rowOff>
    </xdr:from>
    <xdr:to>
      <xdr:col>59</xdr:col>
      <xdr:colOff>20139</xdr:colOff>
      <xdr:row>155</xdr:row>
      <xdr:rowOff>6719</xdr:rowOff>
    </xdr:to>
    <xdr:grpSp>
      <xdr:nvGrpSpPr>
        <xdr:cNvPr id="618" name="그룹 617">
          <a:extLst>
            <a:ext uri="{FF2B5EF4-FFF2-40B4-BE49-F238E27FC236}">
              <a16:creationId xmlns:a16="http://schemas.microsoft.com/office/drawing/2014/main" id="{A7BDEDB0-C1E3-41EA-B0AE-11BA4631B556}"/>
            </a:ext>
          </a:extLst>
        </xdr:cNvPr>
        <xdr:cNvGrpSpPr/>
      </xdr:nvGrpSpPr>
      <xdr:grpSpPr>
        <a:xfrm>
          <a:off x="7655997" y="28695602"/>
          <a:ext cx="39175" cy="182450"/>
          <a:chOff x="11556979" y="1937259"/>
          <a:chExt cx="188140" cy="204787"/>
        </a:xfrm>
      </xdr:grpSpPr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B4A1B219-1587-68A0-A84E-50220D76E60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0" name="자유형: 도형 619">
            <a:extLst>
              <a:ext uri="{FF2B5EF4-FFF2-40B4-BE49-F238E27FC236}">
                <a16:creationId xmlns:a16="http://schemas.microsoft.com/office/drawing/2014/main" id="{F4FBF7BE-89B7-688B-D638-D8C574FEE49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153</xdr:row>
      <xdr:rowOff>170283</xdr:rowOff>
    </xdr:from>
    <xdr:to>
      <xdr:col>39</xdr:col>
      <xdr:colOff>11927</xdr:colOff>
      <xdr:row>155</xdr:row>
      <xdr:rowOff>2108</xdr:rowOff>
    </xdr:to>
    <xdr:grpSp>
      <xdr:nvGrpSpPr>
        <xdr:cNvPr id="621" name="그룹 620">
          <a:extLst>
            <a:ext uri="{FF2B5EF4-FFF2-40B4-BE49-F238E27FC236}">
              <a16:creationId xmlns:a16="http://schemas.microsoft.com/office/drawing/2014/main" id="{E66BEF93-E633-4872-B675-E32DEB313E4E}"/>
            </a:ext>
          </a:extLst>
        </xdr:cNvPr>
        <xdr:cNvGrpSpPr/>
      </xdr:nvGrpSpPr>
      <xdr:grpSpPr>
        <a:xfrm>
          <a:off x="6160289" y="28669083"/>
          <a:ext cx="256671" cy="204358"/>
          <a:chOff x="2051991" y="27765565"/>
          <a:chExt cx="263021" cy="202124"/>
        </a:xfrm>
      </xdr:grpSpPr>
      <xdr:sp macro="" textlink="">
        <xdr:nvSpPr>
          <xdr:cNvPr id="622" name="TextBox 621">
            <a:extLst>
              <a:ext uri="{FF2B5EF4-FFF2-40B4-BE49-F238E27FC236}">
                <a16:creationId xmlns:a16="http://schemas.microsoft.com/office/drawing/2014/main" id="{3404D933-9CC6-FD2E-84FB-FDC3381927CA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23" name="TextBox 622">
            <a:extLst>
              <a:ext uri="{FF2B5EF4-FFF2-40B4-BE49-F238E27FC236}">
                <a16:creationId xmlns:a16="http://schemas.microsoft.com/office/drawing/2014/main" id="{B78E29B5-6DA9-740A-ADAE-34643E6648EA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154</xdr:row>
      <xdr:rowOff>159228</xdr:rowOff>
    </xdr:from>
    <xdr:ext cx="584263" cy="140872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B3608C45-5DEE-4D0E-8BCB-700F31CDD916}"/>
            </a:ext>
          </a:extLst>
        </xdr:cNvPr>
        <xdr:cNvSpPr txBox="1"/>
      </xdr:nvSpPr>
      <xdr:spPr>
        <a:xfrm>
          <a:off x="3260797" y="170819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152</xdr:row>
      <xdr:rowOff>167531</xdr:rowOff>
    </xdr:from>
    <xdr:ext cx="584263" cy="140872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5B47A96C-CB65-4CAE-BDD0-142E56B4048F}"/>
            </a:ext>
          </a:extLst>
        </xdr:cNvPr>
        <xdr:cNvSpPr txBox="1"/>
      </xdr:nvSpPr>
      <xdr:spPr>
        <a:xfrm>
          <a:off x="3258790" y="16718352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152</xdr:row>
      <xdr:rowOff>21891</xdr:rowOff>
    </xdr:from>
    <xdr:ext cx="714619" cy="140872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DBBA6376-99A0-49CE-A425-9418BE82C702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39</xdr:col>
      <xdr:colOff>49893</xdr:colOff>
      <xdr:row>156</xdr:row>
      <xdr:rowOff>27214</xdr:rowOff>
    </xdr:from>
    <xdr:ext cx="510909" cy="140872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1CEDEBAE-3EBF-4618-8ACA-3D6EB50278D7}"/>
            </a:ext>
          </a:extLst>
        </xdr:cNvPr>
        <xdr:cNvSpPr txBox="1"/>
      </xdr:nvSpPr>
      <xdr:spPr>
        <a:xfrm>
          <a:off x="6064250" y="3071132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134</xdr:col>
      <xdr:colOff>229018</xdr:colOff>
      <xdr:row>1</xdr:row>
      <xdr:rowOff>38719</xdr:rowOff>
    </xdr:from>
    <xdr:to>
      <xdr:col>140</xdr:col>
      <xdr:colOff>351771</xdr:colOff>
      <xdr:row>10</xdr:row>
      <xdr:rowOff>34848</xdr:rowOff>
    </xdr:to>
    <xdr:grpSp>
      <xdr:nvGrpSpPr>
        <xdr:cNvPr id="1431" name="그룹 1430">
          <a:extLst>
            <a:ext uri="{FF2B5EF4-FFF2-40B4-BE49-F238E27FC236}">
              <a16:creationId xmlns:a16="http://schemas.microsoft.com/office/drawing/2014/main" id="{4B3B904E-672A-9B99-94FF-A9AA3451E7BB}"/>
            </a:ext>
          </a:extLst>
        </xdr:cNvPr>
        <xdr:cNvGrpSpPr/>
      </xdr:nvGrpSpPr>
      <xdr:grpSpPr>
        <a:xfrm>
          <a:off x="16815218" y="224986"/>
          <a:ext cx="4059753" cy="1672529"/>
          <a:chOff x="15823999" y="1180945"/>
          <a:chExt cx="4048911" cy="1668812"/>
        </a:xfrm>
      </xdr:grpSpPr>
      <xdr:cxnSp macro="">
        <xdr:nvCxnSpPr>
          <xdr:cNvPr id="986" name="직선 화살표 연결선 985">
            <a:extLst>
              <a:ext uri="{FF2B5EF4-FFF2-40B4-BE49-F238E27FC236}">
                <a16:creationId xmlns:a16="http://schemas.microsoft.com/office/drawing/2014/main" id="{EBDFACCD-322C-6633-221D-F9A27A36026B}"/>
              </a:ext>
            </a:extLst>
          </xdr:cNvPr>
          <xdr:cNvCxnSpPr/>
        </xdr:nvCxnSpPr>
        <xdr:spPr>
          <a:xfrm flipH="1" flipV="1">
            <a:off x="17257720" y="263139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DD32DBD-59CD-F4B8-441E-24F85C70B126}"/>
              </a:ext>
            </a:extLst>
          </xdr:cNvPr>
          <xdr:cNvSpPr/>
        </xdr:nvSpPr>
        <xdr:spPr>
          <a:xfrm>
            <a:off x="18647344" y="2554834"/>
            <a:ext cx="632576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THERMAL(a)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88" name="직사각형 987">
            <a:extLst>
              <a:ext uri="{FF2B5EF4-FFF2-40B4-BE49-F238E27FC236}">
                <a16:creationId xmlns:a16="http://schemas.microsoft.com/office/drawing/2014/main" id="{1B0C8CBC-ECC5-B257-8723-95F31E6FFC99}"/>
              </a:ext>
            </a:extLst>
          </xdr:cNvPr>
          <xdr:cNvSpPr/>
        </xdr:nvSpPr>
        <xdr:spPr>
          <a:xfrm>
            <a:off x="15823999" y="1180945"/>
            <a:ext cx="4048911" cy="166881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84" name="직선 화살표 연결선 1383">
            <a:extLst>
              <a:ext uri="{FF2B5EF4-FFF2-40B4-BE49-F238E27FC236}">
                <a16:creationId xmlns:a16="http://schemas.microsoft.com/office/drawing/2014/main" id="{0DAD24D4-8E4C-4847-AF2B-B351AA9B1943}"/>
              </a:ext>
            </a:extLst>
          </xdr:cNvPr>
          <xdr:cNvCxnSpPr/>
        </xdr:nvCxnSpPr>
        <xdr:spPr>
          <a:xfrm>
            <a:off x="17256033" y="213243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1" name="직사각형 1390">
            <a:extLst>
              <a:ext uri="{FF2B5EF4-FFF2-40B4-BE49-F238E27FC236}">
                <a16:creationId xmlns:a16="http://schemas.microsoft.com/office/drawing/2014/main" id="{B3749544-0FD7-4E28-BBB9-89E3E96A468C}"/>
              </a:ext>
            </a:extLst>
          </xdr:cNvPr>
          <xdr:cNvSpPr/>
        </xdr:nvSpPr>
        <xdr:spPr>
          <a:xfrm>
            <a:off x="15910942" y="2639648"/>
            <a:ext cx="835482" cy="15601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wherein,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</a:t>
            </a:r>
            <a:r>
              <a:rPr lang="en-US" altLang="ko-KR" sz="1000" b="1" i="1" u="sng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x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= ch #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394" name="직사각형 1393">
            <a:extLst>
              <a:ext uri="{FF2B5EF4-FFF2-40B4-BE49-F238E27FC236}">
                <a16:creationId xmlns:a16="http://schemas.microsoft.com/office/drawing/2014/main" id="{5B5CE5F1-DCD1-45CD-9733-74B6578E61F9}"/>
              </a:ext>
            </a:extLst>
          </xdr:cNvPr>
          <xdr:cNvSpPr/>
        </xdr:nvSpPr>
        <xdr:spPr>
          <a:xfrm>
            <a:off x="17846940" y="2460389"/>
            <a:ext cx="130036" cy="15590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395" name="직선 연결선 1394">
            <a:extLst>
              <a:ext uri="{FF2B5EF4-FFF2-40B4-BE49-F238E27FC236}">
                <a16:creationId xmlns:a16="http://schemas.microsoft.com/office/drawing/2014/main" id="{8B39D2EC-A3E7-4F4D-9B49-6BAAD5F45993}"/>
              </a:ext>
            </a:extLst>
          </xdr:cNvPr>
          <xdr:cNvCxnSpPr/>
        </xdr:nvCxnSpPr>
        <xdr:spPr>
          <a:xfrm flipH="1">
            <a:off x="17841648" y="2582483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8" name="직사각형 1397">
            <a:extLst>
              <a:ext uri="{FF2B5EF4-FFF2-40B4-BE49-F238E27FC236}">
                <a16:creationId xmlns:a16="http://schemas.microsoft.com/office/drawing/2014/main" id="{5F96EB88-419F-4250-B677-C81D46E6302E}"/>
              </a:ext>
            </a:extLst>
          </xdr:cNvPr>
          <xdr:cNvSpPr/>
        </xdr:nvSpPr>
        <xdr:spPr>
          <a:xfrm>
            <a:off x="16495721" y="2025895"/>
            <a:ext cx="634995" cy="170720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short_en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0" name="직선 화살표 연결선 1399">
            <a:extLst>
              <a:ext uri="{FF2B5EF4-FFF2-40B4-BE49-F238E27FC236}">
                <a16:creationId xmlns:a16="http://schemas.microsoft.com/office/drawing/2014/main" id="{C7DE7977-79F6-480E-BD5E-D2A9C5E8CA97}"/>
              </a:ext>
            </a:extLst>
          </xdr:cNvPr>
          <xdr:cNvCxnSpPr/>
        </xdr:nvCxnSpPr>
        <xdr:spPr>
          <a:xfrm flipH="1" flipV="1">
            <a:off x="17251370" y="2387003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1" name="직사각형 1400">
            <a:extLst>
              <a:ext uri="{FF2B5EF4-FFF2-40B4-BE49-F238E27FC236}">
                <a16:creationId xmlns:a16="http://schemas.microsoft.com/office/drawing/2014/main" id="{E328B4E4-31C2-4EBA-B8AD-B7E163D4A75B}"/>
              </a:ext>
            </a:extLst>
          </xdr:cNvPr>
          <xdr:cNvSpPr/>
        </xdr:nvSpPr>
        <xdr:spPr>
          <a:xfrm>
            <a:off x="17850141" y="1944752"/>
            <a:ext cx="130036" cy="1589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2" name="직선 연결선 1401">
            <a:extLst>
              <a:ext uri="{FF2B5EF4-FFF2-40B4-BE49-F238E27FC236}">
                <a16:creationId xmlns:a16="http://schemas.microsoft.com/office/drawing/2014/main" id="{5CD18850-398F-44F9-968F-04A25C4F365D}"/>
              </a:ext>
            </a:extLst>
          </xdr:cNvPr>
          <xdr:cNvCxnSpPr/>
        </xdr:nvCxnSpPr>
        <xdr:spPr>
          <a:xfrm flipH="1">
            <a:off x="17844849" y="2080227"/>
            <a:ext cx="108000" cy="10864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3" name="직사각형 1402">
            <a:extLst>
              <a:ext uri="{FF2B5EF4-FFF2-40B4-BE49-F238E27FC236}">
                <a16:creationId xmlns:a16="http://schemas.microsoft.com/office/drawing/2014/main" id="{1A853741-9B7B-4EBD-8275-5F3E9736B72A}"/>
              </a:ext>
            </a:extLst>
          </xdr:cNvPr>
          <xdr:cNvSpPr/>
        </xdr:nvSpPr>
        <xdr:spPr>
          <a:xfrm>
            <a:off x="17859666" y="2196616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4" name="직선 연결선 1403">
            <a:extLst>
              <a:ext uri="{FF2B5EF4-FFF2-40B4-BE49-F238E27FC236}">
                <a16:creationId xmlns:a16="http://schemas.microsoft.com/office/drawing/2014/main" id="{93732021-173D-4954-A2FC-8165EE4CDA72}"/>
              </a:ext>
            </a:extLst>
          </xdr:cNvPr>
          <xdr:cNvCxnSpPr/>
        </xdr:nvCxnSpPr>
        <xdr:spPr>
          <a:xfrm flipH="1">
            <a:off x="17854374" y="2326454"/>
            <a:ext cx="108000" cy="10623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5" name="직사각형 1404">
            <a:extLst>
              <a:ext uri="{FF2B5EF4-FFF2-40B4-BE49-F238E27FC236}">
                <a16:creationId xmlns:a16="http://schemas.microsoft.com/office/drawing/2014/main" id="{A0B19BB6-59E2-4B69-9080-BCF4C0D2C143}"/>
              </a:ext>
            </a:extLst>
          </xdr:cNvPr>
          <xdr:cNvSpPr/>
        </xdr:nvSpPr>
        <xdr:spPr>
          <a:xfrm>
            <a:off x="18639351" y="2300066"/>
            <a:ext cx="580830" cy="15651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8" name="직선 화살표 연결선 1407">
            <a:extLst>
              <a:ext uri="{FF2B5EF4-FFF2-40B4-BE49-F238E27FC236}">
                <a16:creationId xmlns:a16="http://schemas.microsoft.com/office/drawing/2014/main" id="{B0704304-9084-44E7-9F7E-946A2C20759A}"/>
              </a:ext>
            </a:extLst>
          </xdr:cNvPr>
          <xdr:cNvCxnSpPr/>
        </xdr:nvCxnSpPr>
        <xdr:spPr>
          <a:xfrm flipH="1" flipV="1">
            <a:off x="17250312" y="1884757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1" name="직사각형 1410">
            <a:extLst>
              <a:ext uri="{FF2B5EF4-FFF2-40B4-BE49-F238E27FC236}">
                <a16:creationId xmlns:a16="http://schemas.microsoft.com/office/drawing/2014/main" id="{1A86E60B-ADF3-491D-878E-9D16A145912D}"/>
              </a:ext>
            </a:extLst>
          </xdr:cNvPr>
          <xdr:cNvSpPr/>
        </xdr:nvSpPr>
        <xdr:spPr>
          <a:xfrm>
            <a:off x="17858608" y="1696442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12" name="직선 연결선 1411">
            <a:extLst>
              <a:ext uri="{FF2B5EF4-FFF2-40B4-BE49-F238E27FC236}">
                <a16:creationId xmlns:a16="http://schemas.microsoft.com/office/drawing/2014/main" id="{A6F33316-0045-4E8A-A8CA-36EB8680CFCB}"/>
              </a:ext>
            </a:extLst>
          </xdr:cNvPr>
          <xdr:cNvCxnSpPr/>
        </xdr:nvCxnSpPr>
        <xdr:spPr>
          <a:xfrm flipH="1">
            <a:off x="17853316" y="1822947"/>
            <a:ext cx="108000" cy="10749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3" name="직사각형 1412">
            <a:extLst>
              <a:ext uri="{FF2B5EF4-FFF2-40B4-BE49-F238E27FC236}">
                <a16:creationId xmlns:a16="http://schemas.microsoft.com/office/drawing/2014/main" id="{90043219-2DB3-4A4E-8E6F-3EF4EFDEF6E9}"/>
              </a:ext>
            </a:extLst>
          </xdr:cNvPr>
          <xdr:cNvSpPr/>
        </xdr:nvSpPr>
        <xdr:spPr>
          <a:xfrm>
            <a:off x="18636868" y="1807142"/>
            <a:ext cx="520173" cy="157779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OPEN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16" name="직선 화살표 연결선 1415">
            <a:extLst>
              <a:ext uri="{FF2B5EF4-FFF2-40B4-BE49-F238E27FC236}">
                <a16:creationId xmlns:a16="http://schemas.microsoft.com/office/drawing/2014/main" id="{3D471D7A-F804-455A-89BC-D78A8C50CBCC}"/>
              </a:ext>
            </a:extLst>
          </xdr:cNvPr>
          <xdr:cNvCxnSpPr/>
        </xdr:nvCxnSpPr>
        <xdr:spPr>
          <a:xfrm flipH="1" flipV="1">
            <a:off x="17254545" y="163321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9" name="직사각형 1418">
            <a:extLst>
              <a:ext uri="{FF2B5EF4-FFF2-40B4-BE49-F238E27FC236}">
                <a16:creationId xmlns:a16="http://schemas.microsoft.com/office/drawing/2014/main" id="{8FF1A6F7-5BBF-4A5B-8943-FDE7F462027A}"/>
              </a:ext>
            </a:extLst>
          </xdr:cNvPr>
          <xdr:cNvSpPr/>
        </xdr:nvSpPr>
        <xdr:spPr>
          <a:xfrm>
            <a:off x="17862841" y="1442822"/>
            <a:ext cx="130036" cy="15716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0" name="직선 연결선 1419">
            <a:extLst>
              <a:ext uri="{FF2B5EF4-FFF2-40B4-BE49-F238E27FC236}">
                <a16:creationId xmlns:a16="http://schemas.microsoft.com/office/drawing/2014/main" id="{8ABE635C-8528-470B-BE80-9385597F9200}"/>
              </a:ext>
            </a:extLst>
          </xdr:cNvPr>
          <xdr:cNvCxnSpPr/>
        </xdr:nvCxnSpPr>
        <xdr:spPr>
          <a:xfrm flipH="1">
            <a:off x="17857549" y="1572661"/>
            <a:ext cx="108000" cy="10926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1" name="직사각형 1420">
            <a:extLst>
              <a:ext uri="{FF2B5EF4-FFF2-40B4-BE49-F238E27FC236}">
                <a16:creationId xmlns:a16="http://schemas.microsoft.com/office/drawing/2014/main" id="{D3013BE6-5C02-46E5-A086-801CD29F63B1}"/>
              </a:ext>
            </a:extLst>
          </xdr:cNvPr>
          <xdr:cNvSpPr/>
        </xdr:nvSpPr>
        <xdr:spPr>
          <a:xfrm>
            <a:off x="18641101" y="1556856"/>
            <a:ext cx="351152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22" name="직선 화살표 연결선 1421">
            <a:extLst>
              <a:ext uri="{FF2B5EF4-FFF2-40B4-BE49-F238E27FC236}">
                <a16:creationId xmlns:a16="http://schemas.microsoft.com/office/drawing/2014/main" id="{7EF7BE69-2188-4C92-B8C9-8AC96E2B2ADE}"/>
              </a:ext>
            </a:extLst>
          </xdr:cNvPr>
          <xdr:cNvCxnSpPr/>
        </xdr:nvCxnSpPr>
        <xdr:spPr>
          <a:xfrm>
            <a:off x="17302600" y="138436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3" name="직사각형 1422">
            <a:extLst>
              <a:ext uri="{FF2B5EF4-FFF2-40B4-BE49-F238E27FC236}">
                <a16:creationId xmlns:a16="http://schemas.microsoft.com/office/drawing/2014/main" id="{92F2B8E3-6239-4ECE-B7CE-3C106DC5C859}"/>
              </a:ext>
            </a:extLst>
          </xdr:cNvPr>
          <xdr:cNvSpPr/>
        </xdr:nvSpPr>
        <xdr:spPr>
          <a:xfrm>
            <a:off x="16542288" y="1275415"/>
            <a:ext cx="634995" cy="170721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pwmout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424" name="직사각형 1423">
            <a:extLst>
              <a:ext uri="{FF2B5EF4-FFF2-40B4-BE49-F238E27FC236}">
                <a16:creationId xmlns:a16="http://schemas.microsoft.com/office/drawing/2014/main" id="{58F74318-8DA4-40B2-B8CD-BB724CD69CAD}"/>
              </a:ext>
            </a:extLst>
          </xdr:cNvPr>
          <xdr:cNvSpPr/>
        </xdr:nvSpPr>
        <xdr:spPr>
          <a:xfrm>
            <a:off x="17857988" y="1203278"/>
            <a:ext cx="130036" cy="15892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5" name="직선 연결선 1424">
            <a:extLst>
              <a:ext uri="{FF2B5EF4-FFF2-40B4-BE49-F238E27FC236}">
                <a16:creationId xmlns:a16="http://schemas.microsoft.com/office/drawing/2014/main" id="{FD593B07-0DCD-4D6A-9E37-A7AD268442BD}"/>
              </a:ext>
            </a:extLst>
          </xdr:cNvPr>
          <xdr:cNvCxnSpPr/>
        </xdr:nvCxnSpPr>
        <xdr:spPr>
          <a:xfrm flipH="1">
            <a:off x="17856568" y="1331008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20</xdr:col>
      <xdr:colOff>5745</xdr:colOff>
      <xdr:row>223</xdr:row>
      <xdr:rowOff>22680</xdr:rowOff>
    </xdr:from>
    <xdr:ext cx="714619" cy="140872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AC78D44D-8E3F-49B8-BE91-AADA983D5D5D}"/>
            </a:ext>
          </a:extLst>
        </xdr:cNvPr>
        <xdr:cNvSpPr txBox="1"/>
      </xdr:nvSpPr>
      <xdr:spPr>
        <a:xfrm>
          <a:off x="4821162" y="41324138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223</xdr:row>
      <xdr:rowOff>9071</xdr:rowOff>
    </xdr:from>
    <xdr:to>
      <xdr:col>58</xdr:col>
      <xdr:colOff>5257</xdr:colOff>
      <xdr:row>224</xdr:row>
      <xdr:rowOff>5256</xdr:rowOff>
    </xdr:to>
    <xdr:grpSp>
      <xdr:nvGrpSpPr>
        <xdr:cNvPr id="1435" name="그룹 1434">
          <a:extLst>
            <a:ext uri="{FF2B5EF4-FFF2-40B4-BE49-F238E27FC236}">
              <a16:creationId xmlns:a16="http://schemas.microsoft.com/office/drawing/2014/main" id="{22D7A16A-7277-44AD-8A04-CE13EDB58CA7}"/>
            </a:ext>
          </a:extLst>
        </xdr:cNvPr>
        <xdr:cNvGrpSpPr/>
      </xdr:nvGrpSpPr>
      <xdr:grpSpPr>
        <a:xfrm>
          <a:off x="7580790" y="41546538"/>
          <a:ext cx="36000" cy="182451"/>
          <a:chOff x="11556979" y="1937259"/>
          <a:chExt cx="188140" cy="204787"/>
        </a:xfrm>
      </xdr:grpSpPr>
      <xdr:sp macro="" textlink="">
        <xdr:nvSpPr>
          <xdr:cNvPr id="1436" name="자유형: 도형 1435">
            <a:extLst>
              <a:ext uri="{FF2B5EF4-FFF2-40B4-BE49-F238E27FC236}">
                <a16:creationId xmlns:a16="http://schemas.microsoft.com/office/drawing/2014/main" id="{D687C70D-1F3D-7084-11CB-0D876112CE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7" name="자유형: 도형 1436">
            <a:extLst>
              <a:ext uri="{FF2B5EF4-FFF2-40B4-BE49-F238E27FC236}">
                <a16:creationId xmlns:a16="http://schemas.microsoft.com/office/drawing/2014/main" id="{8C0241D2-BBB0-4808-FF81-73732EC438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777831</xdr:colOff>
      <xdr:row>223</xdr:row>
      <xdr:rowOff>162277</xdr:rowOff>
    </xdr:from>
    <xdr:ext cx="438774" cy="140872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F570A162-4952-4BA1-B7F1-3CAE90748930}"/>
            </a:ext>
          </a:extLst>
        </xdr:cNvPr>
        <xdr:cNvSpPr txBox="1"/>
      </xdr:nvSpPr>
      <xdr:spPr>
        <a:xfrm>
          <a:off x="3397206" y="4109331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37</xdr:col>
      <xdr:colOff>20562</xdr:colOff>
      <xdr:row>223</xdr:row>
      <xdr:rowOff>26914</xdr:rowOff>
    </xdr:from>
    <xdr:ext cx="714619" cy="140872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0E33A03B-7963-4C62-A136-77A55B3A02E5}"/>
            </a:ext>
          </a:extLst>
        </xdr:cNvPr>
        <xdr:cNvSpPr txBox="1"/>
      </xdr:nvSpPr>
      <xdr:spPr>
        <a:xfrm>
          <a:off x="5915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59</xdr:col>
      <xdr:colOff>20562</xdr:colOff>
      <xdr:row>223</xdr:row>
      <xdr:rowOff>26914</xdr:rowOff>
    </xdr:from>
    <xdr:ext cx="714619" cy="140872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CC954EC2-C40B-4667-BAFE-5DE7B5D2970B}"/>
            </a:ext>
          </a:extLst>
        </xdr:cNvPr>
        <xdr:cNvSpPr txBox="1"/>
      </xdr:nvSpPr>
      <xdr:spPr>
        <a:xfrm>
          <a:off x="7312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73</xdr:col>
      <xdr:colOff>3628</xdr:colOff>
      <xdr:row>223</xdr:row>
      <xdr:rowOff>25856</xdr:rowOff>
    </xdr:from>
    <xdr:ext cx="714619" cy="140872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8097CF24-2BB8-442F-9922-5846CCCC8595}"/>
            </a:ext>
          </a:extLst>
        </xdr:cNvPr>
        <xdr:cNvSpPr txBox="1"/>
      </xdr:nvSpPr>
      <xdr:spPr>
        <a:xfrm>
          <a:off x="8184545" y="41327314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91</xdr:col>
      <xdr:colOff>35378</xdr:colOff>
      <xdr:row>223</xdr:row>
      <xdr:rowOff>31148</xdr:rowOff>
    </xdr:from>
    <xdr:ext cx="714619" cy="140872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4DDC9810-0A7F-4944-93BE-15E3C28973CA}"/>
            </a:ext>
          </a:extLst>
        </xdr:cNvPr>
        <xdr:cNvSpPr txBox="1"/>
      </xdr:nvSpPr>
      <xdr:spPr>
        <a:xfrm>
          <a:off x="9359295" y="4133260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108</xdr:col>
      <xdr:colOff>50194</xdr:colOff>
      <xdr:row>223</xdr:row>
      <xdr:rowOff>35382</xdr:rowOff>
    </xdr:from>
    <xdr:ext cx="714619" cy="140872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AC98A2B8-879B-4842-AD0F-EAF81B00C45C}"/>
            </a:ext>
          </a:extLst>
        </xdr:cNvPr>
        <xdr:cNvSpPr txBox="1"/>
      </xdr:nvSpPr>
      <xdr:spPr>
        <a:xfrm>
          <a:off x="10453611" y="41336840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3</xdr:col>
      <xdr:colOff>305814</xdr:colOff>
      <xdr:row>222</xdr:row>
      <xdr:rowOff>10521</xdr:rowOff>
    </xdr:from>
    <xdr:ext cx="1038041" cy="156518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1083763-CA11-4039-BD00-85729BF46D06}"/>
            </a:ext>
          </a:extLst>
        </xdr:cNvPr>
        <xdr:cNvSpPr txBox="1"/>
      </xdr:nvSpPr>
      <xdr:spPr>
        <a:xfrm>
          <a:off x="2269022" y="41126771"/>
          <a:ext cx="1038041" cy="156518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 </a:t>
          </a:r>
        </a:p>
      </xdr:txBody>
    </xdr:sp>
    <xdr:clientData/>
  </xdr:oneCellAnchor>
  <xdr:oneCellAnchor>
    <xdr:from>
      <xdr:col>3</xdr:col>
      <xdr:colOff>204213</xdr:colOff>
      <xdr:row>156</xdr:row>
      <xdr:rowOff>15872</xdr:rowOff>
    </xdr:from>
    <xdr:ext cx="1041439" cy="313034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0AF35A0B-CEDC-4C7F-95AA-9BA095A854C5}"/>
            </a:ext>
          </a:extLst>
        </xdr:cNvPr>
        <xdr:cNvSpPr txBox="1"/>
      </xdr:nvSpPr>
      <xdr:spPr>
        <a:xfrm>
          <a:off x="2167421" y="28908372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238126</xdr:colOff>
      <xdr:row>88</xdr:row>
      <xdr:rowOff>37042</xdr:rowOff>
    </xdr:from>
    <xdr:ext cx="1041439" cy="313034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CC1D94C8-5D86-4FDB-BFB4-794349679A3C}"/>
            </a:ext>
          </a:extLst>
        </xdr:cNvPr>
        <xdr:cNvSpPr txBox="1"/>
      </xdr:nvSpPr>
      <xdr:spPr>
        <a:xfrm>
          <a:off x="2201334" y="16335375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100542</xdr:colOff>
      <xdr:row>26</xdr:row>
      <xdr:rowOff>63499</xdr:rowOff>
    </xdr:from>
    <xdr:ext cx="1041439" cy="313034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5203E47-5CE0-4940-9283-A199C150A22A}"/>
            </a:ext>
          </a:extLst>
        </xdr:cNvPr>
        <xdr:cNvSpPr txBox="1"/>
      </xdr:nvSpPr>
      <xdr:spPr>
        <a:xfrm>
          <a:off x="2063750" y="4878916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twoCellAnchor>
    <xdr:from>
      <xdr:col>128</xdr:col>
      <xdr:colOff>30143</xdr:colOff>
      <xdr:row>1</xdr:row>
      <xdr:rowOff>40241</xdr:rowOff>
    </xdr:from>
    <xdr:to>
      <xdr:col>134</xdr:col>
      <xdr:colOff>154498</xdr:colOff>
      <xdr:row>47</xdr:row>
      <xdr:rowOff>146381</xdr:rowOff>
    </xdr:to>
    <xdr:grpSp>
      <xdr:nvGrpSpPr>
        <xdr:cNvPr id="336" name="그룹 335">
          <a:extLst>
            <a:ext uri="{FF2B5EF4-FFF2-40B4-BE49-F238E27FC236}">
              <a16:creationId xmlns:a16="http://schemas.microsoft.com/office/drawing/2014/main" id="{7ED6D8AB-95D3-80C3-2BDD-B2E73F619A1D}"/>
            </a:ext>
          </a:extLst>
        </xdr:cNvPr>
        <xdr:cNvGrpSpPr/>
      </xdr:nvGrpSpPr>
      <xdr:grpSpPr>
        <a:xfrm>
          <a:off x="12679343" y="226508"/>
          <a:ext cx="4061355" cy="8674406"/>
          <a:chOff x="12673699" y="223685"/>
          <a:chExt cx="4061355" cy="8544585"/>
        </a:xfrm>
      </xdr:grpSpPr>
      <xdr:grpSp>
        <xdr:nvGrpSpPr>
          <xdr:cNvPr id="1433" name="그룹 1432">
            <a:extLst>
              <a:ext uri="{FF2B5EF4-FFF2-40B4-BE49-F238E27FC236}">
                <a16:creationId xmlns:a16="http://schemas.microsoft.com/office/drawing/2014/main" id="{200ABE84-78A3-202B-A2F7-E786060E38AF}"/>
              </a:ext>
            </a:extLst>
          </xdr:cNvPr>
          <xdr:cNvGrpSpPr/>
        </xdr:nvGrpSpPr>
        <xdr:grpSpPr>
          <a:xfrm>
            <a:off x="12673699" y="223685"/>
            <a:ext cx="4061355" cy="8544585"/>
            <a:chOff x="11872893" y="224391"/>
            <a:chExt cx="4048655" cy="8577040"/>
          </a:xfrm>
        </xdr:grpSpPr>
        <xdr:sp macro="" textlink="">
          <xdr:nvSpPr>
            <xdr:cNvPr id="705" name="직사각형 704">
              <a:extLst>
                <a:ext uri="{FF2B5EF4-FFF2-40B4-BE49-F238E27FC236}">
                  <a16:creationId xmlns:a16="http://schemas.microsoft.com/office/drawing/2014/main" id="{DD9F6D01-F4D5-C37C-951D-5979F387D545}"/>
                </a:ext>
              </a:extLst>
            </xdr:cNvPr>
            <xdr:cNvSpPr/>
          </xdr:nvSpPr>
          <xdr:spPr>
            <a:xfrm>
              <a:off x="11872893" y="224391"/>
              <a:ext cx="4048655" cy="8577040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47" name="직사각형 746">
              <a:extLst>
                <a:ext uri="{FF2B5EF4-FFF2-40B4-BE49-F238E27FC236}">
                  <a16:creationId xmlns:a16="http://schemas.microsoft.com/office/drawing/2014/main" id="{6D775796-5BAA-AD16-40F9-A178874A0FF9}"/>
                </a:ext>
              </a:extLst>
            </xdr:cNvPr>
            <xdr:cNvSpPr/>
          </xdr:nvSpPr>
          <xdr:spPr>
            <a:xfrm>
              <a:off x="13962809" y="1343894"/>
              <a:ext cx="448082" cy="184000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  <a:ln w="3175" cmpd="dbl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solidFill>
                    <a:sysClr val="windowText" lastClr="000000"/>
                  </a:solidFill>
                  <a:latin typeface="+mn-lt"/>
                </a:rPr>
                <a:t>DACb</a:t>
              </a:r>
              <a:endParaRPr lang="ko-KR" altLang="en-US" sz="1000"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8" name="직사각형 747">
              <a:extLst>
                <a:ext uri="{FF2B5EF4-FFF2-40B4-BE49-F238E27FC236}">
                  <a16:creationId xmlns:a16="http://schemas.microsoft.com/office/drawing/2014/main" id="{A9F5572C-43AA-656E-2431-0B3FA418AFAD}"/>
                </a:ext>
              </a:extLst>
            </xdr:cNvPr>
            <xdr:cNvSpPr/>
          </xdr:nvSpPr>
          <xdr:spPr>
            <a:xfrm>
              <a:off x="15564633" y="1626093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9" name="직사각형 748">
              <a:extLst>
                <a:ext uri="{FF2B5EF4-FFF2-40B4-BE49-F238E27FC236}">
                  <a16:creationId xmlns:a16="http://schemas.microsoft.com/office/drawing/2014/main" id="{083BB70E-CDD5-C199-4A0F-303A728743E4}"/>
                </a:ext>
              </a:extLst>
            </xdr:cNvPr>
            <xdr:cNvSpPr/>
          </xdr:nvSpPr>
          <xdr:spPr>
            <a:xfrm>
              <a:off x="13958086" y="1081165"/>
              <a:ext cx="448082" cy="183999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DACa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0" name="직사각형 749">
              <a:extLst>
                <a:ext uri="{FF2B5EF4-FFF2-40B4-BE49-F238E27FC236}">
                  <a16:creationId xmlns:a16="http://schemas.microsoft.com/office/drawing/2014/main" id="{E9D10DA0-AAD0-9726-D2B9-13C17FA2FB68}"/>
                </a:ext>
              </a:extLst>
            </xdr:cNvPr>
            <xdr:cNvSpPr/>
          </xdr:nvSpPr>
          <xdr:spPr>
            <a:xfrm>
              <a:off x="15563056" y="2033053"/>
              <a:ext cx="268305" cy="347746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1" name="직사각형 750">
              <a:extLst>
                <a:ext uri="{FF2B5EF4-FFF2-40B4-BE49-F238E27FC236}">
                  <a16:creationId xmlns:a16="http://schemas.microsoft.com/office/drawing/2014/main" id="{60892334-145E-17D6-1B5E-5A92FB1B9260}"/>
                </a:ext>
              </a:extLst>
            </xdr:cNvPr>
            <xdr:cNvSpPr/>
          </xdr:nvSpPr>
          <xdr:spPr>
            <a:xfrm>
              <a:off x="15561477" y="2450895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ch3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2" name="직사각형 751">
              <a:extLst>
                <a:ext uri="{FF2B5EF4-FFF2-40B4-BE49-F238E27FC236}">
                  <a16:creationId xmlns:a16="http://schemas.microsoft.com/office/drawing/2014/main" id="{B3D37AAF-CE39-AFBA-EA9C-20136682AE30}"/>
                </a:ext>
              </a:extLst>
            </xdr:cNvPr>
            <xdr:cNvSpPr/>
          </xdr:nvSpPr>
          <xdr:spPr>
            <a:xfrm>
              <a:off x="15567789" y="2862224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ch4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3" name="직사각형 752">
              <a:extLst>
                <a:ext uri="{FF2B5EF4-FFF2-40B4-BE49-F238E27FC236}">
                  <a16:creationId xmlns:a16="http://schemas.microsoft.com/office/drawing/2014/main" id="{F3FE3BA5-6E2E-CE53-D181-D0468E68EC56}"/>
                </a:ext>
              </a:extLst>
            </xdr:cNvPr>
            <xdr:cNvSpPr/>
          </xdr:nvSpPr>
          <xdr:spPr>
            <a:xfrm>
              <a:off x="15567930" y="3269513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ch5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4" name="직사각형 753">
              <a:extLst>
                <a:ext uri="{FF2B5EF4-FFF2-40B4-BE49-F238E27FC236}">
                  <a16:creationId xmlns:a16="http://schemas.microsoft.com/office/drawing/2014/main" id="{B9949FC8-6FBC-C4B1-2BFE-A63F12DBD7AA}"/>
                </a:ext>
              </a:extLst>
            </xdr:cNvPr>
            <xdr:cNvSpPr/>
          </xdr:nvSpPr>
          <xdr:spPr>
            <a:xfrm>
              <a:off x="15564635" y="367765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ch6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5" name="직사각형 754">
              <a:extLst>
                <a:ext uri="{FF2B5EF4-FFF2-40B4-BE49-F238E27FC236}">
                  <a16:creationId xmlns:a16="http://schemas.microsoft.com/office/drawing/2014/main" id="{ED2A6E64-BA3C-8778-0E1E-61376A36DE3F}"/>
                </a:ext>
              </a:extLst>
            </xdr:cNvPr>
            <xdr:cNvSpPr/>
          </xdr:nvSpPr>
          <xdr:spPr>
            <a:xfrm>
              <a:off x="15563058" y="408354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ch7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6" name="직사각형 755">
              <a:extLst>
                <a:ext uri="{FF2B5EF4-FFF2-40B4-BE49-F238E27FC236}">
                  <a16:creationId xmlns:a16="http://schemas.microsoft.com/office/drawing/2014/main" id="{5D810E96-72F3-9FE2-518A-3A0E76846B5C}"/>
                </a:ext>
              </a:extLst>
            </xdr:cNvPr>
            <xdr:cNvSpPr/>
          </xdr:nvSpPr>
          <xdr:spPr>
            <a:xfrm>
              <a:off x="15562704" y="4501127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ch8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7" name="직사각형 756">
              <a:extLst>
                <a:ext uri="{FF2B5EF4-FFF2-40B4-BE49-F238E27FC236}">
                  <a16:creationId xmlns:a16="http://schemas.microsoft.com/office/drawing/2014/main" id="{69E093F2-2296-1324-73F3-D758E3404DD7}"/>
                </a:ext>
              </a:extLst>
            </xdr:cNvPr>
            <xdr:cNvSpPr/>
          </xdr:nvSpPr>
          <xdr:spPr>
            <a:xfrm>
              <a:off x="15562704" y="4935129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ch9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8" name="직사각형 757">
              <a:extLst>
                <a:ext uri="{FF2B5EF4-FFF2-40B4-BE49-F238E27FC236}">
                  <a16:creationId xmlns:a16="http://schemas.microsoft.com/office/drawing/2014/main" id="{D282E672-663F-A700-698F-BDC9BB516E39}"/>
                </a:ext>
              </a:extLst>
            </xdr:cNvPr>
            <xdr:cNvSpPr/>
          </xdr:nvSpPr>
          <xdr:spPr>
            <a:xfrm>
              <a:off x="15567806" y="537369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ch10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9" name="직사각형 758">
              <a:extLst>
                <a:ext uri="{FF2B5EF4-FFF2-40B4-BE49-F238E27FC236}">
                  <a16:creationId xmlns:a16="http://schemas.microsoft.com/office/drawing/2014/main" id="{6366826A-0CEE-B2FD-82C4-653BEB71B2B0}"/>
                </a:ext>
              </a:extLst>
            </xdr:cNvPr>
            <xdr:cNvSpPr/>
          </xdr:nvSpPr>
          <xdr:spPr>
            <a:xfrm>
              <a:off x="15567806" y="5808624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60" name="직사각형 759">
              <a:extLst>
                <a:ext uri="{FF2B5EF4-FFF2-40B4-BE49-F238E27FC236}">
                  <a16:creationId xmlns:a16="http://schemas.microsoft.com/office/drawing/2014/main" id="{6AF4FD38-8BFF-142C-1FF5-B737B6CD71ED}"/>
                </a:ext>
              </a:extLst>
            </xdr:cNvPr>
            <xdr:cNvSpPr/>
          </xdr:nvSpPr>
          <xdr:spPr>
            <a:xfrm>
              <a:off x="15567806" y="621748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cxnSp macro="">
          <xdr:nvCxnSpPr>
            <xdr:cNvPr id="762" name="직선 화살표 연결선 761">
              <a:extLst>
                <a:ext uri="{FF2B5EF4-FFF2-40B4-BE49-F238E27FC236}">
                  <a16:creationId xmlns:a16="http://schemas.microsoft.com/office/drawing/2014/main" id="{305BF43F-F3C1-50DE-AB4A-22740C33A948}"/>
                </a:ext>
              </a:extLst>
            </xdr:cNvPr>
            <xdr:cNvCxnSpPr/>
          </xdr:nvCxnSpPr>
          <xdr:spPr>
            <a:xfrm>
              <a:off x="14681776" y="1796532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3" name="직선 화살표 연결선 762">
              <a:extLst>
                <a:ext uri="{FF2B5EF4-FFF2-40B4-BE49-F238E27FC236}">
                  <a16:creationId xmlns:a16="http://schemas.microsoft.com/office/drawing/2014/main" id="{F33CE966-F2BA-A22C-A2B7-9E96DA8DF462}"/>
                </a:ext>
              </a:extLst>
            </xdr:cNvPr>
            <xdr:cNvCxnSpPr/>
          </xdr:nvCxnSpPr>
          <xdr:spPr>
            <a:xfrm>
              <a:off x="14678145" y="1183389"/>
              <a:ext cx="0" cy="481282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5" name="직선 화살표 연결선 764">
              <a:extLst>
                <a:ext uri="{FF2B5EF4-FFF2-40B4-BE49-F238E27FC236}">
                  <a16:creationId xmlns:a16="http://schemas.microsoft.com/office/drawing/2014/main" id="{30630341-BE1D-483C-F757-4F84B73A737E}"/>
                </a:ext>
              </a:extLst>
            </xdr:cNvPr>
            <xdr:cNvCxnSpPr/>
          </xdr:nvCxnSpPr>
          <xdr:spPr>
            <a:xfrm>
              <a:off x="14413314" y="1173058"/>
              <a:ext cx="25046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8" name="직선 화살표 연결선 767">
              <a:extLst>
                <a:ext uri="{FF2B5EF4-FFF2-40B4-BE49-F238E27FC236}">
                  <a16:creationId xmlns:a16="http://schemas.microsoft.com/office/drawing/2014/main" id="{FEA2AC00-03CF-98A0-6DBC-6B6FFAED92C4}"/>
                </a:ext>
              </a:extLst>
            </xdr:cNvPr>
            <xdr:cNvCxnSpPr/>
          </xdr:nvCxnSpPr>
          <xdr:spPr>
            <a:xfrm>
              <a:off x="14418045" y="1438431"/>
              <a:ext cx="89541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69" name="타원 768">
              <a:extLst>
                <a:ext uri="{FF2B5EF4-FFF2-40B4-BE49-F238E27FC236}">
                  <a16:creationId xmlns:a16="http://schemas.microsoft.com/office/drawing/2014/main" id="{B3767756-F58B-0165-380B-CEB91035E49A}"/>
                </a:ext>
              </a:extLst>
            </xdr:cNvPr>
            <xdr:cNvSpPr/>
          </xdr:nvSpPr>
          <xdr:spPr>
            <a:xfrm>
              <a:off x="14637040" y="1134194"/>
              <a:ext cx="62778" cy="7917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0" name="직선 화살표 연결선 769">
              <a:extLst>
                <a:ext uri="{FF2B5EF4-FFF2-40B4-BE49-F238E27FC236}">
                  <a16:creationId xmlns:a16="http://schemas.microsoft.com/office/drawing/2014/main" id="{03117C52-9533-F852-4E4E-2D28A88517E4}"/>
                </a:ext>
              </a:extLst>
            </xdr:cNvPr>
            <xdr:cNvCxnSpPr/>
          </xdr:nvCxnSpPr>
          <xdr:spPr>
            <a:xfrm flipH="1">
              <a:off x="15289323" y="1433366"/>
              <a:ext cx="0" cy="4955014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1" name="타원 770">
              <a:extLst>
                <a:ext uri="{FF2B5EF4-FFF2-40B4-BE49-F238E27FC236}">
                  <a16:creationId xmlns:a16="http://schemas.microsoft.com/office/drawing/2014/main" id="{A930B8F6-3E99-6838-C5A0-9CA25B12A5C0}"/>
                </a:ext>
              </a:extLst>
            </xdr:cNvPr>
            <xdr:cNvSpPr/>
          </xdr:nvSpPr>
          <xdr:spPr>
            <a:xfrm>
              <a:off x="15259258" y="5522046"/>
              <a:ext cx="62778" cy="67644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72" name="타원 771">
              <a:extLst>
                <a:ext uri="{FF2B5EF4-FFF2-40B4-BE49-F238E27FC236}">
                  <a16:creationId xmlns:a16="http://schemas.microsoft.com/office/drawing/2014/main" id="{A925659E-61E3-95C0-16B5-0B072DFB0B56}"/>
                </a:ext>
              </a:extLst>
            </xdr:cNvPr>
            <xdr:cNvSpPr/>
          </xdr:nvSpPr>
          <xdr:spPr>
            <a:xfrm>
              <a:off x="14645780" y="1758788"/>
              <a:ext cx="59623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3" name="직선 화살표 연결선 772">
              <a:extLst>
                <a:ext uri="{FF2B5EF4-FFF2-40B4-BE49-F238E27FC236}">
                  <a16:creationId xmlns:a16="http://schemas.microsoft.com/office/drawing/2014/main" id="{17B60AAD-2F6A-6A71-8494-5CB56859407B}"/>
                </a:ext>
              </a:extLst>
            </xdr:cNvPr>
            <xdr:cNvCxnSpPr/>
          </xdr:nvCxnSpPr>
          <xdr:spPr>
            <a:xfrm>
              <a:off x="14678071" y="2634260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4" name="타원 773">
              <a:extLst>
                <a:ext uri="{FF2B5EF4-FFF2-40B4-BE49-F238E27FC236}">
                  <a16:creationId xmlns:a16="http://schemas.microsoft.com/office/drawing/2014/main" id="{0C03157D-454F-D724-3EDA-59111191DF6D}"/>
                </a:ext>
              </a:extLst>
            </xdr:cNvPr>
            <xdr:cNvSpPr/>
          </xdr:nvSpPr>
          <xdr:spPr>
            <a:xfrm>
              <a:off x="14645214" y="2589929"/>
              <a:ext cx="54891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5" name="직선 화살표 연결선 774">
              <a:extLst>
                <a:ext uri="{FF2B5EF4-FFF2-40B4-BE49-F238E27FC236}">
                  <a16:creationId xmlns:a16="http://schemas.microsoft.com/office/drawing/2014/main" id="{0BDD5226-3364-98DB-67D8-01D8EC62BA34}"/>
                </a:ext>
              </a:extLst>
            </xdr:cNvPr>
            <xdr:cNvCxnSpPr/>
          </xdr:nvCxnSpPr>
          <xdr:spPr>
            <a:xfrm>
              <a:off x="14686994" y="3446718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6" name="타원 775">
              <a:extLst>
                <a:ext uri="{FF2B5EF4-FFF2-40B4-BE49-F238E27FC236}">
                  <a16:creationId xmlns:a16="http://schemas.microsoft.com/office/drawing/2014/main" id="{CD43A733-F7B6-E3BA-FEBF-4E1BF640D62F}"/>
                </a:ext>
              </a:extLst>
            </xdr:cNvPr>
            <xdr:cNvSpPr/>
          </xdr:nvSpPr>
          <xdr:spPr>
            <a:xfrm>
              <a:off x="14645066" y="3411455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7" name="직선 화살표 연결선 776">
              <a:extLst>
                <a:ext uri="{FF2B5EF4-FFF2-40B4-BE49-F238E27FC236}">
                  <a16:creationId xmlns:a16="http://schemas.microsoft.com/office/drawing/2014/main" id="{657188E3-D5FF-59B8-AC16-2AE64286808C}"/>
                </a:ext>
              </a:extLst>
            </xdr:cNvPr>
            <xdr:cNvCxnSpPr/>
          </xdr:nvCxnSpPr>
          <xdr:spPr>
            <a:xfrm>
              <a:off x="14677727" y="4275795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8" name="타원 777">
              <a:extLst>
                <a:ext uri="{FF2B5EF4-FFF2-40B4-BE49-F238E27FC236}">
                  <a16:creationId xmlns:a16="http://schemas.microsoft.com/office/drawing/2014/main" id="{8FD5954A-9269-D37A-9A51-EFDED75F7585}"/>
                </a:ext>
              </a:extLst>
            </xdr:cNvPr>
            <xdr:cNvSpPr/>
          </xdr:nvSpPr>
          <xdr:spPr>
            <a:xfrm>
              <a:off x="14646643" y="4240533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9" name="직선 화살표 연결선 778">
              <a:extLst>
                <a:ext uri="{FF2B5EF4-FFF2-40B4-BE49-F238E27FC236}">
                  <a16:creationId xmlns:a16="http://schemas.microsoft.com/office/drawing/2014/main" id="{8B970CF3-2301-8BC3-EFBD-C713EC570D3A}"/>
                </a:ext>
              </a:extLst>
            </xdr:cNvPr>
            <xdr:cNvCxnSpPr/>
          </xdr:nvCxnSpPr>
          <xdr:spPr>
            <a:xfrm>
              <a:off x="14675436" y="512522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0" name="타원 779">
              <a:extLst>
                <a:ext uri="{FF2B5EF4-FFF2-40B4-BE49-F238E27FC236}">
                  <a16:creationId xmlns:a16="http://schemas.microsoft.com/office/drawing/2014/main" id="{0F773FE4-0F34-9E96-4AA3-14CC236D34E9}"/>
                </a:ext>
              </a:extLst>
            </xdr:cNvPr>
            <xdr:cNvSpPr/>
          </xdr:nvSpPr>
          <xdr:spPr>
            <a:xfrm>
              <a:off x="14647508" y="5085424"/>
              <a:ext cx="58044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1" name="직선 화살표 연결선 780">
              <a:extLst>
                <a:ext uri="{FF2B5EF4-FFF2-40B4-BE49-F238E27FC236}">
                  <a16:creationId xmlns:a16="http://schemas.microsoft.com/office/drawing/2014/main" id="{830667A3-92F5-DB56-B065-4E659D9A0F5A}"/>
                </a:ext>
              </a:extLst>
            </xdr:cNvPr>
            <xdr:cNvCxnSpPr/>
          </xdr:nvCxnSpPr>
          <xdr:spPr>
            <a:xfrm>
              <a:off x="14681354" y="599308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2" name="직선 화살표 연결선 781">
              <a:extLst>
                <a:ext uri="{FF2B5EF4-FFF2-40B4-BE49-F238E27FC236}">
                  <a16:creationId xmlns:a16="http://schemas.microsoft.com/office/drawing/2014/main" id="{9ECA0FE8-93EB-FA86-68D2-589C1EEFCA15}"/>
                </a:ext>
              </a:extLst>
            </xdr:cNvPr>
            <xdr:cNvCxnSpPr/>
          </xdr:nvCxnSpPr>
          <xdr:spPr>
            <a:xfrm>
              <a:off x="15297638" y="2212057"/>
              <a:ext cx="26648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3" name="타원 782">
              <a:extLst>
                <a:ext uri="{FF2B5EF4-FFF2-40B4-BE49-F238E27FC236}">
                  <a16:creationId xmlns:a16="http://schemas.microsoft.com/office/drawing/2014/main" id="{62851CE6-5C82-6D23-AED3-E27536BBAE51}"/>
                </a:ext>
              </a:extLst>
            </xdr:cNvPr>
            <xdr:cNvSpPr/>
          </xdr:nvSpPr>
          <xdr:spPr>
            <a:xfrm>
              <a:off x="15265372" y="2166868"/>
              <a:ext cx="61200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4" name="직선 화살표 연결선 783">
              <a:extLst>
                <a:ext uri="{FF2B5EF4-FFF2-40B4-BE49-F238E27FC236}">
                  <a16:creationId xmlns:a16="http://schemas.microsoft.com/office/drawing/2014/main" id="{563DBEE1-3068-9B1E-CB91-50ECB7E338A3}"/>
                </a:ext>
              </a:extLst>
            </xdr:cNvPr>
            <xdr:cNvCxnSpPr/>
          </xdr:nvCxnSpPr>
          <xdr:spPr>
            <a:xfrm>
              <a:off x="15296922" y="3031428"/>
              <a:ext cx="26806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5" name="타원 784">
              <a:extLst>
                <a:ext uri="{FF2B5EF4-FFF2-40B4-BE49-F238E27FC236}">
                  <a16:creationId xmlns:a16="http://schemas.microsoft.com/office/drawing/2014/main" id="{B0DA74E0-C5E1-EA94-543D-46A04EF8ABC8}"/>
                </a:ext>
              </a:extLst>
            </xdr:cNvPr>
            <xdr:cNvSpPr/>
          </xdr:nvSpPr>
          <xdr:spPr>
            <a:xfrm>
              <a:off x="15260122" y="2995981"/>
              <a:ext cx="62778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6" name="직선 화살표 연결선 785">
              <a:extLst>
                <a:ext uri="{FF2B5EF4-FFF2-40B4-BE49-F238E27FC236}">
                  <a16:creationId xmlns:a16="http://schemas.microsoft.com/office/drawing/2014/main" id="{A14BFAA9-48B8-729E-FD1D-7333DF02DB40}"/>
                </a:ext>
              </a:extLst>
            </xdr:cNvPr>
            <xdr:cNvCxnSpPr/>
          </xdr:nvCxnSpPr>
          <xdr:spPr>
            <a:xfrm>
              <a:off x="15295345" y="3870468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7" name="타원 786">
              <a:extLst>
                <a:ext uri="{FF2B5EF4-FFF2-40B4-BE49-F238E27FC236}">
                  <a16:creationId xmlns:a16="http://schemas.microsoft.com/office/drawing/2014/main" id="{9AEDE529-5898-72AD-29A4-4C35CD628DCA}"/>
                </a:ext>
              </a:extLst>
            </xdr:cNvPr>
            <xdr:cNvSpPr/>
          </xdr:nvSpPr>
          <xdr:spPr>
            <a:xfrm>
              <a:off x="15264659" y="3836835"/>
              <a:ext cx="62778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8" name="직선 화살표 연결선 787">
              <a:extLst>
                <a:ext uri="{FF2B5EF4-FFF2-40B4-BE49-F238E27FC236}">
                  <a16:creationId xmlns:a16="http://schemas.microsoft.com/office/drawing/2014/main" id="{211D9DB0-9C9A-E514-0642-2F8B671BA816}"/>
                </a:ext>
              </a:extLst>
            </xdr:cNvPr>
            <xdr:cNvCxnSpPr/>
          </xdr:nvCxnSpPr>
          <xdr:spPr>
            <a:xfrm>
              <a:off x="15292062" y="469126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9" name="타원 788">
              <a:extLst>
                <a:ext uri="{FF2B5EF4-FFF2-40B4-BE49-F238E27FC236}">
                  <a16:creationId xmlns:a16="http://schemas.microsoft.com/office/drawing/2014/main" id="{6759433A-E96F-8035-1B30-6B552770DC4B}"/>
                </a:ext>
              </a:extLst>
            </xdr:cNvPr>
            <xdr:cNvSpPr/>
          </xdr:nvSpPr>
          <xdr:spPr>
            <a:xfrm>
              <a:off x="15265908" y="4649227"/>
              <a:ext cx="62778" cy="8328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0" name="직선 화살표 연결선 789">
              <a:extLst>
                <a:ext uri="{FF2B5EF4-FFF2-40B4-BE49-F238E27FC236}">
                  <a16:creationId xmlns:a16="http://schemas.microsoft.com/office/drawing/2014/main" id="{7D3A30BE-5327-F033-AF37-CC1151D99E85}"/>
                </a:ext>
              </a:extLst>
            </xdr:cNvPr>
            <xdr:cNvCxnSpPr/>
          </xdr:nvCxnSpPr>
          <xdr:spPr>
            <a:xfrm>
              <a:off x="15290182" y="5545004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91" name="그룹 790">
              <a:extLst>
                <a:ext uri="{FF2B5EF4-FFF2-40B4-BE49-F238E27FC236}">
                  <a16:creationId xmlns:a16="http://schemas.microsoft.com/office/drawing/2014/main" id="{1DC54AFB-536F-1D85-0E5D-253A29EEF64E}"/>
                </a:ext>
              </a:extLst>
            </xdr:cNvPr>
            <xdr:cNvGrpSpPr/>
          </xdr:nvGrpSpPr>
          <xdr:grpSpPr>
            <a:xfrm>
              <a:off x="12557567" y="941131"/>
              <a:ext cx="517047" cy="717136"/>
              <a:chOff x="4184073" y="855865"/>
              <a:chExt cx="630382" cy="688917"/>
            </a:xfrm>
          </xdr:grpSpPr>
          <xdr:grpSp>
            <xdr:nvGrpSpPr>
              <xdr:cNvPr id="803" name="그룹 802">
                <a:extLst>
                  <a:ext uri="{FF2B5EF4-FFF2-40B4-BE49-F238E27FC236}">
                    <a16:creationId xmlns:a16="http://schemas.microsoft.com/office/drawing/2014/main" id="{47B8BDDB-65E3-70AB-E93A-B821334B3713}"/>
                  </a:ext>
                </a:extLst>
              </xdr:cNvPr>
              <xdr:cNvGrpSpPr/>
            </xdr:nvGrpSpPr>
            <xdr:grpSpPr>
              <a:xfrm>
                <a:off x="4224102" y="898506"/>
                <a:ext cx="551566" cy="598516"/>
                <a:chOff x="5029212" y="1952192"/>
                <a:chExt cx="542615" cy="603263"/>
              </a:xfrm>
            </xdr:grpSpPr>
            <xdr:sp macro="" textlink="">
              <xdr:nvSpPr>
                <xdr:cNvPr id="805" name="직사각형 804">
                  <a:extLst>
                    <a:ext uri="{FF2B5EF4-FFF2-40B4-BE49-F238E27FC236}">
                      <a16:creationId xmlns:a16="http://schemas.microsoft.com/office/drawing/2014/main" id="{FC24194A-08CF-D0CA-CD8B-83B0F7C8589A}"/>
                    </a:ext>
                  </a:extLst>
                </xdr:cNvPr>
                <xdr:cNvSpPr/>
              </xdr:nvSpPr>
              <xdr:spPr>
                <a:xfrm>
                  <a:off x="5029212" y="1952192"/>
                  <a:ext cx="540000" cy="159399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vref1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6" name="직사각형 805">
                  <a:extLst>
                    <a:ext uri="{FF2B5EF4-FFF2-40B4-BE49-F238E27FC236}">
                      <a16:creationId xmlns:a16="http://schemas.microsoft.com/office/drawing/2014/main" id="{D0A56D02-C6E1-922F-C57D-926AE1E2F1B6}"/>
                    </a:ext>
                  </a:extLst>
                </xdr:cNvPr>
                <xdr:cNvSpPr/>
              </xdr:nvSpPr>
              <xdr:spPr>
                <a:xfrm>
                  <a:off x="5031117" y="2180792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vref2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7" name="직사각형 806">
                  <a:extLst>
                    <a:ext uri="{FF2B5EF4-FFF2-40B4-BE49-F238E27FC236}">
                      <a16:creationId xmlns:a16="http://schemas.microsoft.com/office/drawing/2014/main" id="{6947A677-8905-F9C4-3FAE-5F3FCF08226D}"/>
                    </a:ext>
                  </a:extLst>
                </xdr:cNvPr>
                <xdr:cNvSpPr/>
              </xdr:nvSpPr>
              <xdr:spPr>
                <a:xfrm>
                  <a:off x="5031827" y="2396057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vref3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</xdr:grpSp>
          <xdr:sp macro="" textlink="">
            <xdr:nvSpPr>
              <xdr:cNvPr id="804" name="직사각형 803">
                <a:extLst>
                  <a:ext uri="{FF2B5EF4-FFF2-40B4-BE49-F238E27FC236}">
                    <a16:creationId xmlns:a16="http://schemas.microsoft.com/office/drawing/2014/main" id="{3E331A12-440B-9892-CA3A-F95549F07429}"/>
                  </a:ext>
                </a:extLst>
              </xdr:cNvPr>
              <xdr:cNvSpPr/>
            </xdr:nvSpPr>
            <xdr:spPr>
              <a:xfrm>
                <a:off x="4184073" y="855865"/>
                <a:ext cx="630382" cy="688917"/>
              </a:xfrm>
              <a:prstGeom prst="rect">
                <a:avLst/>
              </a:pr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92" name="사다리꼴 791">
              <a:extLst>
                <a:ext uri="{FF2B5EF4-FFF2-40B4-BE49-F238E27FC236}">
                  <a16:creationId xmlns:a16="http://schemas.microsoft.com/office/drawing/2014/main" id="{5BA2643A-42C5-DE05-C3AB-4E4E10159667}"/>
                </a:ext>
              </a:extLst>
            </xdr:cNvPr>
            <xdr:cNvSpPr/>
          </xdr:nvSpPr>
          <xdr:spPr>
            <a:xfrm rot="5400000">
              <a:off x="13185612" y="1151414"/>
              <a:ext cx="663550" cy="279056"/>
            </a:xfrm>
            <a:prstGeom prst="trapezoid">
              <a:avLst>
                <a:gd name="adj" fmla="val 34107"/>
              </a:avLst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3" name="직선 화살표 연결선 792">
              <a:extLst>
                <a:ext uri="{FF2B5EF4-FFF2-40B4-BE49-F238E27FC236}">
                  <a16:creationId xmlns:a16="http://schemas.microsoft.com/office/drawing/2014/main" id="{FAECCFC2-7355-1395-6364-FC0B1892DEFD}"/>
                </a:ext>
              </a:extLst>
            </xdr:cNvPr>
            <xdr:cNvCxnSpPr/>
          </xdr:nvCxnSpPr>
          <xdr:spPr>
            <a:xfrm>
              <a:off x="13655909" y="1181651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4" name="직선 화살표 연결선 793">
              <a:extLst>
                <a:ext uri="{FF2B5EF4-FFF2-40B4-BE49-F238E27FC236}">
                  <a16:creationId xmlns:a16="http://schemas.microsoft.com/office/drawing/2014/main" id="{A962D877-1953-FAFD-0E30-A6538F4A39F6}"/>
                </a:ext>
              </a:extLst>
            </xdr:cNvPr>
            <xdr:cNvCxnSpPr/>
          </xdr:nvCxnSpPr>
          <xdr:spPr>
            <a:xfrm>
              <a:off x="13663223" y="1437869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5" name="직선 화살표 연결선 794">
              <a:extLst>
                <a:ext uri="{FF2B5EF4-FFF2-40B4-BE49-F238E27FC236}">
                  <a16:creationId xmlns:a16="http://schemas.microsoft.com/office/drawing/2014/main" id="{B4EA6B49-36CA-F59B-17E7-A728E851860B}"/>
                </a:ext>
              </a:extLst>
            </xdr:cNvPr>
            <xdr:cNvCxnSpPr/>
          </xdr:nvCxnSpPr>
          <xdr:spPr>
            <a:xfrm>
              <a:off x="13078343" y="1305399"/>
              <a:ext cx="30012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6" name="직사각형 795">
              <a:extLst>
                <a:ext uri="{FF2B5EF4-FFF2-40B4-BE49-F238E27FC236}">
                  <a16:creationId xmlns:a16="http://schemas.microsoft.com/office/drawing/2014/main" id="{5472574B-9575-A457-1DDF-589DE96125C0}"/>
                </a:ext>
              </a:extLst>
            </xdr:cNvPr>
            <xdr:cNvSpPr/>
          </xdr:nvSpPr>
          <xdr:spPr>
            <a:xfrm>
              <a:off x="11956707" y="539763"/>
              <a:ext cx="1346623" cy="152026"/>
            </a:xfrm>
            <a:prstGeom prst="rect">
              <a:avLst/>
            </a:prstGeom>
            <a:solidFill>
              <a:schemeClr val="bg1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vsync, svsync,</a:t>
              </a:r>
              <a:r>
                <a:rPr lang="en-US" altLang="ko-KR" sz="10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 ld_type[1:0]</a:t>
              </a:r>
              <a:endParaRPr lang="ko-KR" altLang="en-US" sz="100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97" name="직선 화살표 연결선 796">
              <a:extLst>
                <a:ext uri="{FF2B5EF4-FFF2-40B4-BE49-F238E27FC236}">
                  <a16:creationId xmlns:a16="http://schemas.microsoft.com/office/drawing/2014/main" id="{C379E671-B146-5A08-17CC-720B3619B42A}"/>
                </a:ext>
              </a:extLst>
            </xdr:cNvPr>
            <xdr:cNvCxnSpPr/>
          </xdr:nvCxnSpPr>
          <xdr:spPr>
            <a:xfrm flipV="1">
              <a:off x="11951181" y="715876"/>
              <a:ext cx="1582691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8" name="직선 화살표 연결선 797">
              <a:extLst>
                <a:ext uri="{FF2B5EF4-FFF2-40B4-BE49-F238E27FC236}">
                  <a16:creationId xmlns:a16="http://schemas.microsoft.com/office/drawing/2014/main" id="{E07F180C-0281-63AB-1AFE-349B8DD32C24}"/>
                </a:ext>
              </a:extLst>
            </xdr:cNvPr>
            <xdr:cNvCxnSpPr/>
          </xdr:nvCxnSpPr>
          <xdr:spPr>
            <a:xfrm>
              <a:off x="13529233" y="701485"/>
              <a:ext cx="0" cy="305598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9" name="직선 화살표 연결선 798">
              <a:extLst>
                <a:ext uri="{FF2B5EF4-FFF2-40B4-BE49-F238E27FC236}">
                  <a16:creationId xmlns:a16="http://schemas.microsoft.com/office/drawing/2014/main" id="{40A2109C-85B8-CE4D-2A0B-709C05AD5A25}"/>
                </a:ext>
              </a:extLst>
            </xdr:cNvPr>
            <xdr:cNvCxnSpPr/>
          </xdr:nvCxnSpPr>
          <xdr:spPr>
            <a:xfrm>
              <a:off x="15293265" y="639405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1" name="직사각형 800">
              <a:extLst>
                <a:ext uri="{FF2B5EF4-FFF2-40B4-BE49-F238E27FC236}">
                  <a16:creationId xmlns:a16="http://schemas.microsoft.com/office/drawing/2014/main" id="{942BC6B4-CBBC-CA06-FB32-869BD9C03793}"/>
                </a:ext>
              </a:extLst>
            </xdr:cNvPr>
            <xdr:cNvSpPr/>
          </xdr:nvSpPr>
          <xdr:spPr>
            <a:xfrm>
              <a:off x="14896926" y="1272051"/>
              <a:ext cx="288039" cy="17916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802" name="직사각형 801">
              <a:extLst>
                <a:ext uri="{FF2B5EF4-FFF2-40B4-BE49-F238E27FC236}">
                  <a16:creationId xmlns:a16="http://schemas.microsoft.com/office/drawing/2014/main" id="{F8DB60DA-2388-3E9F-6888-9E856F7848B9}"/>
                </a:ext>
              </a:extLst>
            </xdr:cNvPr>
            <xdr:cNvSpPr/>
          </xdr:nvSpPr>
          <xdr:spPr>
            <a:xfrm>
              <a:off x="14527135" y="980497"/>
              <a:ext cx="284692" cy="17916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22" name="직선 화살표 연결선 721">
              <a:extLst>
                <a:ext uri="{FF2B5EF4-FFF2-40B4-BE49-F238E27FC236}">
                  <a16:creationId xmlns:a16="http://schemas.microsoft.com/office/drawing/2014/main" id="{BA656CC9-1A98-885C-23AE-BC3366003A86}"/>
                </a:ext>
              </a:extLst>
            </xdr:cNvPr>
            <xdr:cNvCxnSpPr/>
          </xdr:nvCxnSpPr>
          <xdr:spPr>
            <a:xfrm>
              <a:off x="13871339" y="7213141"/>
              <a:ext cx="88284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23" name="그룹 722">
              <a:extLst>
                <a:ext uri="{FF2B5EF4-FFF2-40B4-BE49-F238E27FC236}">
                  <a16:creationId xmlns:a16="http://schemas.microsoft.com/office/drawing/2014/main" id="{A5DE7619-9342-A196-FD5F-D6C524003F4D}"/>
                </a:ext>
              </a:extLst>
            </xdr:cNvPr>
            <xdr:cNvGrpSpPr/>
          </xdr:nvGrpSpPr>
          <xdr:grpSpPr>
            <a:xfrm>
              <a:off x="13728724" y="7011445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42" name="사다리꼴 741">
                <a:extLst>
                  <a:ext uri="{FF2B5EF4-FFF2-40B4-BE49-F238E27FC236}">
                    <a16:creationId xmlns:a16="http://schemas.microsoft.com/office/drawing/2014/main" id="{966DEE9A-E10A-CC96-6EC7-0CF02C0FF8A1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3" name="TextBox 742">
                <a:extLst>
                  <a:ext uri="{FF2B5EF4-FFF2-40B4-BE49-F238E27FC236}">
                    <a16:creationId xmlns:a16="http://schemas.microsoft.com/office/drawing/2014/main" id="{D043E218-3CA3-5A55-A40D-D8B09A4577FC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4" name="TextBox 743">
                <a:extLst>
                  <a:ext uri="{FF2B5EF4-FFF2-40B4-BE49-F238E27FC236}">
                    <a16:creationId xmlns:a16="http://schemas.microsoft.com/office/drawing/2014/main" id="{D80F3C06-4F99-F0D8-0167-6C94B4D54B35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24" name="직사각형 723">
              <a:extLst>
                <a:ext uri="{FF2B5EF4-FFF2-40B4-BE49-F238E27FC236}">
                  <a16:creationId xmlns:a16="http://schemas.microsoft.com/office/drawing/2014/main" id="{F9BAD9A0-49E2-ED4C-0EDF-283D7D4EF881}"/>
                </a:ext>
              </a:extLst>
            </xdr:cNvPr>
            <xdr:cNvSpPr/>
          </xdr:nvSpPr>
          <xdr:spPr>
            <a:xfrm>
              <a:off x="11950372" y="6457600"/>
              <a:ext cx="1589680" cy="155635"/>
            </a:xfrm>
            <a:prstGeom prst="rect">
              <a:avLst/>
            </a:prstGeom>
            <a:solidFill>
              <a:srgbClr val="0000FF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ANA_TEST_EN[2:0]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25" name="직선 화살표 연결선 724">
              <a:extLst>
                <a:ext uri="{FF2B5EF4-FFF2-40B4-BE49-F238E27FC236}">
                  <a16:creationId xmlns:a16="http://schemas.microsoft.com/office/drawing/2014/main" id="{25D14154-E401-6AB3-6D79-B1F4F9532A3C}"/>
                </a:ext>
              </a:extLst>
            </xdr:cNvPr>
            <xdr:cNvCxnSpPr/>
          </xdr:nvCxnSpPr>
          <xdr:spPr>
            <a:xfrm>
              <a:off x="12007376" y="6712736"/>
              <a:ext cx="180111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6" name="직선 화살표 연결선 725">
              <a:extLst>
                <a:ext uri="{FF2B5EF4-FFF2-40B4-BE49-F238E27FC236}">
                  <a16:creationId xmlns:a16="http://schemas.microsoft.com/office/drawing/2014/main" id="{034917F8-D3F1-9B45-F179-2B7EE78E9A8A}"/>
                </a:ext>
              </a:extLst>
            </xdr:cNvPr>
            <xdr:cNvCxnSpPr/>
          </xdr:nvCxnSpPr>
          <xdr:spPr>
            <a:xfrm>
              <a:off x="13802272" y="6707233"/>
              <a:ext cx="0" cy="30608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7" name="직선 화살표 연결선 726">
              <a:extLst>
                <a:ext uri="{FF2B5EF4-FFF2-40B4-BE49-F238E27FC236}">
                  <a16:creationId xmlns:a16="http://schemas.microsoft.com/office/drawing/2014/main" id="{8C74706C-4BEB-F2D3-6D63-3C6AB2751F31}"/>
                </a:ext>
              </a:extLst>
            </xdr:cNvPr>
            <xdr:cNvCxnSpPr/>
          </xdr:nvCxnSpPr>
          <xdr:spPr>
            <a:xfrm>
              <a:off x="13269263" y="7114885"/>
              <a:ext cx="0" cy="52405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8" name="직선 화살표 연결선 727">
              <a:extLst>
                <a:ext uri="{FF2B5EF4-FFF2-40B4-BE49-F238E27FC236}">
                  <a16:creationId xmlns:a16="http://schemas.microsoft.com/office/drawing/2014/main" id="{EE01F0F9-CF39-72F8-D3F3-520788DEAC77}"/>
                </a:ext>
              </a:extLst>
            </xdr:cNvPr>
            <xdr:cNvCxnSpPr/>
          </xdr:nvCxnSpPr>
          <xdr:spPr>
            <a:xfrm>
              <a:off x="13262091" y="7122726"/>
              <a:ext cx="461044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9" name="직선 화살표 연결선 728">
              <a:extLst>
                <a:ext uri="{FF2B5EF4-FFF2-40B4-BE49-F238E27FC236}">
                  <a16:creationId xmlns:a16="http://schemas.microsoft.com/office/drawing/2014/main" id="{BAA189FC-AA7D-0B16-C948-62486505C819}"/>
                </a:ext>
              </a:extLst>
            </xdr:cNvPr>
            <xdr:cNvCxnSpPr/>
          </xdr:nvCxnSpPr>
          <xdr:spPr>
            <a:xfrm>
              <a:off x="12841359" y="7326552"/>
              <a:ext cx="883756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0" name="직사각형 729">
              <a:extLst>
                <a:ext uri="{FF2B5EF4-FFF2-40B4-BE49-F238E27FC236}">
                  <a16:creationId xmlns:a16="http://schemas.microsoft.com/office/drawing/2014/main" id="{F54BC38B-A123-F547-B887-AB17FFA88402}"/>
                </a:ext>
              </a:extLst>
            </xdr:cNvPr>
            <xdr:cNvSpPr/>
          </xdr:nvSpPr>
          <xdr:spPr>
            <a:xfrm>
              <a:off x="12006416" y="7093295"/>
              <a:ext cx="285592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1" name="직사각형 730">
              <a:extLst>
                <a:ext uri="{FF2B5EF4-FFF2-40B4-BE49-F238E27FC236}">
                  <a16:creationId xmlns:a16="http://schemas.microsoft.com/office/drawing/2014/main" id="{1BDADF93-C4EC-AB30-574E-E77314920A04}"/>
                </a:ext>
              </a:extLst>
            </xdr:cNvPr>
            <xdr:cNvSpPr/>
          </xdr:nvSpPr>
          <xdr:spPr>
            <a:xfrm>
              <a:off x="12002250" y="7365004"/>
              <a:ext cx="288939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2" name="직사각형 731">
              <a:extLst>
                <a:ext uri="{FF2B5EF4-FFF2-40B4-BE49-F238E27FC236}">
                  <a16:creationId xmlns:a16="http://schemas.microsoft.com/office/drawing/2014/main" id="{83A4EC69-2129-2251-367B-8EC973E37BE1}"/>
                </a:ext>
              </a:extLst>
            </xdr:cNvPr>
            <xdr:cNvSpPr/>
          </xdr:nvSpPr>
          <xdr:spPr>
            <a:xfrm>
              <a:off x="13905298" y="6970539"/>
              <a:ext cx="566641" cy="179181"/>
            </a:xfrm>
            <a:prstGeom prst="rect">
              <a:avLst/>
            </a:prstGeom>
            <a:solidFill>
              <a:srgbClr val="FFFF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analog mux</a:t>
              </a:r>
            </a:p>
          </xdr:txBody>
        </xdr:sp>
        <xdr:grpSp>
          <xdr:nvGrpSpPr>
            <xdr:cNvPr id="733" name="그룹 732">
              <a:extLst>
                <a:ext uri="{FF2B5EF4-FFF2-40B4-BE49-F238E27FC236}">
                  <a16:creationId xmlns:a16="http://schemas.microsoft.com/office/drawing/2014/main" id="{89B29F5C-E7EC-16B4-1502-F2FD8567788E}"/>
                </a:ext>
              </a:extLst>
            </xdr:cNvPr>
            <xdr:cNvGrpSpPr/>
          </xdr:nvGrpSpPr>
          <xdr:grpSpPr>
            <a:xfrm>
              <a:off x="12704963" y="7109383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39" name="사다리꼴 738">
                <a:extLst>
                  <a:ext uri="{FF2B5EF4-FFF2-40B4-BE49-F238E27FC236}">
                    <a16:creationId xmlns:a16="http://schemas.microsoft.com/office/drawing/2014/main" id="{CDF68870-CF0B-219D-E161-1F931E12D863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0" name="TextBox 739">
                <a:extLst>
                  <a:ext uri="{FF2B5EF4-FFF2-40B4-BE49-F238E27FC236}">
                    <a16:creationId xmlns:a16="http://schemas.microsoft.com/office/drawing/2014/main" id="{C683A679-A790-206D-27C5-1B506239DAC1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1" name="TextBox 740">
                <a:extLst>
                  <a:ext uri="{FF2B5EF4-FFF2-40B4-BE49-F238E27FC236}">
                    <a16:creationId xmlns:a16="http://schemas.microsoft.com/office/drawing/2014/main" id="{6A7AA7C4-E091-2128-7E7B-0992C8BCBF3F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cxnSp macro="">
          <xdr:nvCxnSpPr>
            <xdr:cNvPr id="734" name="직선 화살표 연결선 733">
              <a:extLst>
                <a:ext uri="{FF2B5EF4-FFF2-40B4-BE49-F238E27FC236}">
                  <a16:creationId xmlns:a16="http://schemas.microsoft.com/office/drawing/2014/main" id="{933CE14F-1581-12D8-982D-347DFBDFF555}"/>
                </a:ext>
              </a:extLst>
            </xdr:cNvPr>
            <xdr:cNvCxnSpPr/>
          </xdr:nvCxnSpPr>
          <xdr:spPr>
            <a:xfrm>
              <a:off x="12324467" y="7213142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5" name="직선 화살표 연결선 734">
              <a:extLst>
                <a:ext uri="{FF2B5EF4-FFF2-40B4-BE49-F238E27FC236}">
                  <a16:creationId xmlns:a16="http://schemas.microsoft.com/office/drawing/2014/main" id="{6CBFA696-5694-0196-7712-2AC88017808B}"/>
                </a:ext>
              </a:extLst>
            </xdr:cNvPr>
            <xdr:cNvCxnSpPr/>
          </xdr:nvCxnSpPr>
          <xdr:spPr>
            <a:xfrm>
              <a:off x="12318847" y="7458160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6" name="직사각형 735">
              <a:extLst>
                <a:ext uri="{FF2B5EF4-FFF2-40B4-BE49-F238E27FC236}">
                  <a16:creationId xmlns:a16="http://schemas.microsoft.com/office/drawing/2014/main" id="{03D13BA3-E56D-E491-EBEB-09C03579BB54}"/>
                </a:ext>
              </a:extLst>
            </xdr:cNvPr>
            <xdr:cNvSpPr/>
          </xdr:nvSpPr>
          <xdr:spPr>
            <a:xfrm>
              <a:off x="14772137" y="7111762"/>
              <a:ext cx="649476" cy="195562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17 (Vss)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37" name="직선 화살표 연결선 736">
              <a:extLst>
                <a:ext uri="{FF2B5EF4-FFF2-40B4-BE49-F238E27FC236}">
                  <a16:creationId xmlns:a16="http://schemas.microsoft.com/office/drawing/2014/main" id="{9B4E20CA-3DDC-A3EB-BF00-6EBD5CAC387F}"/>
                </a:ext>
              </a:extLst>
            </xdr:cNvPr>
            <xdr:cNvCxnSpPr/>
          </xdr:nvCxnSpPr>
          <xdr:spPr>
            <a:xfrm>
              <a:off x="12772290" y="6713901"/>
              <a:ext cx="0" cy="41240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8" name="타원 737">
              <a:extLst>
                <a:ext uri="{FF2B5EF4-FFF2-40B4-BE49-F238E27FC236}">
                  <a16:creationId xmlns:a16="http://schemas.microsoft.com/office/drawing/2014/main" id="{64115E8E-6AFF-3D27-1D91-5AD423ED25B3}"/>
                </a:ext>
              </a:extLst>
            </xdr:cNvPr>
            <xdr:cNvSpPr/>
          </xdr:nvSpPr>
          <xdr:spPr>
            <a:xfrm>
              <a:off x="12740240" y="6672122"/>
              <a:ext cx="58043" cy="81211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09" name="직선 화살표 연결선 708">
              <a:extLst>
                <a:ext uri="{FF2B5EF4-FFF2-40B4-BE49-F238E27FC236}">
                  <a16:creationId xmlns:a16="http://schemas.microsoft.com/office/drawing/2014/main" id="{A78EC9F8-CD8C-FDF2-E44C-1F28C86719ED}"/>
                </a:ext>
              </a:extLst>
            </xdr:cNvPr>
            <xdr:cNvCxnSpPr/>
          </xdr:nvCxnSpPr>
          <xdr:spPr>
            <a:xfrm>
              <a:off x="13870852" y="8366077"/>
              <a:ext cx="88284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10" name="그룹 709">
              <a:extLst>
                <a:ext uri="{FF2B5EF4-FFF2-40B4-BE49-F238E27FC236}">
                  <a16:creationId xmlns:a16="http://schemas.microsoft.com/office/drawing/2014/main" id="{3E18FC39-5374-5F51-86CC-A2D0BC9E7D61}"/>
                </a:ext>
              </a:extLst>
            </xdr:cNvPr>
            <xdr:cNvGrpSpPr/>
          </xdr:nvGrpSpPr>
          <xdr:grpSpPr>
            <a:xfrm>
              <a:off x="13728237" y="8164239"/>
              <a:ext cx="128564" cy="425096"/>
              <a:chOff x="5666422" y="1862139"/>
              <a:chExt cx="160972" cy="420054"/>
            </a:xfrm>
          </xdr:grpSpPr>
          <xdr:sp macro="" textlink="">
            <xdr:nvSpPr>
              <xdr:cNvPr id="719" name="사다리꼴 718">
                <a:extLst>
                  <a:ext uri="{FF2B5EF4-FFF2-40B4-BE49-F238E27FC236}">
                    <a16:creationId xmlns:a16="http://schemas.microsoft.com/office/drawing/2014/main" id="{9ACF479A-13D3-9654-0934-C74AF0EEC998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0" name="TextBox 719">
                <a:extLst>
                  <a:ext uri="{FF2B5EF4-FFF2-40B4-BE49-F238E27FC236}">
                    <a16:creationId xmlns:a16="http://schemas.microsoft.com/office/drawing/2014/main" id="{B8094A7A-2601-0EEA-FAA0-7C012106AA90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1" name="TextBox 720">
                <a:extLst>
                  <a:ext uri="{FF2B5EF4-FFF2-40B4-BE49-F238E27FC236}">
                    <a16:creationId xmlns:a16="http://schemas.microsoft.com/office/drawing/2014/main" id="{54EA54EB-4945-C329-BD09-97A8D50A7373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11" name="직사각형 710">
              <a:extLst>
                <a:ext uri="{FF2B5EF4-FFF2-40B4-BE49-F238E27FC236}">
                  <a16:creationId xmlns:a16="http://schemas.microsoft.com/office/drawing/2014/main" id="{BEE3FE0A-D4C3-2E92-543C-362A671FE82B}"/>
                </a:ext>
              </a:extLst>
            </xdr:cNvPr>
            <xdr:cNvSpPr/>
          </xdr:nvSpPr>
          <xdr:spPr>
            <a:xfrm>
              <a:off x="12247798" y="7774248"/>
              <a:ext cx="1208273" cy="155635"/>
            </a:xfrm>
            <a:prstGeom prst="rect">
              <a:avLst/>
            </a:prstGeom>
            <a:solidFill>
              <a:srgbClr val="FF00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MCLK64_O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12" name="직선 화살표 연결선 711">
              <a:extLst>
                <a:ext uri="{FF2B5EF4-FFF2-40B4-BE49-F238E27FC236}">
                  <a16:creationId xmlns:a16="http://schemas.microsoft.com/office/drawing/2014/main" id="{B181B554-6147-1BE8-0552-156A1DB4E10F}"/>
                </a:ext>
              </a:extLst>
            </xdr:cNvPr>
            <xdr:cNvCxnSpPr/>
          </xdr:nvCxnSpPr>
          <xdr:spPr>
            <a:xfrm>
              <a:off x="13413796" y="7855901"/>
              <a:ext cx="39420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3" name="직선 화살표 연결선 712">
              <a:extLst>
                <a:ext uri="{FF2B5EF4-FFF2-40B4-BE49-F238E27FC236}">
                  <a16:creationId xmlns:a16="http://schemas.microsoft.com/office/drawing/2014/main" id="{7D42B44B-0FC4-6533-CD35-B769D55CDC22}"/>
                </a:ext>
              </a:extLst>
            </xdr:cNvPr>
            <xdr:cNvCxnSpPr/>
          </xdr:nvCxnSpPr>
          <xdr:spPr>
            <a:xfrm>
              <a:off x="13801786" y="7859819"/>
              <a:ext cx="0" cy="30629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4" name="직선 화살표 연결선 713">
              <a:extLst>
                <a:ext uri="{FF2B5EF4-FFF2-40B4-BE49-F238E27FC236}">
                  <a16:creationId xmlns:a16="http://schemas.microsoft.com/office/drawing/2014/main" id="{4157E126-EA6D-6429-C11D-99223A7B5CFB}"/>
                </a:ext>
              </a:extLst>
            </xdr:cNvPr>
            <xdr:cNvCxnSpPr/>
          </xdr:nvCxnSpPr>
          <xdr:spPr>
            <a:xfrm>
              <a:off x="12840878" y="8477753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5" name="직사각형 714">
              <a:extLst>
                <a:ext uri="{FF2B5EF4-FFF2-40B4-BE49-F238E27FC236}">
                  <a16:creationId xmlns:a16="http://schemas.microsoft.com/office/drawing/2014/main" id="{4992AEE7-EDC6-BEFF-EF34-B14B7A575C98}"/>
                </a:ext>
              </a:extLst>
            </xdr:cNvPr>
            <xdr:cNvSpPr/>
          </xdr:nvSpPr>
          <xdr:spPr>
            <a:xfrm>
              <a:off x="14771649" y="8264628"/>
              <a:ext cx="649472" cy="19569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13 (SVO)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16" name="직사각형 715">
              <a:extLst>
                <a:ext uri="{FF2B5EF4-FFF2-40B4-BE49-F238E27FC236}">
                  <a16:creationId xmlns:a16="http://schemas.microsoft.com/office/drawing/2014/main" id="{FABA0529-7646-CB13-A40C-AC13E4242607}"/>
                </a:ext>
              </a:extLst>
            </xdr:cNvPr>
            <xdr:cNvSpPr/>
          </xdr:nvSpPr>
          <xdr:spPr>
            <a:xfrm>
              <a:off x="12114240" y="8371351"/>
              <a:ext cx="682999" cy="235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MCLK64</a:t>
              </a:r>
              <a:r>
                <a:rPr lang="ko-KR" altLang="en-US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분주</a:t>
              </a:r>
            </a:p>
          </xdr:txBody>
        </xdr:sp>
        <xdr:cxnSp macro="">
          <xdr:nvCxnSpPr>
            <xdr:cNvPr id="717" name="직선 화살표 연결선 716">
              <a:extLst>
                <a:ext uri="{FF2B5EF4-FFF2-40B4-BE49-F238E27FC236}">
                  <a16:creationId xmlns:a16="http://schemas.microsoft.com/office/drawing/2014/main" id="{044C4E99-E473-77A3-00D9-B24BA14628A5}"/>
                </a:ext>
              </a:extLst>
            </xdr:cNvPr>
            <xdr:cNvCxnSpPr/>
          </xdr:nvCxnSpPr>
          <xdr:spPr>
            <a:xfrm>
              <a:off x="12835274" y="8292640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8" name="직사각형 717">
              <a:extLst>
                <a:ext uri="{FF2B5EF4-FFF2-40B4-BE49-F238E27FC236}">
                  <a16:creationId xmlns:a16="http://schemas.microsoft.com/office/drawing/2014/main" id="{20BC34EC-8E54-3118-890F-6A2A47F5E837}"/>
                </a:ext>
              </a:extLst>
            </xdr:cNvPr>
            <xdr:cNvSpPr/>
          </xdr:nvSpPr>
          <xdr:spPr>
            <a:xfrm>
              <a:off x="12584485" y="8208306"/>
              <a:ext cx="192775" cy="164550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SVO</a:t>
              </a:r>
              <a:endParaRPr lang="ko-KR" altLang="en-US" sz="1000" b="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</xdr:grp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A319032D-6DBB-4AC0-802D-F4924A9CB212}"/>
              </a:ext>
            </a:extLst>
          </xdr:cNvPr>
          <xdr:cNvSpPr/>
        </xdr:nvSpPr>
        <xdr:spPr>
          <a:xfrm>
            <a:off x="12763658" y="1765831"/>
            <a:ext cx="2000035" cy="201558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SW_SEL=00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vref2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SW_SEL=01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vref3</a:t>
            </a: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SW_SEL=00 : DAC &lt;= vref1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SW_SEL=01 : DAC &lt;= vref2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SW_SEL=10 : DAC &lt;= vref3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ld_type=01 -&gt; DAC 1ea share</a:t>
            </a: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</a:endParaRPr>
          </a:p>
        </xdr:txBody>
      </xdr:sp>
      <xdr:cxnSp macro="">
        <xdr:nvCxnSpPr>
          <xdr:cNvPr id="239" name="직선 화살표 연결선 238">
            <a:extLst>
              <a:ext uri="{FF2B5EF4-FFF2-40B4-BE49-F238E27FC236}">
                <a16:creationId xmlns:a16="http://schemas.microsoft.com/office/drawing/2014/main" id="{9675B312-C4F6-4AA3-9113-2F90D1E03A1A}"/>
              </a:ext>
            </a:extLst>
          </xdr:cNvPr>
          <xdr:cNvCxnSpPr/>
        </xdr:nvCxnSpPr>
        <xdr:spPr>
          <a:xfrm>
            <a:off x="12673699" y="223685"/>
            <a:ext cx="0" cy="479428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" name="직선 화살표 연결선 239">
            <a:extLst>
              <a:ext uri="{FF2B5EF4-FFF2-40B4-BE49-F238E27FC236}">
                <a16:creationId xmlns:a16="http://schemas.microsoft.com/office/drawing/2014/main" id="{AEACA740-6569-4C7E-BA3F-9D9886B60F4C}"/>
              </a:ext>
            </a:extLst>
          </xdr:cNvPr>
          <xdr:cNvCxnSpPr/>
        </xdr:nvCxnSpPr>
        <xdr:spPr>
          <a:xfrm>
            <a:off x="12765265" y="716619"/>
            <a:ext cx="0" cy="110541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128</xdr:col>
      <xdr:colOff>28838</xdr:colOff>
      <xdr:row>48</xdr:row>
      <xdr:rowOff>35118</xdr:rowOff>
    </xdr:from>
    <xdr:to>
      <xdr:col>134</xdr:col>
      <xdr:colOff>160978</xdr:colOff>
      <xdr:row>86</xdr:row>
      <xdr:rowOff>66011</xdr:rowOff>
    </xdr:to>
    <xdr:grpSp>
      <xdr:nvGrpSpPr>
        <xdr:cNvPr id="382" name="그룹 381">
          <a:extLst>
            <a:ext uri="{FF2B5EF4-FFF2-40B4-BE49-F238E27FC236}">
              <a16:creationId xmlns:a16="http://schemas.microsoft.com/office/drawing/2014/main" id="{28A0DEFD-F6CB-2439-1798-9F176FEBAB9D}"/>
            </a:ext>
          </a:extLst>
        </xdr:cNvPr>
        <xdr:cNvGrpSpPr/>
      </xdr:nvGrpSpPr>
      <xdr:grpSpPr>
        <a:xfrm>
          <a:off x="12678038" y="8975918"/>
          <a:ext cx="4069140" cy="7109026"/>
          <a:chOff x="12675921" y="8925118"/>
          <a:chExt cx="4069140" cy="7068810"/>
        </a:xfrm>
      </xdr:grpSpPr>
      <xdr:sp macro="" textlink="">
        <xdr:nvSpPr>
          <xdr:cNvPr id="1299" name="직사각형 1298">
            <a:extLst>
              <a:ext uri="{FF2B5EF4-FFF2-40B4-BE49-F238E27FC236}">
                <a16:creationId xmlns:a16="http://schemas.microsoft.com/office/drawing/2014/main" id="{A39B0279-0BC4-4171-95D9-433CFFCFBB68}"/>
              </a:ext>
            </a:extLst>
          </xdr:cNvPr>
          <xdr:cNvSpPr/>
        </xdr:nvSpPr>
        <xdr:spPr>
          <a:xfrm>
            <a:off x="12675921" y="8925118"/>
            <a:ext cx="4069140" cy="706881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00" name="직사각형 1299">
            <a:extLst>
              <a:ext uri="{FF2B5EF4-FFF2-40B4-BE49-F238E27FC236}">
                <a16:creationId xmlns:a16="http://schemas.microsoft.com/office/drawing/2014/main" id="{D465B7E8-5A1B-44EF-A739-35829CB85F9B}"/>
              </a:ext>
            </a:extLst>
          </xdr:cNvPr>
          <xdr:cNvSpPr/>
        </xdr:nvSpPr>
        <xdr:spPr>
          <a:xfrm>
            <a:off x="16323901" y="10262803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1" name="직사각형 1300">
            <a:extLst>
              <a:ext uri="{FF2B5EF4-FFF2-40B4-BE49-F238E27FC236}">
                <a16:creationId xmlns:a16="http://schemas.microsoft.com/office/drawing/2014/main" id="{03D5C5EF-8754-421D-87EB-3054A685843A}"/>
              </a:ext>
            </a:extLst>
          </xdr:cNvPr>
          <xdr:cNvSpPr/>
        </xdr:nvSpPr>
        <xdr:spPr>
          <a:xfrm>
            <a:off x="16322314" y="10779269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2" name="직사각형 1301">
            <a:extLst>
              <a:ext uri="{FF2B5EF4-FFF2-40B4-BE49-F238E27FC236}">
                <a16:creationId xmlns:a16="http://schemas.microsoft.com/office/drawing/2014/main" id="{0DA63244-1516-4B2C-BB22-6FCEA54D3ED9}"/>
              </a:ext>
            </a:extLst>
          </xdr:cNvPr>
          <xdr:cNvSpPr/>
        </xdr:nvSpPr>
        <xdr:spPr>
          <a:xfrm>
            <a:off x="16320726" y="11296793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3" name="직사각형 1302">
            <a:extLst>
              <a:ext uri="{FF2B5EF4-FFF2-40B4-BE49-F238E27FC236}">
                <a16:creationId xmlns:a16="http://schemas.microsoft.com/office/drawing/2014/main" id="{B83E4704-8F01-4E91-BFD3-93A5B8A5628F}"/>
              </a:ext>
            </a:extLst>
          </xdr:cNvPr>
          <xdr:cNvSpPr/>
        </xdr:nvSpPr>
        <xdr:spPr>
          <a:xfrm>
            <a:off x="16327075" y="11788084"/>
            <a:ext cx="272149" cy="35518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4" name="직사각형 1303">
            <a:extLst>
              <a:ext uri="{FF2B5EF4-FFF2-40B4-BE49-F238E27FC236}">
                <a16:creationId xmlns:a16="http://schemas.microsoft.com/office/drawing/2014/main" id="{66F4C17E-4719-491A-8CB4-CD31D0D56B54}"/>
              </a:ext>
            </a:extLst>
          </xdr:cNvPr>
          <xdr:cNvSpPr/>
        </xdr:nvSpPr>
        <xdr:spPr>
          <a:xfrm>
            <a:off x="16327217" y="12251618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5" name="직사각형 1304">
            <a:extLst>
              <a:ext uri="{FF2B5EF4-FFF2-40B4-BE49-F238E27FC236}">
                <a16:creationId xmlns:a16="http://schemas.microsoft.com/office/drawing/2014/main" id="{4C4144CA-0593-4052-9FE5-7324D2327115}"/>
              </a:ext>
            </a:extLst>
          </xdr:cNvPr>
          <xdr:cNvSpPr/>
        </xdr:nvSpPr>
        <xdr:spPr>
          <a:xfrm>
            <a:off x="16323903" y="12707820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6" name="직사각형 1305">
            <a:extLst>
              <a:ext uri="{FF2B5EF4-FFF2-40B4-BE49-F238E27FC236}">
                <a16:creationId xmlns:a16="http://schemas.microsoft.com/office/drawing/2014/main" id="{43984C22-CB61-4B4F-A71A-943E8FD8136A}"/>
              </a:ext>
            </a:extLst>
          </xdr:cNvPr>
          <xdr:cNvSpPr/>
        </xdr:nvSpPr>
        <xdr:spPr>
          <a:xfrm>
            <a:off x="16322316" y="13167644"/>
            <a:ext cx="272149" cy="35566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7" name="직사각형 1306">
            <a:extLst>
              <a:ext uri="{FF2B5EF4-FFF2-40B4-BE49-F238E27FC236}">
                <a16:creationId xmlns:a16="http://schemas.microsoft.com/office/drawing/2014/main" id="{8C543742-A49F-4347-9EE4-83A9BD34CA22}"/>
              </a:ext>
            </a:extLst>
          </xdr:cNvPr>
          <xdr:cNvSpPr/>
        </xdr:nvSpPr>
        <xdr:spPr>
          <a:xfrm>
            <a:off x="16321959" y="13596440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8" name="직사각형 1307">
            <a:extLst>
              <a:ext uri="{FF2B5EF4-FFF2-40B4-BE49-F238E27FC236}">
                <a16:creationId xmlns:a16="http://schemas.microsoft.com/office/drawing/2014/main" id="{593523C3-FF5A-410C-9FC6-9A8EC25EFED1}"/>
              </a:ext>
            </a:extLst>
          </xdr:cNvPr>
          <xdr:cNvSpPr/>
        </xdr:nvSpPr>
        <xdr:spPr>
          <a:xfrm>
            <a:off x="16321959" y="14087730"/>
            <a:ext cx="272149" cy="35672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9" name="직사각형 1308">
            <a:extLst>
              <a:ext uri="{FF2B5EF4-FFF2-40B4-BE49-F238E27FC236}">
                <a16:creationId xmlns:a16="http://schemas.microsoft.com/office/drawing/2014/main" id="{46B2E82F-044E-4BEB-941A-56DB6A8EB367}"/>
              </a:ext>
            </a:extLst>
          </xdr:cNvPr>
          <xdr:cNvSpPr/>
        </xdr:nvSpPr>
        <xdr:spPr>
          <a:xfrm>
            <a:off x="16327093" y="14516661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0" name="직사각형 1309">
            <a:extLst>
              <a:ext uri="{FF2B5EF4-FFF2-40B4-BE49-F238E27FC236}">
                <a16:creationId xmlns:a16="http://schemas.microsoft.com/office/drawing/2014/main" id="{8857B584-8104-4CEE-98CF-61E18E6A7F3A}"/>
              </a:ext>
            </a:extLst>
          </xdr:cNvPr>
          <xdr:cNvSpPr/>
        </xdr:nvSpPr>
        <xdr:spPr>
          <a:xfrm>
            <a:off x="16327093" y="14977542"/>
            <a:ext cx="272149" cy="35566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1" name="직사각형 1310">
            <a:extLst>
              <a:ext uri="{FF2B5EF4-FFF2-40B4-BE49-F238E27FC236}">
                <a16:creationId xmlns:a16="http://schemas.microsoft.com/office/drawing/2014/main" id="{86D5CD59-1D95-41D4-87A6-EB0947DECFA7}"/>
              </a:ext>
            </a:extLst>
          </xdr:cNvPr>
          <xdr:cNvSpPr/>
        </xdr:nvSpPr>
        <xdr:spPr>
          <a:xfrm>
            <a:off x="16327093" y="15470445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312" name="직선 화살표 연결선 1311">
            <a:extLst>
              <a:ext uri="{FF2B5EF4-FFF2-40B4-BE49-F238E27FC236}">
                <a16:creationId xmlns:a16="http://schemas.microsoft.com/office/drawing/2014/main" id="{19FEC79A-312C-4524-8284-9FD08B7327E4}"/>
              </a:ext>
            </a:extLst>
          </xdr:cNvPr>
          <xdr:cNvCxnSpPr/>
        </xdr:nvCxnSpPr>
        <xdr:spPr>
          <a:xfrm>
            <a:off x="15692427" y="10438059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3" name="직선 화살표 연결선 1312">
            <a:extLst>
              <a:ext uri="{FF2B5EF4-FFF2-40B4-BE49-F238E27FC236}">
                <a16:creationId xmlns:a16="http://schemas.microsoft.com/office/drawing/2014/main" id="{1C896E48-76E1-4D31-8096-51677EAEFE99}"/>
              </a:ext>
            </a:extLst>
          </xdr:cNvPr>
          <xdr:cNvCxnSpPr/>
        </xdr:nvCxnSpPr>
        <xdr:spPr>
          <a:xfrm>
            <a:off x="15679325" y="9837556"/>
            <a:ext cx="0" cy="528195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4" name="타원 1313">
            <a:extLst>
              <a:ext uri="{FF2B5EF4-FFF2-40B4-BE49-F238E27FC236}">
                <a16:creationId xmlns:a16="http://schemas.microsoft.com/office/drawing/2014/main" id="{767D0C5A-5E2D-4B5E-9886-0F1F303CCAD0}"/>
              </a:ext>
            </a:extLst>
          </xdr:cNvPr>
          <xdr:cNvSpPr/>
        </xdr:nvSpPr>
        <xdr:spPr>
          <a:xfrm>
            <a:off x="15648305" y="9808333"/>
            <a:ext cx="63158" cy="7976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5" name="직선 화살표 연결선 1314">
            <a:extLst>
              <a:ext uri="{FF2B5EF4-FFF2-40B4-BE49-F238E27FC236}">
                <a16:creationId xmlns:a16="http://schemas.microsoft.com/office/drawing/2014/main" id="{AE3DCF6C-90C6-475E-86D8-D360E5710864}"/>
              </a:ext>
            </a:extLst>
          </xdr:cNvPr>
          <xdr:cNvCxnSpPr/>
        </xdr:nvCxnSpPr>
        <xdr:spPr>
          <a:xfrm flipH="1">
            <a:off x="16047836" y="10064800"/>
            <a:ext cx="0" cy="561692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6" name="타원 1315">
            <a:extLst>
              <a:ext uri="{FF2B5EF4-FFF2-40B4-BE49-F238E27FC236}">
                <a16:creationId xmlns:a16="http://schemas.microsoft.com/office/drawing/2014/main" id="{BCD4721E-8E43-452E-9B68-4019041EC238}"/>
              </a:ext>
            </a:extLst>
          </xdr:cNvPr>
          <xdr:cNvSpPr/>
        </xdr:nvSpPr>
        <xdr:spPr>
          <a:xfrm>
            <a:off x="16022151" y="14653617"/>
            <a:ext cx="63158" cy="7090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17" name="타원 1316">
            <a:extLst>
              <a:ext uri="{FF2B5EF4-FFF2-40B4-BE49-F238E27FC236}">
                <a16:creationId xmlns:a16="http://schemas.microsoft.com/office/drawing/2014/main" id="{751AF888-9EDE-43E0-B9AE-B27F46192250}"/>
              </a:ext>
            </a:extLst>
          </xdr:cNvPr>
          <xdr:cNvSpPr/>
        </xdr:nvSpPr>
        <xdr:spPr>
          <a:xfrm>
            <a:off x="15651328" y="10399532"/>
            <a:ext cx="59984" cy="8291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8" name="직선 화살표 연결선 1317">
            <a:extLst>
              <a:ext uri="{FF2B5EF4-FFF2-40B4-BE49-F238E27FC236}">
                <a16:creationId xmlns:a16="http://schemas.microsoft.com/office/drawing/2014/main" id="{D7632E70-6967-4AA1-AA3B-D1F14D13F0DE}"/>
              </a:ext>
            </a:extLst>
          </xdr:cNvPr>
          <xdr:cNvCxnSpPr/>
        </xdr:nvCxnSpPr>
        <xdr:spPr>
          <a:xfrm>
            <a:off x="15702390" y="1147597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9" name="타원 1318">
            <a:extLst>
              <a:ext uri="{FF2B5EF4-FFF2-40B4-BE49-F238E27FC236}">
                <a16:creationId xmlns:a16="http://schemas.microsoft.com/office/drawing/2014/main" id="{5F3A532B-7389-4846-A8F2-056F55FA1DDF}"/>
              </a:ext>
            </a:extLst>
          </xdr:cNvPr>
          <xdr:cNvSpPr/>
        </xdr:nvSpPr>
        <xdr:spPr>
          <a:xfrm>
            <a:off x="15650759" y="11435354"/>
            <a:ext cx="55223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0" name="직선 화살표 연결선 1319">
            <a:extLst>
              <a:ext uri="{FF2B5EF4-FFF2-40B4-BE49-F238E27FC236}">
                <a16:creationId xmlns:a16="http://schemas.microsoft.com/office/drawing/2014/main" id="{72239931-7FEA-4958-B0EA-37A9EFC8EE51}"/>
              </a:ext>
            </a:extLst>
          </xdr:cNvPr>
          <xdr:cNvCxnSpPr/>
        </xdr:nvCxnSpPr>
        <xdr:spPr>
          <a:xfrm>
            <a:off x="15702240" y="1242914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1" name="타원 1320">
            <a:extLst>
              <a:ext uri="{FF2B5EF4-FFF2-40B4-BE49-F238E27FC236}">
                <a16:creationId xmlns:a16="http://schemas.microsoft.com/office/drawing/2014/main" id="{60D9913D-C5BF-41C9-A50A-A98D8C47BD6F}"/>
              </a:ext>
            </a:extLst>
          </xdr:cNvPr>
          <xdr:cNvSpPr/>
        </xdr:nvSpPr>
        <xdr:spPr>
          <a:xfrm>
            <a:off x="15650609" y="12389582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2" name="직선 화살표 연결선 1321">
            <a:extLst>
              <a:ext uri="{FF2B5EF4-FFF2-40B4-BE49-F238E27FC236}">
                <a16:creationId xmlns:a16="http://schemas.microsoft.com/office/drawing/2014/main" id="{ADB04BC0-8961-4933-B769-D7E32D8ECEFD}"/>
              </a:ext>
            </a:extLst>
          </xdr:cNvPr>
          <xdr:cNvCxnSpPr/>
        </xdr:nvCxnSpPr>
        <xdr:spPr>
          <a:xfrm>
            <a:off x="15697479" y="1333380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3" name="타원 1322">
            <a:extLst>
              <a:ext uri="{FF2B5EF4-FFF2-40B4-BE49-F238E27FC236}">
                <a16:creationId xmlns:a16="http://schemas.microsoft.com/office/drawing/2014/main" id="{6CA8C481-8BD0-4BC6-B980-BEE9D85AFEED}"/>
              </a:ext>
            </a:extLst>
          </xdr:cNvPr>
          <xdr:cNvSpPr/>
        </xdr:nvSpPr>
        <xdr:spPr>
          <a:xfrm>
            <a:off x="15652197" y="13293183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4" name="직선 화살표 연결선 1323">
            <a:extLst>
              <a:ext uri="{FF2B5EF4-FFF2-40B4-BE49-F238E27FC236}">
                <a16:creationId xmlns:a16="http://schemas.microsoft.com/office/drawing/2014/main" id="{FE47DDF2-19EC-4895-9942-CD61687C69AD}"/>
              </a:ext>
            </a:extLst>
          </xdr:cNvPr>
          <xdr:cNvCxnSpPr/>
        </xdr:nvCxnSpPr>
        <xdr:spPr>
          <a:xfrm>
            <a:off x="15695175" y="1427378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5" name="타원 1324">
            <a:extLst>
              <a:ext uri="{FF2B5EF4-FFF2-40B4-BE49-F238E27FC236}">
                <a16:creationId xmlns:a16="http://schemas.microsoft.com/office/drawing/2014/main" id="{11593117-7483-4C5F-8D3E-E6B809F27219}"/>
              </a:ext>
            </a:extLst>
          </xdr:cNvPr>
          <xdr:cNvSpPr/>
        </xdr:nvSpPr>
        <xdr:spPr>
          <a:xfrm>
            <a:off x="15653067" y="14234219"/>
            <a:ext cx="58396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6" name="직선 화살표 연결선 1325">
            <a:extLst>
              <a:ext uri="{FF2B5EF4-FFF2-40B4-BE49-F238E27FC236}">
                <a16:creationId xmlns:a16="http://schemas.microsoft.com/office/drawing/2014/main" id="{396F17DB-E122-4732-B46B-7B015FD3974C}"/>
              </a:ext>
            </a:extLst>
          </xdr:cNvPr>
          <xdr:cNvCxnSpPr/>
        </xdr:nvCxnSpPr>
        <xdr:spPr>
          <a:xfrm>
            <a:off x="15692002" y="15115688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7" name="직선 화살표 연결선 1326">
            <a:extLst>
              <a:ext uri="{FF2B5EF4-FFF2-40B4-BE49-F238E27FC236}">
                <a16:creationId xmlns:a16="http://schemas.microsoft.com/office/drawing/2014/main" id="{547AEE31-A74A-4C02-B4D3-8D348E7CF132}"/>
              </a:ext>
            </a:extLst>
          </xdr:cNvPr>
          <xdr:cNvCxnSpPr/>
        </xdr:nvCxnSpPr>
        <xdr:spPr>
          <a:xfrm>
            <a:off x="16056200" y="10949375"/>
            <a:ext cx="26718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8" name="타원 1327">
            <a:extLst>
              <a:ext uri="{FF2B5EF4-FFF2-40B4-BE49-F238E27FC236}">
                <a16:creationId xmlns:a16="http://schemas.microsoft.com/office/drawing/2014/main" id="{8DEF0C77-CAD7-4F45-AA5A-F1DD1672F6A3}"/>
              </a:ext>
            </a:extLst>
          </xdr:cNvPr>
          <xdr:cNvSpPr/>
        </xdr:nvSpPr>
        <xdr:spPr>
          <a:xfrm>
            <a:off x="16023739" y="10911715"/>
            <a:ext cx="61571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9" name="직선 화살표 연결선 1328">
            <a:extLst>
              <a:ext uri="{FF2B5EF4-FFF2-40B4-BE49-F238E27FC236}">
                <a16:creationId xmlns:a16="http://schemas.microsoft.com/office/drawing/2014/main" id="{4C6092CE-99F9-4711-8786-F8F34F1FBA11}"/>
              </a:ext>
            </a:extLst>
          </xdr:cNvPr>
          <xdr:cNvCxnSpPr/>
        </xdr:nvCxnSpPr>
        <xdr:spPr>
          <a:xfrm>
            <a:off x="16055482" y="11970850"/>
            <a:ext cx="26877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0" name="타원 1329">
            <a:extLst>
              <a:ext uri="{FF2B5EF4-FFF2-40B4-BE49-F238E27FC236}">
                <a16:creationId xmlns:a16="http://schemas.microsoft.com/office/drawing/2014/main" id="{6FD267F4-416A-4DAE-98B6-F35E3DBA1393}"/>
              </a:ext>
            </a:extLst>
          </xdr:cNvPr>
          <xdr:cNvSpPr/>
        </xdr:nvSpPr>
        <xdr:spPr>
          <a:xfrm>
            <a:off x="16023022" y="11930037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1" name="직선 화살표 연결선 1330">
            <a:extLst>
              <a:ext uri="{FF2B5EF4-FFF2-40B4-BE49-F238E27FC236}">
                <a16:creationId xmlns:a16="http://schemas.microsoft.com/office/drawing/2014/main" id="{1E224892-6737-4F8F-ABFF-E2D2B3954811}"/>
              </a:ext>
            </a:extLst>
          </xdr:cNvPr>
          <xdr:cNvCxnSpPr/>
        </xdr:nvCxnSpPr>
        <xdr:spPr>
          <a:xfrm>
            <a:off x="16053895" y="12893879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2" name="타원 1331">
            <a:extLst>
              <a:ext uri="{FF2B5EF4-FFF2-40B4-BE49-F238E27FC236}">
                <a16:creationId xmlns:a16="http://schemas.microsoft.com/office/drawing/2014/main" id="{5422F5E1-9A40-4AA2-91BB-6E93AA1374B6}"/>
              </a:ext>
            </a:extLst>
          </xdr:cNvPr>
          <xdr:cNvSpPr/>
        </xdr:nvSpPr>
        <xdr:spPr>
          <a:xfrm>
            <a:off x="16023023" y="12853066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3" name="직선 화살표 연결선 1332">
            <a:extLst>
              <a:ext uri="{FF2B5EF4-FFF2-40B4-BE49-F238E27FC236}">
                <a16:creationId xmlns:a16="http://schemas.microsoft.com/office/drawing/2014/main" id="{77DB2C71-D239-4689-A3E5-09089F622784}"/>
              </a:ext>
            </a:extLst>
          </xdr:cNvPr>
          <xdr:cNvCxnSpPr/>
        </xdr:nvCxnSpPr>
        <xdr:spPr>
          <a:xfrm>
            <a:off x="16050590" y="13745507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4" name="타원 1333">
            <a:extLst>
              <a:ext uri="{FF2B5EF4-FFF2-40B4-BE49-F238E27FC236}">
                <a16:creationId xmlns:a16="http://schemas.microsoft.com/office/drawing/2014/main" id="{A96B7EFF-94ED-4DD3-B628-CD77C32F7C35}"/>
              </a:ext>
            </a:extLst>
          </xdr:cNvPr>
          <xdr:cNvSpPr/>
        </xdr:nvSpPr>
        <xdr:spPr>
          <a:xfrm>
            <a:off x="16019716" y="13703653"/>
            <a:ext cx="63158" cy="8395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5" name="직선 화살표 연결선 1334">
            <a:extLst>
              <a:ext uri="{FF2B5EF4-FFF2-40B4-BE49-F238E27FC236}">
                <a16:creationId xmlns:a16="http://schemas.microsoft.com/office/drawing/2014/main" id="{D2E99511-6748-42C4-9144-385A4BE6C7A4}"/>
              </a:ext>
            </a:extLst>
          </xdr:cNvPr>
          <xdr:cNvCxnSpPr/>
        </xdr:nvCxnSpPr>
        <xdr:spPr>
          <a:xfrm>
            <a:off x="16048700" y="14692795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6" name="직사각형 1335">
            <a:extLst>
              <a:ext uri="{FF2B5EF4-FFF2-40B4-BE49-F238E27FC236}">
                <a16:creationId xmlns:a16="http://schemas.microsoft.com/office/drawing/2014/main" id="{168DB2D2-4C8F-44AD-A1B0-7A98870E49BB}"/>
              </a:ext>
            </a:extLst>
          </xdr:cNvPr>
          <xdr:cNvSpPr/>
        </xdr:nvSpPr>
        <xdr:spPr>
          <a:xfrm>
            <a:off x="12956633" y="9663017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MAX_CURR1_LEVEL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37" name="직사각형 1336">
            <a:extLst>
              <a:ext uri="{FF2B5EF4-FFF2-40B4-BE49-F238E27FC236}">
                <a16:creationId xmlns:a16="http://schemas.microsoft.com/office/drawing/2014/main" id="{4A82033C-D847-496A-AB59-1BDC79C0F4A9}"/>
              </a:ext>
            </a:extLst>
          </xdr:cNvPr>
          <xdr:cNvSpPr/>
        </xdr:nvSpPr>
        <xdr:spPr>
          <a:xfrm>
            <a:off x="12913783" y="9598025"/>
            <a:ext cx="1008692" cy="6858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pPr algn="l"/>
            <a:endParaRPr lang="ko-KR" altLang="en-US" sz="900">
              <a:latin typeface="+mn-lt"/>
            </a:endParaRPr>
          </a:p>
        </xdr:txBody>
      </xdr:sp>
      <xdr:sp macro="" textlink="">
        <xdr:nvSpPr>
          <xdr:cNvPr id="1338" name="사다리꼴 1337">
            <a:extLst>
              <a:ext uri="{FF2B5EF4-FFF2-40B4-BE49-F238E27FC236}">
                <a16:creationId xmlns:a16="http://schemas.microsoft.com/office/drawing/2014/main" id="{694995B7-47F7-44BF-A0EE-39BE69DECC8E}"/>
              </a:ext>
            </a:extLst>
          </xdr:cNvPr>
          <xdr:cNvSpPr/>
        </xdr:nvSpPr>
        <xdr:spPr>
          <a:xfrm rot="5400000">
            <a:off x="14003741" y="9803963"/>
            <a:ext cx="680094" cy="279834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9" name="직선 화살표 연결선 1338">
            <a:extLst>
              <a:ext uri="{FF2B5EF4-FFF2-40B4-BE49-F238E27FC236}">
                <a16:creationId xmlns:a16="http://schemas.microsoft.com/office/drawing/2014/main" id="{9FAE2B4D-D9C6-4177-894E-7EEE10D51EC3}"/>
              </a:ext>
            </a:extLst>
          </xdr:cNvPr>
          <xdr:cNvCxnSpPr/>
        </xdr:nvCxnSpPr>
        <xdr:spPr>
          <a:xfrm>
            <a:off x="14487573" y="9844105"/>
            <a:ext cx="11906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0" name="직선 화살표 연결선 1339">
            <a:extLst>
              <a:ext uri="{FF2B5EF4-FFF2-40B4-BE49-F238E27FC236}">
                <a16:creationId xmlns:a16="http://schemas.microsoft.com/office/drawing/2014/main" id="{0592B34D-096E-4617-96DE-DF476CC7CE89}"/>
              </a:ext>
            </a:extLst>
          </xdr:cNvPr>
          <xdr:cNvCxnSpPr/>
        </xdr:nvCxnSpPr>
        <xdr:spPr>
          <a:xfrm>
            <a:off x="14489167" y="10083692"/>
            <a:ext cx="155207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1" name="직선 화살표 연결선 1340">
            <a:extLst>
              <a:ext uri="{FF2B5EF4-FFF2-40B4-BE49-F238E27FC236}">
                <a16:creationId xmlns:a16="http://schemas.microsoft.com/office/drawing/2014/main" id="{E633AC89-D90C-424C-94D9-7808C2B1E363}"/>
              </a:ext>
            </a:extLst>
          </xdr:cNvPr>
          <xdr:cNvCxnSpPr/>
        </xdr:nvCxnSpPr>
        <xdr:spPr>
          <a:xfrm>
            <a:off x="13918224" y="9934752"/>
            <a:ext cx="3057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2" name="직사각형 1341">
            <a:extLst>
              <a:ext uri="{FF2B5EF4-FFF2-40B4-BE49-F238E27FC236}">
                <a16:creationId xmlns:a16="http://schemas.microsoft.com/office/drawing/2014/main" id="{3B7445E6-AA32-410B-AED1-C0A30B7D6903}"/>
              </a:ext>
            </a:extLst>
          </xdr:cNvPr>
          <xdr:cNvSpPr/>
        </xdr:nvSpPr>
        <xdr:spPr>
          <a:xfrm>
            <a:off x="12877624" y="9147359"/>
            <a:ext cx="1426633" cy="177064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343" name="직선 화살표 연결선 1342">
            <a:extLst>
              <a:ext uri="{FF2B5EF4-FFF2-40B4-BE49-F238E27FC236}">
                <a16:creationId xmlns:a16="http://schemas.microsoft.com/office/drawing/2014/main" id="{DBFBC801-43AF-469C-A7D0-4E58A5E81DD2}"/>
              </a:ext>
            </a:extLst>
          </xdr:cNvPr>
          <xdr:cNvCxnSpPr/>
        </xdr:nvCxnSpPr>
        <xdr:spPr>
          <a:xfrm>
            <a:off x="12782550" y="9340851"/>
            <a:ext cx="157409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4" name="직선 화살표 연결선 1343">
            <a:extLst>
              <a:ext uri="{FF2B5EF4-FFF2-40B4-BE49-F238E27FC236}">
                <a16:creationId xmlns:a16="http://schemas.microsoft.com/office/drawing/2014/main" id="{6B446A1B-0956-4231-AC14-D78FAE985B4B}"/>
              </a:ext>
            </a:extLst>
          </xdr:cNvPr>
          <xdr:cNvCxnSpPr/>
        </xdr:nvCxnSpPr>
        <xdr:spPr>
          <a:xfrm>
            <a:off x="14351282" y="9337191"/>
            <a:ext cx="0" cy="31449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5" name="직선 화살표 연결선 1344">
            <a:extLst>
              <a:ext uri="{FF2B5EF4-FFF2-40B4-BE49-F238E27FC236}">
                <a16:creationId xmlns:a16="http://schemas.microsoft.com/office/drawing/2014/main" id="{BB5FD60D-DA0C-4046-94EA-1088C50EF758}"/>
              </a:ext>
            </a:extLst>
          </xdr:cNvPr>
          <xdr:cNvCxnSpPr/>
        </xdr:nvCxnSpPr>
        <xdr:spPr>
          <a:xfrm>
            <a:off x="16051802" y="15670488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6" name="직사각형 1345">
            <a:extLst>
              <a:ext uri="{FF2B5EF4-FFF2-40B4-BE49-F238E27FC236}">
                <a16:creationId xmlns:a16="http://schemas.microsoft.com/office/drawing/2014/main" id="{D269A709-620C-47F8-A5C0-DDD1FA861B14}"/>
              </a:ext>
            </a:extLst>
          </xdr:cNvPr>
          <xdr:cNvSpPr/>
        </xdr:nvSpPr>
        <xdr:spPr>
          <a:xfrm>
            <a:off x="14538899" y="9656434"/>
            <a:ext cx="1267846" cy="15743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7" name="직사각형 1346">
            <a:extLst>
              <a:ext uri="{FF2B5EF4-FFF2-40B4-BE49-F238E27FC236}">
                <a16:creationId xmlns:a16="http://schemas.microsoft.com/office/drawing/2014/main" id="{3DF8856C-4EC1-4453-9656-B8D50D3274B3}"/>
              </a:ext>
            </a:extLst>
          </xdr:cNvPr>
          <xdr:cNvSpPr/>
        </xdr:nvSpPr>
        <xdr:spPr>
          <a:xfrm>
            <a:off x="14547775" y="9914752"/>
            <a:ext cx="1271500" cy="15637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MAX_CURR_LEVELb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8" name="타원 1347">
            <a:extLst>
              <a:ext uri="{FF2B5EF4-FFF2-40B4-BE49-F238E27FC236}">
                <a16:creationId xmlns:a16="http://schemas.microsoft.com/office/drawing/2014/main" id="{A74522E7-6149-451D-9638-48C18529C700}"/>
              </a:ext>
            </a:extLst>
          </xdr:cNvPr>
          <xdr:cNvSpPr/>
        </xdr:nvSpPr>
        <xdr:spPr>
          <a:xfrm>
            <a:off x="16023722" y="10047095"/>
            <a:ext cx="63158" cy="8040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65" name="직사각형 1364">
            <a:extLst>
              <a:ext uri="{FF2B5EF4-FFF2-40B4-BE49-F238E27FC236}">
                <a16:creationId xmlns:a16="http://schemas.microsoft.com/office/drawing/2014/main" id="{C8929557-78DC-4040-B7F6-64327913CF08}"/>
              </a:ext>
            </a:extLst>
          </xdr:cNvPr>
          <xdr:cNvSpPr/>
        </xdr:nvSpPr>
        <xdr:spPr>
          <a:xfrm>
            <a:off x="12954324" y="9875353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MAX_CURR2_LEVEL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66" name="직사각형 1365">
            <a:extLst>
              <a:ext uri="{FF2B5EF4-FFF2-40B4-BE49-F238E27FC236}">
                <a16:creationId xmlns:a16="http://schemas.microsoft.com/office/drawing/2014/main" id="{74266852-9B7D-47FD-B1E7-542D0F6F3812}"/>
              </a:ext>
            </a:extLst>
          </xdr:cNvPr>
          <xdr:cNvSpPr/>
        </xdr:nvSpPr>
        <xdr:spPr>
          <a:xfrm>
            <a:off x="12953940" y="10087688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MAX_CURR3_LEVEL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3DD183EF-5B97-48CE-84FF-F9CEC2555756}"/>
              </a:ext>
            </a:extLst>
          </xdr:cNvPr>
          <xdr:cNvSpPr/>
        </xdr:nvSpPr>
        <xdr:spPr>
          <a:xfrm>
            <a:off x="12786783" y="10675828"/>
            <a:ext cx="3241721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MAX_CURR_LEVELa &lt;= MAX_CURR1_LEVEL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MAX_CURR_LEVELa &lt;= MAX_CURR1_LEVEL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MAX_CURR3_LEVEL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MAX_CURR_LEVEL &lt;= MAX_CURR1_LEVEL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MAX_CURR_LEVEL &lt;= MAX_CURR2_LEVEL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MAX_CURR_LEVEL &lt;= MAX_CURR3_LEVEL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375" name="직선 화살표 연결선 374">
            <a:extLst>
              <a:ext uri="{FF2B5EF4-FFF2-40B4-BE49-F238E27FC236}">
                <a16:creationId xmlns:a16="http://schemas.microsoft.com/office/drawing/2014/main" id="{5A2C41D2-30F1-43CB-9682-3B33DC929E10}"/>
              </a:ext>
            </a:extLst>
          </xdr:cNvPr>
          <xdr:cNvCxnSpPr/>
        </xdr:nvCxnSpPr>
        <xdr:spPr>
          <a:xfrm>
            <a:off x="12791016" y="9349317"/>
            <a:ext cx="0" cy="130492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225738</xdr:colOff>
      <xdr:row>10</xdr:row>
      <xdr:rowOff>116310</xdr:rowOff>
    </xdr:from>
    <xdr:to>
      <xdr:col>140</xdr:col>
      <xdr:colOff>349403</xdr:colOff>
      <xdr:row>47</xdr:row>
      <xdr:rowOff>145943</xdr:rowOff>
    </xdr:to>
    <xdr:grpSp>
      <xdr:nvGrpSpPr>
        <xdr:cNvPr id="514" name="그룹 513">
          <a:extLst>
            <a:ext uri="{FF2B5EF4-FFF2-40B4-BE49-F238E27FC236}">
              <a16:creationId xmlns:a16="http://schemas.microsoft.com/office/drawing/2014/main" id="{340D4A74-D6A6-F1F8-15EF-3AE423D5C49B}"/>
            </a:ext>
          </a:extLst>
        </xdr:cNvPr>
        <xdr:cNvGrpSpPr/>
      </xdr:nvGrpSpPr>
      <xdr:grpSpPr>
        <a:xfrm>
          <a:off x="16811938" y="1978977"/>
          <a:ext cx="4060665" cy="6921499"/>
          <a:chOff x="16809821" y="1968393"/>
          <a:chExt cx="4060665" cy="6882342"/>
        </a:xfrm>
      </xdr:grpSpPr>
      <xdr:sp macro="" textlink="">
        <xdr:nvSpPr>
          <xdr:cNvPr id="633" name="직사각형 632">
            <a:extLst>
              <a:ext uri="{FF2B5EF4-FFF2-40B4-BE49-F238E27FC236}">
                <a16:creationId xmlns:a16="http://schemas.microsoft.com/office/drawing/2014/main" id="{FFA6F759-2D82-96D4-F696-9E5B27169961}"/>
              </a:ext>
            </a:extLst>
          </xdr:cNvPr>
          <xdr:cNvSpPr/>
        </xdr:nvSpPr>
        <xdr:spPr>
          <a:xfrm>
            <a:off x="16809821" y="1968393"/>
            <a:ext cx="4060665" cy="688234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900" name="직사각형 899">
            <a:extLst>
              <a:ext uri="{FF2B5EF4-FFF2-40B4-BE49-F238E27FC236}">
                <a16:creationId xmlns:a16="http://schemas.microsoft.com/office/drawing/2014/main" id="{7BE6CC66-ED06-12F2-0EC9-31AD44BAA717}"/>
              </a:ext>
            </a:extLst>
          </xdr:cNvPr>
          <xdr:cNvSpPr/>
        </xdr:nvSpPr>
        <xdr:spPr>
          <a:xfrm>
            <a:off x="20449866" y="3270596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DAE01A8C-59AC-B4D2-DAD7-BE4BB874B25C}"/>
              </a:ext>
            </a:extLst>
          </xdr:cNvPr>
          <xdr:cNvSpPr/>
        </xdr:nvSpPr>
        <xdr:spPr>
          <a:xfrm>
            <a:off x="20448281" y="3773667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49" name="직사각형 1048">
            <a:extLst>
              <a:ext uri="{FF2B5EF4-FFF2-40B4-BE49-F238E27FC236}">
                <a16:creationId xmlns:a16="http://schemas.microsoft.com/office/drawing/2014/main" id="{A0BAAFB6-F116-9A8C-9360-63F32A3D68A3}"/>
              </a:ext>
            </a:extLst>
          </xdr:cNvPr>
          <xdr:cNvSpPr/>
        </xdr:nvSpPr>
        <xdr:spPr>
          <a:xfrm>
            <a:off x="20446695" y="427673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0" name="직사각형 1049">
            <a:extLst>
              <a:ext uri="{FF2B5EF4-FFF2-40B4-BE49-F238E27FC236}">
                <a16:creationId xmlns:a16="http://schemas.microsoft.com/office/drawing/2014/main" id="{C9C1AF05-2AD9-2AC4-3816-DD568E4E5AF7}"/>
              </a:ext>
            </a:extLst>
          </xdr:cNvPr>
          <xdr:cNvSpPr/>
        </xdr:nvSpPr>
        <xdr:spPr>
          <a:xfrm>
            <a:off x="20453036" y="4755437"/>
            <a:ext cx="273426" cy="34590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D0B731C3-C933-25D4-1DE0-629584726BFF}"/>
              </a:ext>
            </a:extLst>
          </xdr:cNvPr>
          <xdr:cNvSpPr/>
        </xdr:nvSpPr>
        <xdr:spPr>
          <a:xfrm>
            <a:off x="20453178" y="5207264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9AE859F-0B30-1847-E39D-8FEEEBAE3025}"/>
              </a:ext>
            </a:extLst>
          </xdr:cNvPr>
          <xdr:cNvSpPr/>
        </xdr:nvSpPr>
        <xdr:spPr>
          <a:xfrm>
            <a:off x="20449868" y="565096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3" name="직사각형 1052">
            <a:extLst>
              <a:ext uri="{FF2B5EF4-FFF2-40B4-BE49-F238E27FC236}">
                <a16:creationId xmlns:a16="http://schemas.microsoft.com/office/drawing/2014/main" id="{63FBBDB9-1DA9-D0B5-53E4-798F88FADEAE}"/>
              </a:ext>
            </a:extLst>
          </xdr:cNvPr>
          <xdr:cNvSpPr/>
        </xdr:nvSpPr>
        <xdr:spPr>
          <a:xfrm>
            <a:off x="20448283" y="6099203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4" name="직사각형 1053">
            <a:extLst>
              <a:ext uri="{FF2B5EF4-FFF2-40B4-BE49-F238E27FC236}">
                <a16:creationId xmlns:a16="http://schemas.microsoft.com/office/drawing/2014/main" id="{BBC7B3A9-1EF5-C253-1189-EA03907D9BBC}"/>
              </a:ext>
            </a:extLst>
          </xdr:cNvPr>
          <xdr:cNvSpPr/>
        </xdr:nvSpPr>
        <xdr:spPr>
          <a:xfrm>
            <a:off x="20447926" y="6516377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4" name="직사각형 1063">
            <a:extLst>
              <a:ext uri="{FF2B5EF4-FFF2-40B4-BE49-F238E27FC236}">
                <a16:creationId xmlns:a16="http://schemas.microsoft.com/office/drawing/2014/main" id="{2E07472E-4034-F4D8-4EB4-3946559D235C}"/>
              </a:ext>
            </a:extLst>
          </xdr:cNvPr>
          <xdr:cNvSpPr/>
        </xdr:nvSpPr>
        <xdr:spPr>
          <a:xfrm>
            <a:off x="20447926" y="6995075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5" name="직사각형 1064">
            <a:extLst>
              <a:ext uri="{FF2B5EF4-FFF2-40B4-BE49-F238E27FC236}">
                <a16:creationId xmlns:a16="http://schemas.microsoft.com/office/drawing/2014/main" id="{E0C43991-5E2E-AB72-511C-7F103097CF70}"/>
              </a:ext>
            </a:extLst>
          </xdr:cNvPr>
          <xdr:cNvSpPr/>
        </xdr:nvSpPr>
        <xdr:spPr>
          <a:xfrm>
            <a:off x="20453054" y="7412377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6" name="직사각형 1065">
            <a:extLst>
              <a:ext uri="{FF2B5EF4-FFF2-40B4-BE49-F238E27FC236}">
                <a16:creationId xmlns:a16="http://schemas.microsoft.com/office/drawing/2014/main" id="{5AA4AD3F-C12B-FC04-A209-1FE375D58E72}"/>
              </a:ext>
            </a:extLst>
          </xdr:cNvPr>
          <xdr:cNvSpPr/>
        </xdr:nvSpPr>
        <xdr:spPr>
          <a:xfrm>
            <a:off x="20453054" y="7860611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4835F10D-5854-1A0C-9370-B5CC7381E8FD}"/>
              </a:ext>
            </a:extLst>
          </xdr:cNvPr>
          <xdr:cNvSpPr/>
        </xdr:nvSpPr>
        <xdr:spPr>
          <a:xfrm>
            <a:off x="20453054" y="8340871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071" name="직선 화살표 연결선 1070">
            <a:extLst>
              <a:ext uri="{FF2B5EF4-FFF2-40B4-BE49-F238E27FC236}">
                <a16:creationId xmlns:a16="http://schemas.microsoft.com/office/drawing/2014/main" id="{7323ACF5-63B4-CB0E-5665-D90E88609808}"/>
              </a:ext>
            </a:extLst>
          </xdr:cNvPr>
          <xdr:cNvCxnSpPr/>
        </xdr:nvCxnSpPr>
        <xdr:spPr>
          <a:xfrm>
            <a:off x="19560783" y="344128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2" name="직선 화살표 연결선 1071">
            <a:extLst>
              <a:ext uri="{FF2B5EF4-FFF2-40B4-BE49-F238E27FC236}">
                <a16:creationId xmlns:a16="http://schemas.microsoft.com/office/drawing/2014/main" id="{C9316881-7C10-7E42-E1F8-B393DF66707B}"/>
              </a:ext>
            </a:extLst>
          </xdr:cNvPr>
          <xdr:cNvCxnSpPr/>
        </xdr:nvCxnSpPr>
        <xdr:spPr>
          <a:xfrm>
            <a:off x="19552577" y="2828317"/>
            <a:ext cx="0" cy="517294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5" name="타원 1074">
            <a:extLst>
              <a:ext uri="{FF2B5EF4-FFF2-40B4-BE49-F238E27FC236}">
                <a16:creationId xmlns:a16="http://schemas.microsoft.com/office/drawing/2014/main" id="{1F8195C4-1412-841C-E062-05DF3AB9C4F9}"/>
              </a:ext>
            </a:extLst>
          </xdr:cNvPr>
          <xdr:cNvSpPr/>
        </xdr:nvSpPr>
        <xdr:spPr>
          <a:xfrm>
            <a:off x="19521596" y="2779977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76" name="직선 화살표 연결선 1075">
            <a:extLst>
              <a:ext uri="{FF2B5EF4-FFF2-40B4-BE49-F238E27FC236}">
                <a16:creationId xmlns:a16="http://schemas.microsoft.com/office/drawing/2014/main" id="{C926873E-89DA-AE5D-6483-3C72B5E879BF}"/>
              </a:ext>
            </a:extLst>
          </xdr:cNvPr>
          <xdr:cNvCxnSpPr/>
        </xdr:nvCxnSpPr>
        <xdr:spPr>
          <a:xfrm flipH="1">
            <a:off x="20174155" y="3077882"/>
            <a:ext cx="0" cy="5468552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3" name="타원 1082">
            <a:extLst>
              <a:ext uri="{FF2B5EF4-FFF2-40B4-BE49-F238E27FC236}">
                <a16:creationId xmlns:a16="http://schemas.microsoft.com/office/drawing/2014/main" id="{BE6DA43F-8347-C25B-CF2E-B044C2018135}"/>
              </a:ext>
            </a:extLst>
          </xdr:cNvPr>
          <xdr:cNvSpPr/>
        </xdr:nvSpPr>
        <xdr:spPr>
          <a:xfrm>
            <a:off x="20148503" y="7545991"/>
            <a:ext cx="63077" cy="686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084" name="타원 1083">
            <a:extLst>
              <a:ext uri="{FF2B5EF4-FFF2-40B4-BE49-F238E27FC236}">
                <a16:creationId xmlns:a16="http://schemas.microsoft.com/office/drawing/2014/main" id="{BF0823C4-8773-AE5D-2511-F93194125543}"/>
              </a:ext>
            </a:extLst>
          </xdr:cNvPr>
          <xdr:cNvSpPr/>
        </xdr:nvSpPr>
        <xdr:spPr>
          <a:xfrm>
            <a:off x="19524615" y="3403988"/>
            <a:ext cx="59907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5" name="직선 화살표 연결선 1084">
            <a:extLst>
              <a:ext uri="{FF2B5EF4-FFF2-40B4-BE49-F238E27FC236}">
                <a16:creationId xmlns:a16="http://schemas.microsoft.com/office/drawing/2014/main" id="{A675B8BE-F5D2-9335-F9B8-66DB64652D96}"/>
              </a:ext>
            </a:extLst>
          </xdr:cNvPr>
          <xdr:cNvCxnSpPr/>
        </xdr:nvCxnSpPr>
        <xdr:spPr>
          <a:xfrm>
            <a:off x="19570734" y="445123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8" name="타원 1087">
            <a:extLst>
              <a:ext uri="{FF2B5EF4-FFF2-40B4-BE49-F238E27FC236}">
                <a16:creationId xmlns:a16="http://schemas.microsoft.com/office/drawing/2014/main" id="{6D0D41E5-8E7F-E80B-0BC9-986850BD7137}"/>
              </a:ext>
            </a:extLst>
          </xdr:cNvPr>
          <xdr:cNvSpPr/>
        </xdr:nvSpPr>
        <xdr:spPr>
          <a:xfrm>
            <a:off x="19524047" y="4411906"/>
            <a:ext cx="5515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9" name="직선 화살표 연결선 1088">
            <a:extLst>
              <a:ext uri="{FF2B5EF4-FFF2-40B4-BE49-F238E27FC236}">
                <a16:creationId xmlns:a16="http://schemas.microsoft.com/office/drawing/2014/main" id="{EDEA6AFE-881E-9703-B422-AA0F0B566E6E}"/>
              </a:ext>
            </a:extLst>
          </xdr:cNvPr>
          <xdr:cNvCxnSpPr/>
        </xdr:nvCxnSpPr>
        <xdr:spPr>
          <a:xfrm>
            <a:off x="19570583" y="5380158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0" name="타원 1089">
            <a:extLst>
              <a:ext uri="{FF2B5EF4-FFF2-40B4-BE49-F238E27FC236}">
                <a16:creationId xmlns:a16="http://schemas.microsoft.com/office/drawing/2014/main" id="{A2A13D2F-0215-E0A4-11DC-2B54B9A6B7F9}"/>
              </a:ext>
            </a:extLst>
          </xdr:cNvPr>
          <xdr:cNvSpPr/>
        </xdr:nvSpPr>
        <xdr:spPr>
          <a:xfrm>
            <a:off x="19523897" y="534082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1" name="직선 화살표 연결선 1090">
            <a:extLst>
              <a:ext uri="{FF2B5EF4-FFF2-40B4-BE49-F238E27FC236}">
                <a16:creationId xmlns:a16="http://schemas.microsoft.com/office/drawing/2014/main" id="{3F97C9B4-FE86-39DE-3299-F6F4E4386086}"/>
              </a:ext>
            </a:extLst>
          </xdr:cNvPr>
          <xdr:cNvCxnSpPr/>
        </xdr:nvCxnSpPr>
        <xdr:spPr>
          <a:xfrm>
            <a:off x="19565829" y="626006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2" name="타원 1091">
            <a:extLst>
              <a:ext uri="{FF2B5EF4-FFF2-40B4-BE49-F238E27FC236}">
                <a16:creationId xmlns:a16="http://schemas.microsoft.com/office/drawing/2014/main" id="{E885732E-7E10-465C-09C5-4BA884704909}"/>
              </a:ext>
            </a:extLst>
          </xdr:cNvPr>
          <xdr:cNvSpPr/>
        </xdr:nvSpPr>
        <xdr:spPr>
          <a:xfrm>
            <a:off x="19525483" y="622073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3" name="직선 화살표 연결선 1092">
            <a:extLst>
              <a:ext uri="{FF2B5EF4-FFF2-40B4-BE49-F238E27FC236}">
                <a16:creationId xmlns:a16="http://schemas.microsoft.com/office/drawing/2014/main" id="{F14D8255-F442-1FF6-E81D-53AC762E170A}"/>
              </a:ext>
            </a:extLst>
          </xdr:cNvPr>
          <xdr:cNvCxnSpPr/>
        </xdr:nvCxnSpPr>
        <xdr:spPr>
          <a:xfrm>
            <a:off x="19563528" y="717622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4" name="타원 1093">
            <a:extLst>
              <a:ext uri="{FF2B5EF4-FFF2-40B4-BE49-F238E27FC236}">
                <a16:creationId xmlns:a16="http://schemas.microsoft.com/office/drawing/2014/main" id="{1A56D2BA-1A43-5808-6647-3012B81D6469}"/>
              </a:ext>
            </a:extLst>
          </xdr:cNvPr>
          <xdr:cNvSpPr/>
        </xdr:nvSpPr>
        <xdr:spPr>
          <a:xfrm>
            <a:off x="19526352" y="7136893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5" name="직선 화살표 연결선 1094">
            <a:extLst>
              <a:ext uri="{FF2B5EF4-FFF2-40B4-BE49-F238E27FC236}">
                <a16:creationId xmlns:a16="http://schemas.microsoft.com/office/drawing/2014/main" id="{CB599037-0C67-A2EC-B4BA-47F384DF5407}"/>
              </a:ext>
            </a:extLst>
          </xdr:cNvPr>
          <xdr:cNvCxnSpPr/>
        </xdr:nvCxnSpPr>
        <xdr:spPr>
          <a:xfrm>
            <a:off x="19560359" y="799537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6" name="직선 화살표 연결선 1095">
            <a:extLst>
              <a:ext uri="{FF2B5EF4-FFF2-40B4-BE49-F238E27FC236}">
                <a16:creationId xmlns:a16="http://schemas.microsoft.com/office/drawing/2014/main" id="{DFBC0704-A216-CD47-BA11-AF057C07773A}"/>
              </a:ext>
            </a:extLst>
          </xdr:cNvPr>
          <xdr:cNvCxnSpPr/>
        </xdr:nvCxnSpPr>
        <xdr:spPr>
          <a:xfrm>
            <a:off x="20182509" y="3939373"/>
            <a:ext cx="26684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7" name="타원 1096">
            <a:extLst>
              <a:ext uri="{FF2B5EF4-FFF2-40B4-BE49-F238E27FC236}">
                <a16:creationId xmlns:a16="http://schemas.microsoft.com/office/drawing/2014/main" id="{16C2AC4B-7E2E-DB14-A212-5185AFFC9F08}"/>
              </a:ext>
            </a:extLst>
          </xdr:cNvPr>
          <xdr:cNvSpPr/>
        </xdr:nvSpPr>
        <xdr:spPr>
          <a:xfrm>
            <a:off x="20150089" y="3901891"/>
            <a:ext cx="6149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8" name="직선 화살표 연결선 1097">
            <a:extLst>
              <a:ext uri="{FF2B5EF4-FFF2-40B4-BE49-F238E27FC236}">
                <a16:creationId xmlns:a16="http://schemas.microsoft.com/office/drawing/2014/main" id="{0AE1056D-57D7-B40F-075F-F2B76C951401}"/>
              </a:ext>
            </a:extLst>
          </xdr:cNvPr>
          <xdr:cNvCxnSpPr/>
        </xdr:nvCxnSpPr>
        <xdr:spPr>
          <a:xfrm>
            <a:off x="20181791" y="4933400"/>
            <a:ext cx="26843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4" name="타원 1103">
            <a:extLst>
              <a:ext uri="{FF2B5EF4-FFF2-40B4-BE49-F238E27FC236}">
                <a16:creationId xmlns:a16="http://schemas.microsoft.com/office/drawing/2014/main" id="{00283ED6-631C-25C4-BA31-8FF0F53C3A9D}"/>
              </a:ext>
            </a:extLst>
          </xdr:cNvPr>
          <xdr:cNvSpPr/>
        </xdr:nvSpPr>
        <xdr:spPr>
          <a:xfrm>
            <a:off x="20149373" y="4893889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5" name="직선 화살표 연결선 1104">
            <a:extLst>
              <a:ext uri="{FF2B5EF4-FFF2-40B4-BE49-F238E27FC236}">
                <a16:creationId xmlns:a16="http://schemas.microsoft.com/office/drawing/2014/main" id="{9FEB73E0-B5AB-8380-210B-33DD551FF1AB}"/>
              </a:ext>
            </a:extLst>
          </xdr:cNvPr>
          <xdr:cNvCxnSpPr/>
        </xdr:nvCxnSpPr>
        <xdr:spPr>
          <a:xfrm>
            <a:off x="20180206" y="5832119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6" name="타원 1105">
            <a:extLst>
              <a:ext uri="{FF2B5EF4-FFF2-40B4-BE49-F238E27FC236}">
                <a16:creationId xmlns:a16="http://schemas.microsoft.com/office/drawing/2014/main" id="{9A96867B-1AF9-5033-96EB-F029FA0A6693}"/>
              </a:ext>
            </a:extLst>
          </xdr:cNvPr>
          <xdr:cNvSpPr/>
        </xdr:nvSpPr>
        <xdr:spPr>
          <a:xfrm>
            <a:off x="20149374" y="5792608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7" name="직선 화살표 연결선 1106">
            <a:extLst>
              <a:ext uri="{FF2B5EF4-FFF2-40B4-BE49-F238E27FC236}">
                <a16:creationId xmlns:a16="http://schemas.microsoft.com/office/drawing/2014/main" id="{58B25FBC-CB3E-4F9B-5772-528A43D62932}"/>
              </a:ext>
            </a:extLst>
          </xdr:cNvPr>
          <xdr:cNvCxnSpPr/>
        </xdr:nvCxnSpPr>
        <xdr:spPr>
          <a:xfrm>
            <a:off x="20176906" y="6661714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8" name="타원 1107">
            <a:extLst>
              <a:ext uri="{FF2B5EF4-FFF2-40B4-BE49-F238E27FC236}">
                <a16:creationId xmlns:a16="http://schemas.microsoft.com/office/drawing/2014/main" id="{FD38948C-78A1-BC46-D29B-2EF7EF433D74}"/>
              </a:ext>
            </a:extLst>
          </xdr:cNvPr>
          <xdr:cNvSpPr/>
        </xdr:nvSpPr>
        <xdr:spPr>
          <a:xfrm>
            <a:off x="20146072" y="6620171"/>
            <a:ext cx="63077" cy="8230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9" name="직선 화살표 연결선 1108">
            <a:extLst>
              <a:ext uri="{FF2B5EF4-FFF2-40B4-BE49-F238E27FC236}">
                <a16:creationId xmlns:a16="http://schemas.microsoft.com/office/drawing/2014/main" id="{EBC3FF9A-0C6A-1322-E98F-C26FF37B2CAC}"/>
              </a:ext>
            </a:extLst>
          </xdr:cNvPr>
          <xdr:cNvCxnSpPr/>
        </xdr:nvCxnSpPr>
        <xdr:spPr>
          <a:xfrm>
            <a:off x="20175018" y="7583921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1" name="직사각형 1130">
            <a:extLst>
              <a:ext uri="{FF2B5EF4-FFF2-40B4-BE49-F238E27FC236}">
                <a16:creationId xmlns:a16="http://schemas.microsoft.com/office/drawing/2014/main" id="{56A489D3-B729-E153-59FD-2EF16B2B33B2}"/>
              </a:ext>
            </a:extLst>
          </xdr:cNvPr>
          <xdr:cNvSpPr/>
        </xdr:nvSpPr>
        <xdr:spPr>
          <a:xfrm>
            <a:off x="17027144" y="2659384"/>
            <a:ext cx="867444" cy="152884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720CA4BC-0C5E-7FA5-012F-6B623D968600}"/>
              </a:ext>
            </a:extLst>
          </xdr:cNvPr>
          <xdr:cNvSpPr/>
        </xdr:nvSpPr>
        <xdr:spPr>
          <a:xfrm>
            <a:off x="16983075" y="2603502"/>
            <a:ext cx="955009" cy="67430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111" name="사다리꼴 1110">
            <a:extLst>
              <a:ext uri="{FF2B5EF4-FFF2-40B4-BE49-F238E27FC236}">
                <a16:creationId xmlns:a16="http://schemas.microsoft.com/office/drawing/2014/main" id="{148DF808-B9BB-5C17-A9D4-896C7A8E8D8E}"/>
              </a:ext>
            </a:extLst>
          </xdr:cNvPr>
          <xdr:cNvSpPr/>
        </xdr:nvSpPr>
        <xdr:spPr>
          <a:xfrm rot="5400000">
            <a:off x="18053273" y="2796270"/>
            <a:ext cx="662507" cy="279475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12" name="직선 화살표 연결선 1111">
            <a:extLst>
              <a:ext uri="{FF2B5EF4-FFF2-40B4-BE49-F238E27FC236}">
                <a16:creationId xmlns:a16="http://schemas.microsoft.com/office/drawing/2014/main" id="{77BE9464-D476-21EE-0FAE-2A2576EE79B2}"/>
              </a:ext>
            </a:extLst>
          </xdr:cNvPr>
          <xdr:cNvCxnSpPr/>
        </xdr:nvCxnSpPr>
        <xdr:spPr>
          <a:xfrm>
            <a:off x="18523254" y="2815631"/>
            <a:ext cx="10138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7" name="직선 화살표 연결선 1116">
            <a:extLst>
              <a:ext uri="{FF2B5EF4-FFF2-40B4-BE49-F238E27FC236}">
                <a16:creationId xmlns:a16="http://schemas.microsoft.com/office/drawing/2014/main" id="{6745D600-DBD8-5004-A457-792D3F1CE94D}"/>
              </a:ext>
            </a:extLst>
          </xdr:cNvPr>
          <xdr:cNvCxnSpPr/>
        </xdr:nvCxnSpPr>
        <xdr:spPr>
          <a:xfrm>
            <a:off x="18524840" y="3048604"/>
            <a:ext cx="16286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8" name="직선 화살표 연결선 1117">
            <a:extLst>
              <a:ext uri="{FF2B5EF4-FFF2-40B4-BE49-F238E27FC236}">
                <a16:creationId xmlns:a16="http://schemas.microsoft.com/office/drawing/2014/main" id="{1DE57DEF-4E1E-F366-48E5-73C7FFC22C9D}"/>
              </a:ext>
            </a:extLst>
          </xdr:cNvPr>
          <xdr:cNvCxnSpPr/>
        </xdr:nvCxnSpPr>
        <xdr:spPr>
          <a:xfrm>
            <a:off x="17940005" y="2931928"/>
            <a:ext cx="30539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2" name="직사각형 1121">
            <a:extLst>
              <a:ext uri="{FF2B5EF4-FFF2-40B4-BE49-F238E27FC236}">
                <a16:creationId xmlns:a16="http://schemas.microsoft.com/office/drawing/2014/main" id="{601A8B80-111D-9962-EBE2-76027A982C43}"/>
              </a:ext>
            </a:extLst>
          </xdr:cNvPr>
          <xdr:cNvSpPr/>
        </xdr:nvSpPr>
        <xdr:spPr>
          <a:xfrm>
            <a:off x="16975510" y="2156034"/>
            <a:ext cx="1423173" cy="17244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123" name="직선 화살표 연결선 1122">
            <a:extLst>
              <a:ext uri="{FF2B5EF4-FFF2-40B4-BE49-F238E27FC236}">
                <a16:creationId xmlns:a16="http://schemas.microsoft.com/office/drawing/2014/main" id="{C255BE9D-29EA-9F66-222E-17944EAF450C}"/>
              </a:ext>
            </a:extLst>
          </xdr:cNvPr>
          <xdr:cNvCxnSpPr/>
        </xdr:nvCxnSpPr>
        <xdr:spPr>
          <a:xfrm flipV="1">
            <a:off x="16919159" y="2355689"/>
            <a:ext cx="14733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4" name="직선 화살표 연결선 1123">
            <a:extLst>
              <a:ext uri="{FF2B5EF4-FFF2-40B4-BE49-F238E27FC236}">
                <a16:creationId xmlns:a16="http://schemas.microsoft.com/office/drawing/2014/main" id="{CD3B9D15-A204-F93F-FBD1-EF25226EBCBD}"/>
              </a:ext>
            </a:extLst>
          </xdr:cNvPr>
          <xdr:cNvCxnSpPr/>
        </xdr:nvCxnSpPr>
        <xdr:spPr>
          <a:xfrm>
            <a:off x="18396885" y="2345589"/>
            <a:ext cx="0" cy="30651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5" name="직선 화살표 연결선 1124">
            <a:extLst>
              <a:ext uri="{FF2B5EF4-FFF2-40B4-BE49-F238E27FC236}">
                <a16:creationId xmlns:a16="http://schemas.microsoft.com/office/drawing/2014/main" id="{30D45A93-132D-7C1C-AEA0-BF5AF17B298A}"/>
              </a:ext>
            </a:extLst>
          </xdr:cNvPr>
          <xdr:cNvCxnSpPr/>
        </xdr:nvCxnSpPr>
        <xdr:spPr>
          <a:xfrm>
            <a:off x="20178116" y="8535560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8" name="직사각형 1127">
            <a:extLst>
              <a:ext uri="{FF2B5EF4-FFF2-40B4-BE49-F238E27FC236}">
                <a16:creationId xmlns:a16="http://schemas.microsoft.com/office/drawing/2014/main" id="{81F8641B-7F0D-C410-8599-7DEDA3545364}"/>
              </a:ext>
            </a:extLst>
          </xdr:cNvPr>
          <xdr:cNvSpPr/>
        </xdr:nvSpPr>
        <xdr:spPr>
          <a:xfrm>
            <a:off x="18569110" y="2645604"/>
            <a:ext cx="1045338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8" name="직사각형 1217">
            <a:extLst>
              <a:ext uri="{FF2B5EF4-FFF2-40B4-BE49-F238E27FC236}">
                <a16:creationId xmlns:a16="http://schemas.microsoft.com/office/drawing/2014/main" id="{11C76BF3-AAA3-4BFD-9BC3-40D4B9373D9E}"/>
              </a:ext>
            </a:extLst>
          </xdr:cNvPr>
          <xdr:cNvSpPr/>
        </xdr:nvSpPr>
        <xdr:spPr>
          <a:xfrm>
            <a:off x="18567407" y="2889180"/>
            <a:ext cx="1048987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9" name="타원 1218">
            <a:extLst>
              <a:ext uri="{FF2B5EF4-FFF2-40B4-BE49-F238E27FC236}">
                <a16:creationId xmlns:a16="http://schemas.microsoft.com/office/drawing/2014/main" id="{612AC370-442F-4DBA-8E20-DA10DD506F49}"/>
              </a:ext>
            </a:extLst>
          </xdr:cNvPr>
          <xdr:cNvSpPr/>
        </xdr:nvSpPr>
        <xdr:spPr>
          <a:xfrm>
            <a:off x="20150072" y="3013174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0" name="직사각형 1219">
            <a:extLst>
              <a:ext uri="{FF2B5EF4-FFF2-40B4-BE49-F238E27FC236}">
                <a16:creationId xmlns:a16="http://schemas.microsoft.com/office/drawing/2014/main" id="{B91D7BC2-5796-40B8-B65F-59D0F0E5D5AB}"/>
              </a:ext>
            </a:extLst>
          </xdr:cNvPr>
          <xdr:cNvSpPr/>
        </xdr:nvSpPr>
        <xdr:spPr>
          <a:xfrm>
            <a:off x="17024840" y="2865972"/>
            <a:ext cx="867444" cy="152886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1" name="직사각형 1220">
            <a:extLst>
              <a:ext uri="{FF2B5EF4-FFF2-40B4-BE49-F238E27FC236}">
                <a16:creationId xmlns:a16="http://schemas.microsoft.com/office/drawing/2014/main" id="{FB267A36-8A08-465F-83A4-B3F98CB8BE15}"/>
              </a:ext>
            </a:extLst>
          </xdr:cNvPr>
          <xdr:cNvSpPr/>
        </xdr:nvSpPr>
        <xdr:spPr>
          <a:xfrm>
            <a:off x="17024455" y="3072561"/>
            <a:ext cx="867444" cy="152885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1" name="직사각형 380">
            <a:extLst>
              <a:ext uri="{FF2B5EF4-FFF2-40B4-BE49-F238E27FC236}">
                <a16:creationId xmlns:a16="http://schemas.microsoft.com/office/drawing/2014/main" id="{B60BEFBB-1084-4B1E-8609-AD025FC84538}"/>
              </a:ext>
            </a:extLst>
          </xdr:cNvPr>
          <xdr:cNvSpPr/>
        </xdr:nvSpPr>
        <xdr:spPr>
          <a:xfrm>
            <a:off x="16922750" y="3921878"/>
            <a:ext cx="2682786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SHORT_LEVELa &lt;= SHORT1_LEVEL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SHORT_LEVELb &lt;= SHORT2_LEVEL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SHORT_LEVELa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  SHORT_LEVELb &lt;= SHORT3_LEVEL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SHORT_LEVEL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SHORT_LEVEL &lt;= SHORT2_LEVEL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SHORT_LEVEL&lt;= SHORT3_LEVEL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2" name="직선 화살표 연결선 511">
            <a:extLst>
              <a:ext uri="{FF2B5EF4-FFF2-40B4-BE49-F238E27FC236}">
                <a16:creationId xmlns:a16="http://schemas.microsoft.com/office/drawing/2014/main" id="{D4247B03-4D85-4B22-AE45-44722DC5F61C}"/>
              </a:ext>
            </a:extLst>
          </xdr:cNvPr>
          <xdr:cNvCxnSpPr/>
        </xdr:nvCxnSpPr>
        <xdr:spPr>
          <a:xfrm flipH="1">
            <a:off x="16917460" y="2349339"/>
            <a:ext cx="0" cy="1620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230403</xdr:colOff>
      <xdr:row>48</xdr:row>
      <xdr:rowOff>36491</xdr:rowOff>
    </xdr:from>
    <xdr:to>
      <xdr:col>140</xdr:col>
      <xdr:colOff>358612</xdr:colOff>
      <xdr:row>86</xdr:row>
      <xdr:rowOff>66124</xdr:rowOff>
    </xdr:to>
    <xdr:grpSp>
      <xdr:nvGrpSpPr>
        <xdr:cNvPr id="517" name="그룹 516">
          <a:extLst>
            <a:ext uri="{FF2B5EF4-FFF2-40B4-BE49-F238E27FC236}">
              <a16:creationId xmlns:a16="http://schemas.microsoft.com/office/drawing/2014/main" id="{697280D0-33DB-CB28-A9AD-92FB1C644CAC}"/>
            </a:ext>
          </a:extLst>
        </xdr:cNvPr>
        <xdr:cNvGrpSpPr/>
      </xdr:nvGrpSpPr>
      <xdr:grpSpPr>
        <a:xfrm>
          <a:off x="16816603" y="8977291"/>
          <a:ext cx="4065209" cy="7107766"/>
          <a:chOff x="16814486" y="8926491"/>
          <a:chExt cx="4065209" cy="7067550"/>
        </a:xfrm>
      </xdr:grpSpPr>
      <xdr:sp macro="" textlink="">
        <xdr:nvSpPr>
          <xdr:cNvPr id="1223" name="직사각형 1222">
            <a:extLst>
              <a:ext uri="{FF2B5EF4-FFF2-40B4-BE49-F238E27FC236}">
                <a16:creationId xmlns:a16="http://schemas.microsoft.com/office/drawing/2014/main" id="{7066D793-A669-4D81-9A16-889CDB0E1B43}"/>
              </a:ext>
            </a:extLst>
          </xdr:cNvPr>
          <xdr:cNvSpPr/>
        </xdr:nvSpPr>
        <xdr:spPr>
          <a:xfrm>
            <a:off x="16814486" y="8926491"/>
            <a:ext cx="4065209" cy="706755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4" name="직사각형 1223">
            <a:extLst>
              <a:ext uri="{FF2B5EF4-FFF2-40B4-BE49-F238E27FC236}">
                <a16:creationId xmlns:a16="http://schemas.microsoft.com/office/drawing/2014/main" id="{55EE9710-EABC-4A18-8E59-776780CFA279}"/>
              </a:ext>
            </a:extLst>
          </xdr:cNvPr>
          <xdr:cNvSpPr/>
        </xdr:nvSpPr>
        <xdr:spPr>
          <a:xfrm>
            <a:off x="20460232" y="10263737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5" name="직사각형 1224">
            <a:extLst>
              <a:ext uri="{FF2B5EF4-FFF2-40B4-BE49-F238E27FC236}">
                <a16:creationId xmlns:a16="http://schemas.microsoft.com/office/drawing/2014/main" id="{FB808BA2-1E82-4D76-891C-6CD801FDF155}"/>
              </a:ext>
            </a:extLst>
          </xdr:cNvPr>
          <xdr:cNvSpPr/>
        </xdr:nvSpPr>
        <xdr:spPr>
          <a:xfrm>
            <a:off x="20458645" y="1078034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6" name="직사각형 1225">
            <a:extLst>
              <a:ext uri="{FF2B5EF4-FFF2-40B4-BE49-F238E27FC236}">
                <a16:creationId xmlns:a16="http://schemas.microsoft.com/office/drawing/2014/main" id="{B6E49C3D-DEC6-4A67-B857-789B63451C5C}"/>
              </a:ext>
            </a:extLst>
          </xdr:cNvPr>
          <xdr:cNvSpPr/>
        </xdr:nvSpPr>
        <xdr:spPr>
          <a:xfrm>
            <a:off x="20457057" y="11296955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7" name="직사각형 1226">
            <a:extLst>
              <a:ext uri="{FF2B5EF4-FFF2-40B4-BE49-F238E27FC236}">
                <a16:creationId xmlns:a16="http://schemas.microsoft.com/office/drawing/2014/main" id="{F13A12B1-07CF-4E99-8241-18ED264E9DD4}"/>
              </a:ext>
            </a:extLst>
          </xdr:cNvPr>
          <xdr:cNvSpPr/>
        </xdr:nvSpPr>
        <xdr:spPr>
          <a:xfrm>
            <a:off x="20463406" y="11788536"/>
            <a:ext cx="273732" cy="35521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8" name="직사각형 1227">
            <a:extLst>
              <a:ext uri="{FF2B5EF4-FFF2-40B4-BE49-F238E27FC236}">
                <a16:creationId xmlns:a16="http://schemas.microsoft.com/office/drawing/2014/main" id="{E14B2C5B-B384-4DBA-8211-22CD1DBB6532}"/>
              </a:ext>
            </a:extLst>
          </xdr:cNvPr>
          <xdr:cNvSpPr/>
        </xdr:nvSpPr>
        <xdr:spPr>
          <a:xfrm>
            <a:off x="20463548" y="1225252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9" name="직사각형 1228">
            <a:extLst>
              <a:ext uri="{FF2B5EF4-FFF2-40B4-BE49-F238E27FC236}">
                <a16:creationId xmlns:a16="http://schemas.microsoft.com/office/drawing/2014/main" id="{0FF4D13F-486D-4692-A3F3-819F716A09D8}"/>
              </a:ext>
            </a:extLst>
          </xdr:cNvPr>
          <xdr:cNvSpPr/>
        </xdr:nvSpPr>
        <xdr:spPr>
          <a:xfrm>
            <a:off x="20460234" y="12708167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0" name="직사각형 1229">
            <a:extLst>
              <a:ext uri="{FF2B5EF4-FFF2-40B4-BE49-F238E27FC236}">
                <a16:creationId xmlns:a16="http://schemas.microsoft.com/office/drawing/2014/main" id="{2BEBF7CE-0424-421C-AD7C-F1116897E8DA}"/>
              </a:ext>
            </a:extLst>
          </xdr:cNvPr>
          <xdr:cNvSpPr/>
        </xdr:nvSpPr>
        <xdr:spPr>
          <a:xfrm>
            <a:off x="20458647" y="131684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1" name="직사각형 1230">
            <a:extLst>
              <a:ext uri="{FF2B5EF4-FFF2-40B4-BE49-F238E27FC236}">
                <a16:creationId xmlns:a16="http://schemas.microsoft.com/office/drawing/2014/main" id="{A84642B9-862D-4D54-9D89-4A010A7C23A8}"/>
              </a:ext>
            </a:extLst>
          </xdr:cNvPr>
          <xdr:cNvSpPr/>
        </xdr:nvSpPr>
        <xdr:spPr>
          <a:xfrm>
            <a:off x="20458290" y="135968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2" name="직사각형 1231">
            <a:extLst>
              <a:ext uri="{FF2B5EF4-FFF2-40B4-BE49-F238E27FC236}">
                <a16:creationId xmlns:a16="http://schemas.microsoft.com/office/drawing/2014/main" id="{8446737A-76F6-4115-8BBC-2FC91E537981}"/>
              </a:ext>
            </a:extLst>
          </xdr:cNvPr>
          <xdr:cNvSpPr/>
        </xdr:nvSpPr>
        <xdr:spPr>
          <a:xfrm>
            <a:off x="20458290" y="14088444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3" name="직사각형 1232">
            <a:extLst>
              <a:ext uri="{FF2B5EF4-FFF2-40B4-BE49-F238E27FC236}">
                <a16:creationId xmlns:a16="http://schemas.microsoft.com/office/drawing/2014/main" id="{0E814ECD-2B49-4886-8AA7-58B443784FA7}"/>
              </a:ext>
            </a:extLst>
          </xdr:cNvPr>
          <xdr:cNvSpPr/>
        </xdr:nvSpPr>
        <xdr:spPr>
          <a:xfrm>
            <a:off x="20463424" y="14516976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4" name="직사각형 1233">
            <a:extLst>
              <a:ext uri="{FF2B5EF4-FFF2-40B4-BE49-F238E27FC236}">
                <a16:creationId xmlns:a16="http://schemas.microsoft.com/office/drawing/2014/main" id="{B20FB893-FA03-419C-834F-CB9D2B00E489}"/>
              </a:ext>
            </a:extLst>
          </xdr:cNvPr>
          <xdr:cNvSpPr/>
        </xdr:nvSpPr>
        <xdr:spPr>
          <a:xfrm>
            <a:off x="20463424" y="1497727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5" name="직사각형 1234">
            <a:extLst>
              <a:ext uri="{FF2B5EF4-FFF2-40B4-BE49-F238E27FC236}">
                <a16:creationId xmlns:a16="http://schemas.microsoft.com/office/drawing/2014/main" id="{6416968B-BAF0-4BC9-B638-4DD0D268D474}"/>
              </a:ext>
            </a:extLst>
          </xdr:cNvPr>
          <xdr:cNvSpPr/>
        </xdr:nvSpPr>
        <xdr:spPr>
          <a:xfrm>
            <a:off x="20463424" y="1547045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236" name="직선 화살표 연결선 1235">
            <a:extLst>
              <a:ext uri="{FF2B5EF4-FFF2-40B4-BE49-F238E27FC236}">
                <a16:creationId xmlns:a16="http://schemas.microsoft.com/office/drawing/2014/main" id="{41683C4B-0849-4722-8DFD-37D52583D7D5}"/>
              </a:ext>
            </a:extLst>
          </xdr:cNvPr>
          <xdr:cNvCxnSpPr/>
        </xdr:nvCxnSpPr>
        <xdr:spPr>
          <a:xfrm>
            <a:off x="19570153" y="10439021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7" name="직선 화살표 연결선 1236">
            <a:extLst>
              <a:ext uri="{FF2B5EF4-FFF2-40B4-BE49-F238E27FC236}">
                <a16:creationId xmlns:a16="http://schemas.microsoft.com/office/drawing/2014/main" id="{D4886C5B-E965-4C2B-A73F-8D9A78020A5F}"/>
              </a:ext>
            </a:extLst>
          </xdr:cNvPr>
          <xdr:cNvCxnSpPr/>
        </xdr:nvCxnSpPr>
        <xdr:spPr>
          <a:xfrm>
            <a:off x="19561938" y="9838866"/>
            <a:ext cx="0" cy="528019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8" name="타원 1237">
            <a:extLst>
              <a:ext uri="{FF2B5EF4-FFF2-40B4-BE49-F238E27FC236}">
                <a16:creationId xmlns:a16="http://schemas.microsoft.com/office/drawing/2014/main" id="{D3C6B9E8-72A7-4089-BFB5-5CD329D00EA1}"/>
              </a:ext>
            </a:extLst>
          </xdr:cNvPr>
          <xdr:cNvSpPr/>
        </xdr:nvSpPr>
        <xdr:spPr>
          <a:xfrm>
            <a:off x="19530922" y="9798995"/>
            <a:ext cx="63148" cy="8034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39" name="직선 화살표 연결선 1238">
            <a:extLst>
              <a:ext uri="{FF2B5EF4-FFF2-40B4-BE49-F238E27FC236}">
                <a16:creationId xmlns:a16="http://schemas.microsoft.com/office/drawing/2014/main" id="{BDE75213-C7EF-4E89-B4C0-AB42A000546B}"/>
              </a:ext>
            </a:extLst>
          </xdr:cNvPr>
          <xdr:cNvCxnSpPr/>
        </xdr:nvCxnSpPr>
        <xdr:spPr>
          <a:xfrm flipH="1">
            <a:off x="20184212" y="10065837"/>
            <a:ext cx="0" cy="561571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0" name="타원 1239">
            <a:extLst>
              <a:ext uri="{FF2B5EF4-FFF2-40B4-BE49-F238E27FC236}">
                <a16:creationId xmlns:a16="http://schemas.microsoft.com/office/drawing/2014/main" id="{3450D997-F4D3-4D77-972F-1ED1E73C508D}"/>
              </a:ext>
            </a:extLst>
          </xdr:cNvPr>
          <xdr:cNvSpPr/>
        </xdr:nvSpPr>
        <xdr:spPr>
          <a:xfrm>
            <a:off x="20158532" y="14654186"/>
            <a:ext cx="63148" cy="7048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41" name="타원 1240">
            <a:extLst>
              <a:ext uri="{FF2B5EF4-FFF2-40B4-BE49-F238E27FC236}">
                <a16:creationId xmlns:a16="http://schemas.microsoft.com/office/drawing/2014/main" id="{7B2BC6E4-810A-477F-A8F4-F88E067FCC9E}"/>
              </a:ext>
            </a:extLst>
          </xdr:cNvPr>
          <xdr:cNvSpPr/>
        </xdr:nvSpPr>
        <xdr:spPr>
          <a:xfrm>
            <a:off x="19533945" y="10400719"/>
            <a:ext cx="5997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2" name="직선 화살표 연결선 1241">
            <a:extLst>
              <a:ext uri="{FF2B5EF4-FFF2-40B4-BE49-F238E27FC236}">
                <a16:creationId xmlns:a16="http://schemas.microsoft.com/office/drawing/2014/main" id="{DC932BD1-1DCE-4DD8-8474-224EC7DD788B}"/>
              </a:ext>
            </a:extLst>
          </xdr:cNvPr>
          <xdr:cNvCxnSpPr/>
        </xdr:nvCxnSpPr>
        <xdr:spPr>
          <a:xfrm>
            <a:off x="19580115" y="1147614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3" name="타원 1242">
            <a:extLst>
              <a:ext uri="{FF2B5EF4-FFF2-40B4-BE49-F238E27FC236}">
                <a16:creationId xmlns:a16="http://schemas.microsoft.com/office/drawing/2014/main" id="{A36E620D-582B-4FA2-B397-91FD5164760B}"/>
              </a:ext>
            </a:extLst>
          </xdr:cNvPr>
          <xdr:cNvSpPr/>
        </xdr:nvSpPr>
        <xdr:spPr>
          <a:xfrm>
            <a:off x="19533376" y="11435760"/>
            <a:ext cx="5521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4" name="직선 화살표 연결선 1243">
            <a:extLst>
              <a:ext uri="{FF2B5EF4-FFF2-40B4-BE49-F238E27FC236}">
                <a16:creationId xmlns:a16="http://schemas.microsoft.com/office/drawing/2014/main" id="{5D77D814-6835-4945-81A3-76B397973FB5}"/>
              </a:ext>
            </a:extLst>
          </xdr:cNvPr>
          <xdr:cNvCxnSpPr/>
        </xdr:nvCxnSpPr>
        <xdr:spPr>
          <a:xfrm>
            <a:off x="19579964" y="12430068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5" name="타원 1244">
            <a:extLst>
              <a:ext uri="{FF2B5EF4-FFF2-40B4-BE49-F238E27FC236}">
                <a16:creationId xmlns:a16="http://schemas.microsoft.com/office/drawing/2014/main" id="{864FA5C5-B22F-404F-A3BF-B363AD336685}"/>
              </a:ext>
            </a:extLst>
          </xdr:cNvPr>
          <xdr:cNvSpPr/>
        </xdr:nvSpPr>
        <xdr:spPr>
          <a:xfrm>
            <a:off x="19533226" y="1238968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6" name="직선 화살표 연결선 1245">
            <a:extLst>
              <a:ext uri="{FF2B5EF4-FFF2-40B4-BE49-F238E27FC236}">
                <a16:creationId xmlns:a16="http://schemas.microsoft.com/office/drawing/2014/main" id="{A8932574-8FA7-4F52-A312-CA711517ADD5}"/>
              </a:ext>
            </a:extLst>
          </xdr:cNvPr>
          <xdr:cNvCxnSpPr/>
        </xdr:nvCxnSpPr>
        <xdr:spPr>
          <a:xfrm>
            <a:off x="19575205" y="1333365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0" name="타원 1249">
            <a:extLst>
              <a:ext uri="{FF2B5EF4-FFF2-40B4-BE49-F238E27FC236}">
                <a16:creationId xmlns:a16="http://schemas.microsoft.com/office/drawing/2014/main" id="{DBF79242-F719-4579-AC83-3614472A02A4}"/>
              </a:ext>
            </a:extLst>
          </xdr:cNvPr>
          <xdr:cNvSpPr/>
        </xdr:nvSpPr>
        <xdr:spPr>
          <a:xfrm>
            <a:off x="19534813" y="1329327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1" name="직선 화살표 연결선 1250">
            <a:extLst>
              <a:ext uri="{FF2B5EF4-FFF2-40B4-BE49-F238E27FC236}">
                <a16:creationId xmlns:a16="http://schemas.microsoft.com/office/drawing/2014/main" id="{AD1FD851-BA6A-432A-8A8E-30D09B8115E7}"/>
              </a:ext>
            </a:extLst>
          </xdr:cNvPr>
          <xdr:cNvCxnSpPr/>
        </xdr:nvCxnSpPr>
        <xdr:spPr>
          <a:xfrm>
            <a:off x="19572901" y="1427446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2" name="타원 1251">
            <a:extLst>
              <a:ext uri="{FF2B5EF4-FFF2-40B4-BE49-F238E27FC236}">
                <a16:creationId xmlns:a16="http://schemas.microsoft.com/office/drawing/2014/main" id="{425463C5-1E81-4CAF-A8C1-B90742DCE97C}"/>
              </a:ext>
            </a:extLst>
          </xdr:cNvPr>
          <xdr:cNvSpPr/>
        </xdr:nvSpPr>
        <xdr:spPr>
          <a:xfrm>
            <a:off x="19535684" y="14234079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6" name="직선 화살표 연결선 1255">
            <a:extLst>
              <a:ext uri="{FF2B5EF4-FFF2-40B4-BE49-F238E27FC236}">
                <a16:creationId xmlns:a16="http://schemas.microsoft.com/office/drawing/2014/main" id="{A3AA471C-1F05-448B-B76A-F97988E1EB20}"/>
              </a:ext>
            </a:extLst>
          </xdr:cNvPr>
          <xdr:cNvCxnSpPr/>
        </xdr:nvCxnSpPr>
        <xdr:spPr>
          <a:xfrm>
            <a:off x="19569728" y="1511566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7" name="직선 화살표 연결선 1256">
            <a:extLst>
              <a:ext uri="{FF2B5EF4-FFF2-40B4-BE49-F238E27FC236}">
                <a16:creationId xmlns:a16="http://schemas.microsoft.com/office/drawing/2014/main" id="{15D0A325-36D7-40DB-B294-1BA1FE489DF8}"/>
              </a:ext>
            </a:extLst>
          </xdr:cNvPr>
          <xdr:cNvCxnSpPr/>
        </xdr:nvCxnSpPr>
        <xdr:spPr>
          <a:xfrm>
            <a:off x="20192576" y="10950511"/>
            <a:ext cx="26714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8" name="타원 1257">
            <a:extLst>
              <a:ext uri="{FF2B5EF4-FFF2-40B4-BE49-F238E27FC236}">
                <a16:creationId xmlns:a16="http://schemas.microsoft.com/office/drawing/2014/main" id="{4DB5A191-A867-44B7-BAB7-430B7A3A9EBB}"/>
              </a:ext>
            </a:extLst>
          </xdr:cNvPr>
          <xdr:cNvSpPr/>
        </xdr:nvSpPr>
        <xdr:spPr>
          <a:xfrm>
            <a:off x="20160120" y="10912020"/>
            <a:ext cx="61561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9" name="직선 화살표 연결선 1258">
            <a:extLst>
              <a:ext uri="{FF2B5EF4-FFF2-40B4-BE49-F238E27FC236}">
                <a16:creationId xmlns:a16="http://schemas.microsoft.com/office/drawing/2014/main" id="{19AFA54D-0F12-4C07-9655-6A93DA378F4B}"/>
              </a:ext>
            </a:extLst>
          </xdr:cNvPr>
          <xdr:cNvCxnSpPr/>
        </xdr:nvCxnSpPr>
        <xdr:spPr>
          <a:xfrm>
            <a:off x="20191857" y="11970880"/>
            <a:ext cx="268732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0" name="타원 1259">
            <a:extLst>
              <a:ext uri="{FF2B5EF4-FFF2-40B4-BE49-F238E27FC236}">
                <a16:creationId xmlns:a16="http://schemas.microsoft.com/office/drawing/2014/main" id="{6F067610-52CA-4676-8AA1-A89E37E625BD}"/>
              </a:ext>
            </a:extLst>
          </xdr:cNvPr>
          <xdr:cNvSpPr/>
        </xdr:nvSpPr>
        <xdr:spPr>
          <a:xfrm>
            <a:off x="20159403" y="11930713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1" name="직선 화살표 연결선 1260">
            <a:extLst>
              <a:ext uri="{FF2B5EF4-FFF2-40B4-BE49-F238E27FC236}">
                <a16:creationId xmlns:a16="http://schemas.microsoft.com/office/drawing/2014/main" id="{A5F362F8-4B8F-43AE-A5E4-639FC80047BA}"/>
              </a:ext>
            </a:extLst>
          </xdr:cNvPr>
          <xdr:cNvCxnSpPr/>
        </xdr:nvCxnSpPr>
        <xdr:spPr>
          <a:xfrm>
            <a:off x="20190270" y="12893785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5" name="타원 1264">
            <a:extLst>
              <a:ext uri="{FF2B5EF4-FFF2-40B4-BE49-F238E27FC236}">
                <a16:creationId xmlns:a16="http://schemas.microsoft.com/office/drawing/2014/main" id="{FA91A133-EFE9-47F5-9331-6809EBC61C1C}"/>
              </a:ext>
            </a:extLst>
          </xdr:cNvPr>
          <xdr:cNvSpPr/>
        </xdr:nvSpPr>
        <xdr:spPr>
          <a:xfrm>
            <a:off x="20159404" y="12853618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6" name="직선 화살표 연결선 1265">
            <a:extLst>
              <a:ext uri="{FF2B5EF4-FFF2-40B4-BE49-F238E27FC236}">
                <a16:creationId xmlns:a16="http://schemas.microsoft.com/office/drawing/2014/main" id="{DCA667A7-A57E-48DF-933B-FA97B801F1F5}"/>
              </a:ext>
            </a:extLst>
          </xdr:cNvPr>
          <xdr:cNvCxnSpPr/>
        </xdr:nvCxnSpPr>
        <xdr:spPr>
          <a:xfrm>
            <a:off x="20186967" y="13746112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7" name="타원 1266">
            <a:extLst>
              <a:ext uri="{FF2B5EF4-FFF2-40B4-BE49-F238E27FC236}">
                <a16:creationId xmlns:a16="http://schemas.microsoft.com/office/drawing/2014/main" id="{69D8FE54-B9E5-40B4-B89B-71FBE811C7CF}"/>
              </a:ext>
            </a:extLst>
          </xdr:cNvPr>
          <xdr:cNvSpPr/>
        </xdr:nvSpPr>
        <xdr:spPr>
          <a:xfrm>
            <a:off x="20156098" y="13703452"/>
            <a:ext cx="63148" cy="8451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8" name="직선 화살표 연결선 1267">
            <a:extLst>
              <a:ext uri="{FF2B5EF4-FFF2-40B4-BE49-F238E27FC236}">
                <a16:creationId xmlns:a16="http://schemas.microsoft.com/office/drawing/2014/main" id="{BFBFA558-3474-4B31-AA3F-A71D65C0B419}"/>
              </a:ext>
            </a:extLst>
          </xdr:cNvPr>
          <xdr:cNvCxnSpPr/>
        </xdr:nvCxnSpPr>
        <xdr:spPr>
          <a:xfrm>
            <a:off x="20185077" y="14693136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9" name="직사각형 1268">
            <a:extLst>
              <a:ext uri="{FF2B5EF4-FFF2-40B4-BE49-F238E27FC236}">
                <a16:creationId xmlns:a16="http://schemas.microsoft.com/office/drawing/2014/main" id="{943AE8BD-3351-4B29-A997-E0CAAE70CFA8}"/>
              </a:ext>
            </a:extLst>
          </xdr:cNvPr>
          <xdr:cNvSpPr/>
        </xdr:nvSpPr>
        <xdr:spPr>
          <a:xfrm>
            <a:off x="17032053" y="9660502"/>
            <a:ext cx="870042" cy="156998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70" name="직사각형 1269">
            <a:extLst>
              <a:ext uri="{FF2B5EF4-FFF2-40B4-BE49-F238E27FC236}">
                <a16:creationId xmlns:a16="http://schemas.microsoft.com/office/drawing/2014/main" id="{18CE964D-192C-428D-BBB6-CE32ED223DCF}"/>
              </a:ext>
            </a:extLst>
          </xdr:cNvPr>
          <xdr:cNvSpPr/>
        </xdr:nvSpPr>
        <xdr:spPr>
          <a:xfrm>
            <a:off x="16987934" y="9603116"/>
            <a:ext cx="957704" cy="69244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81" name="사다리꼴 1280">
            <a:extLst>
              <a:ext uri="{FF2B5EF4-FFF2-40B4-BE49-F238E27FC236}">
                <a16:creationId xmlns:a16="http://schemas.microsoft.com/office/drawing/2014/main" id="{A2A1E2E0-7952-42A0-BBB6-455866AE6AD8}"/>
              </a:ext>
            </a:extLst>
          </xdr:cNvPr>
          <xdr:cNvSpPr/>
        </xdr:nvSpPr>
        <xdr:spPr>
          <a:xfrm rot="5400000">
            <a:off x="18052413" y="9804676"/>
            <a:ext cx="680335" cy="279788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84" name="직선 화살표 연결선 1283">
            <a:extLst>
              <a:ext uri="{FF2B5EF4-FFF2-40B4-BE49-F238E27FC236}">
                <a16:creationId xmlns:a16="http://schemas.microsoft.com/office/drawing/2014/main" id="{C0B3F186-7D84-4461-953B-A92824A7A9A4}"/>
              </a:ext>
            </a:extLst>
          </xdr:cNvPr>
          <xdr:cNvCxnSpPr/>
        </xdr:nvCxnSpPr>
        <xdr:spPr>
          <a:xfrm>
            <a:off x="18531464" y="9835609"/>
            <a:ext cx="1015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5" name="직선 화살표 연결선 1284">
            <a:extLst>
              <a:ext uri="{FF2B5EF4-FFF2-40B4-BE49-F238E27FC236}">
                <a16:creationId xmlns:a16="http://schemas.microsoft.com/office/drawing/2014/main" id="{0CACB187-A785-45D8-91BE-2DAA34513E22}"/>
              </a:ext>
            </a:extLst>
          </xdr:cNvPr>
          <xdr:cNvCxnSpPr/>
        </xdr:nvCxnSpPr>
        <xdr:spPr>
          <a:xfrm>
            <a:off x="18533052" y="10074851"/>
            <a:ext cx="163042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9" name="직선 화살표 연결선 1288">
            <a:extLst>
              <a:ext uri="{FF2B5EF4-FFF2-40B4-BE49-F238E27FC236}">
                <a16:creationId xmlns:a16="http://schemas.microsoft.com/office/drawing/2014/main" id="{5F8F472C-0D07-49FE-B109-E9465E9925EB}"/>
              </a:ext>
            </a:extLst>
          </xdr:cNvPr>
          <xdr:cNvCxnSpPr/>
        </xdr:nvCxnSpPr>
        <xdr:spPr>
          <a:xfrm>
            <a:off x="17947562" y="9939974"/>
            <a:ext cx="3057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0" name="직사각형 1289">
            <a:extLst>
              <a:ext uri="{FF2B5EF4-FFF2-40B4-BE49-F238E27FC236}">
                <a16:creationId xmlns:a16="http://schemas.microsoft.com/office/drawing/2014/main" id="{9F90ECDC-3F7C-49CB-8BBF-D15F95D5E33B}"/>
              </a:ext>
            </a:extLst>
          </xdr:cNvPr>
          <xdr:cNvSpPr/>
        </xdr:nvSpPr>
        <xdr:spPr>
          <a:xfrm>
            <a:off x="16980360" y="9119181"/>
            <a:ext cx="1426394" cy="17708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291" name="직선 화살표 연결선 1290">
            <a:extLst>
              <a:ext uri="{FF2B5EF4-FFF2-40B4-BE49-F238E27FC236}">
                <a16:creationId xmlns:a16="http://schemas.microsoft.com/office/drawing/2014/main" id="{21D7C17A-A5D6-465F-A733-9ADB582369DC}"/>
              </a:ext>
            </a:extLst>
          </xdr:cNvPr>
          <xdr:cNvCxnSpPr/>
        </xdr:nvCxnSpPr>
        <xdr:spPr>
          <a:xfrm flipV="1">
            <a:off x="16923947" y="9324209"/>
            <a:ext cx="147661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2" name="직선 화살표 연결선 1291">
            <a:extLst>
              <a:ext uri="{FF2B5EF4-FFF2-40B4-BE49-F238E27FC236}">
                <a16:creationId xmlns:a16="http://schemas.microsoft.com/office/drawing/2014/main" id="{D63D9841-0D71-43D9-B35E-34034BC08E7E}"/>
              </a:ext>
            </a:extLst>
          </xdr:cNvPr>
          <xdr:cNvCxnSpPr/>
        </xdr:nvCxnSpPr>
        <xdr:spPr>
          <a:xfrm>
            <a:off x="18404954" y="9313838"/>
            <a:ext cx="0" cy="31476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3" name="직선 화살표 연결선 1292">
            <a:extLst>
              <a:ext uri="{FF2B5EF4-FFF2-40B4-BE49-F238E27FC236}">
                <a16:creationId xmlns:a16="http://schemas.microsoft.com/office/drawing/2014/main" id="{9E338A12-9A81-4728-A80A-F8884168ED5C}"/>
              </a:ext>
            </a:extLst>
          </xdr:cNvPr>
          <xdr:cNvCxnSpPr/>
        </xdr:nvCxnSpPr>
        <xdr:spPr>
          <a:xfrm>
            <a:off x="20188178" y="15670384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4" name="직사각형 1293">
            <a:extLst>
              <a:ext uri="{FF2B5EF4-FFF2-40B4-BE49-F238E27FC236}">
                <a16:creationId xmlns:a16="http://schemas.microsoft.com/office/drawing/2014/main" id="{E4708426-43C6-4493-B894-338114B8E9D1}"/>
              </a:ext>
            </a:extLst>
          </xdr:cNvPr>
          <xdr:cNvSpPr/>
        </xdr:nvSpPr>
        <xdr:spPr>
          <a:xfrm>
            <a:off x="18592524" y="9681359"/>
            <a:ext cx="820111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5" name="직사각형 1294">
            <a:extLst>
              <a:ext uri="{FF2B5EF4-FFF2-40B4-BE49-F238E27FC236}">
                <a16:creationId xmlns:a16="http://schemas.microsoft.com/office/drawing/2014/main" id="{4E519FB5-5870-48E5-9367-1646888F2838}"/>
              </a:ext>
            </a:extLst>
          </xdr:cNvPr>
          <xdr:cNvSpPr/>
        </xdr:nvSpPr>
        <xdr:spPr>
          <a:xfrm>
            <a:off x="18601806" y="9927011"/>
            <a:ext cx="82376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6" name="타원 1295">
            <a:extLst>
              <a:ext uri="{FF2B5EF4-FFF2-40B4-BE49-F238E27FC236}">
                <a16:creationId xmlns:a16="http://schemas.microsoft.com/office/drawing/2014/main" id="{EAD03E32-55FE-4984-BAA0-3C7A1CC01A64}"/>
              </a:ext>
            </a:extLst>
          </xdr:cNvPr>
          <xdr:cNvSpPr/>
        </xdr:nvSpPr>
        <xdr:spPr>
          <a:xfrm>
            <a:off x="20160103" y="10038468"/>
            <a:ext cx="63148" cy="7993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97" name="직사각형 1296">
            <a:extLst>
              <a:ext uri="{FF2B5EF4-FFF2-40B4-BE49-F238E27FC236}">
                <a16:creationId xmlns:a16="http://schemas.microsoft.com/office/drawing/2014/main" id="{2BBF7282-A811-44E7-9082-DD9BF4BF3A5F}"/>
              </a:ext>
            </a:extLst>
          </xdr:cNvPr>
          <xdr:cNvSpPr/>
        </xdr:nvSpPr>
        <xdr:spPr>
          <a:xfrm>
            <a:off x="17029745" y="9872649"/>
            <a:ext cx="870042" cy="157000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98" name="직사각형 1297">
            <a:extLst>
              <a:ext uri="{FF2B5EF4-FFF2-40B4-BE49-F238E27FC236}">
                <a16:creationId xmlns:a16="http://schemas.microsoft.com/office/drawing/2014/main" id="{EA356259-C321-445A-BD1D-0AAFE9678B2F}"/>
              </a:ext>
            </a:extLst>
          </xdr:cNvPr>
          <xdr:cNvSpPr/>
        </xdr:nvSpPr>
        <xdr:spPr>
          <a:xfrm>
            <a:off x="17029360" y="10084798"/>
            <a:ext cx="870042" cy="156999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B90CFB0-7179-42D7-A89E-9BC1358A093A}"/>
              </a:ext>
            </a:extLst>
          </xdr:cNvPr>
          <xdr:cNvSpPr/>
        </xdr:nvSpPr>
        <xdr:spPr>
          <a:xfrm>
            <a:off x="16906875" y="10567460"/>
            <a:ext cx="2175467" cy="1878206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FB_LEVELa &lt;= FB1_LEVEL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FB_LEVELb &lt;= FB2_LEVEL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FB_LEVELa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FB_LEVELb &lt;= FB3_LEVEL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FB_LEVEL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FB_LEVEL &lt;= FB2_LEVEL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FB_LEVEL&lt;= FB3_LEVEL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5" name="직선 화살표 연결선 514">
            <a:extLst>
              <a:ext uri="{FF2B5EF4-FFF2-40B4-BE49-F238E27FC236}">
                <a16:creationId xmlns:a16="http://schemas.microsoft.com/office/drawing/2014/main" id="{87089EA4-35EE-4C90-B53F-5AA2440E9493}"/>
              </a:ext>
            </a:extLst>
          </xdr:cNvPr>
          <xdr:cNvCxnSpPr/>
        </xdr:nvCxnSpPr>
        <xdr:spPr>
          <a:xfrm>
            <a:off x="16909736" y="9333950"/>
            <a:ext cx="0" cy="12388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3868709</xdr:colOff>
      <xdr:row>21</xdr:row>
      <xdr:rowOff>207309</xdr:rowOff>
    </xdr:from>
    <xdr:to>
      <xdr:col>28</xdr:col>
      <xdr:colOff>199594</xdr:colOff>
      <xdr:row>29</xdr:row>
      <xdr:rowOff>54163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87F159-09B8-4069-ACBA-6278D71F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35659" y="5490509"/>
          <a:ext cx="3912785" cy="1789954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16</xdr:row>
      <xdr:rowOff>191377</xdr:rowOff>
    </xdr:from>
    <xdr:to>
      <xdr:col>31</xdr:col>
      <xdr:colOff>238755</xdr:colOff>
      <xdr:row>31</xdr:row>
      <xdr:rowOff>159629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DAFAC5-7AF4-49B6-A9A7-AE7FE8C14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16258" y="4395077"/>
          <a:ext cx="1279498" cy="4070351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22</xdr:row>
      <xdr:rowOff>0</xdr:rowOff>
    </xdr:from>
    <xdr:to>
      <xdr:col>23</xdr:col>
      <xdr:colOff>3695761</xdr:colOff>
      <xdr:row>26</xdr:row>
      <xdr:rowOff>95398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62F9BF-0DCC-43D0-A31D-3A33BEE4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40590" y="5499100"/>
          <a:ext cx="3522121" cy="958998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184150</xdr:colOff>
      <xdr:row>14</xdr:row>
      <xdr:rowOff>190500</xdr:rowOff>
    </xdr:from>
    <xdr:to>
      <xdr:col>24</xdr:col>
      <xdr:colOff>193064</xdr:colOff>
      <xdr:row>16</xdr:row>
      <xdr:rowOff>25413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5589B76-1DE4-468D-B2D7-E04D30BFD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851100" y="3962400"/>
          <a:ext cx="4974614" cy="266714"/>
        </a:xfrm>
        <a:prstGeom prst="rect">
          <a:avLst/>
        </a:prstGeom>
      </xdr:spPr>
    </xdr:pic>
    <xdr:clientData/>
  </xdr:twoCellAnchor>
  <xdr:oneCellAnchor>
    <xdr:from>
      <xdr:col>23</xdr:col>
      <xdr:colOff>39909</xdr:colOff>
      <xdr:row>78</xdr:row>
      <xdr:rowOff>12215</xdr:rowOff>
    </xdr:from>
    <xdr:ext cx="19053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E8D610-262C-4FF7-A9B3-B38C12819FF9}"/>
            </a:ext>
          </a:extLst>
        </xdr:cNvPr>
        <xdr:cNvSpPr txBox="1"/>
      </xdr:nvSpPr>
      <xdr:spPr>
        <a:xfrm>
          <a:off x="27706859" y="18306565"/>
          <a:ext cx="190533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read(reg/fault) broken :</a:t>
          </a:r>
          <a:r>
            <a:rPr lang="en-US" altLang="ko-KR" sz="1100" baseline="0">
              <a:solidFill>
                <a:srgbClr val="FF0000"/>
              </a:solidFill>
            </a:rPr>
            <a:t> --&gt; nop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387350</xdr:colOff>
      <xdr:row>60</xdr:row>
      <xdr:rowOff>527050</xdr:rowOff>
    </xdr:from>
    <xdr:ext cx="656077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8543C6-6178-5F62-6F3E-6C165981BE4A}"/>
            </a:ext>
          </a:extLst>
        </xdr:cNvPr>
        <xdr:cNvSpPr txBox="1"/>
      </xdr:nvSpPr>
      <xdr:spPr>
        <a:xfrm>
          <a:off x="7912100" y="15601950"/>
          <a:ext cx="6560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1. RGB : </a:t>
          </a:r>
          <a:endParaRPr lang="ko-KR" altLang="en-US" sz="1100"/>
        </a:p>
      </xdr:txBody>
    </xdr:sp>
    <xdr:clientData/>
  </xdr:oneCellAnchor>
  <xdr:twoCellAnchor>
    <xdr:from>
      <xdr:col>15</xdr:col>
      <xdr:colOff>44450</xdr:colOff>
      <xdr:row>77</xdr:row>
      <xdr:rowOff>50800</xdr:rowOff>
    </xdr:from>
    <xdr:to>
      <xdr:col>16</xdr:col>
      <xdr:colOff>234950</xdr:colOff>
      <xdr:row>79</xdr:row>
      <xdr:rowOff>184150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9F81BDBC-EFB0-0DE4-E664-D4899772041D}"/>
            </a:ext>
          </a:extLst>
        </xdr:cNvPr>
        <xdr:cNvSpPr/>
      </xdr:nvSpPr>
      <xdr:spPr>
        <a:xfrm>
          <a:off x="15601950" y="18580100"/>
          <a:ext cx="1581150" cy="838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114300</xdr:colOff>
      <xdr:row>277</xdr:row>
      <xdr:rowOff>177800</xdr:rowOff>
    </xdr:from>
    <xdr:to>
      <xdr:col>15</xdr:col>
      <xdr:colOff>127000</xdr:colOff>
      <xdr:row>279</xdr:row>
      <xdr:rowOff>12700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7F962CC-EFF7-A235-2365-E15F4A9E7C0C}"/>
            </a:ext>
          </a:extLst>
        </xdr:cNvPr>
        <xdr:cNvSpPr/>
      </xdr:nvSpPr>
      <xdr:spPr>
        <a:xfrm>
          <a:off x="1079500" y="63671450"/>
          <a:ext cx="14605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위치 변경</a:t>
          </a:r>
        </a:p>
      </xdr:txBody>
    </xdr:sp>
    <xdr:clientData/>
  </xdr:twoCellAnchor>
  <xdr:twoCellAnchor>
    <xdr:from>
      <xdr:col>2</xdr:col>
      <xdr:colOff>72571</xdr:colOff>
      <xdr:row>65</xdr:row>
      <xdr:rowOff>162379</xdr:rowOff>
    </xdr:from>
    <xdr:to>
      <xdr:col>23</xdr:col>
      <xdr:colOff>4477355</xdr:colOff>
      <xdr:row>72</xdr:row>
      <xdr:rowOff>35379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4865812-C498-4D38-8C0F-D046C64CBA44}"/>
            </a:ext>
          </a:extLst>
        </xdr:cNvPr>
        <xdr:cNvSpPr/>
      </xdr:nvSpPr>
      <xdr:spPr>
        <a:xfrm>
          <a:off x="1034142" y="17280165"/>
          <a:ext cx="31228999" cy="1397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추가</a:t>
          </a:r>
        </a:p>
      </xdr:txBody>
    </xdr:sp>
    <xdr:clientData/>
  </xdr:twoCellAnchor>
  <xdr:twoCellAnchor>
    <xdr:from>
      <xdr:col>20</xdr:col>
      <xdr:colOff>812800</xdr:colOff>
      <xdr:row>7</xdr:row>
      <xdr:rowOff>57150</xdr:rowOff>
    </xdr:from>
    <xdr:to>
      <xdr:col>23</xdr:col>
      <xdr:colOff>74084</xdr:colOff>
      <xdr:row>9</xdr:row>
      <xdr:rowOff>88900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190E7AA7-BC18-4761-8923-F30C185037A9}"/>
            </a:ext>
          </a:extLst>
        </xdr:cNvPr>
        <xdr:cNvSpPr/>
      </xdr:nvSpPr>
      <xdr:spPr>
        <a:xfrm>
          <a:off x="23736300" y="1568450"/>
          <a:ext cx="4144434" cy="463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수정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322591</xdr:colOff>
      <xdr:row>2</xdr:row>
      <xdr:rowOff>44147</xdr:rowOff>
    </xdr:from>
    <xdr:ext cx="2497264" cy="2960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8C7683-58B2-475A-BDF5-37C5027B2492}"/>
            </a:ext>
          </a:extLst>
        </xdr:cNvPr>
        <xdr:cNvSpPr txBox="1"/>
      </xdr:nvSpPr>
      <xdr:spPr>
        <a:xfrm>
          <a:off x="1220662" y="479576"/>
          <a:ext cx="2497264" cy="29603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rgbClr val="FF0000"/>
              </a:solidFill>
              <a:latin typeface="+mn-lt"/>
            </a:rPr>
            <a:t>addr</a:t>
          </a:r>
          <a:r>
            <a:rPr lang="en-US" altLang="ko-KR" sz="1200" baseline="0">
              <a:solidFill>
                <a:srgbClr val="FF0000"/>
              </a:solidFill>
              <a:latin typeface="+mn-lt"/>
            </a:rPr>
            <a:t>/bit</a:t>
          </a:r>
          <a:r>
            <a:rPr lang="ko-KR" altLang="en-US" sz="1200" baseline="0">
              <a:solidFill>
                <a:srgbClr val="FF0000"/>
              </a:solidFill>
              <a:latin typeface="+mn-lt"/>
            </a:rPr>
            <a:t>정의</a:t>
          </a:r>
          <a:r>
            <a:rPr lang="en-US" altLang="ko-KR" sz="1200" baseline="0">
              <a:solidFill>
                <a:srgbClr val="FF0000"/>
              </a:solidFill>
              <a:latin typeface="+mn-lt"/>
            </a:rPr>
            <a:t>/</a:t>
          </a:r>
          <a:r>
            <a:rPr lang="ko-KR" altLang="en-US" sz="1200" baseline="0">
              <a:solidFill>
                <a:srgbClr val="FF0000"/>
              </a:solidFill>
              <a:latin typeface="+mn-lt"/>
            </a:rPr>
            <a:t>사이즈 변동</a:t>
          </a:r>
          <a:r>
            <a:rPr lang="en-US" altLang="ko-KR" sz="1200" baseline="0">
              <a:solidFill>
                <a:srgbClr val="FF0000"/>
              </a:solidFill>
              <a:latin typeface="+mn-lt"/>
            </a:rPr>
            <a:t>, </a:t>
          </a:r>
          <a:r>
            <a:rPr lang="ko-KR" altLang="en-US" sz="1200" baseline="0">
              <a:solidFill>
                <a:srgbClr val="FF0000"/>
              </a:solidFill>
              <a:latin typeface="+mn-lt"/>
            </a:rPr>
            <a:t>모두 확인</a:t>
          </a:r>
          <a:endParaRPr lang="ko-KR" altLang="en-US" sz="1200">
            <a:solidFill>
              <a:srgbClr val="FF0000"/>
            </a:solidFill>
            <a:latin typeface="+mn-lt"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322591</xdr:colOff>
      <xdr:row>2</xdr:row>
      <xdr:rowOff>44147</xdr:rowOff>
    </xdr:from>
    <xdr:ext cx="2497264" cy="2960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E7F820-813B-4F68-9C2A-62B27B5DCB0D}"/>
            </a:ext>
          </a:extLst>
        </xdr:cNvPr>
        <xdr:cNvSpPr txBox="1"/>
      </xdr:nvSpPr>
      <xdr:spPr>
        <a:xfrm>
          <a:off x="1217941" y="475947"/>
          <a:ext cx="2497264" cy="29603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rgbClr val="FF0000"/>
              </a:solidFill>
              <a:latin typeface="+mn-lt"/>
            </a:rPr>
            <a:t>addr</a:t>
          </a:r>
          <a:r>
            <a:rPr lang="en-US" altLang="ko-KR" sz="1200" baseline="0">
              <a:solidFill>
                <a:srgbClr val="FF0000"/>
              </a:solidFill>
              <a:latin typeface="+mn-lt"/>
            </a:rPr>
            <a:t>/bit</a:t>
          </a:r>
          <a:r>
            <a:rPr lang="ko-KR" altLang="en-US" sz="1200" baseline="0">
              <a:solidFill>
                <a:srgbClr val="FF0000"/>
              </a:solidFill>
              <a:latin typeface="+mn-lt"/>
            </a:rPr>
            <a:t>정의</a:t>
          </a:r>
          <a:r>
            <a:rPr lang="en-US" altLang="ko-KR" sz="1200" baseline="0">
              <a:solidFill>
                <a:srgbClr val="FF0000"/>
              </a:solidFill>
              <a:latin typeface="+mn-lt"/>
            </a:rPr>
            <a:t>/</a:t>
          </a:r>
          <a:r>
            <a:rPr lang="ko-KR" altLang="en-US" sz="1200" baseline="0">
              <a:solidFill>
                <a:srgbClr val="FF0000"/>
              </a:solidFill>
              <a:latin typeface="+mn-lt"/>
            </a:rPr>
            <a:t>사이즈 변동</a:t>
          </a:r>
          <a:r>
            <a:rPr lang="en-US" altLang="ko-KR" sz="1200" baseline="0">
              <a:solidFill>
                <a:srgbClr val="FF0000"/>
              </a:solidFill>
              <a:latin typeface="+mn-lt"/>
            </a:rPr>
            <a:t>, </a:t>
          </a:r>
          <a:r>
            <a:rPr lang="ko-KR" altLang="en-US" sz="1200" baseline="0">
              <a:solidFill>
                <a:srgbClr val="FF0000"/>
              </a:solidFill>
              <a:latin typeface="+mn-lt"/>
            </a:rPr>
            <a:t>모두 확인</a:t>
          </a:r>
          <a:endParaRPr lang="ko-KR" altLang="en-US" sz="1200">
            <a:solidFill>
              <a:srgbClr val="FF0000"/>
            </a:solidFill>
            <a:latin typeface="+mn-lt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6350</xdr:colOff>
      <xdr:row>31</xdr:row>
      <xdr:rowOff>6350</xdr:rowOff>
    </xdr:from>
    <xdr:to>
      <xdr:col>20</xdr:col>
      <xdr:colOff>44450</xdr:colOff>
      <xdr:row>32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DE059B-A173-5066-97C7-5604887DDF8A}"/>
            </a:ext>
          </a:extLst>
        </xdr:cNvPr>
        <xdr:cNvSpPr txBox="1"/>
      </xdr:nvSpPr>
      <xdr:spPr>
        <a:xfrm>
          <a:off x="16332200" y="10153650"/>
          <a:ext cx="5340350" cy="654050"/>
        </a:xfrm>
        <a:prstGeom prst="rect">
          <a:avLst/>
        </a:prstGeom>
        <a:noFill/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50434</xdr:colOff>
      <xdr:row>26</xdr:row>
      <xdr:rowOff>74986</xdr:rowOff>
    </xdr:from>
    <xdr:ext cx="2838149" cy="248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A53FFC-0379-4B8A-874B-6AE4D88241E7}"/>
            </a:ext>
          </a:extLst>
        </xdr:cNvPr>
        <xdr:cNvSpPr txBox="1"/>
      </xdr:nvSpPr>
      <xdr:spPr>
        <a:xfrm>
          <a:off x="7718059" y="5504236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51584</xdr:colOff>
      <xdr:row>10</xdr:row>
      <xdr:rowOff>67159</xdr:rowOff>
    </xdr:from>
    <xdr:ext cx="3361946" cy="248851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E5B3E95-EDC9-4047-985F-EC48FB8F04B4}"/>
            </a:ext>
          </a:extLst>
        </xdr:cNvPr>
        <xdr:cNvSpPr txBox="1"/>
      </xdr:nvSpPr>
      <xdr:spPr>
        <a:xfrm>
          <a:off x="7719209" y="2279076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twoCellAnchor>
    <xdr:from>
      <xdr:col>4</xdr:col>
      <xdr:colOff>338902</xdr:colOff>
      <xdr:row>7</xdr:row>
      <xdr:rowOff>72454</xdr:rowOff>
    </xdr:from>
    <xdr:to>
      <xdr:col>14</xdr:col>
      <xdr:colOff>10584</xdr:colOff>
      <xdr:row>26</xdr:row>
      <xdr:rowOff>58796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437F2FCB-B821-4542-BB10-B0A7E0994926}"/>
            </a:ext>
          </a:extLst>
        </xdr:cNvPr>
        <xdr:cNvSpPr/>
      </xdr:nvSpPr>
      <xdr:spPr>
        <a:xfrm>
          <a:off x="2503194" y="1681121"/>
          <a:ext cx="3905015" cy="380692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</xdr:row>
      <xdr:rowOff>5880</xdr:rowOff>
    </xdr:from>
    <xdr:to>
      <xdr:col>2</xdr:col>
      <xdr:colOff>326269</xdr:colOff>
      <xdr:row>3</xdr:row>
      <xdr:rowOff>149880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A4914E23-8DE4-4405-8C8C-121061761ED9}"/>
            </a:ext>
          </a:extLst>
        </xdr:cNvPr>
        <xdr:cNvSpPr/>
      </xdr:nvSpPr>
      <xdr:spPr>
        <a:xfrm>
          <a:off x="1496719" y="78354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7</xdr:row>
      <xdr:rowOff>12664</xdr:rowOff>
    </xdr:from>
    <xdr:to>
      <xdr:col>5</xdr:col>
      <xdr:colOff>254620</xdr:colOff>
      <xdr:row>8</xdr:row>
      <xdr:rowOff>116092</xdr:rowOff>
    </xdr:to>
    <xdr:sp macro="" textlink="">
      <xdr:nvSpPr>
        <xdr:cNvPr id="58" name="직각 삼각형 57">
          <a:extLst>
            <a:ext uri="{FF2B5EF4-FFF2-40B4-BE49-F238E27FC236}">
              <a16:creationId xmlns:a16="http://schemas.microsoft.com/office/drawing/2014/main" id="{5CC695C2-E96E-4CDB-98D2-DB885CE129F3}"/>
            </a:ext>
          </a:extLst>
        </xdr:cNvPr>
        <xdr:cNvSpPr/>
      </xdr:nvSpPr>
      <xdr:spPr>
        <a:xfrm rot="5400000">
          <a:off x="2322039" y="8666861"/>
          <a:ext cx="306628" cy="2829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20</xdr:row>
      <xdr:rowOff>169568</xdr:rowOff>
    </xdr:from>
    <xdr:ext cx="555408" cy="248851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8F384D6-BAC1-4C04-B77C-93B6EF0E03C9}"/>
            </a:ext>
          </a:extLst>
        </xdr:cNvPr>
        <xdr:cNvSpPr txBox="1"/>
      </xdr:nvSpPr>
      <xdr:spPr>
        <a:xfrm>
          <a:off x="7174279" y="4392318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20</xdr:row>
      <xdr:rowOff>170580</xdr:rowOff>
    </xdr:from>
    <xdr:ext cx="555408" cy="24885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F981BF0-E585-4A76-8542-1C66349AD793}"/>
            </a:ext>
          </a:extLst>
        </xdr:cNvPr>
        <xdr:cNvSpPr txBox="1"/>
      </xdr:nvSpPr>
      <xdr:spPr>
        <a:xfrm>
          <a:off x="1266000" y="4393330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4</xdr:col>
      <xdr:colOff>338902</xdr:colOff>
      <xdr:row>41</xdr:row>
      <xdr:rowOff>72454</xdr:rowOff>
    </xdr:from>
    <xdr:to>
      <xdr:col>14</xdr:col>
      <xdr:colOff>10584</xdr:colOff>
      <xdr:row>60</xdr:row>
      <xdr:rowOff>58796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DD054C-CB50-466F-876F-D1D98389146B}"/>
            </a:ext>
          </a:extLst>
        </xdr:cNvPr>
        <xdr:cNvSpPr/>
      </xdr:nvSpPr>
      <xdr:spPr>
        <a:xfrm>
          <a:off x="2505373" y="1686101"/>
          <a:ext cx="3929917" cy="3818754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37</xdr:row>
      <xdr:rowOff>5880</xdr:rowOff>
    </xdr:from>
    <xdr:to>
      <xdr:col>2</xdr:col>
      <xdr:colOff>326269</xdr:colOff>
      <xdr:row>37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1888E1FD-4E5A-4994-89D2-B75C601E03FE}"/>
            </a:ext>
          </a:extLst>
        </xdr:cNvPr>
        <xdr:cNvSpPr/>
      </xdr:nvSpPr>
      <xdr:spPr>
        <a:xfrm>
          <a:off x="1497093" y="812704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41</xdr:row>
      <xdr:rowOff>12664</xdr:rowOff>
    </xdr:from>
    <xdr:to>
      <xdr:col>5</xdr:col>
      <xdr:colOff>254620</xdr:colOff>
      <xdr:row>42</xdr:row>
      <xdr:rowOff>116092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3A2E0EC8-0D03-4030-AD71-5B109D71AEF0}"/>
            </a:ext>
          </a:extLst>
        </xdr:cNvPr>
        <xdr:cNvSpPr/>
      </xdr:nvSpPr>
      <xdr:spPr>
        <a:xfrm rot="5400000">
          <a:off x="2514594" y="1599124"/>
          <a:ext cx="305134" cy="359507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54</xdr:row>
      <xdr:rowOff>169568</xdr:rowOff>
    </xdr:from>
    <xdr:ext cx="555408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1E4FD4-3865-42F4-84B6-F9690668110B}"/>
            </a:ext>
          </a:extLst>
        </xdr:cNvPr>
        <xdr:cNvSpPr txBox="1"/>
      </xdr:nvSpPr>
      <xdr:spPr>
        <a:xfrm>
          <a:off x="7203850" y="4405392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54</xdr:row>
      <xdr:rowOff>170580</xdr:rowOff>
    </xdr:from>
    <xdr:ext cx="555408" cy="2488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57C047-7F88-4E2F-B42D-079DB202ADD2}"/>
            </a:ext>
          </a:extLst>
        </xdr:cNvPr>
        <xdr:cNvSpPr txBox="1"/>
      </xdr:nvSpPr>
      <xdr:spPr>
        <a:xfrm>
          <a:off x="1261954" y="4406404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52295</xdr:colOff>
      <xdr:row>60</xdr:row>
      <xdr:rowOff>82532</xdr:rowOff>
    </xdr:from>
    <xdr:ext cx="2838149" cy="248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78C7AB-1E6C-4FBA-9E56-4A5A7383FEF5}"/>
            </a:ext>
          </a:extLst>
        </xdr:cNvPr>
        <xdr:cNvSpPr txBox="1"/>
      </xdr:nvSpPr>
      <xdr:spPr>
        <a:xfrm>
          <a:off x="7754471" y="12386591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53445</xdr:colOff>
      <xdr:row>44</xdr:row>
      <xdr:rowOff>74705</xdr:rowOff>
    </xdr:from>
    <xdr:ext cx="3361946" cy="248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E87F3C6-221C-42CC-81BE-85E0E8B1C1CC}"/>
            </a:ext>
          </a:extLst>
        </xdr:cNvPr>
        <xdr:cNvSpPr txBox="1"/>
      </xdr:nvSpPr>
      <xdr:spPr>
        <a:xfrm>
          <a:off x="7755621" y="9151470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D3A54E-B1F5-47A6-AB90-71E331591017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1EFA8B9-8AE2-47AC-9951-5DCE9F33DC05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642408</xdr:colOff>
      <xdr:row>1</xdr:row>
      <xdr:rowOff>0</xdr:rowOff>
    </xdr:from>
    <xdr:to>
      <xdr:col>8</xdr:col>
      <xdr:colOff>143838</xdr:colOff>
      <xdr:row>18</xdr:row>
      <xdr:rowOff>107821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AAD0BFE6-5FE1-4207-B79B-B7A78F62F9EC}"/>
            </a:ext>
          </a:extLst>
        </xdr:cNvPr>
        <xdr:cNvGrpSpPr/>
      </xdr:nvGrpSpPr>
      <xdr:grpSpPr>
        <a:xfrm>
          <a:off x="642408" y="185208"/>
          <a:ext cx="5163513" cy="3256363"/>
          <a:chOff x="659342" y="13605747"/>
          <a:chExt cx="5269044" cy="3399878"/>
        </a:xfrm>
      </xdr:grpSpPr>
      <xdr:pic>
        <xdr:nvPicPr>
          <xdr:cNvPr id="91" name="그림 90">
            <a:extLst>
              <a:ext uri="{FF2B5EF4-FFF2-40B4-BE49-F238E27FC236}">
                <a16:creationId xmlns:a16="http://schemas.microsoft.com/office/drawing/2014/main" id="{3E194F4F-52E5-0B15-3A51-D4C9E30CB4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9342" y="13605747"/>
            <a:ext cx="5269044" cy="3399878"/>
          </a:xfrm>
          <a:prstGeom prst="rect">
            <a:avLst/>
          </a:prstGeom>
        </xdr:spPr>
      </xdr:pic>
      <xdr:grpSp>
        <xdr:nvGrpSpPr>
          <xdr:cNvPr id="92" name="그룹 91">
            <a:extLst>
              <a:ext uri="{FF2B5EF4-FFF2-40B4-BE49-F238E27FC236}">
                <a16:creationId xmlns:a16="http://schemas.microsoft.com/office/drawing/2014/main" id="{5EF2C9B7-E1A5-0133-2A58-410C1DF94092}"/>
              </a:ext>
            </a:extLst>
          </xdr:cNvPr>
          <xdr:cNvGrpSpPr/>
        </xdr:nvGrpSpPr>
        <xdr:grpSpPr>
          <a:xfrm>
            <a:off x="2566817" y="14327019"/>
            <a:ext cx="2626576" cy="442095"/>
            <a:chOff x="2563642" y="14327019"/>
            <a:chExt cx="2629751" cy="442095"/>
          </a:xfrm>
        </xdr:grpSpPr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787FC3F4-103C-756C-AEDE-4957631FB99B}"/>
                </a:ext>
              </a:extLst>
            </xdr:cNvPr>
            <xdr:cNvSpPr txBox="1"/>
          </xdr:nvSpPr>
          <xdr:spPr>
            <a:xfrm>
              <a:off x="2565003" y="14327019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100hz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0.61us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81B90F6-3E79-97AA-FA25-6EBB944023FB}"/>
                </a:ext>
              </a:extLst>
            </xdr:cNvPr>
            <xdr:cNvSpPr txBox="1"/>
          </xdr:nvSpPr>
          <xdr:spPr>
            <a:xfrm>
              <a:off x="2563642" y="14503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100hz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0.61us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603704</xdr:colOff>
      <xdr:row>19</xdr:row>
      <xdr:rowOff>54108</xdr:rowOff>
    </xdr:from>
    <xdr:to>
      <xdr:col>8</xdr:col>
      <xdr:colOff>116417</xdr:colOff>
      <xdr:row>37</xdr:row>
      <xdr:rowOff>34511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C4552934-DACB-42F8-A4E8-E2DAEF39A658}"/>
            </a:ext>
          </a:extLst>
        </xdr:cNvPr>
        <xdr:cNvGrpSpPr/>
      </xdr:nvGrpSpPr>
      <xdr:grpSpPr>
        <a:xfrm>
          <a:off x="603704" y="3573066"/>
          <a:ext cx="5174796" cy="3314153"/>
          <a:chOff x="6057597" y="13602288"/>
          <a:chExt cx="5275546" cy="3409403"/>
        </a:xfrm>
      </xdr:grpSpPr>
      <xdr:pic>
        <xdr:nvPicPr>
          <xdr:cNvPr id="96" name="그림 95">
            <a:extLst>
              <a:ext uri="{FF2B5EF4-FFF2-40B4-BE49-F238E27FC236}">
                <a16:creationId xmlns:a16="http://schemas.microsoft.com/office/drawing/2014/main" id="{DEDE2A28-C210-789D-7467-7677F5F731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57597" y="13602288"/>
            <a:ext cx="5275546" cy="3409403"/>
          </a:xfrm>
          <a:prstGeom prst="rect">
            <a:avLst/>
          </a:prstGeom>
        </xdr:spPr>
      </xdr:pic>
      <xdr:grpSp>
        <xdr:nvGrpSpPr>
          <xdr:cNvPr id="97" name="그룹 96">
            <a:extLst>
              <a:ext uri="{FF2B5EF4-FFF2-40B4-BE49-F238E27FC236}">
                <a16:creationId xmlns:a16="http://schemas.microsoft.com/office/drawing/2014/main" id="{9E8BC0CA-A316-74C2-A344-21FDDC1784F9}"/>
              </a:ext>
            </a:extLst>
          </xdr:cNvPr>
          <xdr:cNvGrpSpPr/>
        </xdr:nvGrpSpPr>
        <xdr:grpSpPr>
          <a:xfrm>
            <a:off x="8275467" y="14345162"/>
            <a:ext cx="2626576" cy="438920"/>
            <a:chOff x="2563642" y="14327019"/>
            <a:chExt cx="2629751" cy="442095"/>
          </a:xfrm>
        </xdr:grpSpPr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DD82120E-4AA1-062C-7753-A70F71B9FE25}"/>
                </a:ext>
              </a:extLst>
            </xdr:cNvPr>
            <xdr:cNvSpPr txBox="1"/>
          </xdr:nvSpPr>
          <xdr:spPr>
            <a:xfrm>
              <a:off x="2565003" y="14327019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120hz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0.508us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F46996B3-0A0B-E93F-00B6-F65BC93B0C0E}"/>
                </a:ext>
              </a:extLst>
            </xdr:cNvPr>
            <xdr:cNvSpPr txBox="1"/>
          </xdr:nvSpPr>
          <xdr:spPr>
            <a:xfrm>
              <a:off x="2563642" y="14503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120hz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0.508us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557742</xdr:colOff>
      <xdr:row>38</xdr:row>
      <xdr:rowOff>9074</xdr:rowOff>
    </xdr:from>
    <xdr:to>
      <xdr:col>8</xdr:col>
      <xdr:colOff>116417</xdr:colOff>
      <xdr:row>55</xdr:row>
      <xdr:rowOff>157788</xdr:rowOff>
    </xdr:to>
    <xdr:grpSp>
      <xdr:nvGrpSpPr>
        <xdr:cNvPr id="100" name="그룹 99">
          <a:extLst>
            <a:ext uri="{FF2B5EF4-FFF2-40B4-BE49-F238E27FC236}">
              <a16:creationId xmlns:a16="http://schemas.microsoft.com/office/drawing/2014/main" id="{0672975C-4D8C-4FC7-ADDA-C4ED8EB577F2}"/>
            </a:ext>
          </a:extLst>
        </xdr:cNvPr>
        <xdr:cNvGrpSpPr/>
      </xdr:nvGrpSpPr>
      <xdr:grpSpPr>
        <a:xfrm>
          <a:off x="557742" y="7046991"/>
          <a:ext cx="5220758" cy="3297255"/>
          <a:chOff x="11480499" y="13604122"/>
          <a:chExt cx="5207964" cy="3392506"/>
        </a:xfrm>
      </xdr:grpSpPr>
      <xdr:pic>
        <xdr:nvPicPr>
          <xdr:cNvPr id="101" name="그림 100">
            <a:extLst>
              <a:ext uri="{FF2B5EF4-FFF2-40B4-BE49-F238E27FC236}">
                <a16:creationId xmlns:a16="http://schemas.microsoft.com/office/drawing/2014/main" id="{74EE0EFF-F981-4114-4590-7F1E0B8604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80499" y="13604122"/>
            <a:ext cx="5207964" cy="3392506"/>
          </a:xfrm>
          <a:prstGeom prst="rect">
            <a:avLst/>
          </a:prstGeom>
        </xdr:spPr>
      </xdr:pic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D41D7A3B-FE2B-8740-3976-476F15FAE9EF}"/>
              </a:ext>
            </a:extLst>
          </xdr:cNvPr>
          <xdr:cNvGrpSpPr/>
        </xdr:nvGrpSpPr>
        <xdr:grpSpPr>
          <a:xfrm>
            <a:off x="13264243" y="14265437"/>
            <a:ext cx="2640643" cy="428034"/>
            <a:chOff x="4375647" y="14968446"/>
            <a:chExt cx="2638771" cy="435668"/>
          </a:xfrm>
        </xdr:grpSpPr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E368AFB6-21C7-57DB-6DD8-5D96F0D8D1BD}"/>
                </a:ext>
              </a:extLst>
            </xdr:cNvPr>
            <xdr:cNvSpPr txBox="1"/>
          </xdr:nvSpPr>
          <xdr:spPr>
            <a:xfrm>
              <a:off x="4375647" y="14968446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144hz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0.424us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FB0F138A-0B11-0460-D662-699DEDEDB656}"/>
                </a:ext>
              </a:extLst>
            </xdr:cNvPr>
            <xdr:cNvSpPr txBox="1"/>
          </xdr:nvSpPr>
          <xdr:spPr>
            <a:xfrm>
              <a:off x="4389203" y="15138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144hz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0.424us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322961</xdr:colOff>
      <xdr:row>1</xdr:row>
      <xdr:rowOff>0</xdr:rowOff>
    </xdr:from>
    <xdr:to>
      <xdr:col>15</xdr:col>
      <xdr:colOff>274673</xdr:colOff>
      <xdr:row>18</xdr:row>
      <xdr:rowOff>119405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0DDC580B-8227-4083-B055-172E54B63B62}"/>
            </a:ext>
          </a:extLst>
        </xdr:cNvPr>
        <xdr:cNvGrpSpPr/>
      </xdr:nvGrpSpPr>
      <xdr:grpSpPr>
        <a:xfrm>
          <a:off x="5985044" y="185208"/>
          <a:ext cx="4883546" cy="3267947"/>
          <a:chOff x="16825403" y="13609129"/>
          <a:chExt cx="5232794" cy="3402031"/>
        </a:xfrm>
      </xdr:grpSpPr>
      <xdr:pic>
        <xdr:nvPicPr>
          <xdr:cNvPr id="106" name="그림 105">
            <a:extLst>
              <a:ext uri="{FF2B5EF4-FFF2-40B4-BE49-F238E27FC236}">
                <a16:creationId xmlns:a16="http://schemas.microsoft.com/office/drawing/2014/main" id="{742CE38D-EA53-0CA0-DF4B-EF2969AB63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5403" y="13609129"/>
            <a:ext cx="5232794" cy="3402031"/>
          </a:xfrm>
          <a:prstGeom prst="rect">
            <a:avLst/>
          </a:prstGeom>
        </xdr:spPr>
      </xdr:pic>
      <xdr:grpSp>
        <xdr:nvGrpSpPr>
          <xdr:cNvPr id="107" name="그룹 106">
            <a:extLst>
              <a:ext uri="{FF2B5EF4-FFF2-40B4-BE49-F238E27FC236}">
                <a16:creationId xmlns:a16="http://schemas.microsoft.com/office/drawing/2014/main" id="{C95382EC-298C-E1BD-C7D8-D7213C7E64EA}"/>
              </a:ext>
            </a:extLst>
          </xdr:cNvPr>
          <xdr:cNvGrpSpPr/>
        </xdr:nvGrpSpPr>
        <xdr:grpSpPr>
          <a:xfrm>
            <a:off x="18986821" y="14310804"/>
            <a:ext cx="2632926" cy="438920"/>
            <a:chOff x="2563642" y="14327019"/>
            <a:chExt cx="2629751" cy="442095"/>
          </a:xfrm>
        </xdr:grpSpPr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79C8E44-DC72-93FD-B23F-A702A75C2C92}"/>
                </a:ext>
              </a:extLst>
            </xdr:cNvPr>
            <xdr:cNvSpPr txBox="1"/>
          </xdr:nvSpPr>
          <xdr:spPr>
            <a:xfrm>
              <a:off x="2565003" y="14327019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165hz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0.370us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A65E0085-F8BE-B108-E2EA-F747EAAB28A0}"/>
                </a:ext>
              </a:extLst>
            </xdr:cNvPr>
            <xdr:cNvSpPr txBox="1"/>
          </xdr:nvSpPr>
          <xdr:spPr>
            <a:xfrm>
              <a:off x="2563642" y="14503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165hz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0.370us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281556</xdr:colOff>
      <xdr:row>19</xdr:row>
      <xdr:rowOff>83347</xdr:rowOff>
    </xdr:from>
    <xdr:to>
      <xdr:col>15</xdr:col>
      <xdr:colOff>296335</xdr:colOff>
      <xdr:row>37</xdr:row>
      <xdr:rowOff>44700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7A440C31-C77D-486F-A183-DFC81C79D50B}"/>
            </a:ext>
          </a:extLst>
        </xdr:cNvPr>
        <xdr:cNvGrpSpPr/>
      </xdr:nvGrpSpPr>
      <xdr:grpSpPr>
        <a:xfrm>
          <a:off x="5943639" y="3602305"/>
          <a:ext cx="4946613" cy="3295103"/>
          <a:chOff x="22226097" y="13622454"/>
          <a:chExt cx="5277548" cy="3390353"/>
        </a:xfrm>
      </xdr:grpSpPr>
      <xdr:pic>
        <xdr:nvPicPr>
          <xdr:cNvPr id="111" name="그림 110">
            <a:extLst>
              <a:ext uri="{FF2B5EF4-FFF2-40B4-BE49-F238E27FC236}">
                <a16:creationId xmlns:a16="http://schemas.microsoft.com/office/drawing/2014/main" id="{536129D7-71C9-5C74-C9ED-E0FDA7EA7F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226097" y="13622454"/>
            <a:ext cx="5277548" cy="3390353"/>
          </a:xfrm>
          <a:prstGeom prst="rect">
            <a:avLst/>
          </a:prstGeom>
        </xdr:spPr>
      </xdr:pic>
      <xdr:grpSp>
        <xdr:nvGrpSpPr>
          <xdr:cNvPr id="112" name="그룹 111">
            <a:extLst>
              <a:ext uri="{FF2B5EF4-FFF2-40B4-BE49-F238E27FC236}">
                <a16:creationId xmlns:a16="http://schemas.microsoft.com/office/drawing/2014/main" id="{3BE6506F-390A-3CF8-4C76-DA67F93B6187}"/>
              </a:ext>
            </a:extLst>
          </xdr:cNvPr>
          <xdr:cNvGrpSpPr/>
        </xdr:nvGrpSpPr>
        <xdr:grpSpPr>
          <a:xfrm>
            <a:off x="24400065" y="14330026"/>
            <a:ext cx="2629751" cy="438920"/>
            <a:chOff x="2563642" y="14327019"/>
            <a:chExt cx="2629751" cy="442095"/>
          </a:xfrm>
        </xdr:grpSpPr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DEC5D4-827B-97D5-DB74-E0FA7902B3E1}"/>
                </a:ext>
              </a:extLst>
            </xdr:cNvPr>
            <xdr:cNvSpPr txBox="1"/>
          </xdr:nvSpPr>
          <xdr:spPr>
            <a:xfrm>
              <a:off x="2565003" y="14327019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200hz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0.305us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5006B48A-794E-7F4C-A1A9-C2634E35E706}"/>
                </a:ext>
              </a:extLst>
            </xdr:cNvPr>
            <xdr:cNvSpPr txBox="1"/>
          </xdr:nvSpPr>
          <xdr:spPr>
            <a:xfrm>
              <a:off x="2563642" y="14503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200hz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0.305us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234403</xdr:colOff>
      <xdr:row>38</xdr:row>
      <xdr:rowOff>18656</xdr:rowOff>
    </xdr:from>
    <xdr:to>
      <xdr:col>15</xdr:col>
      <xdr:colOff>306917</xdr:colOff>
      <xdr:row>55</xdr:row>
      <xdr:rowOff>165217</xdr:rowOff>
    </xdr:to>
    <xdr:grpSp>
      <xdr:nvGrpSpPr>
        <xdr:cNvPr id="115" name="그룹 114">
          <a:extLst>
            <a:ext uri="{FF2B5EF4-FFF2-40B4-BE49-F238E27FC236}">
              <a16:creationId xmlns:a16="http://schemas.microsoft.com/office/drawing/2014/main" id="{71D8771B-C481-4EA3-A333-D68F18D143C7}"/>
            </a:ext>
          </a:extLst>
        </xdr:cNvPr>
        <xdr:cNvGrpSpPr/>
      </xdr:nvGrpSpPr>
      <xdr:grpSpPr>
        <a:xfrm>
          <a:off x="5896486" y="7056573"/>
          <a:ext cx="5004348" cy="3295102"/>
          <a:chOff x="27600637" y="13621263"/>
          <a:chExt cx="5280723" cy="3390353"/>
        </a:xfrm>
      </xdr:grpSpPr>
      <xdr:pic>
        <xdr:nvPicPr>
          <xdr:cNvPr id="116" name="그림 115">
            <a:extLst>
              <a:ext uri="{FF2B5EF4-FFF2-40B4-BE49-F238E27FC236}">
                <a16:creationId xmlns:a16="http://schemas.microsoft.com/office/drawing/2014/main" id="{9E2D320A-766B-FA7C-F6DC-25B9110DBF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600637" y="13621263"/>
            <a:ext cx="5280723" cy="3390353"/>
          </a:xfrm>
          <a:prstGeom prst="rect">
            <a:avLst/>
          </a:prstGeom>
        </xdr:spPr>
      </xdr:pic>
      <xdr:grpSp>
        <xdr:nvGrpSpPr>
          <xdr:cNvPr id="117" name="그룹 116">
            <a:extLst>
              <a:ext uri="{FF2B5EF4-FFF2-40B4-BE49-F238E27FC236}">
                <a16:creationId xmlns:a16="http://schemas.microsoft.com/office/drawing/2014/main" id="{2FA0748A-1FD0-2C3A-08C9-0219F5FDF341}"/>
              </a:ext>
            </a:extLst>
          </xdr:cNvPr>
          <xdr:cNvGrpSpPr/>
        </xdr:nvGrpSpPr>
        <xdr:grpSpPr>
          <a:xfrm>
            <a:off x="29395268" y="14327474"/>
            <a:ext cx="2629751" cy="438920"/>
            <a:chOff x="2563642" y="14327019"/>
            <a:chExt cx="2629751" cy="442095"/>
          </a:xfrm>
        </xdr:grpSpPr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733FED96-E267-FCA5-5AC6-5043F963AF54}"/>
                </a:ext>
              </a:extLst>
            </xdr:cNvPr>
            <xdr:cNvSpPr txBox="1"/>
          </xdr:nvSpPr>
          <xdr:spPr>
            <a:xfrm>
              <a:off x="2565003" y="14327019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240hz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0.254us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45A3D65-7F02-80B0-85D4-22E3955DF9CF}"/>
                </a:ext>
              </a:extLst>
            </xdr:cNvPr>
            <xdr:cNvSpPr txBox="1"/>
          </xdr:nvSpPr>
          <xdr:spPr>
            <a:xfrm>
              <a:off x="2563642" y="14503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240hz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0.254us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314178</xdr:colOff>
      <xdr:row>20</xdr:row>
      <xdr:rowOff>176742</xdr:rowOff>
    </xdr:from>
    <xdr:ext cx="1918859" cy="34445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26F4825-35C8-4D32-A41A-B889F8877A0B}"/>
            </a:ext>
          </a:extLst>
        </xdr:cNvPr>
        <xdr:cNvSpPr txBox="1"/>
      </xdr:nvSpPr>
      <xdr:spPr>
        <a:xfrm>
          <a:off x="11945261" y="3880909"/>
          <a:ext cx="1918859" cy="344453"/>
        </a:xfrm>
        <a:prstGeom prst="rect">
          <a:avLst/>
        </a:prstGeom>
        <a:solidFill>
          <a:srgbClr val="FF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bg1"/>
              </a:solidFill>
              <a:latin typeface="+mn-lt"/>
            </a:rPr>
            <a:t>1. divisor</a:t>
          </a:r>
          <a:r>
            <a:rPr lang="en-US" altLang="ko-KR" sz="1100" baseline="0">
              <a:solidFill>
                <a:schemeClr val="bg1"/>
              </a:solidFill>
              <a:latin typeface="+mn-lt"/>
            </a:rPr>
            <a:t> variation </a:t>
          </a:r>
          <a:r>
            <a:rPr lang="en-US" altLang="ko-KR" sz="1100" baseline="0">
              <a:solidFill>
                <a:schemeClr val="bg1"/>
              </a:solidFill>
              <a:latin typeface="+mn-lt"/>
              <a:ea typeface="Malgun Gothic Semilight" panose="020B0502040204020203" pitchFamily="50" charset="-127"/>
              <a:cs typeface="Malgun Gothic Semilight" panose="020B0502040204020203" pitchFamily="50" charset="-127"/>
            </a:rPr>
            <a:t>→</a:t>
          </a:r>
          <a:r>
            <a:rPr lang="en-US" altLang="ko-KR" sz="1100" baseline="0">
              <a:solidFill>
                <a:schemeClr val="bg1"/>
              </a:solidFill>
              <a:latin typeface="+mn-lt"/>
            </a:rPr>
            <a:t> keep rgb ratio</a:t>
          </a:r>
        </a:p>
        <a:p>
          <a:r>
            <a:rPr lang="en-US" altLang="ko-KR" sz="1100" baseline="0">
              <a:solidFill>
                <a:schemeClr val="bg1"/>
              </a:solidFill>
              <a:latin typeface="+mn-lt"/>
            </a:rPr>
            <a:t>2. switching frame freq not perfect</a:t>
          </a:r>
          <a:endParaRPr lang="ko-KR" altLang="en-US" sz="110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14</xdr:col>
      <xdr:colOff>98264</xdr:colOff>
      <xdr:row>18</xdr:row>
      <xdr:rowOff>179298</xdr:rowOff>
    </xdr:from>
    <xdr:ext cx="1639873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2AE0688-C105-4380-9B5F-112ECD62F89C}"/>
            </a:ext>
          </a:extLst>
        </xdr:cNvPr>
        <xdr:cNvSpPr txBox="1"/>
      </xdr:nvSpPr>
      <xdr:spPr>
        <a:xfrm>
          <a:off x="10385264" y="3513048"/>
          <a:ext cx="1639873" cy="172227"/>
        </a:xfrm>
        <a:prstGeom prst="rect">
          <a:avLst/>
        </a:prstGeom>
        <a:solidFill>
          <a:srgbClr val="FF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bg1"/>
              </a:solidFill>
              <a:latin typeface="+mn-lt"/>
            </a:rPr>
            <a:t>1. max current target</a:t>
          </a:r>
          <a:r>
            <a:rPr lang="en-US" altLang="ko-KR" sz="1100" baseline="0">
              <a:solidFill>
                <a:schemeClr val="bg1"/>
              </a:solidFill>
              <a:latin typeface="+mn-lt"/>
            </a:rPr>
            <a:t> = 40</a:t>
          </a:r>
          <a:r>
            <a:rPr lang="en-US" altLang="ko-KR" sz="1100">
              <a:solidFill>
                <a:schemeClr val="bg1"/>
              </a:solidFill>
              <a:latin typeface="+mn-lt"/>
            </a:rPr>
            <a:t>mA </a:t>
          </a:r>
          <a:endParaRPr lang="ko-KR" altLang="en-US" sz="110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14</xdr:col>
      <xdr:colOff>113246</xdr:colOff>
      <xdr:row>20</xdr:row>
      <xdr:rowOff>184326</xdr:rowOff>
    </xdr:from>
    <xdr:ext cx="1506631" cy="1004506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6B81D879-0EAF-4A27-AA69-1B6CA938716B}"/>
            </a:ext>
          </a:extLst>
        </xdr:cNvPr>
        <xdr:cNvSpPr txBox="1"/>
      </xdr:nvSpPr>
      <xdr:spPr>
        <a:xfrm>
          <a:off x="10400246" y="3888493"/>
          <a:ext cx="1506631" cy="1004506"/>
        </a:xfrm>
        <a:prstGeom prst="rect">
          <a:avLst/>
        </a:prstGeom>
        <a:solidFill>
          <a:srgbClr val="FF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bg1"/>
              </a:solidFill>
              <a:latin typeface="+mn-lt"/>
            </a:rPr>
            <a:t>1. mclk variation</a:t>
          </a:r>
          <a:r>
            <a:rPr lang="en-US" altLang="ko-KR" sz="1100" baseline="0">
              <a:solidFill>
                <a:schemeClr val="bg1"/>
              </a:solidFill>
              <a:latin typeface="+mn-lt"/>
            </a:rPr>
            <a:t> minimize</a:t>
          </a:r>
        </a:p>
        <a:p>
          <a:r>
            <a:rPr lang="en-US" altLang="ko-KR" sz="1100" baseline="0">
              <a:solidFill>
                <a:schemeClr val="bg1"/>
              </a:solidFill>
              <a:latin typeface="+mn-lt"/>
            </a:rPr>
            <a:t>     --&gt; baudrate stable</a:t>
          </a:r>
        </a:p>
        <a:p>
          <a:r>
            <a:rPr lang="en-US" altLang="ko-KR" sz="1100" baseline="0">
              <a:solidFill>
                <a:schemeClr val="bg1"/>
              </a:solidFill>
              <a:latin typeface="+mn-lt"/>
            </a:rPr>
            <a:t>     --&gt; vsync miss-align</a:t>
          </a:r>
        </a:p>
        <a:p>
          <a:r>
            <a:rPr lang="en-US" altLang="ko-KR" sz="1100" baseline="0">
              <a:solidFill>
                <a:schemeClr val="bg1"/>
              </a:solidFill>
              <a:latin typeface="+mn-lt"/>
            </a:rPr>
            <a:t>     --&gt; daisy dev </a:t>
          </a:r>
          <a:r>
            <a:rPr lang="ko-KR" altLang="en-US" sz="1100" baseline="0">
              <a:solidFill>
                <a:schemeClr val="bg1"/>
              </a:solidFill>
              <a:latin typeface="+mn-lt"/>
            </a:rPr>
            <a:t>개수 영향</a:t>
          </a:r>
          <a:endParaRPr lang="en-US" altLang="ko-KR" sz="1100" baseline="0">
            <a:solidFill>
              <a:schemeClr val="bg1"/>
            </a:solidFill>
            <a:latin typeface="+mn-lt"/>
          </a:endParaRPr>
        </a:p>
        <a:p>
          <a:r>
            <a:rPr lang="en-US" altLang="ko-KR" sz="1100" baseline="0">
              <a:solidFill>
                <a:schemeClr val="bg1"/>
              </a:solidFill>
              <a:latin typeface="+mn-lt"/>
            </a:rPr>
            <a:t>     --&gt; s-frame 8</a:t>
          </a:r>
          <a:r>
            <a:rPr lang="ko-KR" altLang="en-US" sz="1100" baseline="0">
              <a:solidFill>
                <a:schemeClr val="bg1"/>
              </a:solidFill>
              <a:latin typeface="+mn-lt"/>
            </a:rPr>
            <a:t>개면 </a:t>
          </a:r>
          <a:r>
            <a:rPr lang="en-US" altLang="ko-KR" sz="1100" baseline="0">
              <a:solidFill>
                <a:schemeClr val="bg1"/>
              </a:solidFill>
              <a:latin typeface="+mn-lt"/>
            </a:rPr>
            <a:t>ok</a:t>
          </a:r>
        </a:p>
      </xdr:txBody>
    </xdr:sp>
    <xdr:clientData/>
  </xdr:oneCellAnchor>
  <xdr:oneCellAnchor>
    <xdr:from>
      <xdr:col>16</xdr:col>
      <xdr:colOff>427868</xdr:colOff>
      <xdr:row>14</xdr:row>
      <xdr:rowOff>151253</xdr:rowOff>
    </xdr:from>
    <xdr:ext cx="2204130" cy="68890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F958630B-F6E3-4AE5-AF4D-1A11BD6D8E0D}"/>
            </a:ext>
          </a:extLst>
        </xdr:cNvPr>
        <xdr:cNvSpPr txBox="1"/>
      </xdr:nvSpPr>
      <xdr:spPr>
        <a:xfrm>
          <a:off x="12058951" y="2744170"/>
          <a:ext cx="2204130" cy="6889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rgbClr val="FF0000"/>
              </a:solidFill>
              <a:latin typeface="+mn-lt"/>
            </a:rPr>
            <a:t>1.</a:t>
          </a:r>
          <a:r>
            <a:rPr lang="en-US" altLang="ko-KR" sz="1100" baseline="0">
              <a:solidFill>
                <a:srgbClr val="FF0000"/>
              </a:solidFill>
              <a:latin typeface="+mn-lt"/>
            </a:rPr>
            <a:t> 50/60hz counter size</a:t>
          </a:r>
        </a:p>
        <a:p>
          <a:r>
            <a:rPr lang="en-US" altLang="ko-KR" sz="1100" baseline="0">
              <a:solidFill>
                <a:srgbClr val="FF0000"/>
              </a:solidFill>
              <a:latin typeface="+mn-lt"/>
            </a:rPr>
            <a:t>2. </a:t>
          </a:r>
          <a:r>
            <a:rPr lang="en-US" altLang="ko-KR" sz="1100">
              <a:solidFill>
                <a:srgbClr val="FF0000"/>
              </a:solidFill>
              <a:latin typeface="+mn-lt"/>
            </a:rPr>
            <a:t>sub frame 16ea max</a:t>
          </a:r>
        </a:p>
        <a:p>
          <a:r>
            <a:rPr lang="en-US" altLang="ko-KR" sz="1100">
              <a:solidFill>
                <a:srgbClr val="FF0000"/>
              </a:solidFill>
              <a:latin typeface="+mn-lt"/>
            </a:rPr>
            <a:t>3. 800/960hz mode, motion clear mode</a:t>
          </a:r>
        </a:p>
        <a:p>
          <a:r>
            <a:rPr lang="en-US" altLang="ko-KR" sz="1100">
              <a:solidFill>
                <a:srgbClr val="FF0000"/>
              </a:solidFill>
              <a:latin typeface="+mn-lt"/>
            </a:rPr>
            <a:t>4. 14-bit</a:t>
          </a:r>
          <a:r>
            <a:rPr lang="en-US" altLang="ko-KR" sz="1100" baseline="0">
              <a:solidFill>
                <a:srgbClr val="FF0000"/>
              </a:solidFill>
              <a:latin typeface="+mn-lt"/>
            </a:rPr>
            <a:t> resolution</a:t>
          </a:r>
          <a:endParaRPr lang="en-US" altLang="ko-KR" sz="1100">
            <a:solidFill>
              <a:srgbClr val="FF0000"/>
            </a:solidFill>
            <a:latin typeface="+mn-lt"/>
          </a:endParaRPr>
        </a:p>
      </xdr:txBody>
    </xdr:sp>
    <xdr:clientData/>
  </xdr:oneCellAnchor>
  <xdr:twoCellAnchor editAs="oneCell">
    <xdr:from>
      <xdr:col>14</xdr:col>
      <xdr:colOff>66523</xdr:colOff>
      <xdr:row>0</xdr:row>
      <xdr:rowOff>151947</xdr:rowOff>
    </xdr:from>
    <xdr:to>
      <xdr:col>16</xdr:col>
      <xdr:colOff>418042</xdr:colOff>
      <xdr:row>7</xdr:row>
      <xdr:rowOff>137798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86866878-2D1A-414F-9087-A38BA3E7A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523" y="151947"/>
          <a:ext cx="1695602" cy="128230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31750</xdr:colOff>
      <xdr:row>16</xdr:row>
      <xdr:rowOff>114300</xdr:rowOff>
    </xdr:from>
    <xdr:to>
      <xdr:col>19</xdr:col>
      <xdr:colOff>103750</xdr:colOff>
      <xdr:row>17</xdr:row>
      <xdr:rowOff>108050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C962861-2718-4237-B29C-05A0D5293F5D}"/>
            </a:ext>
          </a:extLst>
        </xdr:cNvPr>
        <xdr:cNvGrpSpPr/>
      </xdr:nvGrpSpPr>
      <xdr:grpSpPr>
        <a:xfrm>
          <a:off x="4591050" y="3416300"/>
          <a:ext cx="72000" cy="216000"/>
          <a:chOff x="6527800" y="806450"/>
          <a:chExt cx="222689" cy="73660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0398FBAE-A03D-F5B7-C921-4DE21C2DF806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9C0B4A50-5C4B-C4B1-EF29-16F76D217D4D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55</xdr:col>
      <xdr:colOff>25400</xdr:colOff>
      <xdr:row>16</xdr:row>
      <xdr:rowOff>114300</xdr:rowOff>
    </xdr:from>
    <xdr:to>
      <xdr:col>55</xdr:col>
      <xdr:colOff>97400</xdr:colOff>
      <xdr:row>17</xdr:row>
      <xdr:rowOff>108050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87A7838-FE1A-4F85-B9C8-AD8B49F21E07}"/>
            </a:ext>
          </a:extLst>
        </xdr:cNvPr>
        <xdr:cNvGrpSpPr/>
      </xdr:nvGrpSpPr>
      <xdr:grpSpPr>
        <a:xfrm>
          <a:off x="9385300" y="3416300"/>
          <a:ext cx="72000" cy="216000"/>
          <a:chOff x="6527800" y="806450"/>
          <a:chExt cx="222689" cy="736600"/>
        </a:xfrm>
      </xdr:grpSpPr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A0520D62-401D-396C-302B-09B731F70207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3904C840-1DCC-67E8-DB35-D95D6D907ACA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19050</xdr:colOff>
      <xdr:row>50</xdr:row>
      <xdr:rowOff>114300</xdr:rowOff>
    </xdr:from>
    <xdr:to>
      <xdr:col>19</xdr:col>
      <xdr:colOff>91050</xdr:colOff>
      <xdr:row>51</xdr:row>
      <xdr:rowOff>108050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21346139-26C5-4834-BFD9-0F0EF3DDD868}"/>
            </a:ext>
          </a:extLst>
        </xdr:cNvPr>
        <xdr:cNvGrpSpPr/>
      </xdr:nvGrpSpPr>
      <xdr:grpSpPr>
        <a:xfrm>
          <a:off x="4578350" y="9194800"/>
          <a:ext cx="72000" cy="216000"/>
          <a:chOff x="6527800" y="806450"/>
          <a:chExt cx="222689" cy="736600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F9AB5065-4387-C7C8-872F-87535DC436EF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D8284275-6FE8-D773-161E-79B5AAA1BD94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12700</xdr:colOff>
      <xdr:row>0</xdr:row>
      <xdr:rowOff>63500</xdr:rowOff>
    </xdr:from>
    <xdr:ext cx="12261850" cy="155581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4E8025-DCDF-4750-9F0D-43E4D9D72787}"/>
            </a:ext>
          </a:extLst>
        </xdr:cNvPr>
        <xdr:cNvSpPr txBox="1"/>
      </xdr:nvSpPr>
      <xdr:spPr>
        <a:xfrm>
          <a:off x="673100" y="635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latin typeface="+mn-ea"/>
              <a:ea typeface="+mn-ea"/>
            </a:rPr>
            <a:t>[ </a:t>
          </a:r>
          <a:r>
            <a:rPr lang="ko-KR" altLang="en-US" sz="1100" b="1"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latin typeface="+mn-ea"/>
              <a:ea typeface="+mn-ea"/>
            </a:rPr>
            <a:t>@ 12-bit pwm resolution</a:t>
          </a:r>
        </a:p>
        <a:p>
          <a:r>
            <a:rPr lang="en-US" altLang="ko-KR" sz="1100" b="1" baseline="0">
              <a:latin typeface="+mn-ea"/>
              <a:ea typeface="+mn-ea"/>
            </a:rPr>
            <a:t>step 1. </a:t>
          </a:r>
          <a:r>
            <a:rPr lang="ko-KR" altLang="en-US" sz="1100" b="1" baseline="0"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latin typeface="+mn-ea"/>
              <a:ea typeface="+mn-ea"/>
            </a:rPr>
            <a:t>* 1.4% </a:t>
          </a:r>
          <a:r>
            <a:rPr lang="ko-KR" altLang="en-US" sz="1100" b="1" baseline="0">
              <a:latin typeface="+mn-ea"/>
              <a:ea typeface="+mn-ea"/>
            </a:rPr>
            <a:t>로 </a:t>
          </a:r>
          <a:r>
            <a:rPr lang="en-US" altLang="ko-KR" sz="1100" b="1" baseline="0">
              <a:latin typeface="+mn-ea"/>
              <a:ea typeface="+mn-ea"/>
            </a:rPr>
            <a:t>mclk_cnt </a:t>
          </a:r>
          <a:r>
            <a:rPr lang="ko-KR" altLang="en-US" sz="1100" b="1" baseline="0"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rgbClr val="FF00FF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latin typeface="+mn-ea"/>
              <a:ea typeface="+mn-ea"/>
            </a:rPr>
            <a:t>으로 설정 후 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latin typeface="+mn-ea"/>
              <a:ea typeface="+mn-ea"/>
              <a:cs typeface="Malgun Gothic Semilight" panose="020B0502040204020203" pitchFamily="50" charset="-127"/>
            </a:rPr>
            <a:t>14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</a:t>
          </a:r>
          <a:r>
            <a:rPr lang="ko-KR" altLang="en-US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될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45</xdr:col>
      <xdr:colOff>82550</xdr:colOff>
      <xdr:row>28</xdr:row>
      <xdr:rowOff>114300</xdr:rowOff>
    </xdr:from>
    <xdr:ext cx="1663700" cy="33624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95C815-6843-4E0D-B774-F8E9DA09478C}"/>
            </a:ext>
          </a:extLst>
        </xdr:cNvPr>
        <xdr:cNvSpPr txBox="1"/>
      </xdr:nvSpPr>
      <xdr:spPr>
        <a:xfrm>
          <a:off x="8121650" y="45847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1Hz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39</xdr:col>
      <xdr:colOff>114300</xdr:colOff>
      <xdr:row>62</xdr:row>
      <xdr:rowOff>114300</xdr:rowOff>
    </xdr:from>
    <xdr:ext cx="1663700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04FD39-124F-41AA-BE7C-A54E97CC7DAD}"/>
            </a:ext>
          </a:extLst>
        </xdr:cNvPr>
        <xdr:cNvSpPr txBox="1"/>
      </xdr:nvSpPr>
      <xdr:spPr>
        <a:xfrm>
          <a:off x="7353300" y="88519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5Hz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0</xdr:col>
      <xdr:colOff>615950</xdr:colOff>
      <xdr:row>33</xdr:row>
      <xdr:rowOff>177800</xdr:rowOff>
    </xdr:from>
    <xdr:ext cx="12261850" cy="155581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C4E9415-BA09-484A-9926-C3839CA72056}"/>
            </a:ext>
          </a:extLst>
        </xdr:cNvPr>
        <xdr:cNvSpPr txBox="1"/>
      </xdr:nvSpPr>
      <xdr:spPr>
        <a:xfrm>
          <a:off x="615950" y="57404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[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@ 14-bit pwm resolution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step 1.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*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</a:rPr>
            <a:t>3.4%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으로 설정 후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  <a:cs typeface="Malgun Gothic Semilight" panose="020B0502040204020203" pitchFamily="50" charset="-127"/>
            </a:rPr>
            <a:t>34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될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82550</xdr:colOff>
      <xdr:row>66</xdr:row>
      <xdr:rowOff>152400</xdr:rowOff>
    </xdr:from>
    <xdr:ext cx="6604000" cy="8240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ECB047-BAAA-4373-8929-DE565D936FD7}"/>
            </a:ext>
          </a:extLst>
        </xdr:cNvPr>
        <xdr:cNvSpPr txBox="1"/>
      </xdr:nvSpPr>
      <xdr:spPr>
        <a:xfrm>
          <a:off x="3321050" y="11493500"/>
          <a:ext cx="66040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144hz,    155hz -&gt; 150hz -&gt;144hz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150hz -&gt; 155hz,    144hz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88900</xdr:colOff>
      <xdr:row>70</xdr:row>
      <xdr:rowOff>203200</xdr:rowOff>
    </xdr:from>
    <xdr:ext cx="6819900" cy="82407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70D8091-1409-4026-B09F-5B480D2F2EB9}"/>
            </a:ext>
          </a:extLst>
        </xdr:cNvPr>
        <xdr:cNvSpPr txBox="1"/>
      </xdr:nvSpPr>
      <xdr:spPr>
        <a:xfrm>
          <a:off x="3327400" y="12407900"/>
          <a:ext cx="68199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2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145hz -&gt; 144hz,    155hz -&gt; 150hz -&gt;145hz  -&gt; 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145hz -&gt; 150hz -&gt; 155hz,     144hz -&gt; 145hz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178238</xdr:colOff>
      <xdr:row>26</xdr:row>
      <xdr:rowOff>95251</xdr:rowOff>
    </xdr:from>
    <xdr:to>
      <xdr:col>29</xdr:col>
      <xdr:colOff>192803</xdr:colOff>
      <xdr:row>30</xdr:row>
      <xdr:rowOff>158751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B0E74ED-4974-9E24-AAA1-D30FC331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0488" y="5708651"/>
          <a:ext cx="3938865" cy="1790700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15</xdr:row>
      <xdr:rowOff>191377</xdr:rowOff>
    </xdr:from>
    <xdr:to>
      <xdr:col>31</xdr:col>
      <xdr:colOff>238756</xdr:colOff>
      <xdr:row>30</xdr:row>
      <xdr:rowOff>159627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51DEA5-9CC7-A88B-7249-F576A191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53908" y="3429877"/>
          <a:ext cx="1279498" cy="4070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21</xdr:row>
      <xdr:rowOff>135978</xdr:rowOff>
    </xdr:from>
    <xdr:to>
      <xdr:col>28</xdr:col>
      <xdr:colOff>434171</xdr:colOff>
      <xdr:row>26</xdr:row>
      <xdr:rowOff>17786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488AE9-6EB8-A69B-4898-043F223B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35890" y="4669878"/>
          <a:ext cx="3530781" cy="961308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184150</xdr:colOff>
      <xdr:row>13</xdr:row>
      <xdr:rowOff>190500</xdr:rowOff>
    </xdr:from>
    <xdr:to>
      <xdr:col>30</xdr:col>
      <xdr:colOff>603507</xdr:colOff>
      <xdr:row>15</xdr:row>
      <xdr:rowOff>31764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299B03-DF4E-D846-938B-6DDFFBFD2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46400" y="2997200"/>
          <a:ext cx="4997707" cy="27306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178238</xdr:colOff>
      <xdr:row>26</xdr:row>
      <xdr:rowOff>95251</xdr:rowOff>
    </xdr:from>
    <xdr:to>
      <xdr:col>29</xdr:col>
      <xdr:colOff>192803</xdr:colOff>
      <xdr:row>30</xdr:row>
      <xdr:rowOff>158751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45C9F11-8753-4572-9CDE-F3F997CAF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0488" y="5708651"/>
          <a:ext cx="3938865" cy="1790700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15</xdr:row>
      <xdr:rowOff>191377</xdr:rowOff>
    </xdr:from>
    <xdr:to>
      <xdr:col>31</xdr:col>
      <xdr:colOff>238756</xdr:colOff>
      <xdr:row>30</xdr:row>
      <xdr:rowOff>159627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3907B3-ACC2-44E3-8EE9-4B470CEC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53908" y="3429877"/>
          <a:ext cx="1279498" cy="4070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21</xdr:row>
      <xdr:rowOff>135978</xdr:rowOff>
    </xdr:from>
    <xdr:to>
      <xdr:col>28</xdr:col>
      <xdr:colOff>434171</xdr:colOff>
      <xdr:row>26</xdr:row>
      <xdr:rowOff>17786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52F95E0-3E09-4205-8257-1CC15E93B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35890" y="4669878"/>
          <a:ext cx="3530781" cy="961308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184150</xdr:colOff>
      <xdr:row>13</xdr:row>
      <xdr:rowOff>190500</xdr:rowOff>
    </xdr:from>
    <xdr:to>
      <xdr:col>30</xdr:col>
      <xdr:colOff>603507</xdr:colOff>
      <xdr:row>15</xdr:row>
      <xdr:rowOff>31764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D2780C-81BA-4516-B2B5-D7A2DC396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46400" y="2997200"/>
          <a:ext cx="4997707" cy="27306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2863851</xdr:colOff>
      <xdr:row>2</xdr:row>
      <xdr:rowOff>50800</xdr:rowOff>
    </xdr:from>
    <xdr:to>
      <xdr:col>20</xdr:col>
      <xdr:colOff>12701</xdr:colOff>
      <xdr:row>2</xdr:row>
      <xdr:rowOff>846554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9D4D13-348C-47A2-A298-91F258586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84701" y="482600"/>
          <a:ext cx="3905250" cy="795754"/>
        </a:xfrm>
        <a:prstGeom prst="rect">
          <a:avLst/>
        </a:prstGeom>
      </xdr:spPr>
    </xdr:pic>
    <xdr:clientData/>
  </xdr:twoCellAnchor>
  <xdr:oneCellAnchor>
    <xdr:from>
      <xdr:col>0</xdr:col>
      <xdr:colOff>177800</xdr:colOff>
      <xdr:row>0</xdr:row>
      <xdr:rowOff>146050</xdr:rowOff>
    </xdr:from>
    <xdr:ext cx="4927600" cy="11567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AEDBE1-62E9-4DE3-B1C8-4C79C4D09D36}"/>
            </a:ext>
          </a:extLst>
        </xdr:cNvPr>
        <xdr:cNvSpPr txBox="1"/>
      </xdr:nvSpPr>
      <xdr:spPr>
        <a:xfrm>
          <a:off x="177800" y="146050"/>
          <a:ext cx="4927600" cy="115672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XD12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수정사항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: 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전류편차 보강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OTP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최대전류 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32mA, FB_LVL,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MAX_CURR_LVL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pwm clk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에 따른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Serializer/Deserializer reset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값 설정</a:t>
          </a:r>
          <a:endParaRPr lang="en-US" altLang="ko-KR" sz="12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XD04 :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변경없음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2863851</xdr:colOff>
      <xdr:row>2</xdr:row>
      <xdr:rowOff>50800</xdr:rowOff>
    </xdr:from>
    <xdr:to>
      <xdr:col>20</xdr:col>
      <xdr:colOff>12701</xdr:colOff>
      <xdr:row>2</xdr:row>
      <xdr:rowOff>846554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BFEB50-ADB7-8D19-F026-E00F27C1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33901" y="482600"/>
          <a:ext cx="3905250" cy="795754"/>
        </a:xfrm>
        <a:prstGeom prst="rect">
          <a:avLst/>
        </a:prstGeom>
      </xdr:spPr>
    </xdr:pic>
    <xdr:clientData/>
  </xdr:twoCellAnchor>
  <xdr:oneCellAnchor>
    <xdr:from>
      <xdr:col>0</xdr:col>
      <xdr:colOff>266700</xdr:colOff>
      <xdr:row>0</xdr:row>
      <xdr:rowOff>120650</xdr:rowOff>
    </xdr:from>
    <xdr:ext cx="4927600" cy="11567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88B22F-7E99-75B8-F626-37B7AC313D61}"/>
            </a:ext>
          </a:extLst>
        </xdr:cNvPr>
        <xdr:cNvSpPr txBox="1"/>
      </xdr:nvSpPr>
      <xdr:spPr>
        <a:xfrm>
          <a:off x="266700" y="120650"/>
          <a:ext cx="4927600" cy="115672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XD12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수정사항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: 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전류편차 보강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OTP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최대전류 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32mA, FB_LVL,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MAX_CURR_LVL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pwm clk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에 따른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Serializer/Deserializer reset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값 설정</a:t>
          </a:r>
          <a:endParaRPr lang="en-US" altLang="ko-KR" sz="12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XD04 :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변경없음</a:t>
          </a: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640182</xdr:colOff>
      <xdr:row>47</xdr:row>
      <xdr:rowOff>24306</xdr:rowOff>
    </xdr:from>
    <xdr:to>
      <xdr:col>10</xdr:col>
      <xdr:colOff>203807</xdr:colOff>
      <xdr:row>47</xdr:row>
      <xdr:rowOff>24306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91782E9-8EC1-4CF0-9C5A-80EB545766B4}"/>
            </a:ext>
          </a:extLst>
        </xdr:cNvPr>
        <xdr:cNvCxnSpPr>
          <a:cxnSpLocks/>
        </xdr:cNvCxnSpPr>
      </xdr:nvCxnSpPr>
      <xdr:spPr>
        <a:xfrm>
          <a:off x="5270390" y="16048134"/>
          <a:ext cx="1548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331788</xdr:colOff>
      <xdr:row>2</xdr:row>
      <xdr:rowOff>31750</xdr:rowOff>
    </xdr:from>
    <xdr:to>
      <xdr:col>12</xdr:col>
      <xdr:colOff>341827</xdr:colOff>
      <xdr:row>21</xdr:row>
      <xdr:rowOff>12700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920556F-AB01-3EE6-D2D1-6AE71E5E7B15}"/>
            </a:ext>
          </a:extLst>
        </xdr:cNvPr>
        <xdr:cNvGrpSpPr/>
      </xdr:nvGrpSpPr>
      <xdr:grpSpPr>
        <a:xfrm>
          <a:off x="992188" y="463550"/>
          <a:ext cx="7268089" cy="4083050"/>
          <a:chOff x="992706" y="459403"/>
          <a:chExt cx="7280141" cy="4043654"/>
        </a:xfrm>
      </xdr:grpSpPr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4C7CBC6B-819B-409B-AE33-60B691BA8A2A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BCF8A77-2F0E-42E9-9837-6F548B20CBE9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40958062-A1BB-4E37-8834-565629C9ACBC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69D4C975-5FD0-42EE-B6B4-A88985B6D72A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9E79074A-C0CE-4DBF-A2F6-F2201E53E64E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50EAC1B-D797-471D-A435-ECAB79E7FA36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38CC4E0D-96DB-0F9D-5D4D-BEF2F206727C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FD0B7729-9F71-1FA1-190B-46A8424AFD3A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8751DB95-7795-4680-ADEC-7CE6AB518F59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3C30394-D9BB-4461-83CF-6407454193A7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8F091FD-FBE4-4A49-97D9-D7AFEB1E11B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이등변 삼각형 51">
            <a:extLst>
              <a:ext uri="{FF2B5EF4-FFF2-40B4-BE49-F238E27FC236}">
                <a16:creationId xmlns:a16="http://schemas.microsoft.com/office/drawing/2014/main" id="{4B09BDA8-5FFD-403F-B0F8-C3DF8FCC2F1F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26E746E-3B93-4149-837F-EF856B395181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D993A98C-2832-43A1-8276-AD89BCAFDBA0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134F2E9-9AB3-454D-9F77-9C100F88F50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AEA11CAA-B010-4A1D-ACC9-C27CC705BDE2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7FCB816F-BBD0-4DF1-841F-9BFE3D5FA045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9" name="직선 연결선 98">
            <a:extLst>
              <a:ext uri="{FF2B5EF4-FFF2-40B4-BE49-F238E27FC236}">
                <a16:creationId xmlns:a16="http://schemas.microsoft.com/office/drawing/2014/main" id="{FCB192A4-7944-442E-BA18-4D76E6FC6B85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4B4A82C1-DBBB-4F6C-ABEE-E4A914A126CB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8B51C838-5535-4D85-B0B5-33859B952F92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105" name="이등변 삼각형 104">
            <a:extLst>
              <a:ext uri="{FF2B5EF4-FFF2-40B4-BE49-F238E27FC236}">
                <a16:creationId xmlns:a16="http://schemas.microsoft.com/office/drawing/2014/main" id="{938329EE-D351-4A24-AF16-270970526813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타원 105">
            <a:extLst>
              <a:ext uri="{FF2B5EF4-FFF2-40B4-BE49-F238E27FC236}">
                <a16:creationId xmlns:a16="http://schemas.microsoft.com/office/drawing/2014/main" id="{DC59FEF6-AAF7-4D40-9029-BCE8C966E15C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412851C2-F928-4E3D-AE20-F2E5388C39EF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D0DF342E-9A40-4FB3-A801-FF1CFD312024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BA17681-3E2B-44ED-AE08-6B37BBDF98B0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112" name="이등변 삼각형 111">
            <a:extLst>
              <a:ext uri="{FF2B5EF4-FFF2-40B4-BE49-F238E27FC236}">
                <a16:creationId xmlns:a16="http://schemas.microsoft.com/office/drawing/2014/main" id="{2977A6DE-0212-422B-AA6F-D4879BDA1C1E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이등변 삼각형 112">
            <a:extLst>
              <a:ext uri="{FF2B5EF4-FFF2-40B4-BE49-F238E27FC236}">
                <a16:creationId xmlns:a16="http://schemas.microsoft.com/office/drawing/2014/main" id="{3A4A7D0B-1D12-4068-B741-47BF2772285D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9EC3F00A-8330-E053-64DC-87D8EEB40EF5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C5D4A518-01D0-47DB-B8B4-1AC4373DEC42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4B95B465-B60E-435A-AA4A-5279992D894D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783047A3-76DF-4E50-ACAA-AFB5477C804F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3371AB4F-D2D8-4C26-97AA-DB755B3C0215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이등변 삼각형 114">
              <a:extLst>
                <a:ext uri="{FF2B5EF4-FFF2-40B4-BE49-F238E27FC236}">
                  <a16:creationId xmlns:a16="http://schemas.microsoft.com/office/drawing/2014/main" id="{93EACF4D-9BCB-4962-B663-F05FF9E44CF9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083F0D50-104B-4735-8DCF-47F0ED41A856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743CB054-0899-4E5C-AB07-C3B2EDA03395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A4CE7F7-CFE3-4C40-9733-EC51CC3175C0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3" name="직선 연결선 122">
            <a:extLst>
              <a:ext uri="{FF2B5EF4-FFF2-40B4-BE49-F238E27FC236}">
                <a16:creationId xmlns:a16="http://schemas.microsoft.com/office/drawing/2014/main" id="{0E0202A5-8D4E-44A1-8642-8D8715087F54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12061D-E21C-47F8-BD25-818975C37BE6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5" name="직선 연결선 124">
            <a:extLst>
              <a:ext uri="{FF2B5EF4-FFF2-40B4-BE49-F238E27FC236}">
                <a16:creationId xmlns:a16="http://schemas.microsoft.com/office/drawing/2014/main" id="{AEA5FDC5-81CA-4071-96DA-6D8FD0E23CC7}"/>
              </a:ext>
            </a:extLst>
          </xdr:cNvPr>
          <xdr:cNvCxnSpPr>
            <a:stCxn id="46" idx="3"/>
            <a:endCxn id="119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9531B23A-1323-4101-BB22-71D9D12D14AD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CC69BED8-739C-45A7-9B33-FA3EDF99EC61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139" name="직사각형 138">
              <a:extLst>
                <a:ext uri="{FF2B5EF4-FFF2-40B4-BE49-F238E27FC236}">
                  <a16:creationId xmlns:a16="http://schemas.microsoft.com/office/drawing/2014/main" id="{A7567FF4-7862-A140-29B4-CFC002DB18E4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이등변 삼각형 139">
              <a:extLst>
                <a:ext uri="{FF2B5EF4-FFF2-40B4-BE49-F238E27FC236}">
                  <a16:creationId xmlns:a16="http://schemas.microsoft.com/office/drawing/2014/main" id="{3CC5BB11-021D-6388-AA20-AE32111D2338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C15D8A6-D421-4EC1-AB38-51CD0999AD01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600820</xdr:colOff>
      <xdr:row>2</xdr:row>
      <xdr:rowOff>35119</xdr:rowOff>
    </xdr:from>
    <xdr:to>
      <xdr:col>22</xdr:col>
      <xdr:colOff>610859</xdr:colOff>
      <xdr:row>21</xdr:row>
      <xdr:rowOff>16069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7B51EC2-C7A8-4326-B2AA-B47D9DC9CABD}"/>
            </a:ext>
          </a:extLst>
        </xdr:cNvPr>
        <xdr:cNvGrpSpPr/>
      </xdr:nvGrpSpPr>
      <xdr:grpSpPr>
        <a:xfrm>
          <a:off x="7858870" y="466919"/>
          <a:ext cx="6899789" cy="4083050"/>
          <a:chOff x="992706" y="459403"/>
          <a:chExt cx="7280141" cy="4043654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EF7B46-C14D-0D41-01E4-D5D4378CA6B5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445C1389-F352-D683-4BBF-2CA7673D9CDC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E8016370-ADA4-3518-9C73-7D7D18A294ED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8F1722B-F62F-BEDD-AE0B-054743D689A7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147F008-2F74-CF89-472D-0579D0998198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99593CC6-3474-5EBB-4FDD-3B2D52B93860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07835999-B714-7A10-8919-3BF863B64B63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6C83768-9662-EE34-0149-EA1C94EAC518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9B29C9C3-98F8-62A9-0CB8-0DACDC025CDC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41BB834-F12B-C674-FB5F-FD83EFA13FE9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E75AE1FB-D829-4F96-3638-D68502AFA57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BFC03BAD-67BE-365A-7F95-745D28430758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5A6990-20BC-E09C-63AA-F32580135799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9EE97EA6-1A02-72B6-0A45-35F8576C376C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A5AC1B1-11E8-1C2E-C151-8355D1EF1A8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D30B74A5-8D0A-1420-0CFC-930D36F5D611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6F71F18-1995-ED22-9F6E-E96A24B1581E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84C00F8A-5C92-B83E-68CA-108DBFEA8798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02AAFE-4FF8-480D-C0C0-A07711DDB240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E5E10C7-5556-75B2-8274-90BB06BEC428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30640010-E971-7516-1C34-A33699C0F812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D71FB840-6BAA-F79D-C281-C586F8B92BAB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061D02AA-3F18-D3FC-F2F1-635600C49FA6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7ADD3CA-417D-29F8-0E88-E5A62FE673A8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8670080-C679-2574-B874-89EEAE58C9A5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42" name="이등변 삼각형 41">
            <a:extLst>
              <a:ext uri="{FF2B5EF4-FFF2-40B4-BE49-F238E27FC236}">
                <a16:creationId xmlns:a16="http://schemas.microsoft.com/office/drawing/2014/main" id="{6E006C78-AF40-306B-2B23-54B9978EFA72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AA0D7A34-12EE-95DE-D64F-84CEE63ED39B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AD87D6B5-5B08-14F7-92C8-A3711FC7482C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B72889F-876C-3A33-D5DE-96A810CB5929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36F6695-3B0F-B6A7-256C-80E764960FD9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1A9C9988-B40F-F5E2-4DAA-D8DA57279EE7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5766D4FD-B93B-EBF6-FE7F-BBFA444028B0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이등변 삼각형 64">
              <a:extLst>
                <a:ext uri="{FF2B5EF4-FFF2-40B4-BE49-F238E27FC236}">
                  <a16:creationId xmlns:a16="http://schemas.microsoft.com/office/drawing/2014/main" id="{58186EAE-5F02-7D85-CCDE-BC4841221327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C3DBD0-4591-EDD6-C4A5-BB3820C09335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8BB9002-A697-C39F-692D-7D240D178FE7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CE9E80C-25DA-BC1D-8A02-808347DEBCD7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09D8FAD3-BF6A-728B-D9FE-41D7C2CFE58B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A600D5C-A4F2-1937-6492-46C6D7277E37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0BD1E690-4950-FB6D-1980-E5F622A5451D}"/>
              </a:ext>
            </a:extLst>
          </xdr:cNvPr>
          <xdr:cNvCxnSpPr>
            <a:stCxn id="21" idx="3"/>
            <a:endCxn id="48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C2FD1757-495C-92F1-4E2B-AFEA4F0E9067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BB9F2E72-B1B3-FEB5-0EB5-F11E615238A8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41FC8309-15CF-5B0B-9E53-2EC62CFF14D0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이등변 삼각형 59">
              <a:extLst>
                <a:ext uri="{FF2B5EF4-FFF2-40B4-BE49-F238E27FC236}">
                  <a16:creationId xmlns:a16="http://schemas.microsoft.com/office/drawing/2014/main" id="{1A32AD3F-C8E3-7473-3BE8-18AA231C7586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C6C43B30-8D49-B6DB-A580-2E8660F23B5F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187908</xdr:colOff>
      <xdr:row>47</xdr:row>
      <xdr:rowOff>19439</xdr:rowOff>
    </xdr:from>
    <xdr:to>
      <xdr:col>3</xdr:col>
      <xdr:colOff>606990</xdr:colOff>
      <xdr:row>47</xdr:row>
      <xdr:rowOff>19439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A6EE1A63-EAD8-401F-BAE5-CA372F277E92}"/>
            </a:ext>
          </a:extLst>
        </xdr:cNvPr>
        <xdr:cNvCxnSpPr/>
      </xdr:nvCxnSpPr>
      <xdr:spPr>
        <a:xfrm>
          <a:off x="1509745" y="15959235"/>
          <a:ext cx="1080000" cy="0"/>
        </a:xfrm>
        <a:prstGeom prst="line">
          <a:avLst/>
        </a:prstGeom>
        <a:ln w="12700">
          <a:solidFill>
            <a:schemeClr val="tx1"/>
          </a:solidFill>
          <a:head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67041</xdr:colOff>
      <xdr:row>37</xdr:row>
      <xdr:rowOff>71277</xdr:rowOff>
    </xdr:from>
    <xdr:to>
      <xdr:col>9</xdr:col>
      <xdr:colOff>402496</xdr:colOff>
      <xdr:row>57</xdr:row>
      <xdr:rowOff>83459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A8C60B1-A036-4F00-B983-7DB9F42A2D77}"/>
            </a:ext>
          </a:extLst>
        </xdr:cNvPr>
        <xdr:cNvSpPr/>
      </xdr:nvSpPr>
      <xdr:spPr>
        <a:xfrm>
          <a:off x="2041314" y="13856550"/>
          <a:ext cx="4284000" cy="4284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84292</xdr:colOff>
      <xdr:row>47</xdr:row>
      <xdr:rowOff>24043</xdr:rowOff>
    </xdr:from>
    <xdr:to>
      <xdr:col>5</xdr:col>
      <xdr:colOff>178833</xdr:colOff>
      <xdr:row>47</xdr:row>
      <xdr:rowOff>24043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F9BC45B3-BA04-4FB2-AFBA-9EF9DC4AAD15}"/>
            </a:ext>
          </a:extLst>
        </xdr:cNvPr>
        <xdr:cNvCxnSpPr>
          <a:cxnSpLocks/>
          <a:stCxn id="148" idx="3"/>
        </xdr:cNvCxnSpPr>
      </xdr:nvCxnSpPr>
      <xdr:spPr>
        <a:xfrm>
          <a:off x="2730125" y="16047871"/>
          <a:ext cx="756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541285</xdr:colOff>
      <xdr:row>46</xdr:row>
      <xdr:rowOff>65171</xdr:rowOff>
    </xdr:from>
    <xdr:to>
      <xdr:col>3</xdr:col>
      <xdr:colOff>205332</xdr:colOff>
      <xdr:row>47</xdr:row>
      <xdr:rowOff>173110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CE7A4800-6873-4BB9-8534-15307006927B}"/>
            </a:ext>
          </a:extLst>
        </xdr:cNvPr>
        <xdr:cNvSpPr/>
      </xdr:nvSpPr>
      <xdr:spPr>
        <a:xfrm>
          <a:off x="1862085" y="9996571"/>
          <a:ext cx="324447" cy="32383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499918</xdr:colOff>
      <xdr:row>46</xdr:row>
      <xdr:rowOff>50813</xdr:rowOff>
    </xdr:from>
    <xdr:to>
      <xdr:col>3</xdr:col>
      <xdr:colOff>607803</xdr:colOff>
      <xdr:row>46</xdr:row>
      <xdr:rowOff>157855</xdr:rowOff>
    </xdr:to>
    <xdr:sp macro="" textlink="">
      <xdr:nvSpPr>
        <xdr:cNvPr id="144" name="타원 143">
          <a:extLst>
            <a:ext uri="{FF2B5EF4-FFF2-40B4-BE49-F238E27FC236}">
              <a16:creationId xmlns:a16="http://schemas.microsoft.com/office/drawing/2014/main" id="{DD1E27E7-AD53-435E-A7B2-254C8046FA2A}"/>
            </a:ext>
          </a:extLst>
        </xdr:cNvPr>
        <xdr:cNvSpPr/>
      </xdr:nvSpPr>
      <xdr:spPr>
        <a:xfrm>
          <a:off x="2484293" y="15859667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557144</xdr:colOff>
      <xdr:row>44</xdr:row>
      <xdr:rowOff>75055</xdr:rowOff>
    </xdr:from>
    <xdr:to>
      <xdr:col>3</xdr:col>
      <xdr:colOff>557144</xdr:colOff>
      <xdr:row>46</xdr:row>
      <xdr:rowOff>77107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7036946-0789-4B0D-A7CC-4B0F7CFC5CB2}"/>
            </a:ext>
          </a:extLst>
        </xdr:cNvPr>
        <xdr:cNvCxnSpPr/>
      </xdr:nvCxnSpPr>
      <xdr:spPr>
        <a:xfrm flipV="1">
          <a:off x="2541519" y="15453961"/>
          <a:ext cx="0" cy="43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553703</xdr:colOff>
      <xdr:row>44</xdr:row>
      <xdr:rowOff>80350</xdr:rowOff>
    </xdr:from>
    <xdr:to>
      <xdr:col>4</xdr:col>
      <xdr:colOff>288881</xdr:colOff>
      <xdr:row>44</xdr:row>
      <xdr:rowOff>80350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15EFD8F6-BD95-4F6E-B299-D4934B94E2A3}"/>
            </a:ext>
          </a:extLst>
        </xdr:cNvPr>
        <xdr:cNvCxnSpPr/>
      </xdr:nvCxnSpPr>
      <xdr:spPr>
        <a:xfrm flipV="1">
          <a:off x="2538078" y="15459256"/>
          <a:ext cx="39663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226310</xdr:colOff>
      <xdr:row>43</xdr:row>
      <xdr:rowOff>149114</xdr:rowOff>
    </xdr:from>
    <xdr:to>
      <xdr:col>5</xdr:col>
      <xdr:colOff>350572</xdr:colOff>
      <xdr:row>44</xdr:row>
      <xdr:rowOff>213492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7378B5D-01B7-4B3B-992D-2D8C3272793C}"/>
            </a:ext>
          </a:extLst>
        </xdr:cNvPr>
        <xdr:cNvSpPr txBox="1"/>
      </xdr:nvSpPr>
      <xdr:spPr>
        <a:xfrm>
          <a:off x="2872143" y="15313046"/>
          <a:ext cx="785721" cy="279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FBO_OEN</a:t>
          </a:r>
          <a:endParaRPr lang="ko-KR" altLang="en-US" sz="1200"/>
        </a:p>
      </xdr:txBody>
    </xdr:sp>
    <xdr:clientData/>
  </xdr:twoCellAnchor>
  <xdr:twoCellAnchor>
    <xdr:from>
      <xdr:col>3</xdr:col>
      <xdr:colOff>421037</xdr:colOff>
      <xdr:row>46</xdr:row>
      <xdr:rowOff>69765</xdr:rowOff>
    </xdr:from>
    <xdr:to>
      <xdr:col>4</xdr:col>
      <xdr:colOff>84292</xdr:colOff>
      <xdr:row>47</xdr:row>
      <xdr:rowOff>192149</xdr:rowOff>
    </xdr:to>
    <xdr:sp macro="" textlink="">
      <xdr:nvSpPr>
        <xdr:cNvPr id="148" name="이등변 삼각형 147">
          <a:extLst>
            <a:ext uri="{FF2B5EF4-FFF2-40B4-BE49-F238E27FC236}">
              <a16:creationId xmlns:a16="http://schemas.microsoft.com/office/drawing/2014/main" id="{F71F0BC2-C8C9-49D4-B370-80D827C81946}"/>
            </a:ext>
          </a:extLst>
        </xdr:cNvPr>
        <xdr:cNvSpPr/>
      </xdr:nvSpPr>
      <xdr:spPr>
        <a:xfrm rot="16200000">
          <a:off x="2397773" y="1580175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139298</xdr:colOff>
      <xdr:row>43</xdr:row>
      <xdr:rowOff>35020</xdr:rowOff>
    </xdr:from>
    <xdr:to>
      <xdr:col>9</xdr:col>
      <xdr:colOff>139298</xdr:colOff>
      <xdr:row>50</xdr:row>
      <xdr:rowOff>195883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F06CD020-6992-6612-E591-BFE7A4F497A1}"/>
            </a:ext>
          </a:extLst>
        </xdr:cNvPr>
        <xdr:cNvCxnSpPr/>
      </xdr:nvCxnSpPr>
      <xdr:spPr>
        <a:xfrm flipH="1">
          <a:off x="6062116" y="15101838"/>
          <a:ext cx="0" cy="165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28920</xdr:colOff>
      <xdr:row>43</xdr:row>
      <xdr:rowOff>41736</xdr:rowOff>
    </xdr:from>
    <xdr:to>
      <xdr:col>9</xdr:col>
      <xdr:colOff>237788</xdr:colOff>
      <xdr:row>43</xdr:row>
      <xdr:rowOff>41736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FA87E99-FCA8-688B-7F08-B41559C9DACB}"/>
            </a:ext>
          </a:extLst>
        </xdr:cNvPr>
        <xdr:cNvCxnSpPr/>
      </xdr:nvCxnSpPr>
      <xdr:spPr>
        <a:xfrm flipH="1" flipV="1">
          <a:off x="5982045" y="15205668"/>
          <a:ext cx="20886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63978</xdr:colOff>
      <xdr:row>44</xdr:row>
      <xdr:rowOff>36392</xdr:rowOff>
    </xdr:from>
    <xdr:to>
      <xdr:col>9</xdr:col>
      <xdr:colOff>222018</xdr:colOff>
      <xdr:row>45</xdr:row>
      <xdr:rowOff>181821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D6F7F28D-D6B1-EEBD-8D51-74F50D282CE5}"/>
            </a:ext>
          </a:extLst>
        </xdr:cNvPr>
        <xdr:cNvSpPr/>
      </xdr:nvSpPr>
      <xdr:spPr>
        <a:xfrm>
          <a:off x="6012243" y="15334708"/>
          <a:ext cx="158040" cy="35925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92555</xdr:colOff>
      <xdr:row>46</xdr:row>
      <xdr:rowOff>198333</xdr:rowOff>
    </xdr:from>
    <xdr:to>
      <xdr:col>9</xdr:col>
      <xdr:colOff>164478</xdr:colOff>
      <xdr:row>47</xdr:row>
      <xdr:rowOff>57298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CE2E7049-9B8B-4CAB-B6BC-015B5A3ABBCF}"/>
            </a:ext>
          </a:extLst>
        </xdr:cNvPr>
        <xdr:cNvSpPr/>
      </xdr:nvSpPr>
      <xdr:spPr>
        <a:xfrm>
          <a:off x="6040820" y="15924302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170548</xdr:colOff>
      <xdr:row>46</xdr:row>
      <xdr:rowOff>97562</xdr:rowOff>
    </xdr:from>
    <xdr:to>
      <xdr:col>11</xdr:col>
      <xdr:colOff>487795</xdr:colOff>
      <xdr:row>47</xdr:row>
      <xdr:rowOff>158549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176ED5D-8FC7-45FA-873F-ED8314FF98A7}"/>
            </a:ext>
          </a:extLst>
        </xdr:cNvPr>
        <xdr:cNvSpPr txBox="1"/>
      </xdr:nvSpPr>
      <xdr:spPr>
        <a:xfrm>
          <a:off x="6780321" y="16012971"/>
          <a:ext cx="978224" cy="277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/>
            <a:t>FBI_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VSO / VSI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0</xdr:col>
      <xdr:colOff>473365</xdr:colOff>
      <xdr:row>46</xdr:row>
      <xdr:rowOff>92778</xdr:rowOff>
    </xdr:from>
    <xdr:to>
      <xdr:col>2</xdr:col>
      <xdr:colOff>153922</xdr:colOff>
      <xdr:row>47</xdr:row>
      <xdr:rowOff>185021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A7DE564-08D8-4956-879C-F16C0CCFFB25}"/>
            </a:ext>
          </a:extLst>
        </xdr:cNvPr>
        <xdr:cNvSpPr txBox="1"/>
      </xdr:nvSpPr>
      <xdr:spPr>
        <a:xfrm>
          <a:off x="473365" y="16008187"/>
          <a:ext cx="1002512" cy="308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/>
            <a:t>FBO_VSI / FBO</a:t>
          </a:r>
          <a:endParaRPr lang="ko-KR" altLang="en-US" sz="1200"/>
        </a:p>
      </xdr:txBody>
    </xdr:sp>
    <xdr:clientData/>
  </xdr:twoCellAnchor>
  <xdr:twoCellAnchor>
    <xdr:from>
      <xdr:col>5</xdr:col>
      <xdr:colOff>173177</xdr:colOff>
      <xdr:row>47</xdr:row>
      <xdr:rowOff>14965</xdr:rowOff>
    </xdr:from>
    <xdr:to>
      <xdr:col>5</xdr:col>
      <xdr:colOff>173177</xdr:colOff>
      <xdr:row>47</xdr:row>
      <xdr:rowOff>194965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BA391015-50FE-4B32-9CD9-73C470F136BD}"/>
            </a:ext>
          </a:extLst>
        </xdr:cNvPr>
        <xdr:cNvCxnSpPr/>
      </xdr:nvCxnSpPr>
      <xdr:spPr>
        <a:xfrm>
          <a:off x="3480469" y="16038793"/>
          <a:ext cx="0" cy="18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2462</xdr:colOff>
      <xdr:row>47</xdr:row>
      <xdr:rowOff>198161</xdr:rowOff>
    </xdr:from>
    <xdr:to>
      <xdr:col>5</xdr:col>
      <xdr:colOff>331030</xdr:colOff>
      <xdr:row>48</xdr:row>
      <xdr:rowOff>154325</xdr:rowOff>
    </xdr:to>
    <xdr:sp macro="" textlink="">
      <xdr:nvSpPr>
        <xdr:cNvPr id="163" name="이등변 삼각형 162">
          <a:extLst>
            <a:ext uri="{FF2B5EF4-FFF2-40B4-BE49-F238E27FC236}">
              <a16:creationId xmlns:a16="http://schemas.microsoft.com/office/drawing/2014/main" id="{8DD1FA56-0749-428B-897B-D056F87AFFE1}"/>
            </a:ext>
          </a:extLst>
        </xdr:cNvPr>
        <xdr:cNvSpPr/>
      </xdr:nvSpPr>
      <xdr:spPr>
        <a:xfrm rot="10800000">
          <a:off x="3309754" y="16221989"/>
          <a:ext cx="328568" cy="171138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248695</xdr:colOff>
      <xdr:row>46</xdr:row>
      <xdr:rowOff>85965</xdr:rowOff>
    </xdr:from>
    <xdr:to>
      <xdr:col>9</xdr:col>
      <xdr:colOff>571558</xdr:colOff>
      <xdr:row>47</xdr:row>
      <xdr:rowOff>192299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06026341-A655-415C-89F7-7159C48ED4F3}"/>
            </a:ext>
          </a:extLst>
        </xdr:cNvPr>
        <xdr:cNvSpPr/>
      </xdr:nvSpPr>
      <xdr:spPr>
        <a:xfrm>
          <a:off x="6196960" y="15811934"/>
          <a:ext cx="322863" cy="32016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236167</xdr:colOff>
      <xdr:row>46</xdr:row>
      <xdr:rowOff>107087</xdr:rowOff>
    </xdr:from>
    <xdr:to>
      <xdr:col>8</xdr:col>
      <xdr:colOff>29765</xdr:colOff>
      <xdr:row>47</xdr:row>
      <xdr:rowOff>176547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1662283-E4B9-41C6-8B9D-99515BC3EE05}"/>
            </a:ext>
          </a:extLst>
        </xdr:cNvPr>
        <xdr:cNvSpPr txBox="1"/>
      </xdr:nvSpPr>
      <xdr:spPr>
        <a:xfrm>
          <a:off x="4866375" y="15915941"/>
          <a:ext cx="455057" cy="2844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VSO</a:t>
          </a:r>
          <a:endParaRPr lang="ko-KR" altLang="en-US" sz="1200"/>
        </a:p>
      </xdr:txBody>
    </xdr:sp>
    <xdr:clientData/>
  </xdr:twoCellAnchor>
  <xdr:twoCellAnchor>
    <xdr:from>
      <xdr:col>5</xdr:col>
      <xdr:colOff>659140</xdr:colOff>
      <xdr:row>47</xdr:row>
      <xdr:rowOff>172537</xdr:rowOff>
    </xdr:from>
    <xdr:to>
      <xdr:col>6</xdr:col>
      <xdr:colOff>158880</xdr:colOff>
      <xdr:row>49</xdr:row>
      <xdr:rowOff>19698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D0F9742-022B-4E51-AE82-77BE9948DD79}"/>
            </a:ext>
          </a:extLst>
        </xdr:cNvPr>
        <xdr:cNvSpPr txBox="1"/>
      </xdr:nvSpPr>
      <xdr:spPr>
        <a:xfrm>
          <a:off x="3963732" y="16112333"/>
          <a:ext cx="160658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>
              <a:solidFill>
                <a:schemeClr val="bg1"/>
              </a:solidFill>
            </a:rPr>
            <a:t>10</a:t>
          </a:r>
          <a:endParaRPr lang="ko-KR" altLang="ko-KR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313473</xdr:colOff>
      <xdr:row>42</xdr:row>
      <xdr:rowOff>3036</xdr:rowOff>
    </xdr:from>
    <xdr:to>
      <xdr:col>4</xdr:col>
      <xdr:colOff>300015</xdr:colOff>
      <xdr:row>42</xdr:row>
      <xdr:rowOff>3036</xdr:rowOff>
    </xdr:to>
    <xdr:cxnSp macro="">
      <xdr:nvCxnSpPr>
        <xdr:cNvPr id="172" name="직선 연결선 171">
          <a:extLst>
            <a:ext uri="{FF2B5EF4-FFF2-40B4-BE49-F238E27FC236}">
              <a16:creationId xmlns:a16="http://schemas.microsoft.com/office/drawing/2014/main" id="{33CEEF6C-0B13-47DB-B696-2EB068AC5511}"/>
            </a:ext>
          </a:extLst>
        </xdr:cNvPr>
        <xdr:cNvCxnSpPr/>
      </xdr:nvCxnSpPr>
      <xdr:spPr>
        <a:xfrm flipH="1">
          <a:off x="2297848" y="14951994"/>
          <a:ext cx="648000" cy="0"/>
        </a:xfrm>
        <a:prstGeom prst="line">
          <a:avLst/>
        </a:prstGeom>
        <a:ln w="12700">
          <a:solidFill>
            <a:schemeClr val="tx1"/>
          </a:solidFill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317499</xdr:colOff>
      <xdr:row>41</xdr:row>
      <xdr:rowOff>214974</xdr:rowOff>
    </xdr:from>
    <xdr:to>
      <xdr:col>3</xdr:col>
      <xdr:colOff>317499</xdr:colOff>
      <xdr:row>49</xdr:row>
      <xdr:rowOff>7582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C23EDAAC-9C54-463F-9D60-1F49D8CF1340}"/>
            </a:ext>
          </a:extLst>
        </xdr:cNvPr>
        <xdr:cNvCxnSpPr/>
      </xdr:nvCxnSpPr>
      <xdr:spPr>
        <a:xfrm flipH="1" flipV="1">
          <a:off x="2301874" y="14948958"/>
          <a:ext cx="0" cy="1512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317728</xdr:colOff>
      <xdr:row>49</xdr:row>
      <xdr:rowOff>4478</xdr:rowOff>
    </xdr:from>
    <xdr:to>
      <xdr:col>4</xdr:col>
      <xdr:colOff>268270</xdr:colOff>
      <xdr:row>49</xdr:row>
      <xdr:rowOff>4478</xdr:rowOff>
    </xdr:to>
    <xdr:cxnSp macro="">
      <xdr:nvCxnSpPr>
        <xdr:cNvPr id="175" name="직선 연결선 174">
          <a:extLst>
            <a:ext uri="{FF2B5EF4-FFF2-40B4-BE49-F238E27FC236}">
              <a16:creationId xmlns:a16="http://schemas.microsoft.com/office/drawing/2014/main" id="{1B01441A-3BCA-4DFE-8DAB-145676458135}"/>
            </a:ext>
          </a:extLst>
        </xdr:cNvPr>
        <xdr:cNvCxnSpPr/>
      </xdr:nvCxnSpPr>
      <xdr:spPr>
        <a:xfrm flipV="1">
          <a:off x="2302103" y="1645825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566989</xdr:colOff>
      <xdr:row>48</xdr:row>
      <xdr:rowOff>166139</xdr:rowOff>
    </xdr:from>
    <xdr:to>
      <xdr:col>6</xdr:col>
      <xdr:colOff>339588</xdr:colOff>
      <xdr:row>50</xdr:row>
      <xdr:rowOff>19122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4CED0BC9-9BBE-40D7-92DF-52E7480FD07A}"/>
            </a:ext>
          </a:extLst>
        </xdr:cNvPr>
        <xdr:cNvSpPr txBox="1"/>
      </xdr:nvSpPr>
      <xdr:spPr>
        <a:xfrm>
          <a:off x="3871875" y="16514503"/>
          <a:ext cx="433577" cy="285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VSI</a:t>
          </a:r>
          <a:endParaRPr lang="ko-KR" altLang="en-US" sz="1200"/>
        </a:p>
      </xdr:txBody>
    </xdr:sp>
    <xdr:clientData/>
  </xdr:twoCellAnchor>
  <xdr:twoCellAnchor>
    <xdr:from>
      <xdr:col>8</xdr:col>
      <xdr:colOff>388896</xdr:colOff>
      <xdr:row>46</xdr:row>
      <xdr:rowOff>70025</xdr:rowOff>
    </xdr:from>
    <xdr:to>
      <xdr:col>9</xdr:col>
      <xdr:colOff>52151</xdr:colOff>
      <xdr:row>47</xdr:row>
      <xdr:rowOff>192409</xdr:rowOff>
    </xdr:to>
    <xdr:sp macro="" textlink="">
      <xdr:nvSpPr>
        <xdr:cNvPr id="179" name="이등변 삼각형 178">
          <a:extLst>
            <a:ext uri="{FF2B5EF4-FFF2-40B4-BE49-F238E27FC236}">
              <a16:creationId xmlns:a16="http://schemas.microsoft.com/office/drawing/2014/main" id="{F120BC25-89A0-4EC0-A5D3-5E148409964B}"/>
            </a:ext>
          </a:extLst>
        </xdr:cNvPr>
        <xdr:cNvSpPr/>
      </xdr:nvSpPr>
      <xdr:spPr>
        <a:xfrm rot="5400000">
          <a:off x="5670224" y="1580201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189546</xdr:colOff>
      <xdr:row>49</xdr:row>
      <xdr:rowOff>10750</xdr:rowOff>
    </xdr:from>
    <xdr:to>
      <xdr:col>9</xdr:col>
      <xdr:colOff>143455</xdr:colOff>
      <xdr:row>49</xdr:row>
      <xdr:rowOff>10750</xdr:rowOff>
    </xdr:to>
    <xdr:cxnSp macro="">
      <xdr:nvCxnSpPr>
        <xdr:cNvPr id="181" name="직선 연결선 180">
          <a:extLst>
            <a:ext uri="{FF2B5EF4-FFF2-40B4-BE49-F238E27FC236}">
              <a16:creationId xmlns:a16="http://schemas.microsoft.com/office/drawing/2014/main" id="{CF19B199-EA11-4C2E-9F13-BDD1FAB540E9}"/>
            </a:ext>
          </a:extLst>
        </xdr:cNvPr>
        <xdr:cNvCxnSpPr/>
      </xdr:nvCxnSpPr>
      <xdr:spPr>
        <a:xfrm flipV="1">
          <a:off x="5454273" y="1635911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283834</xdr:colOff>
      <xdr:row>46</xdr:row>
      <xdr:rowOff>201702</xdr:rowOff>
    </xdr:from>
    <xdr:to>
      <xdr:col>3</xdr:col>
      <xdr:colOff>355757</xdr:colOff>
      <xdr:row>47</xdr:row>
      <xdr:rowOff>60667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B0581BD9-60FA-42CF-B3E1-89EE5B6CD152}"/>
            </a:ext>
          </a:extLst>
        </xdr:cNvPr>
        <xdr:cNvSpPr/>
      </xdr:nvSpPr>
      <xdr:spPr>
        <a:xfrm>
          <a:off x="2266589" y="15927671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560513</xdr:colOff>
      <xdr:row>44</xdr:row>
      <xdr:rowOff>61691</xdr:rowOff>
    </xdr:from>
    <xdr:to>
      <xdr:col>8</xdr:col>
      <xdr:colOff>560513</xdr:colOff>
      <xdr:row>46</xdr:row>
      <xdr:rowOff>138038</xdr:rowOff>
    </xdr:to>
    <xdr:cxnSp macro="">
      <xdr:nvCxnSpPr>
        <xdr:cNvPr id="184" name="직선 연결선 183">
          <a:extLst>
            <a:ext uri="{FF2B5EF4-FFF2-40B4-BE49-F238E27FC236}">
              <a16:creationId xmlns:a16="http://schemas.microsoft.com/office/drawing/2014/main" id="{9AC0C19D-0310-452D-97B5-38852210DC07}"/>
            </a:ext>
          </a:extLst>
        </xdr:cNvPr>
        <xdr:cNvCxnSpPr/>
      </xdr:nvCxnSpPr>
      <xdr:spPr>
        <a:xfrm flipV="1">
          <a:off x="5847860" y="15360007"/>
          <a:ext cx="0" cy="504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168432</xdr:colOff>
      <xdr:row>44</xdr:row>
      <xdr:rowOff>62798</xdr:rowOff>
    </xdr:from>
    <xdr:to>
      <xdr:col>8</xdr:col>
      <xdr:colOff>564528</xdr:colOff>
      <xdr:row>44</xdr:row>
      <xdr:rowOff>62798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38D69E8-3540-41E3-9AEC-4679B0DFD56A}"/>
            </a:ext>
          </a:extLst>
        </xdr:cNvPr>
        <xdr:cNvCxnSpPr/>
      </xdr:nvCxnSpPr>
      <xdr:spPr>
        <a:xfrm flipV="1">
          <a:off x="5460099" y="15441704"/>
          <a:ext cx="39609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48</xdr:row>
      <xdr:rowOff>85954</xdr:rowOff>
    </xdr:from>
    <xdr:to>
      <xdr:col>8</xdr:col>
      <xdr:colOff>290227</xdr:colOff>
      <xdr:row>49</xdr:row>
      <xdr:rowOff>155414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278F0A0-018F-45BE-B7B9-47FBEB740232}"/>
            </a:ext>
          </a:extLst>
        </xdr:cNvPr>
        <xdr:cNvSpPr txBox="1"/>
      </xdr:nvSpPr>
      <xdr:spPr>
        <a:xfrm>
          <a:off x="4788958" y="16468954"/>
          <a:ext cx="792936" cy="2864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3</xdr:col>
      <xdr:colOff>417924</xdr:colOff>
      <xdr:row>48</xdr:row>
      <xdr:rowOff>53696</xdr:rowOff>
    </xdr:from>
    <xdr:to>
      <xdr:col>4</xdr:col>
      <xdr:colOff>81179</xdr:colOff>
      <xdr:row>49</xdr:row>
      <xdr:rowOff>176080</xdr:rowOff>
    </xdr:to>
    <xdr:sp macro="" textlink="">
      <xdr:nvSpPr>
        <xdr:cNvPr id="173" name="이등변 삼각형 172">
          <a:extLst>
            <a:ext uri="{FF2B5EF4-FFF2-40B4-BE49-F238E27FC236}">
              <a16:creationId xmlns:a16="http://schemas.microsoft.com/office/drawing/2014/main" id="{3E35B066-73CD-4F3A-9611-80C957272EFE}"/>
            </a:ext>
          </a:extLst>
        </xdr:cNvPr>
        <xdr:cNvSpPr/>
      </xdr:nvSpPr>
      <xdr:spPr>
        <a:xfrm rot="5400000">
          <a:off x="2394660" y="16213337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366088</xdr:colOff>
      <xdr:row>48</xdr:row>
      <xdr:rowOff>56602</xdr:rowOff>
    </xdr:from>
    <xdr:to>
      <xdr:col>9</xdr:col>
      <xdr:colOff>29343</xdr:colOff>
      <xdr:row>49</xdr:row>
      <xdr:rowOff>178986</xdr:rowOff>
    </xdr:to>
    <xdr:sp macro="" textlink="">
      <xdr:nvSpPr>
        <xdr:cNvPr id="178" name="이등변 삼각형 177">
          <a:extLst>
            <a:ext uri="{FF2B5EF4-FFF2-40B4-BE49-F238E27FC236}">
              <a16:creationId xmlns:a16="http://schemas.microsoft.com/office/drawing/2014/main" id="{9696EF89-50D8-4B27-8FB6-3D07985E2CC8}"/>
            </a:ext>
          </a:extLst>
        </xdr:cNvPr>
        <xdr:cNvSpPr/>
      </xdr:nvSpPr>
      <xdr:spPr>
        <a:xfrm rot="16200000">
          <a:off x="5651433" y="16301726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503287</xdr:colOff>
      <xdr:row>46</xdr:row>
      <xdr:rowOff>37916</xdr:rowOff>
    </xdr:from>
    <xdr:to>
      <xdr:col>8</xdr:col>
      <xdr:colOff>611172</xdr:colOff>
      <xdr:row>46</xdr:row>
      <xdr:rowOff>144958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2A15A14C-9B1E-4831-B841-F8F307309CD4}"/>
            </a:ext>
          </a:extLst>
        </xdr:cNvPr>
        <xdr:cNvSpPr/>
      </xdr:nvSpPr>
      <xdr:spPr>
        <a:xfrm>
          <a:off x="5790634" y="15763885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356578</xdr:colOff>
      <xdr:row>41</xdr:row>
      <xdr:rowOff>45517</xdr:rowOff>
    </xdr:from>
    <xdr:to>
      <xdr:col>4</xdr:col>
      <xdr:colOff>19833</xdr:colOff>
      <xdr:row>42</xdr:row>
      <xdr:rowOff>167901</xdr:rowOff>
    </xdr:to>
    <xdr:sp macro="" textlink="">
      <xdr:nvSpPr>
        <xdr:cNvPr id="190" name="이등변 삼각형 189">
          <a:extLst>
            <a:ext uri="{FF2B5EF4-FFF2-40B4-BE49-F238E27FC236}">
              <a16:creationId xmlns:a16="http://schemas.microsoft.com/office/drawing/2014/main" id="{40C8674D-E983-4298-B6F8-E35ECE0098C4}"/>
            </a:ext>
          </a:extLst>
        </xdr:cNvPr>
        <xdr:cNvSpPr/>
      </xdr:nvSpPr>
      <xdr:spPr>
        <a:xfrm rot="16200000">
          <a:off x="2334631" y="14785823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228478</xdr:colOff>
      <xdr:row>41</xdr:row>
      <xdr:rowOff>74676</xdr:rowOff>
    </xdr:from>
    <xdr:to>
      <xdr:col>5</xdr:col>
      <xdr:colOff>186300</xdr:colOff>
      <xdr:row>42</xdr:row>
      <xdr:rowOff>144137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2BC66EA-396F-4C97-9A30-C8F2DB1E66BD}"/>
            </a:ext>
          </a:extLst>
        </xdr:cNvPr>
        <xdr:cNvSpPr txBox="1"/>
      </xdr:nvSpPr>
      <xdr:spPr>
        <a:xfrm>
          <a:off x="2874311" y="14808660"/>
          <a:ext cx="619281" cy="284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VREF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101600</xdr:colOff>
      <xdr:row>43</xdr:row>
      <xdr:rowOff>130328</xdr:rowOff>
    </xdr:from>
    <xdr:to>
      <xdr:col>8</xdr:col>
      <xdr:colOff>279267</xdr:colOff>
      <xdr:row>44</xdr:row>
      <xdr:rowOff>194706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378FEE4-2B5D-425A-97D9-71E2E495145B}"/>
            </a:ext>
          </a:extLst>
        </xdr:cNvPr>
        <xdr:cNvSpPr txBox="1"/>
      </xdr:nvSpPr>
      <xdr:spPr>
        <a:xfrm>
          <a:off x="4724400" y="9414028"/>
          <a:ext cx="838067" cy="28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VSO_OEN</a:t>
          </a:r>
          <a:endParaRPr lang="ko-KR" altLang="en-US" sz="1200"/>
        </a:p>
      </xdr:txBody>
    </xdr:sp>
    <xdr:clientData/>
  </xdr:twoCellAnchor>
  <xdr:twoCellAnchor>
    <xdr:from>
      <xdr:col>9</xdr:col>
      <xdr:colOff>54842</xdr:colOff>
      <xdr:row>59</xdr:row>
      <xdr:rowOff>67541</xdr:rowOff>
    </xdr:from>
    <xdr:to>
      <xdr:col>10</xdr:col>
      <xdr:colOff>89477</xdr:colOff>
      <xdr:row>59</xdr:row>
      <xdr:rowOff>311150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5E048EBC-A7B2-894D-BD0E-40544DCCCC3D}"/>
            </a:ext>
          </a:extLst>
        </xdr:cNvPr>
        <xdr:cNvSpPr/>
      </xdr:nvSpPr>
      <xdr:spPr>
        <a:xfrm>
          <a:off x="5998442" y="18749241"/>
          <a:ext cx="695035" cy="243609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9524</xdr:colOff>
      <xdr:row>59</xdr:row>
      <xdr:rowOff>83128</xdr:rowOff>
    </xdr:from>
    <xdr:to>
      <xdr:col>18</xdr:col>
      <xdr:colOff>111124</xdr:colOff>
      <xdr:row>60</xdr:row>
      <xdr:rowOff>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DB8C3B4-DF1A-4C4F-BC91-C6F74E538D88}"/>
            </a:ext>
          </a:extLst>
        </xdr:cNvPr>
        <xdr:cNvSpPr/>
      </xdr:nvSpPr>
      <xdr:spPr>
        <a:xfrm>
          <a:off x="11236324" y="18764828"/>
          <a:ext cx="762000" cy="24707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4</xdr:col>
      <xdr:colOff>437770</xdr:colOff>
      <xdr:row>53</xdr:row>
      <xdr:rowOff>204419</xdr:rowOff>
    </xdr:from>
    <xdr:to>
      <xdr:col>5</xdr:col>
      <xdr:colOff>548411</xdr:colOff>
      <xdr:row>55</xdr:row>
      <xdr:rowOff>60289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2F61CDB-054F-403F-89C1-6BE4E33C1CF8}"/>
            </a:ext>
          </a:extLst>
        </xdr:cNvPr>
        <xdr:cNvSpPr txBox="1"/>
      </xdr:nvSpPr>
      <xdr:spPr>
        <a:xfrm>
          <a:off x="3081679" y="17635169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FBO_VSI</a:t>
          </a:r>
          <a:endParaRPr lang="ko-KR" altLang="en-US" sz="1200"/>
        </a:p>
      </xdr:txBody>
    </xdr:sp>
    <xdr:clientData/>
  </xdr:twoCellAnchor>
  <xdr:twoCellAnchor>
    <xdr:from>
      <xdr:col>8</xdr:col>
      <xdr:colOff>180308</xdr:colOff>
      <xdr:row>50</xdr:row>
      <xdr:rowOff>192013</xdr:rowOff>
    </xdr:from>
    <xdr:to>
      <xdr:col>9</xdr:col>
      <xdr:colOff>134217</xdr:colOff>
      <xdr:row>50</xdr:row>
      <xdr:rowOff>192013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5460A6D5-4C8A-48DF-A750-F87D0394BA63}"/>
            </a:ext>
          </a:extLst>
        </xdr:cNvPr>
        <xdr:cNvCxnSpPr/>
      </xdr:nvCxnSpPr>
      <xdr:spPr>
        <a:xfrm flipV="1">
          <a:off x="5445035" y="16753968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358392</xdr:colOff>
      <xdr:row>50</xdr:row>
      <xdr:rowOff>16313</xdr:rowOff>
    </xdr:from>
    <xdr:to>
      <xdr:col>9</xdr:col>
      <xdr:colOff>21647</xdr:colOff>
      <xdr:row>51</xdr:row>
      <xdr:rowOff>138698</xdr:rowOff>
    </xdr:to>
    <xdr:sp macro="" textlink="">
      <xdr:nvSpPr>
        <xdr:cNvPr id="200" name="이등변 삼각형 199">
          <a:extLst>
            <a:ext uri="{FF2B5EF4-FFF2-40B4-BE49-F238E27FC236}">
              <a16:creationId xmlns:a16="http://schemas.microsoft.com/office/drawing/2014/main" id="{634F9F82-12B0-437E-83C7-EFC2645C4122}"/>
            </a:ext>
          </a:extLst>
        </xdr:cNvPr>
        <xdr:cNvSpPr/>
      </xdr:nvSpPr>
      <xdr:spPr>
        <a:xfrm rot="16200000">
          <a:off x="5615804" y="16585583"/>
          <a:ext cx="335975" cy="321346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100684</xdr:colOff>
      <xdr:row>48</xdr:row>
      <xdr:rowOff>182075</xdr:rowOff>
    </xdr:from>
    <xdr:to>
      <xdr:col>9</xdr:col>
      <xdr:colOff>172607</xdr:colOff>
      <xdr:row>49</xdr:row>
      <xdr:rowOff>41040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4A626282-2CA4-42D2-88C5-4D1CD489D6CE}"/>
            </a:ext>
          </a:extLst>
        </xdr:cNvPr>
        <xdr:cNvSpPr/>
      </xdr:nvSpPr>
      <xdr:spPr>
        <a:xfrm>
          <a:off x="6023502" y="16316848"/>
          <a:ext cx="71923" cy="72556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265545</xdr:colOff>
      <xdr:row>49</xdr:row>
      <xdr:rowOff>5772</xdr:rowOff>
    </xdr:from>
    <xdr:to>
      <xdr:col>4</xdr:col>
      <xdr:colOff>265545</xdr:colOff>
      <xdr:row>55</xdr:row>
      <xdr:rowOff>20227</xdr:rowOff>
    </xdr:to>
    <xdr:cxnSp macro="">
      <xdr:nvCxnSpPr>
        <xdr:cNvPr id="204" name="직선 연결선 203">
          <a:extLst>
            <a:ext uri="{FF2B5EF4-FFF2-40B4-BE49-F238E27FC236}">
              <a16:creationId xmlns:a16="http://schemas.microsoft.com/office/drawing/2014/main" id="{6B468FF2-46F7-46C6-ACE5-03D5216E9C6D}"/>
            </a:ext>
          </a:extLst>
        </xdr:cNvPr>
        <xdr:cNvCxnSpPr/>
      </xdr:nvCxnSpPr>
      <xdr:spPr>
        <a:xfrm flipH="1">
          <a:off x="2897909" y="16354136"/>
          <a:ext cx="0" cy="129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178377</xdr:colOff>
      <xdr:row>50</xdr:row>
      <xdr:rowOff>189923</xdr:rowOff>
    </xdr:from>
    <xdr:to>
      <xdr:col>8</xdr:col>
      <xdr:colOff>178377</xdr:colOff>
      <xdr:row>55</xdr:row>
      <xdr:rowOff>7536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727898DB-783D-4423-8B32-FBBE7E0BE8BD}"/>
            </a:ext>
          </a:extLst>
        </xdr:cNvPr>
        <xdr:cNvCxnSpPr/>
      </xdr:nvCxnSpPr>
      <xdr:spPr>
        <a:xfrm flipH="1">
          <a:off x="5466195" y="16971241"/>
          <a:ext cx="0" cy="90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352142</xdr:colOff>
      <xdr:row>55</xdr:row>
      <xdr:rowOff>4619</xdr:rowOff>
    </xdr:from>
    <xdr:to>
      <xdr:col>8</xdr:col>
      <xdr:colOff>182188</xdr:colOff>
      <xdr:row>55</xdr:row>
      <xdr:rowOff>5773</xdr:rowOff>
    </xdr:to>
    <xdr:cxnSp macro="">
      <xdr:nvCxnSpPr>
        <xdr:cNvPr id="210" name="직선 연결선 209">
          <a:extLst>
            <a:ext uri="{FF2B5EF4-FFF2-40B4-BE49-F238E27FC236}">
              <a16:creationId xmlns:a16="http://schemas.microsoft.com/office/drawing/2014/main" id="{B53BCAF6-5AF9-45B2-823C-5A50E018561D}"/>
            </a:ext>
          </a:extLst>
        </xdr:cNvPr>
        <xdr:cNvCxnSpPr/>
      </xdr:nvCxnSpPr>
      <xdr:spPr>
        <a:xfrm flipV="1">
          <a:off x="4318006" y="17868324"/>
          <a:ext cx="1152000" cy="115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267855</xdr:colOff>
      <xdr:row>55</xdr:row>
      <xdr:rowOff>17318</xdr:rowOff>
    </xdr:from>
    <xdr:to>
      <xdr:col>5</xdr:col>
      <xdr:colOff>614878</xdr:colOff>
      <xdr:row>55</xdr:row>
      <xdr:rowOff>17318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E1256EAB-6BFB-4FCB-884C-83E1CF3A55D3}"/>
            </a:ext>
          </a:extLst>
        </xdr:cNvPr>
        <xdr:cNvCxnSpPr/>
      </xdr:nvCxnSpPr>
      <xdr:spPr>
        <a:xfrm flipV="1">
          <a:off x="2911764" y="17881023"/>
          <a:ext cx="1008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620569</xdr:colOff>
      <xdr:row>52</xdr:row>
      <xdr:rowOff>95251</xdr:rowOff>
    </xdr:from>
    <xdr:to>
      <xdr:col>5</xdr:col>
      <xdr:colOff>620569</xdr:colOff>
      <xdr:row>55</xdr:row>
      <xdr:rowOff>16765</xdr:rowOff>
    </xdr:to>
    <xdr:cxnSp macro="">
      <xdr:nvCxnSpPr>
        <xdr:cNvPr id="214" name="직선 연결선 213">
          <a:extLst>
            <a:ext uri="{FF2B5EF4-FFF2-40B4-BE49-F238E27FC236}">
              <a16:creationId xmlns:a16="http://schemas.microsoft.com/office/drawing/2014/main" id="{745921F7-458E-477A-9EA0-354CF82F931B}"/>
            </a:ext>
          </a:extLst>
        </xdr:cNvPr>
        <xdr:cNvCxnSpPr/>
      </xdr:nvCxnSpPr>
      <xdr:spPr>
        <a:xfrm>
          <a:off x="3925455" y="17309524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357335</xdr:colOff>
      <xdr:row>52</xdr:row>
      <xdr:rowOff>88902</xdr:rowOff>
    </xdr:from>
    <xdr:to>
      <xdr:col>6</xdr:col>
      <xdr:colOff>357335</xdr:colOff>
      <xdr:row>55</xdr:row>
      <xdr:rowOff>10416</xdr:rowOff>
    </xdr:to>
    <xdr:cxnSp macro="">
      <xdr:nvCxnSpPr>
        <xdr:cNvPr id="217" name="직선 연결선 216">
          <a:extLst>
            <a:ext uri="{FF2B5EF4-FFF2-40B4-BE49-F238E27FC236}">
              <a16:creationId xmlns:a16="http://schemas.microsoft.com/office/drawing/2014/main" id="{998F098F-53FD-454D-B391-760E771B0337}"/>
            </a:ext>
          </a:extLst>
        </xdr:cNvPr>
        <xdr:cNvCxnSpPr/>
      </xdr:nvCxnSpPr>
      <xdr:spPr>
        <a:xfrm>
          <a:off x="4323199" y="17303175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659442</xdr:colOff>
      <xdr:row>53</xdr:row>
      <xdr:rowOff>203843</xdr:rowOff>
    </xdr:from>
    <xdr:to>
      <xdr:col>8</xdr:col>
      <xdr:colOff>109106</xdr:colOff>
      <xdr:row>55</xdr:row>
      <xdr:rowOff>59713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8587149-B8E9-4AB5-9051-DDCFE7594998}"/>
            </a:ext>
          </a:extLst>
        </xdr:cNvPr>
        <xdr:cNvSpPr txBox="1"/>
      </xdr:nvSpPr>
      <xdr:spPr>
        <a:xfrm>
          <a:off x="4625306" y="17634593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6</xdr:col>
      <xdr:colOff>132774</xdr:colOff>
      <xdr:row>49</xdr:row>
      <xdr:rowOff>173184</xdr:rowOff>
    </xdr:from>
    <xdr:to>
      <xdr:col>6</xdr:col>
      <xdr:colOff>132774</xdr:colOff>
      <xdr:row>50</xdr:row>
      <xdr:rowOff>208707</xdr:rowOff>
    </xdr:to>
    <xdr:cxnSp macro="">
      <xdr:nvCxnSpPr>
        <xdr:cNvPr id="219" name="직선 연결선 218">
          <a:extLst>
            <a:ext uri="{FF2B5EF4-FFF2-40B4-BE49-F238E27FC236}">
              <a16:creationId xmlns:a16="http://schemas.microsoft.com/office/drawing/2014/main" id="{A248D5D2-3AC4-4957-B33F-41E6739ED503}"/>
            </a:ext>
          </a:extLst>
        </xdr:cNvPr>
        <xdr:cNvCxnSpPr/>
      </xdr:nvCxnSpPr>
      <xdr:spPr>
        <a:xfrm>
          <a:off x="4098638" y="16738025"/>
          <a:ext cx="0" cy="25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334820</xdr:colOff>
      <xdr:row>51</xdr:row>
      <xdr:rowOff>124115</xdr:rowOff>
    </xdr:from>
    <xdr:to>
      <xdr:col>6</xdr:col>
      <xdr:colOff>614220</xdr:colOff>
      <xdr:row>51</xdr:row>
      <xdr:rowOff>124426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13731783-9902-4705-96EC-C948498DADC7}"/>
            </a:ext>
          </a:extLst>
        </xdr:cNvPr>
        <xdr:cNvCxnSpPr/>
      </xdr:nvCxnSpPr>
      <xdr:spPr>
        <a:xfrm>
          <a:off x="4300684" y="17121910"/>
          <a:ext cx="279400" cy="31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548408</xdr:colOff>
      <xdr:row>50</xdr:row>
      <xdr:rowOff>190500</xdr:rowOff>
    </xdr:from>
    <xdr:to>
      <xdr:col>8</xdr:col>
      <xdr:colOff>87312</xdr:colOff>
      <xdr:row>52</xdr:row>
      <xdr:rowOff>55563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70ADBF3-17F0-42EB-868B-5241172B0DBC}"/>
            </a:ext>
          </a:extLst>
        </xdr:cNvPr>
        <xdr:cNvSpPr txBox="1"/>
      </xdr:nvSpPr>
      <xdr:spPr>
        <a:xfrm>
          <a:off x="4501283" y="16811625"/>
          <a:ext cx="856529" cy="293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IO_MODE</a:t>
          </a:r>
          <a:endParaRPr lang="ko-KR" altLang="en-US" sz="1200"/>
        </a:p>
      </xdr:txBody>
    </xdr:sp>
    <xdr:clientData/>
  </xdr:twoCellAnchor>
  <xdr:twoCellAnchor>
    <xdr:from>
      <xdr:col>5</xdr:col>
      <xdr:colOff>398320</xdr:colOff>
      <xdr:row>50</xdr:row>
      <xdr:rowOff>196272</xdr:rowOff>
    </xdr:from>
    <xdr:to>
      <xdr:col>6</xdr:col>
      <xdr:colOff>568616</xdr:colOff>
      <xdr:row>52</xdr:row>
      <xdr:rowOff>98137</xdr:rowOff>
    </xdr:to>
    <xdr:sp macro="" textlink="">
      <xdr:nvSpPr>
        <xdr:cNvPr id="207" name="순서도: 수동 연산 206">
          <a:extLst>
            <a:ext uri="{FF2B5EF4-FFF2-40B4-BE49-F238E27FC236}">
              <a16:creationId xmlns:a16="http://schemas.microsoft.com/office/drawing/2014/main" id="{05154614-4EA5-3DAF-7BBC-8066AAC3ADBA}"/>
            </a:ext>
          </a:extLst>
        </xdr:cNvPr>
        <xdr:cNvSpPr/>
      </xdr:nvSpPr>
      <xdr:spPr>
        <a:xfrm rot="10800000">
          <a:off x="3703206" y="16977590"/>
          <a:ext cx="831274" cy="334820"/>
        </a:xfrm>
        <a:prstGeom prst="flowChartManualOpera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5</xdr:col>
      <xdr:colOff>449215</xdr:colOff>
      <xdr:row>51</xdr:row>
      <xdr:rowOff>85533</xdr:rowOff>
    </xdr:from>
    <xdr:to>
      <xdr:col>6</xdr:col>
      <xdr:colOff>143836</xdr:colOff>
      <xdr:row>52</xdr:row>
      <xdr:rowOff>158363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D780498-843D-4D69-9826-6EA1BE728037}"/>
            </a:ext>
          </a:extLst>
        </xdr:cNvPr>
        <xdr:cNvSpPr txBox="1"/>
      </xdr:nvSpPr>
      <xdr:spPr>
        <a:xfrm>
          <a:off x="3756507" y="17119408"/>
          <a:ext cx="356079" cy="289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01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171066</xdr:colOff>
      <xdr:row>51</xdr:row>
      <xdr:rowOff>88804</xdr:rowOff>
    </xdr:from>
    <xdr:to>
      <xdr:col>6</xdr:col>
      <xdr:colOff>526665</xdr:colOff>
      <xdr:row>52</xdr:row>
      <xdr:rowOff>161151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4870D43-7CE7-4CE0-8B33-2A2B911EF45C}"/>
            </a:ext>
          </a:extLst>
        </xdr:cNvPr>
        <xdr:cNvSpPr txBox="1"/>
      </xdr:nvSpPr>
      <xdr:spPr>
        <a:xfrm>
          <a:off x="4139816" y="17122679"/>
          <a:ext cx="355599" cy="289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11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y%20Document/Glbltech/ssvd&#44060;&#48156;/26&#45380;R95H/&#49444;&#44228;&#49324;&#50577;/MR95H_&#49444;&#44228;&#49324;&#50577;_250922.xlsx" TargetMode="External"/><Relationship Id="rId2" Type="http://schemas.openxmlformats.org/officeDocument/2006/relationships/externalLinkPath" Target="file:///C:\My%20Document\Glbltech\ssvd&#44060;&#48156;\26&#45380;R95H\&#49444;&#44228;&#49324;&#50577;\MR95H_&#49444;&#44228;&#49324;&#50577;_250922.xlsx" TargetMode="External"/><Relationship Id="rId1" Type="http://schemas.openxmlformats.org/officeDocument/2006/relationships/externalLinkPath" Target="/My%20Document/Glbltech/ssvd&#44060;&#48156;/26&#45380;R95H/&#49444;&#44228;&#49324;&#50577;/MR95H_&#49444;&#44228;&#49324;&#50577;_2509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사양"/>
      <sheetName val="protocol"/>
      <sheetName val="mr95h_thruput_spi"/>
      <sheetName val="mr95h_reg1"/>
      <sheetName val="mr95h_reg2"/>
      <sheetName val="daco_control"/>
      <sheetName val="fllcnt calc@fpga"/>
      <sheetName val="mclk_transition_sequence_VD"/>
      <sheetName val="mclk_transition_sequence_VD (2)"/>
    </sheetNames>
    <sheetDataSet>
      <sheetData sheetId="0"/>
      <sheetData sheetId="1"/>
      <sheetData sheetId="2"/>
      <sheetData sheetId="3">
        <row r="11">
          <cell r="M11">
            <v>0.71111111111111114</v>
          </cell>
        </row>
        <row r="61">
          <cell r="M61"/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2651-D95A-4712-8065-ABE7AA7B27BE}">
  <dimension ref="B2:AG73"/>
  <sheetViews>
    <sheetView zoomScale="110" zoomScaleNormal="110" workbookViewId="0"/>
  </sheetViews>
  <sheetFormatPr defaultRowHeight="17" x14ac:dyDescent="0.45"/>
  <cols>
    <col min="19" max="19" width="12.33203125" bestFit="1" customWidth="1"/>
    <col min="21" max="21" width="10.4140625" bestFit="1" customWidth="1"/>
    <col min="22" max="24" width="7.08203125" bestFit="1" customWidth="1"/>
    <col min="25" max="25" width="6.25" bestFit="1" customWidth="1"/>
    <col min="26" max="26" width="13.58203125" bestFit="1" customWidth="1"/>
    <col min="27" max="27" width="3.58203125" customWidth="1"/>
    <col min="28" max="28" width="10.83203125" bestFit="1" customWidth="1"/>
    <col min="30" max="31" width="7.08203125" bestFit="1" customWidth="1"/>
    <col min="32" max="32" width="8.1640625" bestFit="1" customWidth="1"/>
    <col min="33" max="33" width="13.58203125" bestFit="1" customWidth="1"/>
  </cols>
  <sheetData>
    <row r="2" spans="19:33" x14ac:dyDescent="0.45">
      <c r="S2" s="3" t="s">
        <v>2665</v>
      </c>
      <c r="U2" s="3" t="s">
        <v>2596</v>
      </c>
      <c r="V2" s="3"/>
      <c r="W2" s="3"/>
      <c r="X2" s="3"/>
      <c r="Y2" s="3"/>
      <c r="Z2" s="3"/>
      <c r="AB2" s="3" t="s">
        <v>2597</v>
      </c>
      <c r="AC2" s="3"/>
      <c r="AD2" s="3"/>
      <c r="AE2" s="3"/>
      <c r="AF2" s="3"/>
      <c r="AG2" s="3"/>
    </row>
    <row r="3" spans="19:33" x14ac:dyDescent="0.45">
      <c r="S3" s="2" t="s">
        <v>2666</v>
      </c>
    </row>
    <row r="4" spans="19:33" x14ac:dyDescent="0.45">
      <c r="S4" s="2" t="s">
        <v>2667</v>
      </c>
      <c r="U4" s="1084" t="s">
        <v>2582</v>
      </c>
      <c r="V4" s="3">
        <v>30</v>
      </c>
      <c r="W4" s="3">
        <v>9.17</v>
      </c>
      <c r="X4" s="3">
        <v>5.8</v>
      </c>
      <c r="AB4" s="1084" t="s">
        <v>2582</v>
      </c>
      <c r="AC4" s="3"/>
      <c r="AD4" s="3">
        <v>9.17</v>
      </c>
      <c r="AE4" s="3">
        <v>5.8</v>
      </c>
    </row>
    <row r="5" spans="19:33" x14ac:dyDescent="0.45">
      <c r="S5" s="1140">
        <f>1/20</f>
        <v>0.05</v>
      </c>
      <c r="U5" s="2" t="s">
        <v>2580</v>
      </c>
      <c r="V5" s="1083">
        <f>V4/SUM($V$4:$X$4)</f>
        <v>0.66711140760507004</v>
      </c>
      <c r="W5" s="1083">
        <f>W4/SUM($V$4:$X$4)</f>
        <v>0.20391372025794974</v>
      </c>
      <c r="X5" s="1083">
        <f>X4/SUM($V$4:$X$4)</f>
        <v>0.1289748721369802</v>
      </c>
      <c r="AB5" s="2" t="s">
        <v>2580</v>
      </c>
      <c r="AC5" s="1083"/>
      <c r="AD5" s="1083">
        <f>AD4/SUM($AD$4:$AE$4)</f>
        <v>0.61255845023380096</v>
      </c>
      <c r="AE5" s="1083">
        <f>AE4/SUM($AD$4:$AE$4)</f>
        <v>0.3874415497661991</v>
      </c>
    </row>
    <row r="6" spans="19:33" x14ac:dyDescent="0.45">
      <c r="S6" s="1139">
        <f>3.63/32</f>
        <v>0.1134375</v>
      </c>
      <c r="U6" s="2" t="s">
        <v>2581</v>
      </c>
      <c r="V6" s="1085">
        <f>V4/V5</f>
        <v>44.97</v>
      </c>
      <c r="W6" s="1085">
        <f t="shared" ref="W6" si="0">W4/W5</f>
        <v>44.97</v>
      </c>
      <c r="X6" s="1085">
        <f t="shared" ref="X6" si="1">X4/X5</f>
        <v>44.970000000000006</v>
      </c>
      <c r="Y6" s="21">
        <f>X6/0.8</f>
        <v>56.212500000000006</v>
      </c>
      <c r="Z6" s="21" t="s">
        <v>2583</v>
      </c>
      <c r="AB6" s="2" t="s">
        <v>2581</v>
      </c>
      <c r="AC6" s="1085"/>
      <c r="AD6" s="1085">
        <f>AD4/AD5</f>
        <v>14.969999999999999</v>
      </c>
      <c r="AE6" s="1085">
        <f t="shared" ref="AE6" si="2">AE4/AE5</f>
        <v>14.969999999999999</v>
      </c>
      <c r="AF6" s="21">
        <f>AE6/0.8</f>
        <v>18.712499999999999</v>
      </c>
      <c r="AG6" s="21" t="s">
        <v>2583</v>
      </c>
    </row>
    <row r="7" spans="19:33" x14ac:dyDescent="0.45">
      <c r="S7" s="1139">
        <f>1.18/12</f>
        <v>9.8333333333333328E-2</v>
      </c>
      <c r="AD7">
        <f>1.18/AD5</f>
        <v>1.9263467829880041</v>
      </c>
      <c r="AE7">
        <f>0.93/AE5</f>
        <v>2.4003620689655172</v>
      </c>
    </row>
    <row r="8" spans="19:33" x14ac:dyDescent="0.45">
      <c r="S8" s="1139">
        <f>0.93/8</f>
        <v>0.11625000000000001</v>
      </c>
      <c r="U8" s="1084" t="s">
        <v>2582</v>
      </c>
      <c r="V8" s="3">
        <v>30</v>
      </c>
      <c r="W8" s="3">
        <v>9.09</v>
      </c>
      <c r="X8" s="3">
        <v>5.9</v>
      </c>
      <c r="AB8" s="1084" t="s">
        <v>2582</v>
      </c>
      <c r="AC8" s="3"/>
      <c r="AD8" s="3">
        <v>9.09</v>
      </c>
      <c r="AE8" s="3">
        <v>5.9</v>
      </c>
    </row>
    <row r="9" spans="19:33" x14ac:dyDescent="0.45">
      <c r="S9" s="1139"/>
      <c r="U9" s="2" t="s">
        <v>2580</v>
      </c>
      <c r="V9" s="1083">
        <f>V8/SUM($V$8:$X$8)</f>
        <v>0.66681484774394306</v>
      </c>
      <c r="W9" s="1083">
        <f>W8/SUM($V$8:$X$8)</f>
        <v>0.20204489886641475</v>
      </c>
      <c r="X9" s="1083">
        <f>X8/SUM($V$8:$X$8)</f>
        <v>0.13114025338964214</v>
      </c>
      <c r="AB9" s="2" t="s">
        <v>2580</v>
      </c>
      <c r="AC9" s="1083"/>
      <c r="AD9" s="1083">
        <f>AD8/SUM($AD$8:$AE$8)</f>
        <v>0.60640426951300863</v>
      </c>
      <c r="AE9" s="1083">
        <f>AE8/SUM($AD$8:$AE$8)</f>
        <v>0.39359573048699137</v>
      </c>
    </row>
    <row r="10" spans="19:33" x14ac:dyDescent="0.45">
      <c r="S10" s="1139">
        <f>3.05/32</f>
        <v>9.5312499999999994E-2</v>
      </c>
      <c r="U10" s="2" t="s">
        <v>2581</v>
      </c>
      <c r="V10" s="1085">
        <f>V8/V9</f>
        <v>44.99</v>
      </c>
      <c r="W10" s="1085">
        <f t="shared" ref="W10:X10" si="3">W8/W9</f>
        <v>44.99</v>
      </c>
      <c r="X10" s="1085">
        <f t="shared" si="3"/>
        <v>44.99</v>
      </c>
      <c r="Y10" s="21">
        <f>X10/0.8</f>
        <v>56.237499999999997</v>
      </c>
      <c r="Z10" s="21" t="s">
        <v>2583</v>
      </c>
      <c r="AB10" s="2" t="s">
        <v>2581</v>
      </c>
      <c r="AC10" s="1085"/>
      <c r="AD10" s="1085">
        <f t="shared" ref="AD10:AE10" si="4">AD8/AD9</f>
        <v>14.99</v>
      </c>
      <c r="AE10" s="1085">
        <f t="shared" si="4"/>
        <v>14.99</v>
      </c>
      <c r="AF10" s="21">
        <f>AE10/0.8</f>
        <v>18.737500000000001</v>
      </c>
      <c r="AG10" s="21" t="s">
        <v>2583</v>
      </c>
    </row>
    <row r="11" spans="19:33" x14ac:dyDescent="0.45">
      <c r="S11" s="1139">
        <f>1.08/12</f>
        <v>9.0000000000000011E-2</v>
      </c>
    </row>
    <row r="12" spans="19:33" x14ac:dyDescent="0.45">
      <c r="S12" s="1139">
        <f>0.87/8</f>
        <v>0.10875</v>
      </c>
      <c r="U12" s="1084" t="s">
        <v>2582</v>
      </c>
      <c r="V12" s="3">
        <v>30</v>
      </c>
      <c r="W12" s="3">
        <v>8.6199999999999992</v>
      </c>
      <c r="X12" s="3">
        <v>7.34</v>
      </c>
      <c r="AB12" s="1084" t="s">
        <v>2582</v>
      </c>
      <c r="AC12" s="3"/>
      <c r="AD12" s="3">
        <v>8.6199999999999992</v>
      </c>
      <c r="AE12" s="3">
        <v>7.34</v>
      </c>
    </row>
    <row r="13" spans="19:33" x14ac:dyDescent="0.45">
      <c r="S13" s="1139"/>
      <c r="U13" s="2" t="s">
        <v>2580</v>
      </c>
      <c r="V13" s="1083">
        <f>V12/SUM($V$12:$X$12)</f>
        <v>0.65274151436031336</v>
      </c>
      <c r="W13" s="1083">
        <f>W12/SUM($V$12:$X$12)</f>
        <v>0.1875543951261967</v>
      </c>
      <c r="X13" s="1083">
        <f>X12/SUM($V$12:$X$12)</f>
        <v>0.15970409051349002</v>
      </c>
      <c r="AB13" s="2" t="s">
        <v>2580</v>
      </c>
      <c r="AC13" s="1083"/>
      <c r="AD13" s="1083">
        <f>AD12/SUM($AD$12:$AE$12)</f>
        <v>0.54010025062656641</v>
      </c>
      <c r="AE13" s="1083">
        <f>AE12/SUM($AD$12:$AE$12)</f>
        <v>0.45989974937343359</v>
      </c>
    </row>
    <row r="14" spans="19:33" x14ac:dyDescent="0.45">
      <c r="U14" s="2" t="s">
        <v>2581</v>
      </c>
      <c r="V14" s="1085">
        <f>V12/V13</f>
        <v>45.959999999999994</v>
      </c>
      <c r="W14" s="1085">
        <f t="shared" ref="W14" si="5">W12/W13</f>
        <v>45.959999999999994</v>
      </c>
      <c r="X14" s="1085">
        <f t="shared" ref="X14" si="6">X12/X13</f>
        <v>45.959999999999994</v>
      </c>
      <c r="Y14" s="1086">
        <f>X14/0.8</f>
        <v>57.449999999999989</v>
      </c>
      <c r="Z14" s="21" t="s">
        <v>2583</v>
      </c>
      <c r="AB14" s="2" t="s">
        <v>2581</v>
      </c>
      <c r="AC14" s="1085"/>
      <c r="AD14" s="1085">
        <f t="shared" ref="AD14:AE14" si="7">AD12/AD13</f>
        <v>15.959999999999999</v>
      </c>
      <c r="AE14" s="1085">
        <f t="shared" si="7"/>
        <v>15.959999999999999</v>
      </c>
      <c r="AF14" s="1086">
        <f>AE14/0.8</f>
        <v>19.95</v>
      </c>
      <c r="AG14" s="21" t="s">
        <v>2583</v>
      </c>
    </row>
    <row r="16" spans="19:33" x14ac:dyDescent="0.45">
      <c r="U16" s="1084" t="s">
        <v>2582</v>
      </c>
      <c r="V16" s="3">
        <v>29</v>
      </c>
      <c r="W16" s="3">
        <v>11.99</v>
      </c>
      <c r="X16" s="3">
        <v>9.3000000000000007</v>
      </c>
      <c r="AB16" s="1084" t="s">
        <v>2582</v>
      </c>
      <c r="AC16" s="3"/>
      <c r="AD16" s="3">
        <v>11.99</v>
      </c>
      <c r="AE16" s="3">
        <v>9.3000000000000007</v>
      </c>
    </row>
    <row r="17" spans="21:33" x14ac:dyDescent="0.45">
      <c r="U17" s="2" t="s">
        <v>2580</v>
      </c>
      <c r="V17" s="1083">
        <f>V16/SUM($V$16:$X$16)</f>
        <v>0.57665539868761173</v>
      </c>
      <c r="W17" s="1083">
        <f>W16/SUM($V$16:$X$16)</f>
        <v>0.23841718035394707</v>
      </c>
      <c r="X17" s="1083">
        <f>X16/SUM($V$16:$X$16)</f>
        <v>0.18492742095844103</v>
      </c>
      <c r="AB17" s="2" t="s">
        <v>2580</v>
      </c>
      <c r="AC17" s="1083"/>
      <c r="AD17" s="1083">
        <f>AD16/SUM($AD$16:$AE$16)</f>
        <v>0.56317519962423679</v>
      </c>
      <c r="AE17" s="1083">
        <f>AE16/SUM($AD$16:$AE$16)</f>
        <v>0.43682480037576332</v>
      </c>
    </row>
    <row r="18" spans="21:33" x14ac:dyDescent="0.45">
      <c r="U18" s="2" t="s">
        <v>2581</v>
      </c>
      <c r="V18" s="1085">
        <f>V16/V17</f>
        <v>50.290000000000013</v>
      </c>
      <c r="W18" s="1085">
        <f t="shared" ref="W18" si="8">W16/W17</f>
        <v>50.290000000000006</v>
      </c>
      <c r="X18" s="1085">
        <f t="shared" ref="X18" si="9">X16/X17</f>
        <v>50.290000000000006</v>
      </c>
      <c r="Y18" s="1086">
        <f>X18/0.8</f>
        <v>62.862500000000004</v>
      </c>
      <c r="Z18" s="21" t="s">
        <v>2583</v>
      </c>
      <c r="AB18" s="2" t="s">
        <v>2581</v>
      </c>
      <c r="AC18" s="1085"/>
      <c r="AD18" s="1085">
        <f t="shared" ref="AD18:AE18" si="10">AD16/AD17</f>
        <v>21.29</v>
      </c>
      <c r="AE18" s="1085">
        <f t="shared" si="10"/>
        <v>21.29</v>
      </c>
      <c r="AF18" s="1086">
        <f>AE18/0.8</f>
        <v>26.612499999999997</v>
      </c>
      <c r="AG18" s="21" t="s">
        <v>2583</v>
      </c>
    </row>
    <row r="20" spans="21:33" x14ac:dyDescent="0.45">
      <c r="U20" s="1084" t="s">
        <v>2582</v>
      </c>
      <c r="V20" s="3">
        <v>27.98</v>
      </c>
      <c r="W20" s="3">
        <v>12.1</v>
      </c>
      <c r="X20" s="3">
        <v>7.28</v>
      </c>
      <c r="AB20" s="1084" t="s">
        <v>2582</v>
      </c>
      <c r="AC20" s="3"/>
      <c r="AD20" s="3">
        <v>12.1</v>
      </c>
      <c r="AE20" s="3">
        <v>7.28</v>
      </c>
    </row>
    <row r="21" spans="21:33" x14ac:dyDescent="0.45">
      <c r="U21" s="2" t="s">
        <v>2580</v>
      </c>
      <c r="V21" s="1083">
        <f>V20/SUM($V$4:$X$4)</f>
        <v>0.62219257282632867</v>
      </c>
      <c r="W21" s="1083">
        <f>W20/SUM($V$4:$X$4)</f>
        <v>0.26906826773404491</v>
      </c>
      <c r="X21" s="1083">
        <f>X20/SUM($V$4:$X$4)</f>
        <v>0.16188570157883034</v>
      </c>
      <c r="AB21" s="2" t="s">
        <v>2580</v>
      </c>
      <c r="AC21" s="1083"/>
      <c r="AD21" s="1083">
        <f>AD20/SUM($AD$20:$AE$20)</f>
        <v>0.62435500515995879</v>
      </c>
      <c r="AE21" s="1083">
        <f>AE20/SUM($AD$20:$AE$20)</f>
        <v>0.37564499484004132</v>
      </c>
    </row>
    <row r="22" spans="21:33" x14ac:dyDescent="0.45">
      <c r="U22" s="2" t="s">
        <v>2581</v>
      </c>
      <c r="V22" s="1085">
        <f>V20/V21</f>
        <v>44.97</v>
      </c>
      <c r="W22" s="1085">
        <f t="shared" ref="W22:X22" si="11">W20/W21</f>
        <v>44.97</v>
      </c>
      <c r="X22" s="1085">
        <f t="shared" si="11"/>
        <v>44.97</v>
      </c>
      <c r="Y22" s="21">
        <f>X22/0.8</f>
        <v>56.212499999999999</v>
      </c>
      <c r="Z22" s="21" t="s">
        <v>2583</v>
      </c>
      <c r="AB22" s="2" t="s">
        <v>2581</v>
      </c>
      <c r="AC22" s="1085"/>
      <c r="AD22" s="1085">
        <f t="shared" ref="AD22:AE22" si="12">AD20/AD21</f>
        <v>19.38</v>
      </c>
      <c r="AE22" s="1085">
        <f t="shared" si="12"/>
        <v>19.38</v>
      </c>
      <c r="AF22" s="21">
        <f>AE22/0.8</f>
        <v>24.224999999999998</v>
      </c>
      <c r="AG22" s="21" t="s">
        <v>2583</v>
      </c>
    </row>
    <row r="24" spans="21:33" x14ac:dyDescent="0.45">
      <c r="U24" s="1084" t="s">
        <v>2582</v>
      </c>
      <c r="V24" s="3">
        <v>30</v>
      </c>
      <c r="W24" s="3">
        <v>10.66</v>
      </c>
      <c r="X24" s="3">
        <v>6.54</v>
      </c>
      <c r="AB24" s="1084" t="s">
        <v>2582</v>
      </c>
      <c r="AC24" s="3"/>
      <c r="AD24" s="3">
        <v>10.66</v>
      </c>
      <c r="AE24" s="3">
        <v>6.54</v>
      </c>
    </row>
    <row r="25" spans="21:33" x14ac:dyDescent="0.45">
      <c r="U25" s="2" t="s">
        <v>2580</v>
      </c>
      <c r="V25" s="1083">
        <f>V24/SUM($V$8:$X$8)</f>
        <v>0.66681484774394306</v>
      </c>
      <c r="W25" s="1083">
        <f>W24/SUM($V$8:$X$8)</f>
        <v>0.23694154256501443</v>
      </c>
      <c r="X25" s="1083">
        <f>X24/SUM($V$8:$X$8)</f>
        <v>0.1453656368081796</v>
      </c>
      <c r="AB25" s="2" t="s">
        <v>2580</v>
      </c>
      <c r="AC25" s="1083"/>
      <c r="AD25" s="1083">
        <f>AD24/SUM($AD$24:$AE$24)</f>
        <v>0.61976744186046517</v>
      </c>
      <c r="AE25" s="1083">
        <f>AE24/SUM($AD$24:$AE$24)</f>
        <v>0.38023255813953488</v>
      </c>
    </row>
    <row r="26" spans="21:33" x14ac:dyDescent="0.45">
      <c r="U26" s="2" t="s">
        <v>2581</v>
      </c>
      <c r="V26" s="1085">
        <f>V24/V25</f>
        <v>44.99</v>
      </c>
      <c r="W26" s="1085">
        <f t="shared" ref="W26:X26" si="13">W24/W25</f>
        <v>44.99</v>
      </c>
      <c r="X26" s="1085">
        <f t="shared" si="13"/>
        <v>44.99</v>
      </c>
      <c r="Y26" s="21">
        <f>X26/0.8</f>
        <v>56.237499999999997</v>
      </c>
      <c r="Z26" s="21" t="s">
        <v>2583</v>
      </c>
      <c r="AB26" s="2" t="s">
        <v>2581</v>
      </c>
      <c r="AC26" s="1085"/>
      <c r="AD26" s="1085">
        <f t="shared" ref="AD26:AE26" si="14">AD24/AD25</f>
        <v>17.2</v>
      </c>
      <c r="AE26" s="1085">
        <f t="shared" si="14"/>
        <v>17.2</v>
      </c>
      <c r="AF26" s="21">
        <f>AE26/0.8</f>
        <v>21.499999999999996</v>
      </c>
      <c r="AG26" s="21" t="s">
        <v>2583</v>
      </c>
    </row>
    <row r="28" spans="21:33" x14ac:dyDescent="0.45">
      <c r="U28" s="1084" t="s">
        <v>2582</v>
      </c>
      <c r="V28" s="3">
        <v>30</v>
      </c>
      <c r="W28" s="3">
        <v>11.89</v>
      </c>
      <c r="X28" s="3">
        <v>6.74</v>
      </c>
      <c r="AB28" s="1084" t="s">
        <v>2582</v>
      </c>
      <c r="AC28" s="3"/>
      <c r="AD28" s="3">
        <v>11.89</v>
      </c>
      <c r="AE28" s="3">
        <v>6.74</v>
      </c>
    </row>
    <row r="29" spans="21:33" x14ac:dyDescent="0.45">
      <c r="U29" s="2" t="s">
        <v>2580</v>
      </c>
      <c r="V29" s="1083">
        <f>V28/SUM($V$12:$X$12)</f>
        <v>0.65274151436031336</v>
      </c>
      <c r="W29" s="1083">
        <f>W28/SUM($V$12:$X$12)</f>
        <v>0.25870322019147091</v>
      </c>
      <c r="X29" s="1083">
        <f>X28/SUM($V$12:$X$12)</f>
        <v>0.14664926022628375</v>
      </c>
      <c r="AB29" s="2" t="s">
        <v>2580</v>
      </c>
      <c r="AC29" s="1083"/>
      <c r="AD29" s="1083">
        <f>AD28/SUM($AD$28:$AE$28)</f>
        <v>0.63821792807300048</v>
      </c>
      <c r="AE29" s="1083">
        <f>AE28/SUM($AD$28:$AE$28)</f>
        <v>0.3617820719269994</v>
      </c>
    </row>
    <row r="30" spans="21:33" x14ac:dyDescent="0.45">
      <c r="U30" s="2" t="s">
        <v>2581</v>
      </c>
      <c r="V30" s="1085">
        <f>V28/V29</f>
        <v>45.959999999999994</v>
      </c>
      <c r="W30" s="1085">
        <f t="shared" ref="W30:X30" si="15">W28/W29</f>
        <v>45.959999999999994</v>
      </c>
      <c r="X30" s="1085">
        <f t="shared" si="15"/>
        <v>45.959999999999994</v>
      </c>
      <c r="Y30" s="1086">
        <f>X30/0.8</f>
        <v>57.449999999999989</v>
      </c>
      <c r="Z30" s="21" t="s">
        <v>2583</v>
      </c>
      <c r="AB30" s="2" t="s">
        <v>2581</v>
      </c>
      <c r="AC30" s="1085"/>
      <c r="AD30" s="1085">
        <f t="shared" ref="AD30:AE30" si="16">AD28/AD29</f>
        <v>18.630000000000003</v>
      </c>
      <c r="AE30" s="1085">
        <f t="shared" si="16"/>
        <v>18.630000000000003</v>
      </c>
      <c r="AF30" s="1086">
        <f>AE30/0.8</f>
        <v>23.287500000000001</v>
      </c>
      <c r="AG30" s="21" t="s">
        <v>2583</v>
      </c>
    </row>
    <row r="32" spans="21:33" x14ac:dyDescent="0.45">
      <c r="U32" s="1084" t="s">
        <v>2582</v>
      </c>
      <c r="V32" s="3">
        <v>30</v>
      </c>
      <c r="W32" s="3">
        <v>13.65</v>
      </c>
      <c r="X32" s="3">
        <v>9.1199999999999992</v>
      </c>
      <c r="AB32" s="1084" t="s">
        <v>2582</v>
      </c>
      <c r="AC32" s="3"/>
      <c r="AD32" s="3">
        <v>13.65</v>
      </c>
      <c r="AE32" s="3">
        <v>9.1199999999999992</v>
      </c>
    </row>
    <row r="33" spans="19:33" x14ac:dyDescent="0.45">
      <c r="U33" s="2" t="s">
        <v>2580</v>
      </c>
      <c r="V33" s="1083">
        <f>V32/SUM($V$16:$X$16)</f>
        <v>0.59654006760787426</v>
      </c>
      <c r="W33" s="1083">
        <f>W32/SUM($V$16:$X$16)</f>
        <v>0.27142573076158277</v>
      </c>
      <c r="X33" s="1083">
        <f>X32/SUM($V$16:$X$16)</f>
        <v>0.18134818055279375</v>
      </c>
      <c r="AB33" s="2" t="s">
        <v>2580</v>
      </c>
      <c r="AC33" s="1083"/>
      <c r="AD33" s="1083">
        <f>AD32/SUM($AD$32:$AE$32)</f>
        <v>0.59947299077733862</v>
      </c>
      <c r="AE33" s="1083">
        <f>AE32/SUM($AD$32:$AE$32)</f>
        <v>0.40052700922266138</v>
      </c>
    </row>
    <row r="34" spans="19:33" x14ac:dyDescent="0.45">
      <c r="U34" s="2" t="s">
        <v>2581</v>
      </c>
      <c r="V34" s="1085">
        <f>V32/V33</f>
        <v>50.290000000000006</v>
      </c>
      <c r="W34" s="1085">
        <f t="shared" ref="W34:X34" si="17">W32/W33</f>
        <v>50.290000000000013</v>
      </c>
      <c r="X34" s="1085">
        <f t="shared" si="17"/>
        <v>50.290000000000006</v>
      </c>
      <c r="Y34" s="1086">
        <f>X34/0.8</f>
        <v>62.862500000000004</v>
      </c>
      <c r="Z34" s="21" t="s">
        <v>2583</v>
      </c>
      <c r="AB34" s="2" t="s">
        <v>2581</v>
      </c>
      <c r="AC34" s="1085"/>
      <c r="AD34" s="1085">
        <f t="shared" ref="AD34:AE34" si="18">AD32/AD33</f>
        <v>22.77</v>
      </c>
      <c r="AE34" s="1085">
        <f t="shared" si="18"/>
        <v>22.77</v>
      </c>
      <c r="AF34" s="1086">
        <f>AE34/0.8</f>
        <v>28.462499999999999</v>
      </c>
      <c r="AG34" s="21" t="s">
        <v>2583</v>
      </c>
    </row>
    <row r="36" spans="19:33" x14ac:dyDescent="0.45">
      <c r="U36" s="1084" t="s">
        <v>2582</v>
      </c>
      <c r="V36" s="3">
        <v>29</v>
      </c>
      <c r="W36" s="3">
        <v>11.99</v>
      </c>
      <c r="X36" s="3">
        <v>9.3000000000000007</v>
      </c>
      <c r="AB36" s="1084" t="s">
        <v>2582</v>
      </c>
      <c r="AC36" s="3"/>
      <c r="AD36" s="3">
        <v>11.99</v>
      </c>
      <c r="AE36" s="3">
        <v>9.3000000000000007</v>
      </c>
    </row>
    <row r="37" spans="19:33" x14ac:dyDescent="0.45">
      <c r="U37" s="2" t="s">
        <v>2580</v>
      </c>
      <c r="V37" s="1083">
        <f>V36/SUM($V$16:$X$16)</f>
        <v>0.57665539868761173</v>
      </c>
      <c r="W37" s="1083">
        <f>W36/SUM($V$16:$X$16)</f>
        <v>0.23841718035394707</v>
      </c>
      <c r="X37" s="1083">
        <f>X36/SUM($V$16:$X$16)</f>
        <v>0.18492742095844103</v>
      </c>
      <c r="AB37" s="2" t="s">
        <v>2580</v>
      </c>
      <c r="AC37" s="1083"/>
      <c r="AD37" s="1083">
        <f>AD36/SUM($AD$36:$AE$36)</f>
        <v>0.56317519962423679</v>
      </c>
      <c r="AE37" s="1083">
        <f>AE36/SUM($AD$36:$AE$36)</f>
        <v>0.43682480037576332</v>
      </c>
    </row>
    <row r="38" spans="19:33" x14ac:dyDescent="0.45">
      <c r="U38" s="2" t="s">
        <v>2581</v>
      </c>
      <c r="V38" s="1085">
        <f>V36/V37</f>
        <v>50.290000000000013</v>
      </c>
      <c r="W38" s="1085">
        <f t="shared" ref="W38:X38" si="19">W36/W37</f>
        <v>50.290000000000006</v>
      </c>
      <c r="X38" s="1085">
        <f t="shared" si="19"/>
        <v>50.290000000000006</v>
      </c>
      <c r="Y38" s="1086">
        <f>X38/0.8</f>
        <v>62.862500000000004</v>
      </c>
      <c r="Z38" s="21" t="s">
        <v>2583</v>
      </c>
      <c r="AB38" s="2" t="s">
        <v>2581</v>
      </c>
      <c r="AC38" s="1085"/>
      <c r="AD38" s="1085">
        <f t="shared" ref="AD38:AE38" si="20">AD36/AD37</f>
        <v>21.29</v>
      </c>
      <c r="AE38" s="1085">
        <f t="shared" si="20"/>
        <v>21.29</v>
      </c>
      <c r="AF38" s="1086">
        <f>AE38/0.8</f>
        <v>26.612499999999997</v>
      </c>
      <c r="AG38" s="21" t="s">
        <v>2583</v>
      </c>
    </row>
    <row r="40" spans="19:33" x14ac:dyDescent="0.45">
      <c r="AC40" s="126"/>
    </row>
    <row r="41" spans="19:33" x14ac:dyDescent="0.45">
      <c r="U41" s="1142"/>
      <c r="V41" s="1142" t="s">
        <v>2689</v>
      </c>
      <c r="W41" s="1142" t="s">
        <v>2688</v>
      </c>
    </row>
    <row r="42" spans="19:33" x14ac:dyDescent="0.45">
      <c r="S42" s="1139">
        <f>12.25/44</f>
        <v>0.27840909090909088</v>
      </c>
      <c r="U42" s="1142" t="s">
        <v>2687</v>
      </c>
      <c r="V42">
        <v>3.5</v>
      </c>
      <c r="W42" s="1">
        <v>30</v>
      </c>
    </row>
    <row r="43" spans="19:33" x14ac:dyDescent="0.45">
      <c r="S43" s="1139"/>
      <c r="U43" s="1143" t="s">
        <v>2690</v>
      </c>
      <c r="V43">
        <v>1.9263467829880041</v>
      </c>
      <c r="W43" s="1">
        <v>15</v>
      </c>
    </row>
    <row r="44" spans="19:33" x14ac:dyDescent="0.45">
      <c r="S44" s="1139"/>
      <c r="U44" s="1142" t="s">
        <v>2691</v>
      </c>
      <c r="V44">
        <v>2.4003620689655172</v>
      </c>
      <c r="W44" s="1">
        <v>15</v>
      </c>
    </row>
    <row r="73" spans="2:4" x14ac:dyDescent="0.45">
      <c r="B73">
        <v>55</v>
      </c>
      <c r="C73">
        <v>3</v>
      </c>
      <c r="D73">
        <f>$B$73/C73</f>
        <v>18.333333333333332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075F-D05E-4CDE-B9B7-8CA53710409B}">
  <dimension ref="A1:EP183"/>
  <sheetViews>
    <sheetView showGridLines="0" zoomScaleNormal="100" workbookViewId="0">
      <pane xSplit="4" topLeftCell="E1" activePane="topRight" state="frozen"/>
      <selection pane="topRight"/>
    </sheetView>
  </sheetViews>
  <sheetFormatPr defaultColWidth="8.83203125" defaultRowHeight="17" x14ac:dyDescent="0.45"/>
  <cols>
    <col min="1" max="1" width="8.83203125" style="1" customWidth="1"/>
    <col min="2" max="2" width="18.08203125" style="1" bestFit="1" customWidth="1"/>
    <col min="3" max="3" width="7.83203125" style="1" bestFit="1" customWidth="1"/>
    <col min="4" max="4" width="6.08203125" style="4" bestFit="1" customWidth="1"/>
    <col min="5" max="5" width="1.58203125" customWidth="1"/>
    <col min="6" max="6" width="20.08203125" style="1" bestFit="1" customWidth="1"/>
    <col min="7" max="7" width="9.58203125" style="4" bestFit="1" customWidth="1"/>
    <col min="8" max="8" width="3.08203125" style="1" bestFit="1" customWidth="1"/>
    <col min="9" max="12" width="3.33203125" style="44" bestFit="1" customWidth="1"/>
    <col min="13" max="33" width="4.08203125" style="44" bestFit="1" customWidth="1"/>
    <col min="34" max="34" width="5.5" style="44" bestFit="1" customWidth="1"/>
    <col min="35" max="66" width="4.08203125" style="44" bestFit="1" customWidth="1"/>
    <col min="67" max="92" width="5.33203125" style="44" bestFit="1" customWidth="1"/>
    <col min="93" max="146" width="5.33203125" style="1" bestFit="1" customWidth="1"/>
    <col min="147" max="16384" width="8.83203125" style="1"/>
  </cols>
  <sheetData>
    <row r="1" spans="2:146" x14ac:dyDescent="0.45">
      <c r="B1" s="59"/>
      <c r="AG1" s="110"/>
      <c r="AH1" s="110"/>
      <c r="BE1" s="110"/>
      <c r="BF1" s="110"/>
    </row>
    <row r="2" spans="2:146" x14ac:dyDescent="0.45">
      <c r="B2" s="931" t="s">
        <v>2172</v>
      </c>
      <c r="C2" s="446"/>
      <c r="D2" s="932"/>
      <c r="AG2" s="110"/>
      <c r="AH2" s="110"/>
      <c r="BE2" s="110"/>
      <c r="BF2" s="110"/>
    </row>
    <row r="3" spans="2:146" x14ac:dyDescent="0.45">
      <c r="B3" s="115"/>
      <c r="C3" s="117"/>
      <c r="D3" s="413"/>
      <c r="F3" s="118"/>
      <c r="G3" s="116" t="s">
        <v>1139</v>
      </c>
      <c r="H3" s="119" t="s">
        <v>901</v>
      </c>
      <c r="I3" s="114">
        <v>1</v>
      </c>
      <c r="J3" s="114">
        <v>2</v>
      </c>
      <c r="K3" s="114">
        <v>3</v>
      </c>
      <c r="L3" s="114">
        <v>4</v>
      </c>
      <c r="M3" s="114">
        <v>5</v>
      </c>
      <c r="N3" s="114">
        <v>6</v>
      </c>
      <c r="O3" s="114">
        <v>7</v>
      </c>
      <c r="P3" s="114">
        <v>8</v>
      </c>
      <c r="Q3" s="114">
        <v>9</v>
      </c>
      <c r="R3" s="114">
        <v>10</v>
      </c>
      <c r="S3" s="114">
        <v>11</v>
      </c>
      <c r="T3" s="114">
        <v>12</v>
      </c>
      <c r="U3" s="414">
        <v>13</v>
      </c>
      <c r="V3" s="414">
        <v>14</v>
      </c>
      <c r="W3" s="414">
        <v>15</v>
      </c>
      <c r="X3" s="414">
        <v>16</v>
      </c>
      <c r="Y3" s="414">
        <v>17</v>
      </c>
      <c r="Z3" s="414">
        <v>18</v>
      </c>
      <c r="AA3" s="414">
        <v>19</v>
      </c>
      <c r="AB3" s="414">
        <v>20</v>
      </c>
      <c r="AC3" s="414">
        <v>21</v>
      </c>
      <c r="AD3" s="414">
        <v>22</v>
      </c>
      <c r="AE3" s="414">
        <v>23</v>
      </c>
      <c r="AF3" s="414">
        <v>24</v>
      </c>
      <c r="AG3" s="414">
        <v>25</v>
      </c>
      <c r="AH3" s="414">
        <v>26</v>
      </c>
      <c r="AI3" s="414">
        <v>27</v>
      </c>
      <c r="AJ3" s="414">
        <v>28</v>
      </c>
      <c r="AK3" s="414">
        <v>29</v>
      </c>
      <c r="AL3" s="414">
        <v>30</v>
      </c>
      <c r="AM3" s="414">
        <v>31</v>
      </c>
      <c r="AN3" s="414">
        <v>32</v>
      </c>
      <c r="AO3" s="414">
        <v>33</v>
      </c>
      <c r="AP3" s="414">
        <v>34</v>
      </c>
      <c r="AQ3" s="414">
        <v>35</v>
      </c>
      <c r="AR3" s="414">
        <v>36</v>
      </c>
      <c r="AS3" s="414">
        <v>37</v>
      </c>
      <c r="AT3" s="414">
        <v>38</v>
      </c>
      <c r="AU3" s="414">
        <v>39</v>
      </c>
      <c r="AV3" s="414">
        <v>40</v>
      </c>
      <c r="AW3" s="114">
        <v>41</v>
      </c>
      <c r="AX3" s="114">
        <v>42</v>
      </c>
      <c r="AY3" s="114">
        <v>43</v>
      </c>
      <c r="AZ3" s="114">
        <v>44</v>
      </c>
      <c r="BA3" s="114">
        <v>45</v>
      </c>
      <c r="BB3" s="114">
        <v>46</v>
      </c>
      <c r="BC3" s="114">
        <v>47</v>
      </c>
      <c r="BD3" s="114">
        <v>48</v>
      </c>
      <c r="BE3" s="114">
        <v>49</v>
      </c>
      <c r="BF3" s="114">
        <v>50</v>
      </c>
      <c r="BG3" s="114">
        <v>51</v>
      </c>
      <c r="BH3" s="114">
        <v>52</v>
      </c>
      <c r="BI3" s="114">
        <v>53</v>
      </c>
      <c r="BJ3" s="114">
        <v>54</v>
      </c>
      <c r="BK3" s="114">
        <v>55</v>
      </c>
      <c r="BL3" s="114">
        <v>56</v>
      </c>
      <c r="BM3" s="114">
        <v>57</v>
      </c>
      <c r="BN3" s="114">
        <v>58</v>
      </c>
      <c r="BO3" s="114">
        <v>59</v>
      </c>
      <c r="BP3" s="114">
        <v>60</v>
      </c>
      <c r="BQ3" s="114">
        <v>61</v>
      </c>
      <c r="BR3" s="114">
        <v>62</v>
      </c>
      <c r="BS3" s="114">
        <v>63</v>
      </c>
      <c r="BT3" s="114">
        <v>64</v>
      </c>
      <c r="BU3" s="114">
        <v>65</v>
      </c>
      <c r="BV3" s="114">
        <v>66</v>
      </c>
      <c r="BW3" s="114">
        <v>67</v>
      </c>
      <c r="BX3" s="114">
        <v>68</v>
      </c>
      <c r="BY3" s="114">
        <v>69</v>
      </c>
      <c r="BZ3" s="114">
        <v>70</v>
      </c>
      <c r="CA3" s="114">
        <v>71</v>
      </c>
      <c r="CB3" s="114">
        <v>72</v>
      </c>
      <c r="CC3" s="114">
        <v>73</v>
      </c>
      <c r="CD3" s="114">
        <v>74</v>
      </c>
      <c r="CE3" s="114">
        <v>75</v>
      </c>
      <c r="CF3" s="114">
        <v>76</v>
      </c>
      <c r="CG3" s="114">
        <v>77</v>
      </c>
      <c r="CH3" s="114">
        <v>78</v>
      </c>
      <c r="CI3" s="114">
        <v>79</v>
      </c>
      <c r="CJ3" s="114">
        <v>80</v>
      </c>
      <c r="CK3" s="114">
        <v>81</v>
      </c>
      <c r="CL3" s="114">
        <v>82</v>
      </c>
      <c r="CM3" s="114">
        <v>83</v>
      </c>
      <c r="CN3" s="114">
        <v>84</v>
      </c>
      <c r="CO3" s="114">
        <v>85</v>
      </c>
      <c r="CP3" s="114">
        <v>86</v>
      </c>
      <c r="CQ3" s="114">
        <v>87</v>
      </c>
      <c r="CR3" s="114">
        <v>88</v>
      </c>
      <c r="CS3" s="114">
        <v>89</v>
      </c>
      <c r="CT3" s="114">
        <v>90</v>
      </c>
      <c r="CU3" s="114">
        <v>91</v>
      </c>
      <c r="CV3" s="114">
        <v>92</v>
      </c>
      <c r="CW3" s="114">
        <v>93</v>
      </c>
      <c r="CX3" s="114">
        <v>94</v>
      </c>
      <c r="CY3" s="114">
        <v>95</v>
      </c>
      <c r="CZ3" s="114">
        <v>96</v>
      </c>
      <c r="DA3" s="114">
        <v>97</v>
      </c>
      <c r="DB3" s="114">
        <v>98</v>
      </c>
      <c r="DC3" s="114">
        <v>99</v>
      </c>
      <c r="DD3" s="114">
        <v>100</v>
      </c>
      <c r="DE3" s="114">
        <v>101</v>
      </c>
      <c r="DF3" s="114">
        <v>102</v>
      </c>
      <c r="DG3" s="114">
        <v>103</v>
      </c>
      <c r="DH3" s="114">
        <v>104</v>
      </c>
      <c r="DI3" s="114">
        <v>105</v>
      </c>
      <c r="DJ3" s="114">
        <v>106</v>
      </c>
      <c r="DK3" s="114">
        <v>107</v>
      </c>
      <c r="DL3" s="114">
        <v>108</v>
      </c>
      <c r="DM3" s="114">
        <v>109</v>
      </c>
      <c r="DN3" s="114">
        <v>110</v>
      </c>
      <c r="DO3" s="114">
        <v>111</v>
      </c>
      <c r="DP3" s="114">
        <v>112</v>
      </c>
      <c r="DQ3" s="114">
        <v>113</v>
      </c>
      <c r="DR3" s="114">
        <v>114</v>
      </c>
      <c r="DS3" s="114">
        <v>115</v>
      </c>
      <c r="DT3" s="114">
        <v>116</v>
      </c>
      <c r="DU3" s="114">
        <v>117</v>
      </c>
      <c r="DV3" s="114">
        <v>118</v>
      </c>
      <c r="DW3" s="114">
        <v>119</v>
      </c>
      <c r="DX3" s="114">
        <v>120</v>
      </c>
      <c r="DY3" s="114"/>
      <c r="DZ3" s="114"/>
      <c r="EA3" s="114"/>
      <c r="EB3" s="114"/>
      <c r="EC3" s="114"/>
      <c r="ED3" s="114"/>
      <c r="EE3" s="114"/>
      <c r="EF3" s="114"/>
      <c r="EG3" s="114"/>
      <c r="EH3" s="114"/>
      <c r="EI3" s="114"/>
      <c r="EJ3" s="114"/>
      <c r="EK3" s="114"/>
      <c r="EL3" s="114"/>
      <c r="EM3" s="114"/>
      <c r="EN3" s="114"/>
      <c r="EO3" s="114"/>
      <c r="EP3" s="114"/>
    </row>
    <row r="4" spans="2:146" x14ac:dyDescent="0.45">
      <c r="B4" s="116" t="s">
        <v>1132</v>
      </c>
      <c r="C4" s="1">
        <f>C20</f>
        <v>25</v>
      </c>
      <c r="D4" s="4" t="s">
        <v>0</v>
      </c>
      <c r="F4" s="120" t="s">
        <v>1140</v>
      </c>
      <c r="G4" s="2" t="s">
        <v>1126</v>
      </c>
      <c r="H4" s="108" t="s">
        <v>901</v>
      </c>
      <c r="I4" s="122">
        <v>1</v>
      </c>
      <c r="J4" s="122">
        <v>2</v>
      </c>
      <c r="K4" s="122">
        <v>3</v>
      </c>
      <c r="L4" s="122">
        <v>4</v>
      </c>
      <c r="M4" s="122">
        <v>5</v>
      </c>
      <c r="N4" s="122">
        <v>6</v>
      </c>
      <c r="O4" s="122">
        <v>7</v>
      </c>
      <c r="P4" s="122">
        <v>8</v>
      </c>
      <c r="Q4" s="122">
        <v>9</v>
      </c>
      <c r="R4" s="122">
        <v>10</v>
      </c>
      <c r="S4" s="122">
        <v>11</v>
      </c>
      <c r="T4" s="122">
        <v>12</v>
      </c>
      <c r="U4" s="122">
        <v>13</v>
      </c>
      <c r="V4" s="122">
        <v>14</v>
      </c>
      <c r="W4" s="122">
        <v>15</v>
      </c>
      <c r="X4" s="122">
        <v>16</v>
      </c>
      <c r="Y4" s="122">
        <v>17</v>
      </c>
      <c r="Z4" s="122">
        <v>18</v>
      </c>
      <c r="AA4" s="122">
        <v>19</v>
      </c>
      <c r="AB4" s="122">
        <v>20</v>
      </c>
      <c r="AC4" s="122">
        <v>21</v>
      </c>
      <c r="AD4" s="122">
        <v>22</v>
      </c>
      <c r="AE4" s="122">
        <v>23</v>
      </c>
      <c r="AF4" s="122">
        <v>24</v>
      </c>
      <c r="AG4" s="122">
        <v>25</v>
      </c>
      <c r="AH4" s="122">
        <v>26</v>
      </c>
      <c r="AI4" s="122">
        <v>27</v>
      </c>
      <c r="AJ4" s="122">
        <v>28</v>
      </c>
      <c r="AK4" s="122">
        <v>29</v>
      </c>
      <c r="AL4" s="122">
        <v>30</v>
      </c>
      <c r="AM4" s="122">
        <v>31</v>
      </c>
      <c r="AN4" s="122">
        <v>32</v>
      </c>
      <c r="AO4" s="122">
        <v>33</v>
      </c>
      <c r="AP4" s="122">
        <v>34</v>
      </c>
      <c r="AQ4" s="122">
        <v>35</v>
      </c>
      <c r="AR4" s="122">
        <v>36</v>
      </c>
      <c r="AS4" s="122">
        <v>37</v>
      </c>
      <c r="AT4" s="122">
        <v>38</v>
      </c>
      <c r="AU4" s="122">
        <v>39</v>
      </c>
      <c r="AV4" s="122">
        <v>40</v>
      </c>
      <c r="AW4" s="122">
        <v>41</v>
      </c>
      <c r="AX4" s="122">
        <v>42</v>
      </c>
      <c r="AY4" s="122">
        <v>43</v>
      </c>
      <c r="AZ4" s="122">
        <v>44</v>
      </c>
      <c r="BA4" s="122">
        <v>45</v>
      </c>
      <c r="BB4" s="122">
        <v>46</v>
      </c>
      <c r="BC4" s="122">
        <v>47</v>
      </c>
      <c r="BD4" s="122">
        <v>48</v>
      </c>
      <c r="BE4" s="122">
        <v>49</v>
      </c>
      <c r="BF4" s="122">
        <v>50</v>
      </c>
      <c r="BG4" s="122">
        <v>51</v>
      </c>
      <c r="BH4" s="122">
        <v>52</v>
      </c>
      <c r="BI4" s="122">
        <v>53</v>
      </c>
      <c r="BJ4" s="122">
        <v>54</v>
      </c>
      <c r="BK4" s="122">
        <v>55</v>
      </c>
      <c r="BL4" s="122">
        <v>56</v>
      </c>
      <c r="BM4" s="122">
        <v>57</v>
      </c>
      <c r="BN4" s="122">
        <v>58</v>
      </c>
      <c r="BO4" s="122">
        <v>59</v>
      </c>
      <c r="BP4" s="122">
        <v>60</v>
      </c>
      <c r="BQ4" s="123">
        <v>1</v>
      </c>
      <c r="BR4" s="123">
        <v>2</v>
      </c>
      <c r="BS4" s="123">
        <v>3</v>
      </c>
      <c r="BT4" s="123">
        <v>4</v>
      </c>
      <c r="BU4" s="123">
        <v>5</v>
      </c>
      <c r="BV4" s="123">
        <v>6</v>
      </c>
      <c r="BW4" s="123">
        <v>7</v>
      </c>
      <c r="BX4" s="123">
        <v>8</v>
      </c>
      <c r="BY4" s="123">
        <v>9</v>
      </c>
      <c r="BZ4" s="123">
        <v>10</v>
      </c>
      <c r="CA4" s="123">
        <v>11</v>
      </c>
      <c r="CB4" s="123">
        <v>12</v>
      </c>
      <c r="CC4" s="123">
        <v>13</v>
      </c>
      <c r="CD4" s="123">
        <v>14</v>
      </c>
      <c r="CE4" s="123">
        <v>15</v>
      </c>
      <c r="CF4" s="123">
        <v>16</v>
      </c>
      <c r="CG4" s="123">
        <v>17</v>
      </c>
      <c r="CH4" s="123">
        <v>18</v>
      </c>
      <c r="CI4" s="123">
        <v>19</v>
      </c>
      <c r="CJ4" s="123">
        <v>20</v>
      </c>
      <c r="CK4" s="123">
        <v>21</v>
      </c>
      <c r="CL4" s="123">
        <v>22</v>
      </c>
      <c r="CM4" s="123">
        <v>23</v>
      </c>
      <c r="CN4" s="123">
        <v>24</v>
      </c>
      <c r="CO4" s="123">
        <v>25</v>
      </c>
      <c r="CP4" s="123">
        <v>26</v>
      </c>
      <c r="CQ4" s="123">
        <v>27</v>
      </c>
      <c r="CR4" s="123">
        <v>28</v>
      </c>
      <c r="CS4" s="123">
        <v>29</v>
      </c>
      <c r="CT4" s="123">
        <v>30</v>
      </c>
      <c r="CU4" s="123">
        <v>31</v>
      </c>
      <c r="CV4" s="123">
        <v>32</v>
      </c>
      <c r="CW4" s="123">
        <v>33</v>
      </c>
      <c r="CX4" s="123">
        <v>34</v>
      </c>
      <c r="CY4" s="123">
        <v>35</v>
      </c>
      <c r="CZ4" s="123">
        <v>36</v>
      </c>
      <c r="DA4" s="123">
        <v>37</v>
      </c>
      <c r="DB4" s="123">
        <v>38</v>
      </c>
      <c r="DC4" s="123">
        <v>39</v>
      </c>
      <c r="DD4" s="123">
        <v>40</v>
      </c>
      <c r="DE4" s="123">
        <v>41</v>
      </c>
      <c r="DF4" s="123">
        <v>42</v>
      </c>
      <c r="DG4" s="123">
        <v>43</v>
      </c>
      <c r="DH4" s="123">
        <v>44</v>
      </c>
      <c r="DI4" s="123">
        <v>45</v>
      </c>
      <c r="DJ4" s="123">
        <v>46</v>
      </c>
      <c r="DK4" s="123">
        <v>47</v>
      </c>
      <c r="DL4" s="123">
        <v>48</v>
      </c>
      <c r="DM4" s="123">
        <v>49</v>
      </c>
      <c r="DN4" s="123">
        <v>50</v>
      </c>
      <c r="DO4" s="123">
        <v>51</v>
      </c>
      <c r="DP4" s="123">
        <v>52</v>
      </c>
      <c r="DQ4" s="123">
        <v>53</v>
      </c>
      <c r="DR4" s="123">
        <v>54</v>
      </c>
      <c r="DS4" s="123">
        <v>55</v>
      </c>
      <c r="DT4" s="123">
        <v>56</v>
      </c>
      <c r="DU4" s="123">
        <v>57</v>
      </c>
      <c r="DV4" s="123">
        <v>58</v>
      </c>
      <c r="DW4" s="123">
        <v>59</v>
      </c>
      <c r="DX4" s="123">
        <v>60</v>
      </c>
    </row>
    <row r="5" spans="2:146" x14ac:dyDescent="0.45">
      <c r="B5" s="116" t="s">
        <v>1135</v>
      </c>
      <c r="C5" s="1">
        <f>C26</f>
        <v>16</v>
      </c>
      <c r="D5" s="4" t="s">
        <v>18</v>
      </c>
      <c r="F5" s="120"/>
      <c r="G5" s="112" t="s">
        <v>1138</v>
      </c>
      <c r="H5" s="121" t="s">
        <v>1</v>
      </c>
      <c r="I5" s="110">
        <f xml:space="preserve"> C6 + (16+$C$5*$C$8*(I3-0)) * (1/$C$4)</f>
        <v>17</v>
      </c>
      <c r="J5" s="110">
        <f>I5 + ($C$5*$C$8*(J3-I3)) * (1/$C$4)</f>
        <v>32.36</v>
      </c>
      <c r="K5" s="110">
        <f>J5 + ($C$5*$C$8*(K3-J3)) * (1/$C$4)</f>
        <v>47.72</v>
      </c>
      <c r="L5" s="110">
        <f t="shared" ref="L5:BP5" si="0">K5 + ($C$5*$C$8*(L3-K3)) * (1/$C$4)</f>
        <v>63.08</v>
      </c>
      <c r="M5" s="110">
        <f t="shared" si="0"/>
        <v>78.44</v>
      </c>
      <c r="N5" s="110">
        <f t="shared" si="0"/>
        <v>93.8</v>
      </c>
      <c r="O5" s="110">
        <f t="shared" si="0"/>
        <v>109.16</v>
      </c>
      <c r="P5" s="110">
        <f t="shared" si="0"/>
        <v>124.52</v>
      </c>
      <c r="Q5" s="110">
        <f t="shared" si="0"/>
        <v>139.88</v>
      </c>
      <c r="R5" s="110">
        <f t="shared" si="0"/>
        <v>155.24</v>
      </c>
      <c r="S5" s="110">
        <f t="shared" si="0"/>
        <v>170.60000000000002</v>
      </c>
      <c r="T5" s="110">
        <f t="shared" si="0"/>
        <v>185.96000000000004</v>
      </c>
      <c r="U5" s="110">
        <f t="shared" si="0"/>
        <v>201.32000000000005</v>
      </c>
      <c r="V5" s="110">
        <f t="shared" si="0"/>
        <v>216.68000000000006</v>
      </c>
      <c r="W5" s="110">
        <f t="shared" si="0"/>
        <v>232.04000000000008</v>
      </c>
      <c r="X5" s="110">
        <f t="shared" si="0"/>
        <v>247.40000000000009</v>
      </c>
      <c r="Y5" s="110">
        <f t="shared" si="0"/>
        <v>262.7600000000001</v>
      </c>
      <c r="Z5" s="110">
        <f t="shared" si="0"/>
        <v>278.12000000000012</v>
      </c>
      <c r="AA5" s="110">
        <f t="shared" si="0"/>
        <v>293.48000000000013</v>
      </c>
      <c r="AB5" s="110">
        <f t="shared" si="0"/>
        <v>308.84000000000015</v>
      </c>
      <c r="AC5" s="110">
        <f t="shared" si="0"/>
        <v>324.20000000000016</v>
      </c>
      <c r="AD5" s="110">
        <f t="shared" si="0"/>
        <v>339.56000000000017</v>
      </c>
      <c r="AE5" s="110">
        <f t="shared" si="0"/>
        <v>354.92000000000019</v>
      </c>
      <c r="AF5" s="110">
        <f t="shared" si="0"/>
        <v>370.2800000000002</v>
      </c>
      <c r="AG5" s="110">
        <f t="shared" si="0"/>
        <v>385.64000000000021</v>
      </c>
      <c r="AH5" s="110">
        <f t="shared" si="0"/>
        <v>401.00000000000023</v>
      </c>
      <c r="AI5" s="110">
        <f t="shared" si="0"/>
        <v>416.36000000000024</v>
      </c>
      <c r="AJ5" s="110">
        <f t="shared" si="0"/>
        <v>431.72000000000025</v>
      </c>
      <c r="AK5" s="110">
        <f t="shared" si="0"/>
        <v>447.08000000000027</v>
      </c>
      <c r="AL5" s="110">
        <f t="shared" si="0"/>
        <v>462.44000000000028</v>
      </c>
      <c r="AM5" s="110">
        <f t="shared" si="0"/>
        <v>477.8000000000003</v>
      </c>
      <c r="AN5" s="110">
        <f t="shared" si="0"/>
        <v>493.16000000000031</v>
      </c>
      <c r="AO5" s="110">
        <f t="shared" si="0"/>
        <v>508.52000000000032</v>
      </c>
      <c r="AP5" s="110">
        <f t="shared" si="0"/>
        <v>523.88000000000034</v>
      </c>
      <c r="AQ5" s="110">
        <f t="shared" si="0"/>
        <v>539.24000000000035</v>
      </c>
      <c r="AR5" s="110">
        <f t="shared" si="0"/>
        <v>554.60000000000036</v>
      </c>
      <c r="AS5" s="110">
        <f t="shared" si="0"/>
        <v>569.96000000000038</v>
      </c>
      <c r="AT5" s="110">
        <f t="shared" si="0"/>
        <v>585.32000000000039</v>
      </c>
      <c r="AU5" s="110">
        <f t="shared" si="0"/>
        <v>600.6800000000004</v>
      </c>
      <c r="AV5" s="110">
        <f t="shared" si="0"/>
        <v>616.04000000000042</v>
      </c>
      <c r="AW5" s="110">
        <f t="shared" si="0"/>
        <v>631.40000000000043</v>
      </c>
      <c r="AX5" s="110">
        <f t="shared" si="0"/>
        <v>646.76000000000045</v>
      </c>
      <c r="AY5" s="110">
        <f t="shared" si="0"/>
        <v>662.12000000000046</v>
      </c>
      <c r="AZ5" s="110">
        <f t="shared" si="0"/>
        <v>677.48000000000047</v>
      </c>
      <c r="BA5" s="110">
        <f t="shared" si="0"/>
        <v>692.84000000000049</v>
      </c>
      <c r="BB5" s="110">
        <f t="shared" si="0"/>
        <v>708.2000000000005</v>
      </c>
      <c r="BC5" s="110">
        <f t="shared" si="0"/>
        <v>723.56000000000051</v>
      </c>
      <c r="BD5" s="110">
        <f t="shared" si="0"/>
        <v>738.92000000000053</v>
      </c>
      <c r="BE5" s="110">
        <f t="shared" si="0"/>
        <v>754.28000000000054</v>
      </c>
      <c r="BF5" s="110">
        <f t="shared" si="0"/>
        <v>769.64000000000055</v>
      </c>
      <c r="BG5" s="110">
        <f t="shared" si="0"/>
        <v>785.00000000000057</v>
      </c>
      <c r="BH5" s="110">
        <f t="shared" si="0"/>
        <v>800.36000000000058</v>
      </c>
      <c r="BI5" s="110">
        <f t="shared" si="0"/>
        <v>815.7200000000006</v>
      </c>
      <c r="BJ5" s="110">
        <f t="shared" si="0"/>
        <v>831.08000000000061</v>
      </c>
      <c r="BK5" s="110">
        <f t="shared" si="0"/>
        <v>846.44000000000062</v>
      </c>
      <c r="BL5" s="110">
        <f t="shared" si="0"/>
        <v>861.80000000000064</v>
      </c>
      <c r="BM5" s="110">
        <f t="shared" si="0"/>
        <v>877.16000000000065</v>
      </c>
      <c r="BN5" s="110">
        <f t="shared" si="0"/>
        <v>892.52000000000066</v>
      </c>
      <c r="BO5" s="110">
        <f t="shared" si="0"/>
        <v>907.88000000000068</v>
      </c>
      <c r="BP5" s="110">
        <f t="shared" si="0"/>
        <v>923.24000000000069</v>
      </c>
      <c r="BQ5" s="110">
        <f>BP5 + C6+C7+ (16+$C$5*$C$8*(BQ3-BP3)) * (1/$C$4)</f>
        <v>950.24000000000069</v>
      </c>
      <c r="BR5" s="110">
        <f>BQ5 + ($C$5*$C$8*(BR3-BQ3)) * (1/$C$4)</f>
        <v>965.6000000000007</v>
      </c>
      <c r="BS5" s="110">
        <f t="shared" ref="BS5:CE5" si="1">BR5 + ($C$5*$C$8*(BS3-BR3)) * (1/$C$4)</f>
        <v>980.96000000000072</v>
      </c>
      <c r="BT5" s="110">
        <f t="shared" si="1"/>
        <v>996.32000000000073</v>
      </c>
      <c r="BU5" s="110">
        <f t="shared" si="1"/>
        <v>1011.6800000000007</v>
      </c>
      <c r="BV5" s="110">
        <f t="shared" si="1"/>
        <v>1027.0400000000006</v>
      </c>
      <c r="BW5" s="110">
        <f t="shared" si="1"/>
        <v>1042.4000000000005</v>
      </c>
      <c r="BX5" s="110">
        <f t="shared" si="1"/>
        <v>1057.7600000000004</v>
      </c>
      <c r="BY5" s="110">
        <f t="shared" si="1"/>
        <v>1073.1200000000003</v>
      </c>
      <c r="BZ5" s="110">
        <f t="shared" si="1"/>
        <v>1088.4800000000002</v>
      </c>
      <c r="CA5" s="110">
        <f t="shared" si="1"/>
        <v>1103.8400000000001</v>
      </c>
      <c r="CB5" s="110">
        <f t="shared" si="1"/>
        <v>1119.2</v>
      </c>
      <c r="CC5" s="110">
        <f t="shared" si="1"/>
        <v>1134.56</v>
      </c>
      <c r="CD5" s="110">
        <f t="shared" si="1"/>
        <v>1149.9199999999998</v>
      </c>
      <c r="CE5" s="110">
        <f t="shared" si="1"/>
        <v>1165.2799999999997</v>
      </c>
      <c r="CF5" s="110">
        <f>CE5 + ($C$5*$C$8*(CF3-CE3)) * (1/$C$4)</f>
        <v>1180.6399999999996</v>
      </c>
      <c r="CG5" s="110">
        <f t="shared" ref="CG5:DX5" si="2">CF5 + ($C$5*$C$8*(CG3-CF3)) * (1/$C$4)</f>
        <v>1195.9999999999995</v>
      </c>
      <c r="CH5" s="110">
        <f t="shared" si="2"/>
        <v>1211.3599999999994</v>
      </c>
      <c r="CI5" s="110">
        <f t="shared" si="2"/>
        <v>1226.7199999999993</v>
      </c>
      <c r="CJ5" s="110">
        <f t="shared" si="2"/>
        <v>1242.0799999999992</v>
      </c>
      <c r="CK5" s="110">
        <f t="shared" si="2"/>
        <v>1257.4399999999991</v>
      </c>
      <c r="CL5" s="110">
        <f t="shared" si="2"/>
        <v>1272.799999999999</v>
      </c>
      <c r="CM5" s="110">
        <f t="shared" si="2"/>
        <v>1288.1599999999989</v>
      </c>
      <c r="CN5" s="110">
        <f t="shared" si="2"/>
        <v>1303.5199999999988</v>
      </c>
      <c r="CO5" s="110">
        <f t="shared" si="2"/>
        <v>1318.8799999999987</v>
      </c>
      <c r="CP5" s="110">
        <f t="shared" si="2"/>
        <v>1334.2399999999986</v>
      </c>
      <c r="CQ5" s="110">
        <f t="shared" si="2"/>
        <v>1349.5999999999985</v>
      </c>
      <c r="CR5" s="110">
        <f t="shared" si="2"/>
        <v>1364.9599999999984</v>
      </c>
      <c r="CS5" s="110">
        <f t="shared" si="2"/>
        <v>1380.3199999999983</v>
      </c>
      <c r="CT5" s="110">
        <f t="shared" si="2"/>
        <v>1395.6799999999982</v>
      </c>
      <c r="CU5" s="110">
        <f t="shared" si="2"/>
        <v>1411.0399999999981</v>
      </c>
      <c r="CV5" s="110">
        <f t="shared" si="2"/>
        <v>1426.399999999998</v>
      </c>
      <c r="CW5" s="110">
        <f t="shared" si="2"/>
        <v>1441.7599999999979</v>
      </c>
      <c r="CX5" s="110">
        <f t="shared" si="2"/>
        <v>1457.1199999999978</v>
      </c>
      <c r="CY5" s="110">
        <f t="shared" si="2"/>
        <v>1472.4799999999977</v>
      </c>
      <c r="CZ5" s="110">
        <f t="shared" si="2"/>
        <v>1487.8399999999976</v>
      </c>
      <c r="DA5" s="110">
        <f t="shared" si="2"/>
        <v>1503.1999999999975</v>
      </c>
      <c r="DB5" s="110">
        <f t="shared" si="2"/>
        <v>1518.5599999999974</v>
      </c>
      <c r="DC5" s="110">
        <f t="shared" si="2"/>
        <v>1533.9199999999973</v>
      </c>
      <c r="DD5" s="110">
        <f t="shared" si="2"/>
        <v>1549.2799999999972</v>
      </c>
      <c r="DE5" s="110">
        <f t="shared" si="2"/>
        <v>1564.6399999999971</v>
      </c>
      <c r="DF5" s="110">
        <f t="shared" si="2"/>
        <v>1579.999999999997</v>
      </c>
      <c r="DG5" s="110">
        <f t="shared" si="2"/>
        <v>1595.3599999999969</v>
      </c>
      <c r="DH5" s="110">
        <f t="shared" si="2"/>
        <v>1610.7199999999968</v>
      </c>
      <c r="DI5" s="110">
        <f t="shared" si="2"/>
        <v>1626.0799999999967</v>
      </c>
      <c r="DJ5" s="110">
        <f t="shared" si="2"/>
        <v>1641.4399999999966</v>
      </c>
      <c r="DK5" s="110">
        <f t="shared" si="2"/>
        <v>1656.7999999999965</v>
      </c>
      <c r="DL5" s="110">
        <f t="shared" si="2"/>
        <v>1672.1599999999964</v>
      </c>
      <c r="DM5" s="110">
        <f t="shared" si="2"/>
        <v>1687.5199999999963</v>
      </c>
      <c r="DN5" s="110">
        <f t="shared" si="2"/>
        <v>1702.8799999999962</v>
      </c>
      <c r="DO5" s="110">
        <f t="shared" si="2"/>
        <v>1718.2399999999961</v>
      </c>
      <c r="DP5" s="110">
        <f t="shared" si="2"/>
        <v>1733.599999999996</v>
      </c>
      <c r="DQ5" s="110">
        <f t="shared" si="2"/>
        <v>1748.9599999999959</v>
      </c>
      <c r="DR5" s="110">
        <f t="shared" si="2"/>
        <v>1764.3199999999958</v>
      </c>
      <c r="DS5" s="110">
        <f t="shared" si="2"/>
        <v>1779.6799999999957</v>
      </c>
      <c r="DT5" s="110">
        <f t="shared" si="2"/>
        <v>1795.0399999999956</v>
      </c>
      <c r="DU5" s="110">
        <f t="shared" si="2"/>
        <v>1810.3999999999955</v>
      </c>
      <c r="DV5" s="110">
        <f t="shared" si="2"/>
        <v>1825.7599999999954</v>
      </c>
      <c r="DW5" s="110">
        <f t="shared" si="2"/>
        <v>1841.1199999999953</v>
      </c>
      <c r="DX5" s="110">
        <f t="shared" si="2"/>
        <v>1856.4799999999952</v>
      </c>
    </row>
    <row r="6" spans="2:146" x14ac:dyDescent="0.45">
      <c r="B6" s="116" t="s">
        <v>1134</v>
      </c>
      <c r="C6" s="1">
        <f>C22</f>
        <v>1</v>
      </c>
      <c r="D6" s="4" t="s">
        <v>1</v>
      </c>
      <c r="F6" s="120" t="s">
        <v>1141</v>
      </c>
      <c r="G6" s="2" t="s">
        <v>1130</v>
      </c>
      <c r="H6" s="108" t="s">
        <v>901</v>
      </c>
      <c r="I6" s="1"/>
      <c r="O6" s="124">
        <v>1</v>
      </c>
      <c r="P6" s="124">
        <v>2</v>
      </c>
      <c r="Q6" s="124">
        <v>3</v>
      </c>
      <c r="R6" s="124">
        <v>4</v>
      </c>
      <c r="S6" s="124">
        <v>5</v>
      </c>
      <c r="T6" s="124">
        <v>6</v>
      </c>
      <c r="U6" s="124">
        <v>7</v>
      </c>
      <c r="V6" s="124">
        <v>8</v>
      </c>
      <c r="W6" s="124">
        <v>9</v>
      </c>
      <c r="X6" s="124">
        <v>10</v>
      </c>
      <c r="Y6" s="124">
        <v>11</v>
      </c>
      <c r="Z6" s="124">
        <v>12</v>
      </c>
      <c r="AA6" s="124">
        <v>13</v>
      </c>
      <c r="AB6" s="124">
        <v>14</v>
      </c>
      <c r="AC6" s="124">
        <v>15</v>
      </c>
      <c r="AD6" s="124">
        <v>16</v>
      </c>
      <c r="AE6" s="124">
        <v>17</v>
      </c>
      <c r="AF6" s="124">
        <v>18</v>
      </c>
      <c r="AG6" s="124">
        <v>19</v>
      </c>
      <c r="AH6" s="124">
        <v>20</v>
      </c>
      <c r="AI6" s="124">
        <v>21</v>
      </c>
      <c r="AJ6" s="124">
        <v>22</v>
      </c>
      <c r="AK6" s="124">
        <v>23</v>
      </c>
      <c r="AL6" s="124">
        <v>24</v>
      </c>
      <c r="AM6" s="124">
        <v>25</v>
      </c>
      <c r="AN6" s="124">
        <v>26</v>
      </c>
      <c r="AO6" s="124">
        <v>27</v>
      </c>
      <c r="AP6" s="124">
        <v>28</v>
      </c>
      <c r="AQ6" s="124">
        <v>29</v>
      </c>
      <c r="AR6" s="124">
        <v>30</v>
      </c>
      <c r="AS6" s="124">
        <v>31</v>
      </c>
      <c r="AT6" s="124">
        <v>32</v>
      </c>
      <c r="AU6" s="124">
        <v>33</v>
      </c>
      <c r="AV6" s="124">
        <v>34</v>
      </c>
      <c r="AW6" s="124">
        <v>35</v>
      </c>
      <c r="AX6" s="124">
        <v>36</v>
      </c>
      <c r="AY6" s="124">
        <v>37</v>
      </c>
      <c r="AZ6" s="124">
        <v>38</v>
      </c>
      <c r="BA6" s="124">
        <v>39</v>
      </c>
      <c r="BB6" s="124">
        <v>40</v>
      </c>
      <c r="BC6" s="124">
        <v>41</v>
      </c>
      <c r="BD6" s="124">
        <v>42</v>
      </c>
      <c r="BE6" s="124">
        <v>43</v>
      </c>
      <c r="BF6" s="124">
        <v>44</v>
      </c>
      <c r="BG6" s="124">
        <v>45</v>
      </c>
      <c r="BH6" s="124">
        <v>46</v>
      </c>
      <c r="BI6" s="124">
        <v>47</v>
      </c>
      <c r="BJ6" s="124">
        <v>48</v>
      </c>
      <c r="BK6" s="124">
        <v>49</v>
      </c>
      <c r="BL6" s="124">
        <v>50</v>
      </c>
      <c r="BM6" s="124">
        <v>51</v>
      </c>
      <c r="BN6" s="124">
        <v>52</v>
      </c>
      <c r="BO6" s="124">
        <v>53</v>
      </c>
      <c r="BP6" s="124">
        <v>54</v>
      </c>
      <c r="BQ6" s="124">
        <v>55</v>
      </c>
      <c r="BR6" s="124">
        <v>56</v>
      </c>
      <c r="BS6" s="124">
        <v>57</v>
      </c>
      <c r="BT6" s="124">
        <v>58</v>
      </c>
      <c r="BU6" s="124">
        <v>59</v>
      </c>
      <c r="BV6" s="124">
        <v>60</v>
      </c>
      <c r="BW6" s="124">
        <v>61</v>
      </c>
      <c r="BX6" s="124">
        <v>62</v>
      </c>
      <c r="BY6" s="124">
        <v>63</v>
      </c>
      <c r="BZ6" s="124">
        <v>64</v>
      </c>
      <c r="CA6" s="124">
        <v>65</v>
      </c>
      <c r="CB6" s="124">
        <v>66</v>
      </c>
      <c r="CC6" s="124">
        <v>67</v>
      </c>
      <c r="CD6" s="124">
        <v>68</v>
      </c>
      <c r="CE6" s="124">
        <v>69</v>
      </c>
      <c r="CF6" s="124">
        <v>70</v>
      </c>
      <c r="CG6" s="124">
        <v>71</v>
      </c>
      <c r="CH6" s="124">
        <v>72</v>
      </c>
      <c r="CI6" s="124">
        <v>73</v>
      </c>
      <c r="CJ6" s="124">
        <v>74</v>
      </c>
      <c r="CK6" s="124">
        <v>75</v>
      </c>
      <c r="CL6" s="124">
        <v>76</v>
      </c>
      <c r="CM6" s="124">
        <v>77</v>
      </c>
      <c r="CN6" s="124">
        <v>78</v>
      </c>
      <c r="CO6" s="124">
        <v>79</v>
      </c>
      <c r="CP6" s="124">
        <v>80</v>
      </c>
      <c r="CQ6" s="124">
        <v>81</v>
      </c>
      <c r="CR6" s="124">
        <v>82</v>
      </c>
      <c r="CS6" s="124">
        <v>83</v>
      </c>
      <c r="CT6" s="124">
        <v>84</v>
      </c>
      <c r="CU6" s="124">
        <v>85</v>
      </c>
      <c r="CV6" s="124">
        <v>86</v>
      </c>
      <c r="CW6" s="124">
        <v>87</v>
      </c>
      <c r="CX6" s="124">
        <v>88</v>
      </c>
      <c r="CY6" s="124">
        <v>89</v>
      </c>
      <c r="CZ6" s="124">
        <v>90</v>
      </c>
      <c r="DA6" s="124">
        <v>91</v>
      </c>
      <c r="DB6" s="124">
        <v>92</v>
      </c>
      <c r="DC6" s="124">
        <v>93</v>
      </c>
      <c r="DD6" s="124">
        <v>94</v>
      </c>
      <c r="DE6" s="124">
        <v>95</v>
      </c>
      <c r="DF6" s="124">
        <v>96</v>
      </c>
      <c r="DG6" s="124">
        <v>97</v>
      </c>
      <c r="DH6" s="124">
        <v>98</v>
      </c>
      <c r="DI6" s="124">
        <v>99</v>
      </c>
      <c r="DJ6" s="124">
        <v>100</v>
      </c>
      <c r="DK6" s="124">
        <v>101</v>
      </c>
      <c r="DL6" s="124">
        <v>102</v>
      </c>
      <c r="DM6" s="124">
        <v>103</v>
      </c>
      <c r="DN6" s="124">
        <v>104</v>
      </c>
      <c r="DO6" s="124">
        <v>105</v>
      </c>
      <c r="DP6" s="124">
        <v>106</v>
      </c>
      <c r="DQ6" s="124">
        <v>107</v>
      </c>
      <c r="DR6" s="124">
        <v>108</v>
      </c>
      <c r="DS6" s="124">
        <v>109</v>
      </c>
      <c r="DT6" s="124">
        <v>110</v>
      </c>
      <c r="DU6" s="124">
        <v>111</v>
      </c>
      <c r="DV6" s="124">
        <v>112</v>
      </c>
      <c r="DW6" s="124">
        <v>113</v>
      </c>
      <c r="DX6" s="124">
        <v>114</v>
      </c>
      <c r="DY6" s="124">
        <v>115</v>
      </c>
      <c r="DZ6" s="124">
        <v>116</v>
      </c>
      <c r="EA6" s="124">
        <v>117</v>
      </c>
      <c r="EB6" s="124">
        <v>118</v>
      </c>
      <c r="EC6" s="124">
        <v>119</v>
      </c>
      <c r="ED6" s="124">
        <v>120</v>
      </c>
      <c r="EE6" s="124"/>
      <c r="EF6" s="124"/>
      <c r="EG6" s="124"/>
      <c r="EH6" s="124"/>
      <c r="EI6" s="124"/>
      <c r="EJ6" s="124"/>
      <c r="EK6" s="124"/>
      <c r="EL6" s="124"/>
      <c r="EM6" s="124"/>
      <c r="EN6" s="124"/>
      <c r="EO6" s="124"/>
      <c r="EP6" s="124"/>
    </row>
    <row r="7" spans="2:146" x14ac:dyDescent="0.45">
      <c r="B7" s="116" t="s">
        <v>1136</v>
      </c>
      <c r="C7" s="1">
        <f>C23</f>
        <v>10</v>
      </c>
      <c r="D7" s="4" t="s">
        <v>1</v>
      </c>
      <c r="F7" s="120"/>
      <c r="G7" s="112" t="s">
        <v>1138</v>
      </c>
      <c r="H7" s="121" t="s">
        <v>1</v>
      </c>
      <c r="I7" s="1"/>
      <c r="O7" s="110">
        <f xml:space="preserve"> $N$5 + (4*ROUNDUP(O6/$C$9,0)+($C$5)*O6) /$C$10</f>
        <v>115.4</v>
      </c>
      <c r="P7" s="110">
        <f t="shared" ref="P7:CA7" si="3" xml:space="preserve"> $N$5 + (4*ROUNDUP(P6/$C$9,0)+($C$5)*P6) /$C$10</f>
        <v>132.68</v>
      </c>
      <c r="Q7" s="110">
        <f t="shared" si="3"/>
        <v>149.96</v>
      </c>
      <c r="R7" s="110">
        <f t="shared" si="3"/>
        <v>167.24</v>
      </c>
      <c r="S7" s="110">
        <f t="shared" si="3"/>
        <v>184.52</v>
      </c>
      <c r="T7" s="110">
        <f t="shared" si="3"/>
        <v>201.8</v>
      </c>
      <c r="U7" s="110">
        <f t="shared" si="3"/>
        <v>219.08</v>
      </c>
      <c r="V7" s="110">
        <f t="shared" si="3"/>
        <v>236.36</v>
      </c>
      <c r="W7" s="110">
        <f t="shared" si="3"/>
        <v>253.64000000000004</v>
      </c>
      <c r="X7" s="110">
        <f t="shared" si="3"/>
        <v>270.92</v>
      </c>
      <c r="Y7" s="110">
        <f t="shared" si="3"/>
        <v>288.20000000000005</v>
      </c>
      <c r="Z7" s="110">
        <f t="shared" si="3"/>
        <v>305.48</v>
      </c>
      <c r="AA7" s="110">
        <f t="shared" si="3"/>
        <v>327.08000000000004</v>
      </c>
      <c r="AB7" s="110">
        <f t="shared" si="3"/>
        <v>344.36</v>
      </c>
      <c r="AC7" s="110">
        <f t="shared" si="3"/>
        <v>361.64000000000004</v>
      </c>
      <c r="AD7" s="110">
        <f t="shared" si="3"/>
        <v>378.92</v>
      </c>
      <c r="AE7" s="110">
        <f t="shared" si="3"/>
        <v>396.20000000000005</v>
      </c>
      <c r="AF7" s="110">
        <f t="shared" si="3"/>
        <v>413.48000000000008</v>
      </c>
      <c r="AG7" s="110">
        <f t="shared" si="3"/>
        <v>430.76000000000005</v>
      </c>
      <c r="AH7" s="110">
        <f t="shared" si="3"/>
        <v>448.04000000000008</v>
      </c>
      <c r="AI7" s="110">
        <f t="shared" si="3"/>
        <v>465.32000000000005</v>
      </c>
      <c r="AJ7" s="110">
        <f t="shared" si="3"/>
        <v>482.60000000000008</v>
      </c>
      <c r="AK7" s="110">
        <f t="shared" si="3"/>
        <v>499.88000000000005</v>
      </c>
      <c r="AL7" s="110">
        <f t="shared" si="3"/>
        <v>517.16000000000008</v>
      </c>
      <c r="AM7" s="110">
        <f t="shared" si="3"/>
        <v>538.76</v>
      </c>
      <c r="AN7" s="110">
        <f t="shared" si="3"/>
        <v>556.04000000000008</v>
      </c>
      <c r="AO7" s="110">
        <f t="shared" si="3"/>
        <v>573.32000000000005</v>
      </c>
      <c r="AP7" s="110">
        <f t="shared" si="3"/>
        <v>590.6</v>
      </c>
      <c r="AQ7" s="110">
        <f t="shared" si="3"/>
        <v>607.88</v>
      </c>
      <c r="AR7" s="110">
        <f t="shared" si="3"/>
        <v>625.16</v>
      </c>
      <c r="AS7" s="110">
        <f t="shared" si="3"/>
        <v>642.44000000000005</v>
      </c>
      <c r="AT7" s="110">
        <f t="shared" si="3"/>
        <v>659.72</v>
      </c>
      <c r="AU7" s="110">
        <f t="shared" si="3"/>
        <v>677</v>
      </c>
      <c r="AV7" s="110">
        <f t="shared" si="3"/>
        <v>694.28</v>
      </c>
      <c r="AW7" s="110">
        <f t="shared" si="3"/>
        <v>711.56000000000006</v>
      </c>
      <c r="AX7" s="110">
        <f t="shared" si="3"/>
        <v>728.84</v>
      </c>
      <c r="AY7" s="110">
        <f t="shared" si="3"/>
        <v>750.44</v>
      </c>
      <c r="AZ7" s="110">
        <f t="shared" si="3"/>
        <v>767.72</v>
      </c>
      <c r="BA7" s="110">
        <f t="shared" si="3"/>
        <v>785</v>
      </c>
      <c r="BB7" s="110">
        <f t="shared" si="3"/>
        <v>802.28000000000009</v>
      </c>
      <c r="BC7" s="110">
        <f t="shared" si="3"/>
        <v>819.56000000000006</v>
      </c>
      <c r="BD7" s="110">
        <f t="shared" si="3"/>
        <v>836.84</v>
      </c>
      <c r="BE7" s="110">
        <f t="shared" si="3"/>
        <v>854.12</v>
      </c>
      <c r="BF7" s="110">
        <f t="shared" si="3"/>
        <v>871.40000000000009</v>
      </c>
      <c r="BG7" s="110">
        <f t="shared" si="3"/>
        <v>888.68000000000006</v>
      </c>
      <c r="BH7" s="110">
        <f t="shared" si="3"/>
        <v>905.96</v>
      </c>
      <c r="BI7" s="110">
        <f t="shared" si="3"/>
        <v>923.24</v>
      </c>
      <c r="BJ7" s="110">
        <f t="shared" si="3"/>
        <v>940.5200000000001</v>
      </c>
      <c r="BK7" s="110">
        <f t="shared" si="3"/>
        <v>962.12</v>
      </c>
      <c r="BL7" s="110">
        <f t="shared" si="3"/>
        <v>979.40000000000009</v>
      </c>
      <c r="BM7" s="110">
        <f t="shared" si="3"/>
        <v>996.68000000000006</v>
      </c>
      <c r="BN7" s="110">
        <f t="shared" si="3"/>
        <v>1013.96</v>
      </c>
      <c r="BO7" s="110">
        <f t="shared" si="3"/>
        <v>1031.24</v>
      </c>
      <c r="BP7" s="110">
        <f t="shared" si="3"/>
        <v>1048.5200000000002</v>
      </c>
      <c r="BQ7" s="110">
        <f t="shared" si="3"/>
        <v>1065.8000000000002</v>
      </c>
      <c r="BR7" s="110">
        <f t="shared" si="3"/>
        <v>1083.0800000000002</v>
      </c>
      <c r="BS7" s="110">
        <f t="shared" si="3"/>
        <v>1100.3600000000001</v>
      </c>
      <c r="BT7" s="110">
        <f t="shared" si="3"/>
        <v>1117.6400000000001</v>
      </c>
      <c r="BU7" s="110">
        <f t="shared" si="3"/>
        <v>1134.92</v>
      </c>
      <c r="BV7" s="110">
        <f t="shared" si="3"/>
        <v>1152.2</v>
      </c>
      <c r="BW7" s="110">
        <f t="shared" si="3"/>
        <v>1173.8000000000002</v>
      </c>
      <c r="BX7" s="110">
        <f t="shared" si="3"/>
        <v>1191.0800000000002</v>
      </c>
      <c r="BY7" s="110">
        <f t="shared" si="3"/>
        <v>1208.3600000000001</v>
      </c>
      <c r="BZ7" s="110">
        <f t="shared" si="3"/>
        <v>1225.6400000000001</v>
      </c>
      <c r="CA7" s="110">
        <f t="shared" si="3"/>
        <v>1242.92</v>
      </c>
      <c r="CB7" s="110">
        <f t="shared" ref="CB7:ED7" si="4" xml:space="preserve"> $N$5 + (4*ROUNDUP(CB6/$C$9,0)+($C$5)*CB6) /$C$10</f>
        <v>1260.2</v>
      </c>
      <c r="CC7" s="110">
        <f t="shared" si="4"/>
        <v>1277.48</v>
      </c>
      <c r="CD7" s="110">
        <f t="shared" si="4"/>
        <v>1294.76</v>
      </c>
      <c r="CE7" s="110">
        <f t="shared" si="4"/>
        <v>1312.0400000000002</v>
      </c>
      <c r="CF7" s="110">
        <f t="shared" si="4"/>
        <v>1329.3200000000002</v>
      </c>
      <c r="CG7" s="110">
        <f t="shared" si="4"/>
        <v>1346.6000000000001</v>
      </c>
      <c r="CH7" s="110">
        <f t="shared" si="4"/>
        <v>1363.88</v>
      </c>
      <c r="CI7" s="110">
        <f t="shared" si="4"/>
        <v>1385.48</v>
      </c>
      <c r="CJ7" s="110">
        <f t="shared" si="4"/>
        <v>1402.7600000000002</v>
      </c>
      <c r="CK7" s="110">
        <f t="shared" si="4"/>
        <v>1420.0400000000002</v>
      </c>
      <c r="CL7" s="110">
        <f t="shared" si="4"/>
        <v>1437.3200000000002</v>
      </c>
      <c r="CM7" s="110">
        <f t="shared" si="4"/>
        <v>1454.6000000000001</v>
      </c>
      <c r="CN7" s="110">
        <f t="shared" si="4"/>
        <v>1471.88</v>
      </c>
      <c r="CO7" s="110">
        <f t="shared" si="4"/>
        <v>1489.16</v>
      </c>
      <c r="CP7" s="110">
        <f t="shared" si="4"/>
        <v>1506.44</v>
      </c>
      <c r="CQ7" s="110">
        <f t="shared" si="4"/>
        <v>1523.72</v>
      </c>
      <c r="CR7" s="110">
        <f t="shared" si="4"/>
        <v>1541.0000000000002</v>
      </c>
      <c r="CS7" s="110">
        <f t="shared" si="4"/>
        <v>1558.2800000000002</v>
      </c>
      <c r="CT7" s="110">
        <f t="shared" si="4"/>
        <v>1575.5600000000002</v>
      </c>
      <c r="CU7" s="110">
        <f t="shared" si="4"/>
        <v>1597.16</v>
      </c>
      <c r="CV7" s="110">
        <f t="shared" si="4"/>
        <v>1614.44</v>
      </c>
      <c r="CW7" s="110">
        <f t="shared" si="4"/>
        <v>1631.72</v>
      </c>
      <c r="CX7" s="110">
        <f t="shared" si="4"/>
        <v>1649.0000000000002</v>
      </c>
      <c r="CY7" s="110">
        <f t="shared" si="4"/>
        <v>1666.2800000000002</v>
      </c>
      <c r="CZ7" s="110">
        <f t="shared" si="4"/>
        <v>1683.5600000000002</v>
      </c>
      <c r="DA7" s="110">
        <f t="shared" si="4"/>
        <v>1700.8400000000001</v>
      </c>
      <c r="DB7" s="110">
        <f t="shared" si="4"/>
        <v>1718.1200000000001</v>
      </c>
      <c r="DC7" s="110">
        <f t="shared" si="4"/>
        <v>1735.4</v>
      </c>
      <c r="DD7" s="110">
        <f t="shared" si="4"/>
        <v>1752.68</v>
      </c>
      <c r="DE7" s="110">
        <f t="shared" si="4"/>
        <v>1769.96</v>
      </c>
      <c r="DF7" s="110">
        <f t="shared" si="4"/>
        <v>1787.2400000000002</v>
      </c>
      <c r="DG7" s="110">
        <f t="shared" si="4"/>
        <v>1808.8400000000001</v>
      </c>
      <c r="DH7" s="110">
        <f t="shared" si="4"/>
        <v>1826.1200000000001</v>
      </c>
      <c r="DI7" s="110">
        <f t="shared" si="4"/>
        <v>1843.4</v>
      </c>
      <c r="DJ7" s="110">
        <f t="shared" si="4"/>
        <v>1860.68</v>
      </c>
      <c r="DK7" s="110">
        <f t="shared" si="4"/>
        <v>1877.9600000000003</v>
      </c>
      <c r="DL7" s="110">
        <f t="shared" si="4"/>
        <v>1895.2400000000002</v>
      </c>
      <c r="DM7" s="110">
        <f t="shared" si="4"/>
        <v>1912.5200000000002</v>
      </c>
      <c r="DN7" s="110">
        <f t="shared" si="4"/>
        <v>1929.8000000000002</v>
      </c>
      <c r="DO7" s="110">
        <f t="shared" si="4"/>
        <v>1947.0800000000002</v>
      </c>
      <c r="DP7" s="110">
        <f t="shared" si="4"/>
        <v>1964.3600000000001</v>
      </c>
      <c r="DQ7" s="110">
        <f t="shared" si="4"/>
        <v>1981.64</v>
      </c>
      <c r="DR7" s="110">
        <f t="shared" si="4"/>
        <v>1998.92</v>
      </c>
      <c r="DS7" s="110">
        <f t="shared" si="4"/>
        <v>2020.5200000000002</v>
      </c>
      <c r="DT7" s="110">
        <f t="shared" si="4"/>
        <v>2037.8000000000002</v>
      </c>
      <c r="DU7" s="110">
        <f t="shared" si="4"/>
        <v>2055.0800000000004</v>
      </c>
      <c r="DV7" s="110">
        <f t="shared" si="4"/>
        <v>2072.36</v>
      </c>
      <c r="DW7" s="110">
        <f t="shared" si="4"/>
        <v>2089.6400000000003</v>
      </c>
      <c r="DX7" s="110">
        <f t="shared" si="4"/>
        <v>2106.9200000000005</v>
      </c>
      <c r="DY7" s="110">
        <f t="shared" si="4"/>
        <v>2124.2000000000003</v>
      </c>
      <c r="DZ7" s="110">
        <f t="shared" si="4"/>
        <v>2141.4800000000005</v>
      </c>
      <c r="EA7" s="110">
        <f t="shared" si="4"/>
        <v>2158.7600000000002</v>
      </c>
      <c r="EB7" s="110">
        <f t="shared" si="4"/>
        <v>2176.0400000000004</v>
      </c>
      <c r="EC7" s="110">
        <f t="shared" si="4"/>
        <v>2193.3200000000006</v>
      </c>
      <c r="ED7" s="110">
        <f t="shared" si="4"/>
        <v>2210.6000000000004</v>
      </c>
      <c r="EG7" s="110"/>
      <c r="EH7" s="110"/>
      <c r="EI7" s="110"/>
      <c r="EJ7" s="110"/>
      <c r="EK7" s="110"/>
      <c r="EL7" s="110"/>
      <c r="EM7" s="110"/>
      <c r="EN7" s="110"/>
      <c r="EO7" s="110"/>
      <c r="EP7" s="110"/>
    </row>
    <row r="8" spans="2:146" x14ac:dyDescent="0.45">
      <c r="B8" s="116" t="s">
        <v>1133</v>
      </c>
      <c r="C8" s="1">
        <f>C24</f>
        <v>24</v>
      </c>
      <c r="D8" s="4" t="s">
        <v>5</v>
      </c>
      <c r="F8" s="120" t="s">
        <v>1143</v>
      </c>
      <c r="G8" s="933">
        <v>6</v>
      </c>
      <c r="H8" s="121" t="s">
        <v>5</v>
      </c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0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10"/>
      <c r="EL8" s="110"/>
      <c r="EM8" s="110"/>
      <c r="EN8" s="110"/>
      <c r="EO8" s="110"/>
      <c r="EP8" s="110"/>
    </row>
    <row r="9" spans="2:146" x14ac:dyDescent="0.45">
      <c r="B9" s="116" t="s">
        <v>1137</v>
      </c>
      <c r="C9" s="1">
        <f>C37</f>
        <v>12</v>
      </c>
      <c r="D9" s="4" t="s">
        <v>5</v>
      </c>
      <c r="F9" s="120"/>
      <c r="G9" s="109"/>
      <c r="H9" s="109"/>
      <c r="L9" s="110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</row>
    <row r="10" spans="2:146" x14ac:dyDescent="0.45">
      <c r="B10" s="116" t="s">
        <v>1127</v>
      </c>
      <c r="C10" s="59">
        <f>C33</f>
        <v>0.92592592592592582</v>
      </c>
      <c r="D10" s="4" t="s">
        <v>6</v>
      </c>
      <c r="F10" s="120" t="s">
        <v>1129</v>
      </c>
      <c r="G10" s="2" t="s">
        <v>1131</v>
      </c>
      <c r="H10" s="108" t="s">
        <v>5</v>
      </c>
      <c r="I10" s="113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  <c r="CE10" s="111"/>
      <c r="CF10" s="111"/>
      <c r="CG10" s="111"/>
      <c r="CH10" s="111"/>
      <c r="CI10" s="111"/>
      <c r="CJ10" s="111"/>
      <c r="CK10" s="111"/>
      <c r="CL10" s="111"/>
      <c r="CM10" s="111"/>
      <c r="CN10" s="111"/>
      <c r="CO10" s="111"/>
      <c r="CP10" s="111"/>
      <c r="CQ10" s="111"/>
      <c r="CR10" s="111"/>
      <c r="CS10" s="111"/>
      <c r="CT10" s="111"/>
      <c r="CU10" s="111"/>
      <c r="CV10" s="111"/>
      <c r="CW10" s="111"/>
      <c r="CX10" s="111"/>
      <c r="CY10" s="111"/>
      <c r="CZ10" s="111"/>
      <c r="DA10" s="111"/>
      <c r="DB10" s="111"/>
      <c r="DC10" s="111"/>
      <c r="DD10" s="111"/>
      <c r="DE10" s="111"/>
      <c r="DF10" s="111"/>
      <c r="DG10" s="111"/>
      <c r="DH10" s="111"/>
      <c r="DI10" s="111"/>
      <c r="DJ10" s="111"/>
      <c r="DK10" s="111"/>
      <c r="DL10" s="111"/>
      <c r="DM10" s="111"/>
      <c r="DN10" s="111"/>
      <c r="DO10" s="111"/>
      <c r="DP10" s="111"/>
      <c r="DQ10" s="111"/>
      <c r="DR10" s="111"/>
      <c r="DS10" s="111"/>
      <c r="DT10" s="111"/>
      <c r="DU10" s="111"/>
      <c r="DV10" s="111"/>
      <c r="DW10" s="111"/>
      <c r="DX10" s="111"/>
      <c r="DY10" s="111"/>
      <c r="DZ10" s="111"/>
      <c r="EA10" s="111"/>
      <c r="EB10" s="111"/>
      <c r="EC10" s="111"/>
      <c r="ED10" s="111"/>
      <c r="EE10" s="111"/>
      <c r="EF10" s="111"/>
      <c r="EG10" s="111"/>
      <c r="EH10" s="111"/>
      <c r="EI10" s="111"/>
      <c r="EJ10" s="111"/>
      <c r="EK10" s="111"/>
      <c r="EL10" s="111"/>
      <c r="EM10" s="111"/>
      <c r="EN10" s="111"/>
      <c r="EO10" s="111"/>
      <c r="EP10" s="111"/>
    </row>
    <row r="11" spans="2:146" customFormat="1" x14ac:dyDescent="0.45">
      <c r="D11" s="4"/>
      <c r="F11" s="110"/>
      <c r="G11" s="4"/>
      <c r="H11" s="31"/>
      <c r="I11" s="44"/>
      <c r="J11" s="44"/>
      <c r="K11" s="44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2:146" x14ac:dyDescent="0.45">
      <c r="B12" s="2"/>
      <c r="C12" s="60"/>
      <c r="D12" s="56"/>
      <c r="E12" s="3"/>
      <c r="F12" s="56"/>
      <c r="G12" s="56"/>
      <c r="H12" s="56"/>
      <c r="I12" s="1"/>
    </row>
    <row r="13" spans="2:146" x14ac:dyDescent="0.45">
      <c r="B13" s="2" t="s">
        <v>1125</v>
      </c>
      <c r="C13" s="8">
        <v>2</v>
      </c>
      <c r="D13" s="4" t="s">
        <v>0</v>
      </c>
      <c r="F13" s="32"/>
      <c r="G13" s="8"/>
      <c r="H13" s="4"/>
      <c r="I13" s="1"/>
    </row>
    <row r="14" spans="2:146" x14ac:dyDescent="0.45">
      <c r="B14" s="2"/>
      <c r="C14" s="8">
        <f>1/C13</f>
        <v>0.5</v>
      </c>
      <c r="D14" s="4" t="s">
        <v>1</v>
      </c>
      <c r="F14" s="8"/>
      <c r="G14" s="32"/>
      <c r="H14" s="4"/>
      <c r="I14" s="1"/>
    </row>
    <row r="15" spans="2:146" x14ac:dyDescent="0.45">
      <c r="B15" s="2" t="s">
        <v>1142</v>
      </c>
      <c r="C15" s="8"/>
      <c r="D15" s="4" t="s">
        <v>5</v>
      </c>
      <c r="F15" s="8"/>
      <c r="G15" s="8"/>
      <c r="H15" s="4"/>
      <c r="I15" s="1"/>
    </row>
    <row r="16" spans="2:146" x14ac:dyDescent="0.45">
      <c r="B16" s="2" t="s">
        <v>1364</v>
      </c>
      <c r="C16" s="8">
        <v>12</v>
      </c>
      <c r="D16" s="4" t="s">
        <v>18</v>
      </c>
      <c r="F16" s="8"/>
      <c r="G16" s="8"/>
      <c r="H16" s="4"/>
      <c r="I16" s="1"/>
    </row>
    <row r="17" spans="2:12" x14ac:dyDescent="0.45">
      <c r="B17" s="2" t="s">
        <v>1365</v>
      </c>
      <c r="C17" s="8">
        <v>4</v>
      </c>
      <c r="D17" s="4" t="s">
        <v>1126</v>
      </c>
      <c r="G17" s="8"/>
      <c r="H17" s="4"/>
      <c r="I17" s="1"/>
    </row>
    <row r="18" spans="2:12" x14ac:dyDescent="0.45">
      <c r="B18" s="2"/>
      <c r="C18" s="8"/>
      <c r="G18" s="8"/>
      <c r="H18" s="4"/>
      <c r="I18" s="1"/>
    </row>
    <row r="19" spans="2:12" x14ac:dyDescent="0.45">
      <c r="B19" s="57" t="s">
        <v>1366</v>
      </c>
      <c r="C19" s="57"/>
      <c r="D19" s="57"/>
      <c r="E19" s="3"/>
      <c r="F19" s="57"/>
      <c r="G19" s="57"/>
      <c r="H19" s="57"/>
      <c r="I19" s="1"/>
    </row>
    <row r="20" spans="2:12" x14ac:dyDescent="0.45">
      <c r="B20" s="2" t="s">
        <v>2167</v>
      </c>
      <c r="C20" s="104">
        <v>25</v>
      </c>
      <c r="D20" s="4" t="s">
        <v>0</v>
      </c>
      <c r="E20" s="1"/>
      <c r="G20" s="1"/>
      <c r="I20" s="1"/>
    </row>
    <row r="21" spans="2:12" x14ac:dyDescent="0.45">
      <c r="B21" s="2"/>
      <c r="C21" s="105">
        <f>1/C20</f>
        <v>0.04</v>
      </c>
      <c r="D21" s="4" t="s">
        <v>1</v>
      </c>
      <c r="F21" s="106"/>
      <c r="G21" s="106"/>
      <c r="H21" s="415"/>
      <c r="I21" s="1"/>
    </row>
    <row r="22" spans="2:12" x14ac:dyDescent="0.45">
      <c r="B22" s="2" t="s">
        <v>1367</v>
      </c>
      <c r="C22" s="104">
        <v>1</v>
      </c>
      <c r="D22" s="4" t="s">
        <v>1</v>
      </c>
      <c r="F22"/>
      <c r="G22"/>
      <c r="H22"/>
      <c r="I22"/>
      <c r="J22"/>
      <c r="K22"/>
      <c r="L22"/>
    </row>
    <row r="23" spans="2:12" x14ac:dyDescent="0.45">
      <c r="B23" s="2" t="s">
        <v>1368</v>
      </c>
      <c r="C23" s="104">
        <v>10</v>
      </c>
      <c r="D23" s="4" t="s">
        <v>1</v>
      </c>
      <c r="F23"/>
      <c r="G23"/>
      <c r="H23"/>
      <c r="I23"/>
      <c r="J23"/>
      <c r="K23"/>
      <c r="L23"/>
    </row>
    <row r="24" spans="2:12" x14ac:dyDescent="0.45">
      <c r="B24" s="2" t="s">
        <v>1369</v>
      </c>
      <c r="C24" s="104">
        <v>24</v>
      </c>
      <c r="D24" s="4" t="s">
        <v>5</v>
      </c>
      <c r="F24"/>
      <c r="G24"/>
      <c r="H24"/>
      <c r="I24"/>
      <c r="J24"/>
      <c r="K24"/>
      <c r="L24"/>
    </row>
    <row r="25" spans="2:12" x14ac:dyDescent="0.45">
      <c r="B25" s="2" t="s">
        <v>1370</v>
      </c>
      <c r="C25" s="104">
        <f>C41/C27</f>
        <v>372</v>
      </c>
      <c r="D25" s="4" t="s">
        <v>5</v>
      </c>
      <c r="F25" s="106"/>
      <c r="G25" s="106"/>
      <c r="H25" s="415"/>
      <c r="I25" s="1"/>
    </row>
    <row r="26" spans="2:12" x14ac:dyDescent="0.45">
      <c r="B26" s="2" t="s">
        <v>1371</v>
      </c>
      <c r="C26" s="104">
        <v>16</v>
      </c>
      <c r="D26" s="4" t="s">
        <v>18</v>
      </c>
      <c r="F26" s="106"/>
      <c r="G26" s="106"/>
      <c r="H26" s="415"/>
      <c r="I26" s="1"/>
    </row>
    <row r="27" spans="2:12" x14ac:dyDescent="0.45">
      <c r="B27" s="2" t="s">
        <v>1372</v>
      </c>
      <c r="C27" s="934">
        <v>1</v>
      </c>
      <c r="D27" s="4" t="s">
        <v>5</v>
      </c>
      <c r="E27" s="411"/>
      <c r="F27" s="416"/>
      <c r="G27" s="416">
        <f xml:space="preserve"> ( (16+C24*C25*C26)*C21 )*C27 + C22*(C27*2-1) + C23*(C27-1)</f>
        <v>5715.56</v>
      </c>
      <c r="H27" s="417" t="s">
        <v>1</v>
      </c>
      <c r="I27" s="1"/>
    </row>
    <row r="28" spans="2:12" x14ac:dyDescent="0.45">
      <c r="B28" s="2"/>
      <c r="C28" s="44"/>
      <c r="D28" s="44"/>
      <c r="E28" s="44"/>
      <c r="F28" s="44"/>
      <c r="G28" s="44"/>
      <c r="H28" s="44"/>
    </row>
    <row r="29" spans="2:12" x14ac:dyDescent="0.45">
      <c r="B29" s="2" t="s">
        <v>2</v>
      </c>
      <c r="C29" s="8">
        <v>25</v>
      </c>
      <c r="D29" s="4" t="s">
        <v>0</v>
      </c>
      <c r="F29" s="106"/>
      <c r="G29" s="106"/>
      <c r="H29" s="415"/>
      <c r="I29" s="1"/>
      <c r="J29" s="106"/>
      <c r="K29" s="106"/>
      <c r="L29" s="106"/>
    </row>
    <row r="30" spans="2:12" x14ac:dyDescent="0.45">
      <c r="B30" s="2" t="s">
        <v>902</v>
      </c>
      <c r="C30" s="935">
        <v>0</v>
      </c>
      <c r="D30" s="4" t="s">
        <v>903</v>
      </c>
      <c r="F30" s="106"/>
      <c r="G30" s="106"/>
      <c r="H30" s="415"/>
      <c r="I30" s="1"/>
      <c r="J30" s="106"/>
      <c r="K30" s="106"/>
      <c r="L30" s="106"/>
    </row>
    <row r="31" spans="2:12" x14ac:dyDescent="0.45">
      <c r="B31" s="2"/>
      <c r="C31" s="8">
        <f>C29+C29*C30</f>
        <v>25</v>
      </c>
      <c r="D31" s="4" t="s">
        <v>0</v>
      </c>
      <c r="F31" s="106"/>
      <c r="G31" s="106"/>
      <c r="H31" s="415"/>
      <c r="I31" s="1"/>
      <c r="J31" s="106"/>
      <c r="K31" s="106"/>
      <c r="L31" s="106"/>
    </row>
    <row r="32" spans="2:12" x14ac:dyDescent="0.45">
      <c r="B32" s="2"/>
      <c r="C32" s="8">
        <f>1/C31</f>
        <v>0.04</v>
      </c>
      <c r="D32" s="4" t="s">
        <v>1</v>
      </c>
      <c r="F32" s="106"/>
      <c r="G32" s="106"/>
      <c r="H32" s="415"/>
      <c r="I32" s="1"/>
    </row>
    <row r="33" spans="2:128" x14ac:dyDescent="0.45">
      <c r="B33" s="2" t="s">
        <v>1127</v>
      </c>
      <c r="C33" s="105">
        <f>1/(C32*(C34+D34))</f>
        <v>0.92592592592592582</v>
      </c>
      <c r="D33" s="4" t="s">
        <v>6</v>
      </c>
      <c r="F33" s="106"/>
      <c r="G33" s="106"/>
      <c r="H33" s="415"/>
      <c r="I33" s="1"/>
    </row>
    <row r="34" spans="2:128" x14ac:dyDescent="0.45">
      <c r="B34" s="2" t="s">
        <v>1128</v>
      </c>
      <c r="C34" s="104">
        <v>9</v>
      </c>
      <c r="D34" s="418">
        <f>C34*2</f>
        <v>18</v>
      </c>
      <c r="F34" s="419">
        <f>C49*C51/C32</f>
        <v>8.2671957671957674</v>
      </c>
      <c r="G34" s="419">
        <f>C49*D51/C32</f>
        <v>16.534391534391535</v>
      </c>
      <c r="H34" s="4"/>
      <c r="I34" s="1"/>
    </row>
    <row r="35" spans="2:128" s="44" customFormat="1" x14ac:dyDescent="0.45">
      <c r="B35" s="2" t="s">
        <v>1</v>
      </c>
      <c r="C35" s="8">
        <f>$C$32*C34</f>
        <v>0.36</v>
      </c>
      <c r="D35" s="4">
        <f>$C$32*D34</f>
        <v>0.72</v>
      </c>
      <c r="E35"/>
      <c r="F35" s="105">
        <f>C35+D35</f>
        <v>1.08</v>
      </c>
      <c r="G35" s="106"/>
      <c r="H35" s="4"/>
      <c r="I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</row>
    <row r="36" spans="2:128" s="44" customFormat="1" x14ac:dyDescent="0.45">
      <c r="B36" s="2" t="s">
        <v>1373</v>
      </c>
      <c r="C36" s="934">
        <v>31</v>
      </c>
      <c r="D36" s="4" t="s">
        <v>5</v>
      </c>
      <c r="E36"/>
      <c r="F36" s="105"/>
      <c r="G36" s="106"/>
      <c r="H36" s="4"/>
      <c r="I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</row>
    <row r="37" spans="2:128" s="44" customFormat="1" x14ac:dyDescent="0.45">
      <c r="B37" s="2" t="s">
        <v>1374</v>
      </c>
      <c r="C37" s="934">
        <v>12</v>
      </c>
      <c r="D37" s="4" t="s">
        <v>5</v>
      </c>
      <c r="E37"/>
      <c r="F37" s="105"/>
      <c r="G37" s="106"/>
      <c r="H37" s="4"/>
      <c r="I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</row>
    <row r="38" spans="2:128" s="44" customFormat="1" x14ac:dyDescent="0.45">
      <c r="B38" s="2" t="s">
        <v>2173</v>
      </c>
      <c r="C38" s="934">
        <v>14</v>
      </c>
      <c r="D38" s="4" t="s">
        <v>18</v>
      </c>
      <c r="E38"/>
      <c r="F38" s="105"/>
      <c r="G38" s="106"/>
      <c r="H38" s="4"/>
      <c r="I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</row>
    <row r="39" spans="2:128" s="44" customFormat="1" x14ac:dyDescent="0.45">
      <c r="B39" s="2"/>
      <c r="C39" s="4"/>
      <c r="D39" s="4"/>
      <c r="E39"/>
      <c r="F39" s="105"/>
      <c r="G39" s="106"/>
      <c r="H39" s="4"/>
      <c r="I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</row>
    <row r="40" spans="2:128" s="44" customFormat="1" x14ac:dyDescent="0.45">
      <c r="B40" s="2" t="s">
        <v>2175</v>
      </c>
      <c r="C40" s="941" t="s">
        <v>920</v>
      </c>
      <c r="D40" s="4"/>
      <c r="E40"/>
      <c r="F40" s="105"/>
      <c r="G40" s="106"/>
      <c r="H40" s="4"/>
      <c r="I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</row>
    <row r="41" spans="2:128" s="44" customFormat="1" x14ac:dyDescent="0.45">
      <c r="B41" s="2" t="s">
        <v>2178</v>
      </c>
      <c r="C41" s="126">
        <f>C36*C37</f>
        <v>372</v>
      </c>
      <c r="D41" s="129" t="s">
        <v>5</v>
      </c>
      <c r="I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</row>
    <row r="42" spans="2:128" s="44" customFormat="1" x14ac:dyDescent="0.45">
      <c r="B42" s="2" t="s">
        <v>2174</v>
      </c>
      <c r="C42" s="942">
        <f>C41 * (2/3)</f>
        <v>248</v>
      </c>
      <c r="D42" s="943" t="s">
        <v>5</v>
      </c>
      <c r="E42" s="944"/>
      <c r="F42" s="943" t="s">
        <v>2176</v>
      </c>
      <c r="G42" s="945"/>
      <c r="H42" s="943"/>
      <c r="I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</row>
    <row r="43" spans="2:128" s="44" customFormat="1" x14ac:dyDescent="0.45">
      <c r="B43" s="2" t="s">
        <v>2177</v>
      </c>
      <c r="C43" s="8">
        <f>C24*C42</f>
        <v>5952</v>
      </c>
      <c r="D43" s="4" t="s">
        <v>5</v>
      </c>
      <c r="E43"/>
      <c r="H43" s="4"/>
      <c r="I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</row>
    <row r="44" spans="2:128" s="44" customFormat="1" x14ac:dyDescent="0.45">
      <c r="B44" s="2"/>
      <c r="C44" s="8"/>
      <c r="D44" s="4"/>
      <c r="E44"/>
      <c r="H44" s="4"/>
      <c r="I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</row>
    <row r="45" spans="2:128" s="44" customFormat="1" x14ac:dyDescent="0.45">
      <c r="B45" s="2" t="s">
        <v>1375</v>
      </c>
      <c r="C45" s="8"/>
      <c r="D45" s="4"/>
      <c r="E45" s="411"/>
      <c r="F45" s="420"/>
      <c r="G45" s="416">
        <f xml:space="preserve"> (C36*4 + C41*C38)*(1/C33)</f>
        <v>5758.56</v>
      </c>
      <c r="H45" s="421"/>
      <c r="I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</row>
    <row r="46" spans="2:128" s="44" customFormat="1" x14ac:dyDescent="0.45">
      <c r="B46" s="2"/>
      <c r="C46" s="8"/>
      <c r="D46" s="4"/>
      <c r="E46" s="1"/>
      <c r="F46" s="422"/>
      <c r="G46" s="422"/>
      <c r="H46" s="1"/>
      <c r="I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</row>
    <row r="47" spans="2:128" s="44" customFormat="1" x14ac:dyDescent="0.45">
      <c r="B47" s="57" t="s">
        <v>1376</v>
      </c>
      <c r="C47" s="2"/>
      <c r="D47" s="56"/>
      <c r="E47" s="3"/>
      <c r="F47" s="2"/>
      <c r="G47" s="2"/>
      <c r="H47" s="56"/>
      <c r="I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</row>
    <row r="48" spans="2:128" s="44" customFormat="1" x14ac:dyDescent="0.45">
      <c r="B48" s="2" t="s">
        <v>2</v>
      </c>
      <c r="C48" s="8">
        <v>39.311999999999998</v>
      </c>
      <c r="D48" s="4" t="s">
        <v>0</v>
      </c>
      <c r="E48"/>
      <c r="F48" s="8"/>
      <c r="G48" s="8"/>
      <c r="H48" s="4"/>
      <c r="I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</row>
    <row r="49" spans="2:128" s="44" customFormat="1" x14ac:dyDescent="0.45">
      <c r="B49" s="2"/>
      <c r="C49" s="105">
        <f>1/C48</f>
        <v>2.5437525437525439E-2</v>
      </c>
      <c r="D49" s="4" t="s">
        <v>1</v>
      </c>
      <c r="E49"/>
      <c r="F49" s="8"/>
      <c r="G49" s="8"/>
      <c r="H49" s="4"/>
      <c r="I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</row>
    <row r="50" spans="2:128" s="44" customFormat="1" x14ac:dyDescent="0.45">
      <c r="B50" s="2" t="s">
        <v>1377</v>
      </c>
      <c r="C50" s="105">
        <f>1/(C49*(C51+D51))</f>
        <v>1.008</v>
      </c>
      <c r="D50" s="4" t="s">
        <v>6</v>
      </c>
      <c r="E50"/>
      <c r="F50" s="8"/>
      <c r="G50" s="8"/>
      <c r="H50" s="4"/>
      <c r="I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</row>
    <row r="51" spans="2:128" s="44" customFormat="1" x14ac:dyDescent="0.45">
      <c r="B51" s="2" t="s">
        <v>1128</v>
      </c>
      <c r="C51" s="104">
        <v>13</v>
      </c>
      <c r="D51" s="418">
        <f>C51*2</f>
        <v>26</v>
      </c>
      <c r="E51"/>
      <c r="F51" s="125">
        <f>C32*C34/C49</f>
        <v>14.15232</v>
      </c>
      <c r="G51" s="125">
        <f>C32*D34/C49</f>
        <v>28.304639999999999</v>
      </c>
      <c r="H51" s="4"/>
      <c r="I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</row>
    <row r="52" spans="2:128" s="44" customFormat="1" x14ac:dyDescent="0.45">
      <c r="B52" s="2" t="s">
        <v>1</v>
      </c>
      <c r="C52" s="105">
        <f>$C$49*C51</f>
        <v>0.3306878306878307</v>
      </c>
      <c r="D52" s="423">
        <f>$C$49*D51</f>
        <v>0.66137566137566139</v>
      </c>
      <c r="E52"/>
      <c r="F52" s="424">
        <f>C52+D52</f>
        <v>0.99206349206349209</v>
      </c>
      <c r="G52" s="107"/>
      <c r="H52" s="4"/>
      <c r="I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</row>
    <row r="53" spans="2:128" s="44" customFormat="1" x14ac:dyDescent="0.45">
      <c r="B53" s="2"/>
      <c r="C53" s="2"/>
      <c r="D53" s="2"/>
      <c r="E53" s="2"/>
      <c r="F53" s="2"/>
      <c r="G53" s="2"/>
      <c r="H53" s="2"/>
      <c r="I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</row>
    <row r="54" spans="2:128" s="44" customFormat="1" x14ac:dyDescent="0.45">
      <c r="B54" s="57" t="s">
        <v>1378</v>
      </c>
      <c r="C54" s="105"/>
      <c r="D54" s="423"/>
      <c r="E54"/>
      <c r="F54" s="424"/>
      <c r="G54" s="107"/>
      <c r="H54" s="4"/>
      <c r="I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</row>
    <row r="55" spans="2:128" s="44" customFormat="1" x14ac:dyDescent="0.45">
      <c r="B55" s="109" t="s">
        <v>1379</v>
      </c>
      <c r="C55" s="422">
        <f>C36*4*(1/C33)</f>
        <v>133.92000000000002</v>
      </c>
      <c r="D55" s="423" t="s">
        <v>1</v>
      </c>
      <c r="E55"/>
      <c r="F55" s="424"/>
      <c r="G55" s="107"/>
      <c r="H55" s="4"/>
      <c r="I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</row>
    <row r="56" spans="2:128" s="44" customFormat="1" x14ac:dyDescent="0.45">
      <c r="B56" s="109" t="s">
        <v>1380</v>
      </c>
      <c r="C56" s="422">
        <f>[1]mr95h_reg1!M11</f>
        <v>0.71111111111111114</v>
      </c>
      <c r="D56" s="423" t="s">
        <v>1</v>
      </c>
      <c r="E56"/>
      <c r="F56" s="424"/>
      <c r="G56" s="107"/>
      <c r="H56" s="4"/>
      <c r="I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</row>
    <row r="57" spans="2:128" s="44" customFormat="1" x14ac:dyDescent="0.45">
      <c r="B57" s="109" t="s">
        <v>1381</v>
      </c>
      <c r="C57" s="425">
        <f>C55 + C36*8*(1/C50)</f>
        <v>379.95174603174604</v>
      </c>
      <c r="D57" s="423" t="s">
        <v>1</v>
      </c>
      <c r="E57"/>
      <c r="F57" s="424"/>
      <c r="G57" s="107"/>
      <c r="H57" s="4"/>
      <c r="I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</row>
    <row r="58" spans="2:128" s="44" customFormat="1" x14ac:dyDescent="0.45">
      <c r="B58" s="109"/>
      <c r="C58" s="426"/>
      <c r="D58" s="423"/>
      <c r="E58"/>
      <c r="F58" s="424"/>
      <c r="G58" s="107"/>
      <c r="H58" s="4"/>
      <c r="I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</row>
    <row r="59" spans="2:128" s="44" customFormat="1" x14ac:dyDescent="0.45">
      <c r="B59" s="109" t="s">
        <v>1382</v>
      </c>
      <c r="C59" s="427">
        <f>32*C21+C22*2</f>
        <v>3.2800000000000002</v>
      </c>
      <c r="D59" s="423" t="s">
        <v>1</v>
      </c>
      <c r="E59"/>
      <c r="F59" s="424"/>
      <c r="G59" s="107"/>
      <c r="H59" s="4"/>
      <c r="I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</row>
    <row r="60" spans="2:128" s="44" customFormat="1" x14ac:dyDescent="0.45">
      <c r="B60" s="109" t="s">
        <v>1383</v>
      </c>
      <c r="C60" s="425">
        <f>22*C36*(1/C33)</f>
        <v>736.56000000000006</v>
      </c>
      <c r="D60" s="423" t="s">
        <v>1</v>
      </c>
      <c r="E60"/>
      <c r="F60" s="424"/>
      <c r="G60" s="107"/>
      <c r="H60" s="4"/>
      <c r="I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</row>
    <row r="61" spans="2:128" s="44" customFormat="1" x14ac:dyDescent="0.45">
      <c r="B61" s="109" t="s">
        <v>1384</v>
      </c>
      <c r="C61" s="425">
        <f>C59*2+C23+C60</f>
        <v>753.12000000000012</v>
      </c>
      <c r="D61" s="423"/>
      <c r="E61"/>
      <c r="F61" s="424"/>
      <c r="G61" s="107"/>
      <c r="H61" s="4"/>
      <c r="I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</row>
    <row r="62" spans="2:128" s="44" customFormat="1" x14ac:dyDescent="0.45">
      <c r="B62" s="109"/>
      <c r="C62" s="425"/>
      <c r="D62" s="423"/>
      <c r="E62"/>
      <c r="F62" s="424"/>
      <c r="G62" s="107"/>
      <c r="H62" s="4"/>
      <c r="I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</row>
    <row r="63" spans="2:128" s="44" customFormat="1" x14ac:dyDescent="0.45">
      <c r="B63" s="109" t="s">
        <v>1385</v>
      </c>
      <c r="C63" s="425">
        <f>C61*4</f>
        <v>3012.4800000000005</v>
      </c>
      <c r="D63" s="423" t="s">
        <v>1</v>
      </c>
      <c r="E63"/>
      <c r="F63" s="424"/>
      <c r="G63" s="107"/>
      <c r="H63" s="4"/>
      <c r="I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</row>
    <row r="64" spans="2:128" s="44" customFormat="1" x14ac:dyDescent="0.45">
      <c r="B64" s="109"/>
      <c r="C64" s="2"/>
      <c r="D64" s="56"/>
      <c r="E64" s="3"/>
      <c r="F64" s="2"/>
      <c r="G64" s="2"/>
      <c r="H64" s="56"/>
      <c r="I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</row>
    <row r="65" spans="2:137" s="44" customFormat="1" x14ac:dyDescent="0.45">
      <c r="B65" s="1"/>
      <c r="C65" s="1"/>
      <c r="D65" s="4"/>
      <c r="E65"/>
      <c r="F65" s="1"/>
      <c r="G65" s="1"/>
      <c r="H65" s="4"/>
      <c r="I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</row>
    <row r="66" spans="2:137" s="44" customFormat="1" x14ac:dyDescent="0.45">
      <c r="B66" s="1"/>
      <c r="C66" s="1"/>
      <c r="D66" s="4"/>
      <c r="E66"/>
      <c r="F66" s="1"/>
      <c r="G66" s="1"/>
      <c r="H66" s="4"/>
      <c r="I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</row>
    <row r="67" spans="2:137" s="44" customFormat="1" x14ac:dyDescent="0.45">
      <c r="B67" s="446"/>
      <c r="C67" s="446"/>
      <c r="D67" s="932"/>
      <c r="E67"/>
      <c r="F67" s="1"/>
      <c r="G67" s="1"/>
      <c r="H67" s="4"/>
      <c r="I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</row>
    <row r="68" spans="2:137" x14ac:dyDescent="0.45">
      <c r="B68" s="115"/>
      <c r="C68" s="115"/>
      <c r="D68" s="413"/>
      <c r="F68" s="118"/>
      <c r="G68" s="116" t="s">
        <v>1139</v>
      </c>
      <c r="H68" s="119" t="s">
        <v>901</v>
      </c>
      <c r="I68" s="114">
        <v>1</v>
      </c>
      <c r="J68" s="114">
        <v>2</v>
      </c>
      <c r="K68" s="114">
        <v>3</v>
      </c>
      <c r="L68" s="114">
        <v>4</v>
      </c>
      <c r="M68" s="114">
        <v>5</v>
      </c>
      <c r="N68" s="114">
        <v>6</v>
      </c>
      <c r="O68" s="114">
        <v>7</v>
      </c>
      <c r="P68" s="114">
        <v>8</v>
      </c>
      <c r="Q68" s="114">
        <v>9</v>
      </c>
      <c r="R68" s="114">
        <v>10</v>
      </c>
      <c r="S68" s="114">
        <v>11</v>
      </c>
      <c r="T68" s="114">
        <v>12</v>
      </c>
      <c r="U68" s="114">
        <v>13</v>
      </c>
      <c r="V68" s="114">
        <v>14</v>
      </c>
      <c r="W68" s="114">
        <v>15</v>
      </c>
      <c r="X68" s="114">
        <v>16</v>
      </c>
      <c r="Y68" s="114">
        <v>17</v>
      </c>
      <c r="Z68" s="114">
        <v>18</v>
      </c>
      <c r="AA68" s="114">
        <v>19</v>
      </c>
      <c r="AB68" s="114">
        <v>20</v>
      </c>
      <c r="AC68" s="114">
        <v>21</v>
      </c>
      <c r="AD68" s="114">
        <v>22</v>
      </c>
      <c r="AE68" s="114">
        <v>23</v>
      </c>
      <c r="AF68" s="114">
        <v>24</v>
      </c>
      <c r="AG68" s="114">
        <v>25</v>
      </c>
      <c r="AH68" s="114">
        <v>26</v>
      </c>
      <c r="AI68" s="114">
        <v>27</v>
      </c>
      <c r="AJ68" s="114">
        <v>28</v>
      </c>
      <c r="AK68" s="114">
        <v>29</v>
      </c>
      <c r="AL68" s="114">
        <v>30</v>
      </c>
      <c r="AM68" s="114">
        <v>31</v>
      </c>
      <c r="AN68" s="114">
        <v>32</v>
      </c>
      <c r="AO68" s="114">
        <v>33</v>
      </c>
      <c r="AP68" s="114">
        <v>34</v>
      </c>
      <c r="AQ68" s="114">
        <v>35</v>
      </c>
      <c r="AR68" s="114">
        <v>36</v>
      </c>
      <c r="AS68" s="114">
        <v>37</v>
      </c>
      <c r="AT68" s="114">
        <v>38</v>
      </c>
      <c r="AU68" s="114">
        <v>39</v>
      </c>
      <c r="AV68" s="114">
        <v>40</v>
      </c>
      <c r="AW68" s="114">
        <v>41</v>
      </c>
      <c r="AX68" s="114">
        <v>42</v>
      </c>
      <c r="AY68" s="114">
        <v>43</v>
      </c>
      <c r="AZ68" s="114">
        <v>44</v>
      </c>
      <c r="BA68" s="114">
        <v>45</v>
      </c>
      <c r="BB68" s="114">
        <v>46</v>
      </c>
      <c r="BC68" s="114">
        <v>47</v>
      </c>
      <c r="BD68" s="114">
        <v>48</v>
      </c>
      <c r="BE68" s="114">
        <v>49</v>
      </c>
      <c r="BF68" s="114">
        <v>50</v>
      </c>
      <c r="BG68" s="114">
        <v>51</v>
      </c>
      <c r="BH68" s="114">
        <v>52</v>
      </c>
      <c r="BI68" s="114">
        <v>53</v>
      </c>
      <c r="BJ68" s="114">
        <v>54</v>
      </c>
      <c r="BK68" s="114">
        <v>55</v>
      </c>
      <c r="BL68" s="114">
        <v>56</v>
      </c>
      <c r="BM68" s="114">
        <v>57</v>
      </c>
      <c r="BN68" s="114">
        <v>58</v>
      </c>
      <c r="BO68" s="114">
        <v>59</v>
      </c>
      <c r="BP68" s="114">
        <v>60</v>
      </c>
      <c r="BQ68" s="114">
        <v>61</v>
      </c>
      <c r="BR68" s="114">
        <v>62</v>
      </c>
      <c r="BS68" s="114">
        <v>63</v>
      </c>
      <c r="BT68" s="114">
        <v>64</v>
      </c>
      <c r="BU68" s="114">
        <v>65</v>
      </c>
      <c r="BV68" s="114">
        <v>66</v>
      </c>
      <c r="BW68" s="114">
        <v>67</v>
      </c>
      <c r="BX68" s="114">
        <v>68</v>
      </c>
      <c r="BY68" s="114">
        <v>69</v>
      </c>
      <c r="BZ68" s="114">
        <v>70</v>
      </c>
      <c r="CA68" s="114">
        <v>71</v>
      </c>
      <c r="CB68" s="114">
        <v>72</v>
      </c>
      <c r="CC68" s="114">
        <v>73</v>
      </c>
      <c r="CD68" s="114">
        <v>74</v>
      </c>
      <c r="CE68" s="114">
        <v>75</v>
      </c>
      <c r="CF68" s="114">
        <v>76</v>
      </c>
      <c r="CG68" s="114">
        <v>77</v>
      </c>
      <c r="CH68" s="114">
        <v>78</v>
      </c>
      <c r="CI68" s="114">
        <v>79</v>
      </c>
      <c r="CJ68" s="114">
        <v>80</v>
      </c>
      <c r="CK68" s="114">
        <v>81</v>
      </c>
      <c r="CL68" s="114">
        <v>82</v>
      </c>
      <c r="CM68" s="114">
        <v>83</v>
      </c>
      <c r="CN68" s="114">
        <v>84</v>
      </c>
      <c r="CO68" s="114">
        <v>85</v>
      </c>
      <c r="CP68" s="114">
        <v>86</v>
      </c>
      <c r="CQ68" s="114">
        <v>87</v>
      </c>
      <c r="CR68" s="114">
        <v>88</v>
      </c>
      <c r="CS68" s="114">
        <v>89</v>
      </c>
      <c r="CT68" s="114">
        <v>90</v>
      </c>
      <c r="CU68" s="114"/>
      <c r="CV68" s="114"/>
      <c r="CW68" s="114"/>
      <c r="CX68" s="936"/>
      <c r="CY68" s="936">
        <v>95</v>
      </c>
      <c r="CZ68" s="936">
        <v>96</v>
      </c>
      <c r="DA68" s="936">
        <v>97</v>
      </c>
      <c r="DB68" s="936">
        <v>98</v>
      </c>
      <c r="DC68" s="936">
        <v>99</v>
      </c>
      <c r="DD68" s="936">
        <v>100</v>
      </c>
      <c r="DE68" s="936">
        <v>101</v>
      </c>
      <c r="DF68" s="936">
        <v>102</v>
      </c>
      <c r="DG68" s="936">
        <v>103</v>
      </c>
      <c r="DH68" s="936">
        <v>104</v>
      </c>
      <c r="DI68" s="936">
        <v>105</v>
      </c>
      <c r="DJ68" s="936">
        <v>106</v>
      </c>
      <c r="DK68" s="936">
        <v>107</v>
      </c>
      <c r="DL68" s="936">
        <v>108</v>
      </c>
      <c r="DM68" s="936">
        <v>109</v>
      </c>
      <c r="DN68" s="936">
        <v>110</v>
      </c>
      <c r="DO68" s="936">
        <v>111</v>
      </c>
      <c r="DP68" s="936">
        <v>112</v>
      </c>
      <c r="DQ68" s="936">
        <v>113</v>
      </c>
      <c r="DR68" s="936">
        <v>114</v>
      </c>
      <c r="DS68" s="936">
        <v>115</v>
      </c>
      <c r="DT68" s="936">
        <v>116</v>
      </c>
      <c r="DU68" s="936">
        <v>117</v>
      </c>
      <c r="DV68" s="936">
        <v>118</v>
      </c>
      <c r="DW68" s="936">
        <v>119</v>
      </c>
      <c r="DX68" s="936">
        <v>120</v>
      </c>
      <c r="DY68" s="936"/>
      <c r="DZ68" s="936"/>
      <c r="EA68" s="936"/>
      <c r="EB68" s="936"/>
      <c r="EC68" s="936"/>
      <c r="ED68" s="936"/>
      <c r="EE68" s="936"/>
      <c r="EF68" s="936"/>
    </row>
    <row r="69" spans="2:137" x14ac:dyDescent="0.45">
      <c r="B69" s="116" t="s">
        <v>1132</v>
      </c>
      <c r="C69" s="1">
        <v>25</v>
      </c>
      <c r="D69" s="4" t="s">
        <v>0</v>
      </c>
      <c r="F69" s="120" t="s">
        <v>1140</v>
      </c>
      <c r="G69" s="2" t="s">
        <v>1126</v>
      </c>
      <c r="H69" s="108" t="s">
        <v>901</v>
      </c>
      <c r="I69" s="122">
        <v>2</v>
      </c>
      <c r="J69" s="122">
        <v>2</v>
      </c>
      <c r="K69" s="122">
        <v>3</v>
      </c>
      <c r="L69" s="122">
        <v>4</v>
      </c>
      <c r="M69" s="122">
        <v>5</v>
      </c>
      <c r="N69" s="122">
        <v>6</v>
      </c>
      <c r="O69" s="122">
        <v>7</v>
      </c>
      <c r="P69" s="122">
        <v>8</v>
      </c>
      <c r="Q69" s="122">
        <v>9</v>
      </c>
      <c r="R69" s="122">
        <v>10</v>
      </c>
      <c r="S69" s="122">
        <v>11</v>
      </c>
      <c r="T69" s="122">
        <v>12</v>
      </c>
      <c r="U69" s="122">
        <v>13</v>
      </c>
      <c r="V69" s="122">
        <v>14</v>
      </c>
      <c r="W69" s="122">
        <v>15</v>
      </c>
      <c r="X69" s="122">
        <v>16</v>
      </c>
      <c r="Y69" s="122">
        <v>17</v>
      </c>
      <c r="Z69" s="122">
        <v>18</v>
      </c>
      <c r="AA69" s="122">
        <v>19</v>
      </c>
      <c r="AB69" s="122">
        <v>20</v>
      </c>
      <c r="AC69" s="122">
        <v>21</v>
      </c>
      <c r="AD69" s="122">
        <v>22</v>
      </c>
      <c r="AE69" s="122">
        <v>23</v>
      </c>
      <c r="AF69" s="122">
        <v>24</v>
      </c>
      <c r="AG69" s="122">
        <v>25</v>
      </c>
      <c r="AH69" s="122">
        <v>26</v>
      </c>
      <c r="AI69" s="122">
        <v>27</v>
      </c>
      <c r="AJ69" s="122">
        <v>28</v>
      </c>
      <c r="AK69" s="122">
        <v>29</v>
      </c>
      <c r="AL69" s="122">
        <v>30</v>
      </c>
      <c r="AM69" s="122">
        <v>31</v>
      </c>
      <c r="AN69" s="122">
        <v>32</v>
      </c>
      <c r="AO69" s="122">
        <v>33</v>
      </c>
      <c r="AP69" s="122">
        <v>34</v>
      </c>
      <c r="AQ69" s="122">
        <v>35</v>
      </c>
      <c r="AR69" s="122">
        <v>36</v>
      </c>
      <c r="AS69" s="122">
        <v>37</v>
      </c>
      <c r="AT69" s="122">
        <v>38</v>
      </c>
      <c r="AU69" s="122">
        <v>39</v>
      </c>
      <c r="AV69" s="122">
        <v>40</v>
      </c>
      <c r="AW69" s="122">
        <v>41</v>
      </c>
      <c r="AX69" s="122">
        <v>42</v>
      </c>
      <c r="AY69" s="122">
        <v>43</v>
      </c>
      <c r="AZ69" s="122">
        <v>44</v>
      </c>
      <c r="BA69" s="122">
        <v>45</v>
      </c>
      <c r="BB69" s="123">
        <v>1</v>
      </c>
      <c r="BC69" s="123">
        <v>2</v>
      </c>
      <c r="BD69" s="123">
        <v>3</v>
      </c>
      <c r="BE69" s="123">
        <v>4</v>
      </c>
      <c r="BF69" s="123">
        <v>5</v>
      </c>
      <c r="BG69" s="123">
        <v>6</v>
      </c>
      <c r="BH69" s="123">
        <v>7</v>
      </c>
      <c r="BI69" s="123">
        <v>8</v>
      </c>
      <c r="BJ69" s="123">
        <v>9</v>
      </c>
      <c r="BK69" s="123">
        <v>10</v>
      </c>
      <c r="BL69" s="123">
        <v>11</v>
      </c>
      <c r="BM69" s="123">
        <v>12</v>
      </c>
      <c r="BN69" s="123">
        <v>13</v>
      </c>
      <c r="BO69" s="123">
        <v>14</v>
      </c>
      <c r="BP69" s="123">
        <v>15</v>
      </c>
      <c r="BQ69" s="123">
        <v>16</v>
      </c>
      <c r="BR69" s="123">
        <v>17</v>
      </c>
      <c r="BS69" s="123">
        <v>18</v>
      </c>
      <c r="BT69" s="123">
        <v>19</v>
      </c>
      <c r="BU69" s="123">
        <v>20</v>
      </c>
      <c r="BV69" s="123">
        <v>21</v>
      </c>
      <c r="BW69" s="123">
        <v>22</v>
      </c>
      <c r="BX69" s="123">
        <v>23</v>
      </c>
      <c r="BY69" s="123">
        <v>24</v>
      </c>
      <c r="BZ69" s="123">
        <v>25</v>
      </c>
      <c r="CA69" s="123">
        <v>26</v>
      </c>
      <c r="CB69" s="123">
        <v>27</v>
      </c>
      <c r="CC69" s="123">
        <v>28</v>
      </c>
      <c r="CD69" s="123">
        <v>29</v>
      </c>
      <c r="CE69" s="123">
        <v>30</v>
      </c>
      <c r="CF69" s="123">
        <v>31</v>
      </c>
      <c r="CG69" s="123">
        <v>32</v>
      </c>
      <c r="CH69" s="123">
        <v>33</v>
      </c>
      <c r="CI69" s="123">
        <v>34</v>
      </c>
      <c r="CJ69" s="123">
        <v>35</v>
      </c>
      <c r="CK69" s="123">
        <v>36</v>
      </c>
      <c r="CL69" s="123">
        <v>37</v>
      </c>
      <c r="CM69" s="123">
        <v>38</v>
      </c>
      <c r="CN69" s="123">
        <v>39</v>
      </c>
      <c r="CO69" s="123">
        <v>40</v>
      </c>
      <c r="CP69" s="123">
        <v>41</v>
      </c>
      <c r="CQ69" s="123">
        <v>42</v>
      </c>
      <c r="CR69" s="123">
        <v>43</v>
      </c>
      <c r="CS69" s="123">
        <v>44</v>
      </c>
      <c r="CT69" s="123">
        <v>45</v>
      </c>
      <c r="CU69" s="55"/>
      <c r="CV69" s="55"/>
      <c r="CW69" s="55"/>
      <c r="CX69" s="55"/>
      <c r="CY69" s="55"/>
      <c r="CZ69" s="55"/>
      <c r="DA69" s="55"/>
      <c r="DB69" s="55"/>
      <c r="DC69" s="55"/>
      <c r="DD69" s="55"/>
      <c r="DE69" s="55"/>
      <c r="DF69" s="55"/>
      <c r="DG69" s="55"/>
      <c r="DH69" s="55"/>
      <c r="DI69" s="55"/>
      <c r="DJ69" s="55"/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  <c r="DV69" s="55"/>
      <c r="DW69" s="55"/>
      <c r="DX69" s="55"/>
      <c r="DY69" s="55"/>
      <c r="DZ69" s="55"/>
      <c r="EA69" s="55"/>
      <c r="EB69" s="55"/>
      <c r="EC69" s="55"/>
      <c r="ED69" s="55"/>
      <c r="EE69" s="55"/>
      <c r="EF69" s="55"/>
      <c r="EG69" s="55"/>
    </row>
    <row r="70" spans="2:137" x14ac:dyDescent="0.45">
      <c r="B70" s="116" t="s">
        <v>1135</v>
      </c>
      <c r="C70" s="1">
        <f>C91</f>
        <v>16</v>
      </c>
      <c r="D70" s="4" t="s">
        <v>18</v>
      </c>
      <c r="F70" s="937"/>
      <c r="G70" s="112" t="s">
        <v>1138</v>
      </c>
      <c r="H70" s="121" t="s">
        <v>1</v>
      </c>
      <c r="I70" s="110">
        <f>$C$71 + (16+$C$70*$C$73*(I68-0)) * (1/$C$69)</f>
        <v>17</v>
      </c>
      <c r="J70" s="110">
        <f t="shared" ref="J70:BA70" si="5">I70 + ($C$70*$C$73*(J68-I68)) * (1/$C$69)</f>
        <v>32.36</v>
      </c>
      <c r="K70" s="110">
        <f t="shared" si="5"/>
        <v>47.72</v>
      </c>
      <c r="L70" s="110">
        <f t="shared" si="5"/>
        <v>63.08</v>
      </c>
      <c r="M70" s="110">
        <f t="shared" si="5"/>
        <v>78.44</v>
      </c>
      <c r="N70" s="110">
        <f t="shared" si="5"/>
        <v>93.8</v>
      </c>
      <c r="O70" s="110">
        <f t="shared" si="5"/>
        <v>109.16</v>
      </c>
      <c r="P70" s="110">
        <f t="shared" si="5"/>
        <v>124.52</v>
      </c>
      <c r="Q70" s="110">
        <f t="shared" si="5"/>
        <v>139.88</v>
      </c>
      <c r="R70" s="110">
        <f t="shared" si="5"/>
        <v>155.24</v>
      </c>
      <c r="S70" s="110">
        <f t="shared" si="5"/>
        <v>170.60000000000002</v>
      </c>
      <c r="T70" s="110">
        <f t="shared" si="5"/>
        <v>185.96000000000004</v>
      </c>
      <c r="U70" s="110">
        <f t="shared" si="5"/>
        <v>201.32000000000005</v>
      </c>
      <c r="V70" s="110">
        <f t="shared" si="5"/>
        <v>216.68000000000006</v>
      </c>
      <c r="W70" s="110">
        <f t="shared" si="5"/>
        <v>232.04000000000008</v>
      </c>
      <c r="X70" s="110">
        <f t="shared" si="5"/>
        <v>247.40000000000009</v>
      </c>
      <c r="Y70" s="110">
        <f t="shared" si="5"/>
        <v>262.7600000000001</v>
      </c>
      <c r="Z70" s="110">
        <f t="shared" si="5"/>
        <v>278.12000000000012</v>
      </c>
      <c r="AA70" s="110">
        <f t="shared" si="5"/>
        <v>293.48000000000013</v>
      </c>
      <c r="AB70" s="110">
        <f t="shared" si="5"/>
        <v>308.84000000000015</v>
      </c>
      <c r="AC70" s="110">
        <f t="shared" si="5"/>
        <v>324.20000000000016</v>
      </c>
      <c r="AD70" s="110">
        <f t="shared" si="5"/>
        <v>339.56000000000017</v>
      </c>
      <c r="AE70" s="110">
        <f t="shared" si="5"/>
        <v>354.92000000000019</v>
      </c>
      <c r="AF70" s="110">
        <f t="shared" si="5"/>
        <v>370.2800000000002</v>
      </c>
      <c r="AG70" s="110">
        <f t="shared" si="5"/>
        <v>385.64000000000021</v>
      </c>
      <c r="AH70" s="110">
        <f t="shared" si="5"/>
        <v>401.00000000000023</v>
      </c>
      <c r="AI70" s="110">
        <f t="shared" si="5"/>
        <v>416.36000000000024</v>
      </c>
      <c r="AJ70" s="110">
        <f t="shared" si="5"/>
        <v>431.72000000000025</v>
      </c>
      <c r="AK70" s="110">
        <f t="shared" si="5"/>
        <v>447.08000000000027</v>
      </c>
      <c r="AL70" s="110">
        <f t="shared" si="5"/>
        <v>462.44000000000028</v>
      </c>
      <c r="AM70" s="110">
        <f t="shared" si="5"/>
        <v>477.8000000000003</v>
      </c>
      <c r="AN70" s="110">
        <f t="shared" si="5"/>
        <v>493.16000000000031</v>
      </c>
      <c r="AO70" s="110">
        <f t="shared" si="5"/>
        <v>508.52000000000032</v>
      </c>
      <c r="AP70" s="110">
        <f t="shared" si="5"/>
        <v>523.88000000000034</v>
      </c>
      <c r="AQ70" s="110">
        <f t="shared" si="5"/>
        <v>539.24000000000035</v>
      </c>
      <c r="AR70" s="110">
        <f t="shared" si="5"/>
        <v>554.60000000000036</v>
      </c>
      <c r="AS70" s="110">
        <f t="shared" si="5"/>
        <v>569.96000000000038</v>
      </c>
      <c r="AT70" s="110">
        <f t="shared" si="5"/>
        <v>585.32000000000039</v>
      </c>
      <c r="AU70" s="110">
        <f t="shared" si="5"/>
        <v>600.6800000000004</v>
      </c>
      <c r="AV70" s="110">
        <f t="shared" si="5"/>
        <v>616.04000000000042</v>
      </c>
      <c r="AW70" s="110">
        <f t="shared" si="5"/>
        <v>631.40000000000043</v>
      </c>
      <c r="AX70" s="110">
        <f t="shared" si="5"/>
        <v>646.76000000000045</v>
      </c>
      <c r="AY70" s="110">
        <f t="shared" si="5"/>
        <v>662.12000000000046</v>
      </c>
      <c r="AZ70" s="110">
        <f t="shared" si="5"/>
        <v>677.48000000000047</v>
      </c>
      <c r="BA70" s="110">
        <f t="shared" si="5"/>
        <v>692.84000000000049</v>
      </c>
      <c r="BB70" s="110">
        <f>BA70 + C22+C23+ ($C$70*$C$73*(BB68-BA68)) * (1/$C$69)</f>
        <v>719.2000000000005</v>
      </c>
      <c r="BC70" s="110">
        <f t="shared" ref="BC70:BP70" si="6">BB70 + ($C$70*$C$73*(BC68-BB68)) * (1/$C$69)</f>
        <v>734.56000000000051</v>
      </c>
      <c r="BD70" s="110">
        <f t="shared" si="6"/>
        <v>749.92000000000053</v>
      </c>
      <c r="BE70" s="110">
        <f t="shared" si="6"/>
        <v>765.28000000000054</v>
      </c>
      <c r="BF70" s="110">
        <f t="shared" si="6"/>
        <v>780.64000000000055</v>
      </c>
      <c r="BG70" s="110">
        <f t="shared" si="6"/>
        <v>796.00000000000057</v>
      </c>
      <c r="BH70" s="110">
        <f t="shared" si="6"/>
        <v>811.36000000000058</v>
      </c>
      <c r="BI70" s="110">
        <f t="shared" si="6"/>
        <v>826.7200000000006</v>
      </c>
      <c r="BJ70" s="110">
        <f t="shared" si="6"/>
        <v>842.08000000000061</v>
      </c>
      <c r="BK70" s="110">
        <f t="shared" si="6"/>
        <v>857.44000000000062</v>
      </c>
      <c r="BL70" s="110">
        <f t="shared" si="6"/>
        <v>872.80000000000064</v>
      </c>
      <c r="BM70" s="110">
        <f t="shared" si="6"/>
        <v>888.16000000000065</v>
      </c>
      <c r="BN70" s="110">
        <f t="shared" si="6"/>
        <v>903.52000000000066</v>
      </c>
      <c r="BO70" s="110">
        <f t="shared" si="6"/>
        <v>918.88000000000068</v>
      </c>
      <c r="BP70" s="110">
        <f t="shared" si="6"/>
        <v>934.24000000000069</v>
      </c>
      <c r="BQ70" s="110">
        <f xml:space="preserve"> C71 + C71 + C72 + BP70 + (16+$C$70*$C$73*(BQ68-BP68))*(1/$C$69)</f>
        <v>962.24000000000069</v>
      </c>
      <c r="BR70" s="110">
        <f t="shared" ref="BR70:CT70" si="7" xml:space="preserve"> BQ70+($C$70*$C$73*(BR68-BQ68))*(1/$C$69)</f>
        <v>977.6000000000007</v>
      </c>
      <c r="BS70" s="110">
        <f t="shared" si="7"/>
        <v>992.96000000000072</v>
      </c>
      <c r="BT70" s="110">
        <f t="shared" si="7"/>
        <v>1008.3200000000007</v>
      </c>
      <c r="BU70" s="110">
        <f t="shared" si="7"/>
        <v>1023.6800000000007</v>
      </c>
      <c r="BV70" s="110">
        <f t="shared" si="7"/>
        <v>1039.0400000000006</v>
      </c>
      <c r="BW70" s="110">
        <f t="shared" si="7"/>
        <v>1054.4000000000005</v>
      </c>
      <c r="BX70" s="110">
        <f t="shared" si="7"/>
        <v>1069.7600000000004</v>
      </c>
      <c r="BY70" s="110">
        <f t="shared" si="7"/>
        <v>1085.1200000000003</v>
      </c>
      <c r="BZ70" s="110">
        <f t="shared" si="7"/>
        <v>1100.4800000000002</v>
      </c>
      <c r="CA70" s="110">
        <f t="shared" si="7"/>
        <v>1115.8400000000001</v>
      </c>
      <c r="CB70" s="110">
        <f t="shared" si="7"/>
        <v>1131.2</v>
      </c>
      <c r="CC70" s="110">
        <f t="shared" si="7"/>
        <v>1146.56</v>
      </c>
      <c r="CD70" s="110">
        <f t="shared" si="7"/>
        <v>1161.9199999999998</v>
      </c>
      <c r="CE70" s="110">
        <f t="shared" si="7"/>
        <v>1177.2799999999997</v>
      </c>
      <c r="CF70" s="110">
        <f t="shared" si="7"/>
        <v>1192.6399999999996</v>
      </c>
      <c r="CG70" s="110">
        <f t="shared" si="7"/>
        <v>1207.9999999999995</v>
      </c>
      <c r="CH70" s="110">
        <f t="shared" si="7"/>
        <v>1223.3599999999994</v>
      </c>
      <c r="CI70" s="110">
        <f t="shared" si="7"/>
        <v>1238.7199999999993</v>
      </c>
      <c r="CJ70" s="110">
        <f t="shared" si="7"/>
        <v>1254.0799999999992</v>
      </c>
      <c r="CK70" s="110">
        <f t="shared" si="7"/>
        <v>1269.4399999999991</v>
      </c>
      <c r="CL70" s="110">
        <f t="shared" si="7"/>
        <v>1284.799999999999</v>
      </c>
      <c r="CM70" s="110">
        <f t="shared" si="7"/>
        <v>1300.1599999999989</v>
      </c>
      <c r="CN70" s="110">
        <f t="shared" si="7"/>
        <v>1315.5199999999988</v>
      </c>
      <c r="CO70" s="110">
        <f t="shared" si="7"/>
        <v>1330.8799999999987</v>
      </c>
      <c r="CP70" s="110">
        <f t="shared" si="7"/>
        <v>1346.2399999999986</v>
      </c>
      <c r="CQ70" s="110">
        <f t="shared" si="7"/>
        <v>1361.5999999999985</v>
      </c>
      <c r="CR70" s="110">
        <f t="shared" si="7"/>
        <v>1376.9599999999984</v>
      </c>
      <c r="CS70" s="110">
        <f t="shared" si="7"/>
        <v>1392.3199999999983</v>
      </c>
      <c r="CT70" s="110">
        <f t="shared" si="7"/>
        <v>1407.6799999999982</v>
      </c>
      <c r="CU70" s="55"/>
      <c r="CV70" s="55"/>
      <c r="CW70" s="55"/>
      <c r="CX70" s="55"/>
      <c r="CY70" s="55"/>
      <c r="CZ70" s="55"/>
      <c r="DA70" s="55"/>
      <c r="DB70" s="55"/>
      <c r="DC70" s="55"/>
      <c r="DD70" s="55"/>
      <c r="DE70" s="55"/>
      <c r="DF70" s="55"/>
      <c r="DG70" s="55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  <c r="DV70" s="55"/>
      <c r="DW70" s="55"/>
      <c r="DX70" s="55"/>
      <c r="DY70" s="55"/>
      <c r="DZ70" s="55"/>
      <c r="EA70" s="55"/>
      <c r="EB70" s="55"/>
      <c r="EC70" s="55"/>
      <c r="ED70" s="55"/>
      <c r="EE70" s="55"/>
      <c r="EF70" s="55"/>
      <c r="EG70" s="55"/>
    </row>
    <row r="71" spans="2:137" x14ac:dyDescent="0.45">
      <c r="B71" s="116" t="s">
        <v>1134</v>
      </c>
      <c r="C71" s="1">
        <f>C87</f>
        <v>1</v>
      </c>
      <c r="D71" s="4" t="s">
        <v>1</v>
      </c>
      <c r="F71" s="120" t="s">
        <v>1141</v>
      </c>
      <c r="G71" s="2" t="s">
        <v>1130</v>
      </c>
      <c r="H71" s="108" t="s">
        <v>901</v>
      </c>
      <c r="I71" s="55"/>
      <c r="Q71" s="124">
        <v>1</v>
      </c>
      <c r="R71" s="124">
        <v>2</v>
      </c>
      <c r="S71" s="124">
        <v>3</v>
      </c>
      <c r="T71" s="124">
        <v>4</v>
      </c>
      <c r="U71" s="124">
        <v>5</v>
      </c>
      <c r="V71" s="124">
        <v>6</v>
      </c>
      <c r="W71" s="124">
        <v>7</v>
      </c>
      <c r="X71" s="124">
        <v>8</v>
      </c>
      <c r="Y71" s="124">
        <v>9</v>
      </c>
      <c r="Z71" s="124">
        <v>10</v>
      </c>
      <c r="AA71" s="124">
        <v>11</v>
      </c>
      <c r="AB71" s="124">
        <v>12</v>
      </c>
      <c r="AC71" s="124">
        <v>13</v>
      </c>
      <c r="AD71" s="124">
        <v>14</v>
      </c>
      <c r="AE71" s="124">
        <v>15</v>
      </c>
      <c r="AF71" s="124">
        <v>16</v>
      </c>
      <c r="AG71" s="124">
        <v>17</v>
      </c>
      <c r="AH71" s="124">
        <v>18</v>
      </c>
      <c r="AI71" s="124">
        <v>19</v>
      </c>
      <c r="AJ71" s="124">
        <v>20</v>
      </c>
      <c r="AK71" s="124">
        <v>21</v>
      </c>
      <c r="AL71" s="124">
        <v>22</v>
      </c>
      <c r="AM71" s="124">
        <v>23</v>
      </c>
      <c r="AN71" s="124">
        <v>24</v>
      </c>
      <c r="AO71" s="124">
        <v>25</v>
      </c>
      <c r="AP71" s="124">
        <v>26</v>
      </c>
      <c r="AQ71" s="124">
        <v>27</v>
      </c>
      <c r="AR71" s="124">
        <v>28</v>
      </c>
      <c r="AS71" s="124">
        <v>29</v>
      </c>
      <c r="AT71" s="124">
        <v>30</v>
      </c>
      <c r="AU71" s="124">
        <v>31</v>
      </c>
      <c r="AV71" s="124">
        <v>32</v>
      </c>
      <c r="AW71" s="124">
        <v>33</v>
      </c>
      <c r="AX71" s="124">
        <v>34</v>
      </c>
      <c r="AY71" s="124">
        <v>35</v>
      </c>
      <c r="AZ71" s="124">
        <v>36</v>
      </c>
      <c r="BA71" s="124">
        <v>37</v>
      </c>
      <c r="BB71" s="124">
        <v>38</v>
      </c>
      <c r="BC71" s="124">
        <v>39</v>
      </c>
      <c r="BD71" s="124">
        <v>40</v>
      </c>
      <c r="BE71" s="124">
        <v>41</v>
      </c>
      <c r="BF71" s="124">
        <v>42</v>
      </c>
      <c r="BG71" s="124">
        <v>43</v>
      </c>
      <c r="BH71" s="124">
        <v>44</v>
      </c>
      <c r="BI71" s="124">
        <v>45</v>
      </c>
      <c r="BJ71" s="124">
        <v>46</v>
      </c>
      <c r="BK71" s="124">
        <v>47</v>
      </c>
      <c r="BL71" s="124">
        <v>48</v>
      </c>
      <c r="BM71" s="124">
        <v>49</v>
      </c>
      <c r="BN71" s="124">
        <v>50</v>
      </c>
      <c r="BO71" s="124">
        <v>51</v>
      </c>
      <c r="BP71" s="124">
        <v>52</v>
      </c>
      <c r="BQ71" s="124">
        <v>53</v>
      </c>
      <c r="BR71" s="124">
        <v>54</v>
      </c>
      <c r="BS71" s="124">
        <v>55</v>
      </c>
      <c r="BT71" s="124">
        <v>56</v>
      </c>
      <c r="BU71" s="124">
        <v>57</v>
      </c>
      <c r="BV71" s="124">
        <v>58</v>
      </c>
      <c r="BW71" s="124">
        <v>59</v>
      </c>
      <c r="BX71" s="124">
        <v>60</v>
      </c>
      <c r="BY71" s="124">
        <v>61</v>
      </c>
      <c r="BZ71" s="124">
        <v>62</v>
      </c>
      <c r="CA71" s="124">
        <v>63</v>
      </c>
      <c r="CB71" s="124">
        <v>64</v>
      </c>
      <c r="CC71" s="124">
        <v>65</v>
      </c>
      <c r="CD71" s="124">
        <v>66</v>
      </c>
      <c r="CE71" s="124">
        <v>67</v>
      </c>
      <c r="CF71" s="124">
        <v>68</v>
      </c>
      <c r="CG71" s="124">
        <v>69</v>
      </c>
      <c r="CH71" s="124">
        <v>70</v>
      </c>
      <c r="CI71" s="124">
        <v>71</v>
      </c>
      <c r="CJ71" s="124">
        <v>72</v>
      </c>
      <c r="CK71" s="124">
        <v>73</v>
      </c>
      <c r="CL71" s="124">
        <v>74</v>
      </c>
      <c r="CM71" s="124">
        <v>75</v>
      </c>
      <c r="CN71" s="124">
        <v>76</v>
      </c>
      <c r="CO71" s="124">
        <v>77</v>
      </c>
      <c r="CP71" s="124">
        <v>78</v>
      </c>
      <c r="CQ71" s="124">
        <v>79</v>
      </c>
      <c r="CR71" s="124">
        <v>80</v>
      </c>
      <c r="CS71" s="124">
        <v>81</v>
      </c>
      <c r="CT71" s="124">
        <v>82</v>
      </c>
      <c r="CU71" s="124">
        <v>83</v>
      </c>
      <c r="CV71" s="124">
        <v>84</v>
      </c>
      <c r="CW71" s="124">
        <v>85</v>
      </c>
      <c r="CX71" s="124">
        <v>86</v>
      </c>
      <c r="CY71" s="124">
        <v>87</v>
      </c>
      <c r="CZ71" s="124">
        <v>88</v>
      </c>
      <c r="DA71" s="124">
        <v>89</v>
      </c>
      <c r="DB71" s="124">
        <v>90</v>
      </c>
    </row>
    <row r="72" spans="2:137" x14ac:dyDescent="0.45">
      <c r="B72" s="116" t="s">
        <v>1136</v>
      </c>
      <c r="C72" s="1">
        <f>C88</f>
        <v>10</v>
      </c>
      <c r="D72" s="4" t="s">
        <v>1</v>
      </c>
      <c r="F72" s="120"/>
      <c r="G72" s="112" t="s">
        <v>1138</v>
      </c>
      <c r="H72" s="121" t="s">
        <v>1</v>
      </c>
      <c r="I72" s="55"/>
      <c r="Q72" s="110">
        <f t="shared" ref="Q72:AV72" si="8" xml:space="preserve"> $P$70 + (4*ROUNDUP(Q71/$C$9,0)+($C$5)*Q71) /$C$75</f>
        <v>143.72</v>
      </c>
      <c r="R72" s="110">
        <f t="shared" si="8"/>
        <v>159.07999999999998</v>
      </c>
      <c r="S72" s="110">
        <f t="shared" si="8"/>
        <v>174.44</v>
      </c>
      <c r="T72" s="110">
        <f t="shared" si="8"/>
        <v>189.8</v>
      </c>
      <c r="U72" s="110">
        <f t="shared" si="8"/>
        <v>205.16</v>
      </c>
      <c r="V72" s="110">
        <f t="shared" si="8"/>
        <v>220.51999999999998</v>
      </c>
      <c r="W72" s="110">
        <f t="shared" si="8"/>
        <v>235.88</v>
      </c>
      <c r="X72" s="110">
        <f t="shared" si="8"/>
        <v>251.23999999999998</v>
      </c>
      <c r="Y72" s="110">
        <f t="shared" si="8"/>
        <v>266.59999999999997</v>
      </c>
      <c r="Z72" s="110">
        <f t="shared" si="8"/>
        <v>281.95999999999998</v>
      </c>
      <c r="AA72" s="110">
        <f t="shared" si="8"/>
        <v>297.32</v>
      </c>
      <c r="AB72" s="110">
        <f t="shared" si="8"/>
        <v>312.68</v>
      </c>
      <c r="AC72" s="110">
        <f t="shared" si="8"/>
        <v>331.88</v>
      </c>
      <c r="AD72" s="110">
        <f t="shared" si="8"/>
        <v>347.23999999999995</v>
      </c>
      <c r="AE72" s="110">
        <f t="shared" si="8"/>
        <v>362.59999999999997</v>
      </c>
      <c r="AF72" s="110">
        <f t="shared" si="8"/>
        <v>377.96</v>
      </c>
      <c r="AG72" s="110">
        <f t="shared" si="8"/>
        <v>393.31999999999994</v>
      </c>
      <c r="AH72" s="110">
        <f t="shared" si="8"/>
        <v>408.67999999999995</v>
      </c>
      <c r="AI72" s="110">
        <f t="shared" si="8"/>
        <v>424.03999999999996</v>
      </c>
      <c r="AJ72" s="110">
        <f t="shared" si="8"/>
        <v>439.4</v>
      </c>
      <c r="AK72" s="110">
        <f t="shared" si="8"/>
        <v>454.75999999999993</v>
      </c>
      <c r="AL72" s="110">
        <f t="shared" si="8"/>
        <v>470.11999999999995</v>
      </c>
      <c r="AM72" s="110">
        <f t="shared" si="8"/>
        <v>485.47999999999996</v>
      </c>
      <c r="AN72" s="110">
        <f t="shared" si="8"/>
        <v>500.84</v>
      </c>
      <c r="AO72" s="110">
        <f t="shared" si="8"/>
        <v>520.04</v>
      </c>
      <c r="AP72" s="110">
        <f t="shared" si="8"/>
        <v>535.4</v>
      </c>
      <c r="AQ72" s="110">
        <f t="shared" si="8"/>
        <v>550.76</v>
      </c>
      <c r="AR72" s="110">
        <f t="shared" si="8"/>
        <v>566.12</v>
      </c>
      <c r="AS72" s="110">
        <f t="shared" si="8"/>
        <v>581.48</v>
      </c>
      <c r="AT72" s="110">
        <f t="shared" si="8"/>
        <v>596.84</v>
      </c>
      <c r="AU72" s="110">
        <f t="shared" si="8"/>
        <v>612.19999999999993</v>
      </c>
      <c r="AV72" s="110">
        <f t="shared" si="8"/>
        <v>627.55999999999995</v>
      </c>
      <c r="AW72" s="110">
        <f t="shared" ref="AW72:CB72" si="9" xml:space="preserve"> $P$70 + (4*ROUNDUP(AW71/$C$9,0)+($C$5)*AW71) /$C$75</f>
        <v>642.91999999999996</v>
      </c>
      <c r="AX72" s="110">
        <f t="shared" si="9"/>
        <v>658.28</v>
      </c>
      <c r="AY72" s="110">
        <f t="shared" si="9"/>
        <v>673.64</v>
      </c>
      <c r="AZ72" s="110">
        <f t="shared" si="9"/>
        <v>688.99999999999989</v>
      </c>
      <c r="BA72" s="110">
        <f t="shared" si="9"/>
        <v>708.19999999999993</v>
      </c>
      <c r="BB72" s="110">
        <f t="shared" si="9"/>
        <v>723.56</v>
      </c>
      <c r="BC72" s="110">
        <f t="shared" si="9"/>
        <v>738.92</v>
      </c>
      <c r="BD72" s="110">
        <f t="shared" si="9"/>
        <v>754.28</v>
      </c>
      <c r="BE72" s="110">
        <f t="shared" si="9"/>
        <v>769.64</v>
      </c>
      <c r="BF72" s="110">
        <f t="shared" si="9"/>
        <v>784.99999999999989</v>
      </c>
      <c r="BG72" s="110">
        <f t="shared" si="9"/>
        <v>800.3599999999999</v>
      </c>
      <c r="BH72" s="110">
        <f t="shared" si="9"/>
        <v>815.71999999999991</v>
      </c>
      <c r="BI72" s="110">
        <f t="shared" si="9"/>
        <v>831.07999999999993</v>
      </c>
      <c r="BJ72" s="110">
        <f t="shared" si="9"/>
        <v>846.43999999999994</v>
      </c>
      <c r="BK72" s="110">
        <f t="shared" si="9"/>
        <v>861.8</v>
      </c>
      <c r="BL72" s="110">
        <f t="shared" si="9"/>
        <v>877.16</v>
      </c>
      <c r="BM72" s="110">
        <f t="shared" si="9"/>
        <v>896.3599999999999</v>
      </c>
      <c r="BN72" s="110">
        <f t="shared" si="9"/>
        <v>911.71999999999991</v>
      </c>
      <c r="BO72" s="110">
        <f t="shared" si="9"/>
        <v>927.07999999999993</v>
      </c>
      <c r="BP72" s="110">
        <f t="shared" si="9"/>
        <v>942.43999999999994</v>
      </c>
      <c r="BQ72" s="110">
        <f t="shared" si="9"/>
        <v>957.8</v>
      </c>
      <c r="BR72" s="110">
        <f t="shared" si="9"/>
        <v>973.16</v>
      </c>
      <c r="BS72" s="110">
        <f t="shared" si="9"/>
        <v>988.51999999999987</v>
      </c>
      <c r="BT72" s="110">
        <f t="shared" si="9"/>
        <v>1003.8799999999999</v>
      </c>
      <c r="BU72" s="110">
        <f t="shared" si="9"/>
        <v>1019.2399999999999</v>
      </c>
      <c r="BV72" s="110">
        <f t="shared" si="9"/>
        <v>1034.5999999999999</v>
      </c>
      <c r="BW72" s="110">
        <f t="shared" si="9"/>
        <v>1049.96</v>
      </c>
      <c r="BX72" s="110">
        <f t="shared" si="9"/>
        <v>1065.32</v>
      </c>
      <c r="BY72" s="110">
        <f t="shared" si="9"/>
        <v>1084.52</v>
      </c>
      <c r="BZ72" s="110">
        <f t="shared" si="9"/>
        <v>1099.8799999999999</v>
      </c>
      <c r="CA72" s="110">
        <f t="shared" si="9"/>
        <v>1115.24</v>
      </c>
      <c r="CB72" s="110">
        <f t="shared" si="9"/>
        <v>1130.5999999999999</v>
      </c>
      <c r="CC72" s="110">
        <f t="shared" ref="CC72:DB72" si="10" xml:space="preserve"> $P$70 + (4*ROUNDUP(CC71/$C$9,0)+($C$5)*CC71) /$C$75</f>
        <v>1145.96</v>
      </c>
      <c r="CD72" s="110">
        <f t="shared" si="10"/>
        <v>1161.32</v>
      </c>
      <c r="CE72" s="110">
        <f t="shared" si="10"/>
        <v>1176.6799999999998</v>
      </c>
      <c r="CF72" s="110">
        <f t="shared" si="10"/>
        <v>1192.04</v>
      </c>
      <c r="CG72" s="110">
        <f t="shared" si="10"/>
        <v>1207.3999999999999</v>
      </c>
      <c r="CH72" s="110">
        <f t="shared" si="10"/>
        <v>1222.76</v>
      </c>
      <c r="CI72" s="110">
        <f t="shared" si="10"/>
        <v>1238.1199999999999</v>
      </c>
      <c r="CJ72" s="110">
        <f t="shared" si="10"/>
        <v>1253.4799999999998</v>
      </c>
      <c r="CK72" s="110">
        <f t="shared" si="10"/>
        <v>1272.6799999999998</v>
      </c>
      <c r="CL72" s="110">
        <f t="shared" si="10"/>
        <v>1288.04</v>
      </c>
      <c r="CM72" s="110">
        <f t="shared" si="10"/>
        <v>1303.3999999999999</v>
      </c>
      <c r="CN72" s="110">
        <f t="shared" si="10"/>
        <v>1318.76</v>
      </c>
      <c r="CO72" s="110">
        <f t="shared" si="10"/>
        <v>1334.12</v>
      </c>
      <c r="CP72" s="110">
        <f t="shared" si="10"/>
        <v>1349.4799999999998</v>
      </c>
      <c r="CQ72" s="110">
        <f t="shared" si="10"/>
        <v>1364.84</v>
      </c>
      <c r="CR72" s="110">
        <f t="shared" si="10"/>
        <v>1380.1999999999998</v>
      </c>
      <c r="CS72" s="110">
        <f t="shared" si="10"/>
        <v>1395.56</v>
      </c>
      <c r="CT72" s="110">
        <f t="shared" si="10"/>
        <v>1410.9199999999998</v>
      </c>
      <c r="CU72" s="110">
        <f t="shared" si="10"/>
        <v>1426.28</v>
      </c>
      <c r="CV72" s="110">
        <f t="shared" si="10"/>
        <v>1441.6399999999999</v>
      </c>
      <c r="CW72" s="110">
        <f t="shared" si="10"/>
        <v>1460.84</v>
      </c>
      <c r="CX72" s="110">
        <f t="shared" si="10"/>
        <v>1476.1999999999998</v>
      </c>
      <c r="CY72" s="110">
        <f t="shared" si="10"/>
        <v>1491.56</v>
      </c>
      <c r="CZ72" s="110">
        <f t="shared" si="10"/>
        <v>1506.9199999999998</v>
      </c>
      <c r="DA72" s="110">
        <f t="shared" si="10"/>
        <v>1522.28</v>
      </c>
      <c r="DB72" s="110">
        <f t="shared" si="10"/>
        <v>1537.6399999999999</v>
      </c>
    </row>
    <row r="73" spans="2:137" x14ac:dyDescent="0.45">
      <c r="B73" s="116" t="s">
        <v>1133</v>
      </c>
      <c r="C73" s="1">
        <f>C24</f>
        <v>24</v>
      </c>
      <c r="D73" s="4" t="s">
        <v>5</v>
      </c>
      <c r="F73" s="120" t="s">
        <v>1143</v>
      </c>
      <c r="G73" s="933">
        <v>8</v>
      </c>
      <c r="H73" s="121" t="s">
        <v>5</v>
      </c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CO73" s="55"/>
      <c r="CP73" s="55"/>
      <c r="CQ73" s="55"/>
      <c r="CR73" s="55"/>
      <c r="CS73" s="55"/>
      <c r="CT73" s="55"/>
      <c r="CU73" s="55"/>
      <c r="CV73" s="55"/>
      <c r="CW73" s="55"/>
      <c r="CX73" s="55"/>
      <c r="CY73" s="55"/>
      <c r="CZ73" s="55"/>
      <c r="DA73" s="55"/>
      <c r="DB73" s="55"/>
      <c r="DC73" s="55"/>
      <c r="DD73" s="55"/>
      <c r="DE73" s="55"/>
      <c r="DF73" s="55"/>
      <c r="DG73" s="55"/>
      <c r="DH73" s="55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55"/>
      <c r="DY73" s="55"/>
      <c r="DZ73" s="55"/>
      <c r="EA73" s="55"/>
      <c r="EB73" s="55"/>
      <c r="EC73" s="55"/>
      <c r="ED73" s="55"/>
      <c r="EE73" s="55"/>
      <c r="EF73" s="938"/>
      <c r="EG73" s="55"/>
    </row>
    <row r="74" spans="2:137" x14ac:dyDescent="0.45">
      <c r="B74" s="116" t="s">
        <v>1137</v>
      </c>
      <c r="C74" s="1">
        <f>C37</f>
        <v>12</v>
      </c>
      <c r="D74" s="4" t="s">
        <v>5</v>
      </c>
      <c r="F74" s="120"/>
      <c r="G74" s="2"/>
      <c r="H74" s="108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55"/>
    </row>
    <row r="75" spans="2:137" x14ac:dyDescent="0.45">
      <c r="B75" s="116" t="s">
        <v>1127</v>
      </c>
      <c r="C75" s="59">
        <f>C98</f>
        <v>1.0416666666666667</v>
      </c>
      <c r="D75" s="4" t="s">
        <v>6</v>
      </c>
      <c r="F75" s="120" t="s">
        <v>1129</v>
      </c>
      <c r="G75" s="2" t="s">
        <v>1131</v>
      </c>
      <c r="H75" s="108" t="s">
        <v>5</v>
      </c>
      <c r="I75" s="939"/>
      <c r="J75" s="940"/>
      <c r="K75" s="940"/>
      <c r="L75" s="940"/>
      <c r="M75" s="940"/>
      <c r="N75" s="940"/>
      <c r="O75" s="940"/>
      <c r="P75" s="940"/>
      <c r="Q75" s="940"/>
      <c r="R75" s="940"/>
      <c r="S75" s="940"/>
      <c r="T75" s="940"/>
      <c r="U75" s="940"/>
      <c r="V75" s="940"/>
      <c r="W75" s="940"/>
      <c r="X75" s="940"/>
      <c r="Y75" s="940"/>
      <c r="Z75" s="940"/>
      <c r="AA75" s="940"/>
      <c r="AB75" s="940"/>
      <c r="AC75" s="940"/>
      <c r="AD75" s="940"/>
      <c r="AE75" s="940"/>
      <c r="AF75" s="940"/>
      <c r="AG75" s="940"/>
      <c r="AH75" s="940"/>
      <c r="AI75" s="940"/>
      <c r="AJ75" s="940"/>
      <c r="AK75" s="940"/>
      <c r="AL75" s="940"/>
      <c r="AM75" s="940"/>
      <c r="AN75" s="940"/>
      <c r="AO75" s="940"/>
      <c r="AP75" s="940"/>
      <c r="AQ75" s="940"/>
      <c r="AR75" s="940"/>
      <c r="AS75" s="940"/>
      <c r="AT75" s="940"/>
      <c r="AU75" s="940"/>
      <c r="AV75" s="940"/>
      <c r="AW75" s="940"/>
      <c r="AX75" s="940"/>
      <c r="AY75" s="940"/>
      <c r="AZ75" s="940"/>
      <c r="BA75" s="940"/>
      <c r="BB75" s="940"/>
      <c r="BC75" s="940"/>
      <c r="BD75" s="940"/>
      <c r="BE75" s="940"/>
      <c r="BF75" s="940"/>
      <c r="BG75" s="940"/>
      <c r="BH75" s="940"/>
      <c r="BI75" s="940"/>
      <c r="BJ75" s="940"/>
      <c r="BK75" s="940"/>
      <c r="BL75" s="940"/>
      <c r="BM75" s="940"/>
      <c r="BN75" s="940"/>
      <c r="BO75" s="940"/>
      <c r="BP75" s="940"/>
      <c r="BQ75" s="940"/>
      <c r="BR75" s="940"/>
      <c r="BS75" s="940"/>
      <c r="BT75" s="940"/>
      <c r="BU75" s="940"/>
      <c r="BV75" s="940"/>
      <c r="BW75" s="940"/>
      <c r="BX75" s="940"/>
      <c r="BY75" s="940"/>
      <c r="BZ75" s="940"/>
      <c r="CA75" s="940"/>
      <c r="CB75" s="940"/>
      <c r="CC75" s="940"/>
      <c r="CD75" s="940"/>
      <c r="CE75" s="940"/>
      <c r="CF75" s="940"/>
      <c r="CG75" s="940"/>
      <c r="CH75" s="940"/>
      <c r="CI75" s="940"/>
      <c r="CJ75" s="940"/>
      <c r="CK75" s="940"/>
      <c r="CL75" s="940"/>
      <c r="CM75" s="940"/>
      <c r="CN75" s="940"/>
      <c r="CO75" s="940"/>
      <c r="CP75" s="940"/>
      <c r="CQ75" s="940"/>
      <c r="CR75" s="940"/>
      <c r="CS75" s="940"/>
      <c r="CT75" s="940"/>
      <c r="CU75" s="940"/>
      <c r="CV75" s="940"/>
      <c r="CW75" s="940"/>
      <c r="CX75" s="940"/>
      <c r="CY75" s="940"/>
      <c r="CZ75" s="940"/>
      <c r="DA75" s="940"/>
      <c r="DB75" s="940"/>
      <c r="DC75" s="940"/>
      <c r="DD75" s="940"/>
      <c r="DE75" s="940"/>
      <c r="DF75" s="940"/>
      <c r="DG75" s="940"/>
      <c r="DH75" s="940"/>
      <c r="DI75" s="940"/>
      <c r="DJ75" s="940"/>
      <c r="DK75" s="940"/>
      <c r="DL75" s="940"/>
      <c r="DM75" s="940"/>
      <c r="DN75" s="940"/>
      <c r="DO75" s="940"/>
      <c r="DP75" s="940"/>
      <c r="DQ75" s="940"/>
      <c r="DR75" s="940"/>
      <c r="DS75" s="940"/>
      <c r="DT75" s="940"/>
      <c r="DU75" s="940"/>
      <c r="DV75" s="940"/>
      <c r="DW75" s="940"/>
      <c r="DX75" s="940"/>
      <c r="DY75" s="940"/>
      <c r="DZ75" s="940"/>
      <c r="EA75" s="940"/>
      <c r="EB75" s="940"/>
      <c r="EC75" s="940"/>
      <c r="ED75" s="940"/>
      <c r="EE75" s="940"/>
      <c r="EF75" s="940"/>
    </row>
    <row r="76" spans="2:137" s="44" customFormat="1" x14ac:dyDescent="0.45">
      <c r="B76" s="1"/>
      <c r="C76" s="1"/>
      <c r="D76" s="4"/>
      <c r="E76"/>
      <c r="F76" s="1"/>
      <c r="G76" s="1"/>
      <c r="H76" s="4"/>
      <c r="I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</row>
    <row r="77" spans="2:137" s="44" customFormat="1" x14ac:dyDescent="0.45">
      <c r="B77" s="2"/>
      <c r="C77" s="60"/>
      <c r="D77" s="56"/>
      <c r="E77" s="3"/>
      <c r="F77" s="56"/>
      <c r="G77" s="56"/>
      <c r="H77" s="56"/>
      <c r="I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</row>
    <row r="78" spans="2:137" s="44" customFormat="1" x14ac:dyDescent="0.45">
      <c r="B78" s="2" t="s">
        <v>1125</v>
      </c>
      <c r="C78" s="8">
        <v>2</v>
      </c>
      <c r="D78" s="4" t="s">
        <v>0</v>
      </c>
      <c r="E78"/>
      <c r="F78" s="32"/>
      <c r="G78" s="8"/>
      <c r="H78" s="4"/>
      <c r="I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</row>
    <row r="79" spans="2:137" s="44" customFormat="1" x14ac:dyDescent="0.45">
      <c r="B79" s="2"/>
      <c r="C79" s="8">
        <f>1/C78</f>
        <v>0.5</v>
      </c>
      <c r="D79" s="4" t="s">
        <v>1</v>
      </c>
      <c r="E79"/>
      <c r="F79" s="8"/>
      <c r="G79" s="32"/>
      <c r="H79" s="4"/>
      <c r="I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</row>
    <row r="80" spans="2:137" s="44" customFormat="1" x14ac:dyDescent="0.45">
      <c r="B80" s="2" t="s">
        <v>1142</v>
      </c>
      <c r="C80" s="8"/>
      <c r="D80" s="4" t="s">
        <v>5</v>
      </c>
      <c r="E80"/>
      <c r="F80" s="8"/>
      <c r="G80" s="8"/>
      <c r="H80" s="4"/>
      <c r="I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</row>
    <row r="81" spans="2:128" s="44" customFormat="1" x14ac:dyDescent="0.45">
      <c r="B81" s="2" t="s">
        <v>1364</v>
      </c>
      <c r="C81" s="8">
        <v>12</v>
      </c>
      <c r="D81" s="4" t="s">
        <v>18</v>
      </c>
      <c r="E81"/>
      <c r="F81" s="8"/>
      <c r="G81" s="8"/>
      <c r="H81" s="4"/>
      <c r="I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</row>
    <row r="82" spans="2:128" s="44" customFormat="1" x14ac:dyDescent="0.45">
      <c r="B82" s="2" t="s">
        <v>1365</v>
      </c>
      <c r="C82" s="8">
        <v>4</v>
      </c>
      <c r="D82" s="4" t="s">
        <v>1126</v>
      </c>
      <c r="E82"/>
      <c r="F82" s="1"/>
      <c r="G82" s="8"/>
      <c r="H82" s="4"/>
      <c r="I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</row>
    <row r="83" spans="2:128" s="44" customFormat="1" x14ac:dyDescent="0.45">
      <c r="B83" s="2"/>
      <c r="C83" s="8"/>
      <c r="D83" s="4"/>
      <c r="E83"/>
      <c r="F83" s="1"/>
      <c r="G83" s="8"/>
      <c r="H83" s="4"/>
      <c r="I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</row>
    <row r="84" spans="2:128" s="44" customFormat="1" x14ac:dyDescent="0.45">
      <c r="B84" s="57" t="s">
        <v>1366</v>
      </c>
      <c r="C84" s="57"/>
      <c r="D84" s="57"/>
      <c r="E84" s="3"/>
      <c r="F84" s="57"/>
      <c r="G84" s="57"/>
      <c r="H84" s="57"/>
      <c r="I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</row>
    <row r="85" spans="2:128" s="44" customFormat="1" x14ac:dyDescent="0.45">
      <c r="B85" s="2" t="s">
        <v>2167</v>
      </c>
      <c r="C85" s="8">
        <v>25</v>
      </c>
      <c r="D85" s="4" t="s">
        <v>0</v>
      </c>
      <c r="E85" s="1"/>
      <c r="F85" s="1"/>
      <c r="G85" s="1"/>
      <c r="H85" s="1"/>
      <c r="I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</row>
    <row r="86" spans="2:128" s="44" customFormat="1" x14ac:dyDescent="0.45">
      <c r="B86" s="2"/>
      <c r="C86" s="105">
        <f>1/C85</f>
        <v>0.04</v>
      </c>
      <c r="D86" s="4" t="s">
        <v>1</v>
      </c>
      <c r="E86"/>
      <c r="F86" s="106"/>
      <c r="G86" s="106"/>
      <c r="H86" s="415"/>
      <c r="I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</row>
    <row r="87" spans="2:128" s="44" customFormat="1" x14ac:dyDescent="0.45">
      <c r="B87" s="2" t="s">
        <v>1367</v>
      </c>
      <c r="C87" s="104">
        <v>1</v>
      </c>
      <c r="D87" s="4" t="s">
        <v>1</v>
      </c>
      <c r="E87"/>
      <c r="F87"/>
      <c r="G87"/>
      <c r="H87"/>
      <c r="I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</row>
    <row r="88" spans="2:128" s="44" customFormat="1" x14ac:dyDescent="0.45">
      <c r="B88" s="2" t="s">
        <v>1368</v>
      </c>
      <c r="C88" s="104">
        <v>10</v>
      </c>
      <c r="D88" s="4" t="s">
        <v>1</v>
      </c>
      <c r="E88"/>
      <c r="F88"/>
      <c r="G88"/>
      <c r="H88"/>
      <c r="I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</row>
    <row r="89" spans="2:128" s="44" customFormat="1" x14ac:dyDescent="0.45">
      <c r="B89" s="2" t="s">
        <v>1369</v>
      </c>
      <c r="C89" s="104">
        <v>24</v>
      </c>
      <c r="D89" s="4" t="s">
        <v>5</v>
      </c>
      <c r="E89"/>
      <c r="F89"/>
      <c r="G89"/>
      <c r="H89"/>
      <c r="I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</row>
    <row r="90" spans="2:128" s="44" customFormat="1" x14ac:dyDescent="0.45">
      <c r="B90" s="2" t="s">
        <v>1370</v>
      </c>
      <c r="C90" s="104">
        <f>C106/C92</f>
        <v>372</v>
      </c>
      <c r="D90" s="4" t="s">
        <v>5</v>
      </c>
      <c r="E90"/>
      <c r="F90" s="106"/>
      <c r="G90" s="106"/>
      <c r="H90" s="415"/>
      <c r="I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</row>
    <row r="91" spans="2:128" s="44" customFormat="1" x14ac:dyDescent="0.45">
      <c r="B91" s="2" t="s">
        <v>1371</v>
      </c>
      <c r="C91" s="104">
        <v>16</v>
      </c>
      <c r="D91" s="4" t="s">
        <v>18</v>
      </c>
      <c r="E91"/>
      <c r="F91" s="106"/>
      <c r="G91" s="106"/>
      <c r="H91" s="415"/>
      <c r="I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</row>
    <row r="92" spans="2:128" s="44" customFormat="1" x14ac:dyDescent="0.45">
      <c r="B92" s="2" t="s">
        <v>1372</v>
      </c>
      <c r="C92" s="934">
        <v>1</v>
      </c>
      <c r="D92" s="4" t="s">
        <v>5</v>
      </c>
      <c r="E92" s="947"/>
      <c r="F92" s="948"/>
      <c r="G92" s="948">
        <f xml:space="preserve"> ( (16+C89*C90*C91)*C86 )*C92 + C87*(C92*2-1) + C88*(C92-1)</f>
        <v>5715.56</v>
      </c>
      <c r="H92" s="949" t="s">
        <v>1</v>
      </c>
      <c r="I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</row>
    <row r="93" spans="2:128" s="44" customFormat="1" x14ac:dyDescent="0.45">
      <c r="B93" s="2"/>
      <c r="I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</row>
    <row r="94" spans="2:128" s="44" customFormat="1" x14ac:dyDescent="0.45">
      <c r="B94" s="2" t="s">
        <v>2</v>
      </c>
      <c r="C94" s="8">
        <v>25</v>
      </c>
      <c r="D94" s="4" t="s">
        <v>0</v>
      </c>
      <c r="E94"/>
      <c r="F94" s="106"/>
      <c r="G94" s="106"/>
      <c r="H94" s="415"/>
      <c r="I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</row>
    <row r="95" spans="2:128" s="44" customFormat="1" x14ac:dyDescent="0.45">
      <c r="B95" s="2" t="s">
        <v>902</v>
      </c>
      <c r="C95" s="935">
        <v>0</v>
      </c>
      <c r="D95" s="4" t="s">
        <v>903</v>
      </c>
      <c r="E95"/>
      <c r="F95" s="106"/>
      <c r="G95" s="106"/>
      <c r="H95" s="415"/>
      <c r="I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</row>
    <row r="96" spans="2:128" s="44" customFormat="1" x14ac:dyDescent="0.45">
      <c r="B96" s="2"/>
      <c r="C96" s="8">
        <f>C94+C94*C95</f>
        <v>25</v>
      </c>
      <c r="D96" s="4" t="s">
        <v>0</v>
      </c>
      <c r="E96"/>
      <c r="F96" s="106"/>
      <c r="G96" s="106"/>
      <c r="H96" s="415"/>
      <c r="I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</row>
    <row r="97" spans="2:128" s="44" customFormat="1" x14ac:dyDescent="0.45">
      <c r="B97" s="2"/>
      <c r="C97" s="8">
        <f>1/C96</f>
        <v>0.04</v>
      </c>
      <c r="D97" s="4" t="s">
        <v>1</v>
      </c>
      <c r="E97"/>
      <c r="F97" s="106"/>
      <c r="G97" s="106"/>
      <c r="H97" s="415"/>
      <c r="I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</row>
    <row r="98" spans="2:128" s="44" customFormat="1" x14ac:dyDescent="0.45">
      <c r="B98" s="2" t="s">
        <v>1127</v>
      </c>
      <c r="C98" s="105">
        <f>1/(C97*(C99+D99))</f>
        <v>1.0416666666666667</v>
      </c>
      <c r="D98" s="4" t="s">
        <v>6</v>
      </c>
      <c r="E98"/>
      <c r="F98" s="106"/>
      <c r="G98" s="106"/>
      <c r="H98" s="415"/>
      <c r="I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</row>
    <row r="99" spans="2:128" s="44" customFormat="1" x14ac:dyDescent="0.45">
      <c r="B99" s="2" t="s">
        <v>1128</v>
      </c>
      <c r="C99" s="104">
        <v>8</v>
      </c>
      <c r="D99" s="104">
        <f>C99*2</f>
        <v>16</v>
      </c>
      <c r="E99"/>
      <c r="F99" s="419">
        <f>C115*C117/C97</f>
        <v>8.265723950253058</v>
      </c>
      <c r="G99" s="419">
        <f>C115*D117/C97</f>
        <v>16.531447900506116</v>
      </c>
      <c r="H99" s="4"/>
      <c r="I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</row>
    <row r="100" spans="2:128" s="44" customFormat="1" x14ac:dyDescent="0.45">
      <c r="B100" s="2" t="s">
        <v>1</v>
      </c>
      <c r="C100" s="8">
        <f>$C$97*C99</f>
        <v>0.32</v>
      </c>
      <c r="D100" s="8">
        <f>$C$97*D99</f>
        <v>0.64</v>
      </c>
      <c r="E100"/>
      <c r="F100" s="105">
        <f>C100+D100</f>
        <v>0.96</v>
      </c>
      <c r="G100" s="106"/>
      <c r="H100" s="4"/>
      <c r="I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</row>
    <row r="101" spans="2:128" s="44" customFormat="1" x14ac:dyDescent="0.45">
      <c r="B101" s="2" t="s">
        <v>1373</v>
      </c>
      <c r="C101" s="934">
        <v>31</v>
      </c>
      <c r="D101" s="4" t="s">
        <v>5</v>
      </c>
      <c r="E101"/>
      <c r="F101" s="105"/>
      <c r="G101" s="106"/>
      <c r="H101" s="4"/>
      <c r="I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</row>
    <row r="102" spans="2:128" s="44" customFormat="1" x14ac:dyDescent="0.45">
      <c r="B102" s="2" t="s">
        <v>1374</v>
      </c>
      <c r="C102" s="934">
        <v>12</v>
      </c>
      <c r="D102" s="4" t="s">
        <v>5</v>
      </c>
      <c r="E102"/>
      <c r="F102" s="105"/>
      <c r="G102" s="106"/>
      <c r="H102" s="4"/>
      <c r="I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</row>
    <row r="103" spans="2:128" s="44" customFormat="1" x14ac:dyDescent="0.45">
      <c r="B103" s="2" t="s">
        <v>2173</v>
      </c>
      <c r="C103" s="934">
        <v>14</v>
      </c>
      <c r="D103" s="4" t="s">
        <v>18</v>
      </c>
      <c r="E103"/>
      <c r="F103" s="105"/>
      <c r="G103" s="106"/>
      <c r="H103" s="4"/>
      <c r="I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</row>
    <row r="104" spans="2:128" s="44" customFormat="1" x14ac:dyDescent="0.45">
      <c r="B104" s="2"/>
      <c r="C104" s="4"/>
      <c r="D104" s="4"/>
      <c r="E104"/>
      <c r="F104" s="105"/>
      <c r="G104" s="106"/>
      <c r="H104" s="4"/>
      <c r="I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</row>
    <row r="105" spans="2:128" s="44" customFormat="1" x14ac:dyDescent="0.45">
      <c r="B105" s="2" t="s">
        <v>2175</v>
      </c>
      <c r="C105" s="941" t="s">
        <v>920</v>
      </c>
      <c r="D105" s="4"/>
      <c r="E105"/>
      <c r="F105" s="105"/>
      <c r="G105" s="106"/>
      <c r="H105" s="4"/>
      <c r="I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</row>
    <row r="106" spans="2:128" s="44" customFormat="1" x14ac:dyDescent="0.45">
      <c r="B106" s="2" t="s">
        <v>2178</v>
      </c>
      <c r="C106" s="126">
        <f>C101*C102</f>
        <v>372</v>
      </c>
      <c r="D106" s="129" t="s">
        <v>5</v>
      </c>
      <c r="I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</row>
    <row r="107" spans="2:128" s="44" customFormat="1" x14ac:dyDescent="0.45">
      <c r="B107" s="2" t="s">
        <v>2174</v>
      </c>
      <c r="C107" s="942">
        <f>C106 * (2/3)</f>
        <v>248</v>
      </c>
      <c r="D107" s="943" t="s">
        <v>5</v>
      </c>
      <c r="E107" s="944"/>
      <c r="F107" s="943" t="s">
        <v>2176</v>
      </c>
      <c r="G107" s="945"/>
      <c r="H107" s="943"/>
      <c r="I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</row>
    <row r="108" spans="2:128" s="44" customFormat="1" x14ac:dyDescent="0.45">
      <c r="B108" s="2" t="s">
        <v>2177</v>
      </c>
      <c r="C108" s="8">
        <f>C89*C107</f>
        <v>5952</v>
      </c>
      <c r="D108" s="4" t="s">
        <v>5</v>
      </c>
      <c r="E108"/>
      <c r="H108" s="4"/>
      <c r="I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</row>
    <row r="109" spans="2:128" s="44" customFormat="1" x14ac:dyDescent="0.45">
      <c r="B109" s="2"/>
      <c r="C109" s="8"/>
      <c r="D109" s="4"/>
      <c r="E109"/>
      <c r="H109" s="4"/>
      <c r="I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</row>
    <row r="110" spans="2:128" s="44" customFormat="1" x14ac:dyDescent="0.45">
      <c r="B110" s="2" t="s">
        <v>1375</v>
      </c>
      <c r="C110" s="8"/>
      <c r="D110" s="4"/>
      <c r="E110" s="947"/>
      <c r="F110" s="950"/>
      <c r="G110" s="948">
        <f xml:space="preserve"> (C101*4 + C106*C103)*(1/C98)</f>
        <v>5118.72</v>
      </c>
      <c r="H110" s="951" t="s">
        <v>1</v>
      </c>
      <c r="I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</row>
    <row r="111" spans="2:128" s="44" customFormat="1" x14ac:dyDescent="0.45">
      <c r="B111" s="2" t="s">
        <v>2179</v>
      </c>
      <c r="C111" s="946">
        <v>44</v>
      </c>
      <c r="D111" s="4" t="s">
        <v>5</v>
      </c>
      <c r="E111" s="952"/>
      <c r="F111" s="953">
        <f>G110-G92</f>
        <v>-596.84000000000015</v>
      </c>
      <c r="G111" s="954">
        <f xml:space="preserve"> (ROUNDDOWN((C111/C102),0)*4  +  C111*C103) * (1/C98)</f>
        <v>602.88</v>
      </c>
      <c r="H111" s="955"/>
      <c r="I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</row>
    <row r="112" spans="2:128" s="44" customFormat="1" x14ac:dyDescent="0.45">
      <c r="B112" s="2"/>
      <c r="C112" s="8"/>
      <c r="D112" s="4"/>
      <c r="E112" s="1"/>
      <c r="F112" s="422"/>
      <c r="G112" s="422"/>
      <c r="H112" s="1"/>
      <c r="I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</row>
    <row r="113" spans="2:128" s="44" customFormat="1" x14ac:dyDescent="0.45">
      <c r="B113" s="57" t="s">
        <v>1376</v>
      </c>
      <c r="C113" s="2"/>
      <c r="D113" s="56"/>
      <c r="E113" s="3"/>
      <c r="F113" s="2"/>
      <c r="G113" s="2"/>
      <c r="H113" s="56"/>
      <c r="I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</row>
    <row r="114" spans="2:128" s="44" customFormat="1" x14ac:dyDescent="0.45">
      <c r="B114" s="2" t="s">
        <v>2</v>
      </c>
      <c r="C114" s="104">
        <v>39.319000000000003</v>
      </c>
      <c r="D114" s="4" t="s">
        <v>0</v>
      </c>
      <c r="E114"/>
      <c r="F114" s="8"/>
      <c r="G114" s="8"/>
      <c r="H114" s="4"/>
      <c r="I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</row>
    <row r="115" spans="2:128" s="44" customFormat="1" x14ac:dyDescent="0.45">
      <c r="B115" s="2"/>
      <c r="C115" s="105">
        <f>1/C114</f>
        <v>2.543299677000941E-2</v>
      </c>
      <c r="D115" s="4" t="s">
        <v>1</v>
      </c>
      <c r="E115"/>
      <c r="F115" s="8"/>
      <c r="G115" s="8"/>
      <c r="H115" s="4"/>
      <c r="I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</row>
    <row r="116" spans="2:128" s="44" customFormat="1" x14ac:dyDescent="0.45">
      <c r="B116" s="2" t="s">
        <v>1377</v>
      </c>
      <c r="C116" s="105">
        <f>1/(C115*(C117+D117))</f>
        <v>1.0081794871794871</v>
      </c>
      <c r="D116" s="4" t="s">
        <v>6</v>
      </c>
      <c r="E116"/>
      <c r="F116" s="8"/>
      <c r="G116" s="8"/>
      <c r="H116" s="4"/>
      <c r="I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</row>
    <row r="117" spans="2:128" s="44" customFormat="1" x14ac:dyDescent="0.45">
      <c r="B117" s="2" t="s">
        <v>1128</v>
      </c>
      <c r="C117" s="104">
        <v>13</v>
      </c>
      <c r="D117" s="104">
        <f>C117*2</f>
        <v>26</v>
      </c>
      <c r="E117"/>
      <c r="F117" s="125">
        <f>C97*C99/C115</f>
        <v>12.582080000000001</v>
      </c>
      <c r="G117" s="125">
        <f>C97*D99/C115</f>
        <v>25.164160000000003</v>
      </c>
      <c r="H117" s="4"/>
      <c r="I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</row>
    <row r="118" spans="2:128" s="44" customFormat="1" x14ac:dyDescent="0.45">
      <c r="B118" s="2" t="s">
        <v>1</v>
      </c>
      <c r="C118" s="105">
        <f>$C$115*C117</f>
        <v>0.33062895801012232</v>
      </c>
      <c r="D118" s="105">
        <f>$C$115*D117</f>
        <v>0.66125791602024464</v>
      </c>
      <c r="E118"/>
      <c r="F118" s="424">
        <f>C118+D118</f>
        <v>0.99188687403036702</v>
      </c>
      <c r="G118" s="107"/>
      <c r="H118" s="4"/>
      <c r="I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</row>
    <row r="119" spans="2:128" s="44" customFormat="1" x14ac:dyDescent="0.45">
      <c r="B119" s="2"/>
      <c r="C119" s="2"/>
      <c r="D119" s="2"/>
      <c r="E119" s="2"/>
      <c r="F119" s="2"/>
      <c r="G119" s="2"/>
      <c r="H119" s="2"/>
      <c r="I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</row>
    <row r="120" spans="2:128" s="44" customFormat="1" x14ac:dyDescent="0.45">
      <c r="B120" s="57" t="s">
        <v>1378</v>
      </c>
      <c r="C120" s="105"/>
      <c r="D120" s="423"/>
      <c r="E120"/>
      <c r="F120" s="424"/>
      <c r="G120" s="107"/>
      <c r="H120" s="4"/>
      <c r="I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</row>
    <row r="121" spans="2:128" s="44" customFormat="1" x14ac:dyDescent="0.45">
      <c r="B121" s="109" t="s">
        <v>1379</v>
      </c>
      <c r="C121" s="422">
        <f>C101*4*(1/C98)</f>
        <v>119.03999999999999</v>
      </c>
      <c r="D121" s="423" t="s">
        <v>1</v>
      </c>
      <c r="E121"/>
      <c r="F121" s="424"/>
      <c r="G121" s="107"/>
      <c r="H121" s="4"/>
      <c r="I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</row>
    <row r="122" spans="2:128" s="44" customFormat="1" x14ac:dyDescent="0.45">
      <c r="B122" s="109" t="s">
        <v>1380</v>
      </c>
      <c r="C122" s="422">
        <f>[1]mr95h_reg1!M61</f>
        <v>0</v>
      </c>
      <c r="D122" s="423" t="s">
        <v>1</v>
      </c>
      <c r="E122"/>
      <c r="F122" s="424"/>
      <c r="G122" s="107"/>
      <c r="H122" s="4"/>
      <c r="I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</row>
    <row r="123" spans="2:128" s="44" customFormat="1" x14ac:dyDescent="0.45">
      <c r="B123" s="109" t="s">
        <v>1381</v>
      </c>
      <c r="C123" s="425">
        <f>C121+ C101*8*(1/C116)</f>
        <v>365.02794475953101</v>
      </c>
      <c r="D123" s="423"/>
      <c r="E123"/>
      <c r="F123" s="424"/>
      <c r="G123" s="107"/>
      <c r="H123" s="4"/>
      <c r="I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</row>
    <row r="124" spans="2:128" s="44" customFormat="1" x14ac:dyDescent="0.45">
      <c r="B124" s="109"/>
      <c r="C124" s="426"/>
      <c r="D124" s="423"/>
      <c r="E124"/>
      <c r="F124" s="424"/>
      <c r="G124" s="107"/>
      <c r="H124" s="4"/>
      <c r="I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</row>
    <row r="125" spans="2:128" s="44" customFormat="1" x14ac:dyDescent="0.45">
      <c r="B125" s="109" t="s">
        <v>1382</v>
      </c>
      <c r="C125" s="427">
        <f>32*C86+C87*2</f>
        <v>3.2800000000000002</v>
      </c>
      <c r="D125" s="423" t="s">
        <v>1</v>
      </c>
      <c r="E125"/>
      <c r="F125" s="424"/>
      <c r="G125" s="107"/>
      <c r="H125" s="4"/>
      <c r="I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</row>
    <row r="126" spans="2:128" s="44" customFormat="1" x14ac:dyDescent="0.45">
      <c r="B126" s="109" t="s">
        <v>1383</v>
      </c>
      <c r="C126" s="425">
        <f>22*C101*(1/C98)</f>
        <v>654.72</v>
      </c>
      <c r="D126" s="423" t="s">
        <v>1</v>
      </c>
      <c r="E126"/>
      <c r="F126" s="424"/>
      <c r="G126" s="107"/>
      <c r="H126" s="4"/>
      <c r="I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</row>
    <row r="127" spans="2:128" s="44" customFormat="1" x14ac:dyDescent="0.45">
      <c r="B127" s="109" t="s">
        <v>1384</v>
      </c>
      <c r="C127" s="425">
        <f>C125*2+C88+C126</f>
        <v>671.28</v>
      </c>
      <c r="D127" s="423"/>
      <c r="E127"/>
      <c r="F127" s="424"/>
      <c r="G127" s="107"/>
      <c r="H127" s="4"/>
      <c r="I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</row>
    <row r="128" spans="2:128" s="44" customFormat="1" x14ac:dyDescent="0.45">
      <c r="B128" s="109"/>
      <c r="C128" s="425"/>
      <c r="D128" s="423"/>
      <c r="E128"/>
      <c r="F128" s="424"/>
      <c r="G128" s="107"/>
      <c r="H128" s="4"/>
      <c r="I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</row>
    <row r="129" spans="1:146" s="44" customFormat="1" x14ac:dyDescent="0.45">
      <c r="B129" s="109" t="s">
        <v>1385</v>
      </c>
      <c r="C129" s="425">
        <f>C127*4</f>
        <v>2685.12</v>
      </c>
      <c r="D129" s="423" t="s">
        <v>1</v>
      </c>
      <c r="E129"/>
      <c r="F129" s="424"/>
      <c r="G129" s="107"/>
      <c r="H129" s="4"/>
      <c r="I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</row>
    <row r="130" spans="1:146" s="44" customFormat="1" x14ac:dyDescent="0.45">
      <c r="A130" s="424"/>
      <c r="B130" s="424"/>
      <c r="C130" s="424"/>
      <c r="D130" s="424"/>
      <c r="E130" s="424"/>
      <c r="F130" s="424"/>
      <c r="G130" s="107"/>
      <c r="H130" s="4"/>
      <c r="I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</row>
    <row r="131" spans="1:146" s="44" customFormat="1" x14ac:dyDescent="0.45">
      <c r="A131" s="424"/>
      <c r="B131" s="424"/>
      <c r="C131" s="424"/>
      <c r="D131" s="424"/>
      <c r="E131" s="424"/>
      <c r="F131" s="424"/>
      <c r="G131" s="107"/>
      <c r="H131" s="4"/>
      <c r="I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</row>
    <row r="132" spans="1:146" s="44" customFormat="1" x14ac:dyDescent="0.45">
      <c r="A132" s="424"/>
      <c r="B132" s="424"/>
      <c r="C132" s="424"/>
      <c r="D132" s="424"/>
      <c r="E132" s="424"/>
      <c r="F132" s="424"/>
      <c r="G132" s="107"/>
      <c r="H132" s="4"/>
      <c r="I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</row>
    <row r="133" spans="1:146" s="44" customFormat="1" x14ac:dyDescent="0.45">
      <c r="A133" s="424"/>
      <c r="B133" s="424"/>
      <c r="C133" s="424"/>
      <c r="D133" s="424"/>
      <c r="E133" s="424"/>
      <c r="F133" s="424"/>
      <c r="G133" s="107"/>
      <c r="H133" s="4"/>
      <c r="I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</row>
    <row r="134" spans="1:146" x14ac:dyDescent="0.45">
      <c r="D134" s="1"/>
      <c r="E134" s="1"/>
      <c r="G134" s="1"/>
      <c r="H134" s="428"/>
      <c r="I134" s="429"/>
      <c r="J134" s="430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31"/>
      <c r="AN134" s="430"/>
      <c r="AO134" s="47"/>
    </row>
    <row r="135" spans="1:146" x14ac:dyDescent="0.45">
      <c r="G135" s="1"/>
    </row>
    <row r="136" spans="1:146" x14ac:dyDescent="0.45">
      <c r="G136" s="1" t="s">
        <v>1387</v>
      </c>
      <c r="H136" s="432"/>
      <c r="I136" s="433"/>
      <c r="J136" s="433"/>
      <c r="K136" s="433"/>
      <c r="L136" s="433"/>
      <c r="M136" s="433"/>
      <c r="N136" s="433"/>
      <c r="O136" s="433"/>
      <c r="P136" s="433"/>
      <c r="Q136" s="433"/>
      <c r="R136" s="433"/>
      <c r="S136" s="433"/>
      <c r="T136" s="430"/>
      <c r="U136" s="47"/>
      <c r="V136" s="47"/>
      <c r="W136" s="47"/>
      <c r="X136" s="431"/>
      <c r="Y136" s="47"/>
      <c r="Z136" s="47"/>
      <c r="AA136" s="47"/>
      <c r="AB136" s="434"/>
      <c r="AC136" s="433"/>
      <c r="AD136" s="433"/>
      <c r="AE136" s="435"/>
      <c r="AF136" s="433"/>
      <c r="AG136" s="435"/>
      <c r="AH136" s="433"/>
      <c r="AI136" s="433"/>
      <c r="AJ136" s="433"/>
      <c r="AK136" s="433"/>
      <c r="AL136" s="433"/>
      <c r="AM136" s="433"/>
      <c r="AN136" s="433"/>
      <c r="AO136" s="433"/>
    </row>
    <row r="137" spans="1:146" x14ac:dyDescent="0.45">
      <c r="G137" s="1"/>
      <c r="AH137" s="1"/>
    </row>
    <row r="138" spans="1:146" x14ac:dyDescent="0.45">
      <c r="G138" s="1"/>
      <c r="AH138" s="1"/>
    </row>
    <row r="139" spans="1:146" x14ac:dyDescent="0.45">
      <c r="G139" s="1" t="s">
        <v>1388</v>
      </c>
      <c r="H139" s="428"/>
      <c r="I139" s="436"/>
      <c r="J139" s="437"/>
      <c r="K139" s="435"/>
      <c r="L139" s="436"/>
      <c r="M139" s="437"/>
      <c r="N139" s="47"/>
      <c r="O139" s="47"/>
      <c r="P139" s="434"/>
      <c r="Q139" s="436"/>
      <c r="R139" s="437"/>
      <c r="S139" s="47"/>
      <c r="T139" s="434"/>
      <c r="U139" s="438"/>
      <c r="V139" s="438"/>
      <c r="W139" s="438"/>
      <c r="X139" s="438"/>
      <c r="Y139" s="438"/>
      <c r="Z139" s="438"/>
      <c r="AA139" s="438"/>
      <c r="AB139" s="438"/>
      <c r="AC139" s="437"/>
      <c r="AD139" s="430"/>
      <c r="AE139" s="47"/>
      <c r="AF139" s="47"/>
      <c r="AG139" s="47"/>
      <c r="AH139" s="439" t="s">
        <v>1389</v>
      </c>
      <c r="AI139" s="437"/>
      <c r="AJ139" s="47"/>
      <c r="AK139" s="47"/>
      <c r="AL139" s="47"/>
      <c r="AM139" s="47"/>
      <c r="AN139" s="47"/>
      <c r="AO139" s="47"/>
    </row>
    <row r="140" spans="1:146" s="44" customFormat="1" x14ac:dyDescent="0.45">
      <c r="B140" s="1"/>
      <c r="C140" s="1"/>
      <c r="D140" s="4"/>
      <c r="E140"/>
      <c r="F140" s="1"/>
      <c r="G140" s="1"/>
      <c r="H140" s="4"/>
      <c r="I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</row>
    <row r="141" spans="1:146" s="44" customFormat="1" x14ac:dyDescent="0.45">
      <c r="B141" s="1"/>
      <c r="C141" s="1"/>
      <c r="D141" s="4"/>
      <c r="E141"/>
      <c r="F141" s="1"/>
      <c r="G141" s="1"/>
      <c r="H141" s="4"/>
      <c r="I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</row>
    <row r="142" spans="1:146" s="44" customFormat="1" x14ac:dyDescent="0.45">
      <c r="A142" s="1"/>
      <c r="B142" s="1"/>
      <c r="C142" s="1"/>
      <c r="D142" s="4"/>
      <c r="E142"/>
      <c r="F142" s="1"/>
      <c r="G142" s="446" t="s">
        <v>2168</v>
      </c>
      <c r="H142" s="1"/>
      <c r="I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</row>
    <row r="143" spans="1:146" s="44" customFormat="1" x14ac:dyDescent="0.45">
      <c r="A143" s="1"/>
      <c r="B143" s="1"/>
      <c r="C143" s="1"/>
      <c r="D143" s="4"/>
      <c r="E143"/>
      <c r="F143" s="1"/>
      <c r="G143" s="1" t="s">
        <v>1386</v>
      </c>
      <c r="H143" s="428"/>
      <c r="I143" s="429"/>
      <c r="J143" s="430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31"/>
      <c r="AN143" s="430"/>
      <c r="AO143" s="47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</row>
    <row r="144" spans="1:146" s="44" customFormat="1" x14ac:dyDescent="0.45">
      <c r="A144" s="1"/>
      <c r="B144" s="1"/>
      <c r="C144" s="1"/>
      <c r="D144" s="4"/>
      <c r="E144"/>
      <c r="F144" s="1"/>
      <c r="G144" s="1"/>
      <c r="H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</row>
    <row r="145" spans="1:146" s="44" customFormat="1" x14ac:dyDescent="0.45">
      <c r="A145" s="1"/>
      <c r="B145" s="1"/>
      <c r="C145" s="1"/>
      <c r="D145" s="4"/>
      <c r="E145"/>
      <c r="F145" s="1"/>
      <c r="G145" s="1" t="s">
        <v>1387</v>
      </c>
      <c r="H145" s="432"/>
      <c r="I145" s="433"/>
      <c r="J145" s="433"/>
      <c r="K145" s="433"/>
      <c r="L145" s="433"/>
      <c r="M145" s="433"/>
      <c r="N145" s="433"/>
      <c r="O145" s="433"/>
      <c r="P145" s="433"/>
      <c r="Q145" s="433"/>
      <c r="R145" s="433"/>
      <c r="S145" s="433"/>
      <c r="T145" s="430"/>
      <c r="U145" s="47"/>
      <c r="V145" s="431"/>
      <c r="W145" s="430"/>
      <c r="X145" s="47"/>
      <c r="Y145" s="431"/>
      <c r="Z145" s="430"/>
      <c r="AA145" s="47"/>
      <c r="AB145" s="441"/>
      <c r="AC145" s="433"/>
      <c r="AD145" s="433"/>
      <c r="AE145" s="435"/>
      <c r="AF145" s="433"/>
      <c r="AG145" s="435"/>
      <c r="AH145" s="433"/>
      <c r="AI145" s="433"/>
      <c r="AJ145" s="433"/>
      <c r="AK145" s="433"/>
      <c r="AL145" s="433"/>
      <c r="AM145" s="433"/>
      <c r="AN145" s="433"/>
      <c r="AO145" s="433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</row>
    <row r="146" spans="1:146" s="44" customFormat="1" x14ac:dyDescent="0.45">
      <c r="A146" s="1"/>
      <c r="B146" s="1"/>
      <c r="C146" s="1"/>
      <c r="D146" s="4"/>
      <c r="E146"/>
      <c r="F146" s="1"/>
      <c r="G146" s="1"/>
      <c r="H146" s="1"/>
      <c r="AH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</row>
    <row r="147" spans="1:146" s="44" customFormat="1" x14ac:dyDescent="0.45">
      <c r="A147" s="1"/>
      <c r="B147" s="1"/>
      <c r="C147" s="1"/>
      <c r="D147" s="4"/>
      <c r="E147"/>
      <c r="F147" s="1"/>
      <c r="G147" s="1"/>
      <c r="H147" s="1"/>
      <c r="AH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</row>
    <row r="148" spans="1:146" s="44" customFormat="1" x14ac:dyDescent="0.45">
      <c r="A148" s="1"/>
      <c r="B148" s="1"/>
      <c r="C148" s="1"/>
      <c r="D148" s="4"/>
      <c r="E148"/>
      <c r="F148" s="1"/>
      <c r="G148" s="1" t="s">
        <v>1388</v>
      </c>
      <c r="H148" s="428"/>
      <c r="I148" s="436"/>
      <c r="J148" s="437"/>
      <c r="K148" s="435"/>
      <c r="L148" s="436"/>
      <c r="M148" s="437"/>
      <c r="N148" s="47"/>
      <c r="O148" s="47"/>
      <c r="P148" s="434"/>
      <c r="Q148" s="436"/>
      <c r="R148" s="437"/>
      <c r="S148" s="47"/>
      <c r="T148" s="434"/>
      <c r="U148" s="438"/>
      <c r="V148" s="438"/>
      <c r="W148" s="438"/>
      <c r="X148" s="438"/>
      <c r="Y148" s="438"/>
      <c r="Z148" s="438"/>
      <c r="AA148" s="438"/>
      <c r="AB148" s="438"/>
      <c r="AC148" s="437"/>
      <c r="AD148" s="430"/>
      <c r="AE148" s="47"/>
      <c r="AF148" s="47"/>
      <c r="AG148" s="47"/>
      <c r="AH148" s="439" t="s">
        <v>1389</v>
      </c>
      <c r="AI148" s="437"/>
      <c r="AJ148" s="47"/>
      <c r="AK148" s="47"/>
      <c r="AL148" s="47"/>
      <c r="AM148" s="47"/>
      <c r="AN148" s="47"/>
      <c r="AO148" s="47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</row>
    <row r="149" spans="1:146" s="44" customFormat="1" x14ac:dyDescent="0.45">
      <c r="A149" s="1"/>
      <c r="B149" s="1"/>
      <c r="C149" s="1"/>
      <c r="D149" s="4"/>
      <c r="E149"/>
      <c r="F149" s="1"/>
      <c r="G149" s="1"/>
      <c r="H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</row>
    <row r="150" spans="1:146" s="44" customFormat="1" x14ac:dyDescent="0.45">
      <c r="A150" s="1"/>
      <c r="B150" s="1"/>
      <c r="C150" s="1"/>
      <c r="D150" s="4"/>
      <c r="E150"/>
      <c r="F150" s="1"/>
      <c r="G150" s="1"/>
      <c r="H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</row>
    <row r="151" spans="1:146" s="44" customFormat="1" x14ac:dyDescent="0.45">
      <c r="A151" s="1"/>
      <c r="B151" s="1"/>
      <c r="C151" s="1"/>
      <c r="D151" s="4"/>
      <c r="E151"/>
      <c r="F151" s="1"/>
      <c r="G151" s="1"/>
      <c r="H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</row>
    <row r="152" spans="1:146" s="44" customFormat="1" x14ac:dyDescent="0.45">
      <c r="A152" s="1"/>
      <c r="B152" s="1"/>
      <c r="C152" s="1"/>
      <c r="D152" s="4"/>
      <c r="E152"/>
      <c r="F152" s="1"/>
      <c r="G152" s="1"/>
      <c r="H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</row>
    <row r="153" spans="1:146" s="44" customFormat="1" x14ac:dyDescent="0.45">
      <c r="A153" s="1"/>
      <c r="B153" s="1"/>
      <c r="C153" s="1"/>
      <c r="D153" s="4"/>
      <c r="E153"/>
      <c r="F153" s="1"/>
      <c r="G153" s="1"/>
      <c r="H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</row>
    <row r="154" spans="1:146" s="44" customFormat="1" x14ac:dyDescent="0.45">
      <c r="A154" s="1"/>
      <c r="B154" s="1"/>
      <c r="C154" s="1"/>
      <c r="D154" s="4"/>
      <c r="E154"/>
      <c r="F154" s="1"/>
      <c r="G154" s="1"/>
      <c r="H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</row>
    <row r="155" spans="1:146" s="44" customFormat="1" x14ac:dyDescent="0.45">
      <c r="A155" s="1"/>
      <c r="B155" s="1"/>
      <c r="C155" s="1"/>
      <c r="D155" s="4"/>
      <c r="E155"/>
      <c r="F155" s="1"/>
      <c r="G155" s="1"/>
      <c r="H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</row>
    <row r="156" spans="1:146" s="44" customFormat="1" x14ac:dyDescent="0.45">
      <c r="A156" s="1"/>
      <c r="B156" s="1"/>
      <c r="C156" s="1"/>
      <c r="D156" s="4"/>
      <c r="E156"/>
      <c r="F156" s="1"/>
      <c r="G156" s="446" t="s">
        <v>2169</v>
      </c>
      <c r="H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</row>
    <row r="157" spans="1:146" s="44" customFormat="1" x14ac:dyDescent="0.45">
      <c r="A157" s="1"/>
      <c r="B157" s="1"/>
      <c r="C157" s="1"/>
      <c r="D157" s="4"/>
      <c r="E157"/>
      <c r="F157" s="1"/>
      <c r="G157" s="1" t="s">
        <v>1386</v>
      </c>
      <c r="H157" s="428"/>
      <c r="I157" s="429"/>
      <c r="J157" s="430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31"/>
      <c r="AN157" s="430"/>
      <c r="AO157" s="47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</row>
    <row r="158" spans="1:146" s="44" customFormat="1" x14ac:dyDescent="0.45">
      <c r="A158" s="1"/>
      <c r="B158" s="1"/>
      <c r="C158" s="1"/>
      <c r="D158" s="4"/>
      <c r="E158"/>
      <c r="F158" s="1"/>
      <c r="G158" s="1"/>
      <c r="H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</row>
    <row r="159" spans="1:146" s="44" customFormat="1" x14ac:dyDescent="0.45">
      <c r="A159" s="1"/>
      <c r="B159" s="1"/>
      <c r="C159" s="1"/>
      <c r="D159" s="4"/>
      <c r="E159"/>
      <c r="F159" s="1"/>
      <c r="G159" s="1" t="s">
        <v>1387</v>
      </c>
      <c r="H159" s="432"/>
      <c r="I159" s="433"/>
      <c r="J159" s="433"/>
      <c r="K159" s="433"/>
      <c r="L159" s="433"/>
      <c r="M159" s="433"/>
      <c r="N159" s="433"/>
      <c r="O159" s="433"/>
      <c r="P159" s="433"/>
      <c r="Q159" s="433"/>
      <c r="R159" s="433"/>
      <c r="S159" s="433"/>
      <c r="T159" s="430"/>
      <c r="U159" s="47"/>
      <c r="V159" s="47"/>
      <c r="W159" s="47"/>
      <c r="X159" s="431"/>
      <c r="Y159" s="47"/>
      <c r="Z159" s="47"/>
      <c r="AA159" s="47"/>
      <c r="AB159" s="434"/>
      <c r="AC159" s="433"/>
      <c r="AD159" s="433"/>
      <c r="AE159" s="435"/>
      <c r="AF159" s="433"/>
      <c r="AG159" s="435"/>
      <c r="AH159" s="433"/>
      <c r="AI159" s="433"/>
      <c r="AJ159" s="433"/>
      <c r="AK159" s="433"/>
      <c r="AL159" s="433"/>
      <c r="AM159" s="433"/>
      <c r="AN159" s="433"/>
      <c r="AO159" s="433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</row>
    <row r="160" spans="1:146" s="44" customFormat="1" x14ac:dyDescent="0.45">
      <c r="A160" s="1"/>
      <c r="B160" s="1"/>
      <c r="C160" s="1"/>
      <c r="D160" s="4"/>
      <c r="E160"/>
      <c r="F160" s="1"/>
      <c r="G160" s="1"/>
      <c r="H160" s="1"/>
      <c r="AH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</row>
    <row r="161" spans="1:146" s="44" customFormat="1" x14ac:dyDescent="0.45">
      <c r="A161" s="1"/>
      <c r="B161" s="1"/>
      <c r="C161" s="1"/>
      <c r="D161" s="4"/>
      <c r="E161"/>
      <c r="F161" s="1"/>
      <c r="G161" s="1"/>
      <c r="H161" s="1"/>
      <c r="AH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</row>
    <row r="162" spans="1:146" s="44" customFormat="1" x14ac:dyDescent="0.45">
      <c r="A162" s="1"/>
      <c r="B162" s="1"/>
      <c r="C162" s="1"/>
      <c r="D162" s="4"/>
      <c r="E162"/>
      <c r="F162" s="1"/>
      <c r="G162" s="1" t="s">
        <v>1388</v>
      </c>
      <c r="H162" s="428"/>
      <c r="I162" s="436"/>
      <c r="J162" s="437"/>
      <c r="K162" s="435"/>
      <c r="L162" s="436"/>
      <c r="M162" s="437"/>
      <c r="N162" s="47"/>
      <c r="O162" s="47"/>
      <c r="P162" s="434"/>
      <c r="Q162" s="436"/>
      <c r="R162" s="437"/>
      <c r="S162" s="47"/>
      <c r="T162" s="434"/>
      <c r="U162" s="438"/>
      <c r="V162" s="438"/>
      <c r="W162" s="438"/>
      <c r="X162" s="438"/>
      <c r="Y162" s="438"/>
      <c r="Z162" s="438"/>
      <c r="AA162" s="438"/>
      <c r="AB162" s="438"/>
      <c r="AC162" s="437"/>
      <c r="AD162" s="430"/>
      <c r="AE162" s="47"/>
      <c r="AF162" s="47"/>
      <c r="AG162" s="47"/>
      <c r="AH162" s="439" t="s">
        <v>1389</v>
      </c>
      <c r="AI162" s="437"/>
      <c r="AJ162" s="47"/>
      <c r="AK162" s="47"/>
      <c r="AL162" s="47"/>
      <c r="AM162" s="47"/>
      <c r="AN162" s="47"/>
      <c r="AO162" s="47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</row>
    <row r="167" spans="1:146" s="44" customFormat="1" x14ac:dyDescent="0.45">
      <c r="A167" s="1"/>
      <c r="B167" s="1"/>
      <c r="C167" s="1"/>
      <c r="D167" s="4"/>
      <c r="E167"/>
      <c r="F167" s="1"/>
      <c r="G167" s="4" t="s">
        <v>1390</v>
      </c>
      <c r="H167" s="432"/>
      <c r="I167" s="430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34"/>
      <c r="U167" s="433"/>
      <c r="V167" s="433"/>
      <c r="W167" s="440"/>
      <c r="X167" s="47"/>
      <c r="Y167" s="47"/>
      <c r="Z167" s="47"/>
      <c r="AA167" s="47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</row>
    <row r="168" spans="1:146" s="44" customFormat="1" x14ac:dyDescent="0.45">
      <c r="A168" s="1"/>
      <c r="B168" s="1"/>
      <c r="C168" s="1"/>
      <c r="D168" s="4"/>
      <c r="E168"/>
      <c r="F168" s="1"/>
      <c r="G168" s="4"/>
      <c r="H168" s="1"/>
      <c r="O168" s="433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</row>
    <row r="170" spans="1:146" s="44" customFormat="1" x14ac:dyDescent="0.45">
      <c r="A170" s="1"/>
      <c r="B170" s="1"/>
      <c r="C170" s="1"/>
      <c r="D170" s="4"/>
      <c r="E170"/>
      <c r="F170" s="1"/>
      <c r="G170" s="4" t="s">
        <v>1391</v>
      </c>
      <c r="H170" s="46"/>
      <c r="I170" s="434"/>
      <c r="J170" s="431"/>
      <c r="K170" s="435"/>
      <c r="L170" s="431"/>
      <c r="M170" s="435"/>
      <c r="N170" s="431"/>
      <c r="P170" s="431"/>
      <c r="Q170" s="435"/>
      <c r="R170" s="431"/>
      <c r="S170" s="435"/>
      <c r="T170" s="47"/>
      <c r="U170" s="47"/>
      <c r="V170" s="47"/>
      <c r="W170" s="47"/>
      <c r="X170" s="434"/>
      <c r="Y170" s="431"/>
      <c r="Z170" s="435"/>
      <c r="AA170" s="44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</row>
    <row r="172" spans="1:146" s="44" customFormat="1" x14ac:dyDescent="0.45">
      <c r="A172" s="1"/>
      <c r="B172" s="1"/>
      <c r="C172" s="1"/>
      <c r="D172" s="4"/>
      <c r="E172"/>
      <c r="F172" s="1"/>
      <c r="G172" s="4" t="s">
        <v>1392</v>
      </c>
      <c r="H172" s="46"/>
      <c r="I172" s="434"/>
      <c r="J172" s="441"/>
      <c r="K172" s="440"/>
      <c r="L172" s="430"/>
      <c r="M172" s="434"/>
      <c r="N172" s="441"/>
      <c r="P172" s="47"/>
      <c r="Q172" s="434"/>
      <c r="R172" s="441"/>
      <c r="S172" s="440"/>
      <c r="T172" s="430"/>
      <c r="U172" s="47"/>
      <c r="V172" s="47"/>
      <c r="W172" s="47"/>
      <c r="X172" s="434"/>
      <c r="Y172" s="441"/>
      <c r="Z172" s="440"/>
      <c r="AA172" s="430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</row>
    <row r="176" spans="1:146" s="44" customFormat="1" x14ac:dyDescent="0.45">
      <c r="A176" s="1"/>
      <c r="B176" s="1"/>
      <c r="C176" s="1"/>
      <c r="D176" s="4"/>
      <c r="E176"/>
      <c r="F176" s="1"/>
      <c r="G176" s="4" t="s">
        <v>1390</v>
      </c>
      <c r="H176" s="432"/>
      <c r="I176" s="430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41"/>
      <c r="Z176" s="440"/>
      <c r="AA176" s="47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</row>
    <row r="177" spans="1:146" s="44" customFormat="1" x14ac:dyDescent="0.45">
      <c r="A177" s="1"/>
      <c r="B177" s="1"/>
      <c r="C177" s="1"/>
      <c r="D177" s="4"/>
      <c r="E177"/>
      <c r="F177" s="1"/>
      <c r="G177" s="4"/>
      <c r="H177" s="1"/>
      <c r="O177" s="433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</row>
    <row r="179" spans="1:146" s="44" customFormat="1" x14ac:dyDescent="0.45">
      <c r="A179" s="1"/>
      <c r="B179" s="1"/>
      <c r="C179" s="1"/>
      <c r="D179" s="4"/>
      <c r="E179"/>
      <c r="F179" s="1"/>
      <c r="G179" s="4" t="s">
        <v>1391</v>
      </c>
      <c r="H179" s="46"/>
      <c r="I179" s="434"/>
      <c r="J179" s="431"/>
      <c r="K179" s="435"/>
      <c r="L179" s="431"/>
      <c r="M179" s="435"/>
      <c r="N179" s="431"/>
      <c r="P179" s="431"/>
      <c r="Q179" s="435"/>
      <c r="R179" s="431"/>
      <c r="S179" s="435"/>
      <c r="T179" s="431"/>
      <c r="V179" s="431"/>
      <c r="W179" s="435"/>
      <c r="X179" s="430"/>
      <c r="Y179" s="47"/>
      <c r="Z179" s="47"/>
      <c r="AA179" s="47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</row>
    <row r="181" spans="1:146" s="44" customFormat="1" x14ac:dyDescent="0.45">
      <c r="A181" s="1"/>
      <c r="B181" s="1"/>
      <c r="C181" s="1"/>
      <c r="D181" s="4"/>
      <c r="E181"/>
      <c r="F181" s="1"/>
      <c r="G181" s="4" t="s">
        <v>1392</v>
      </c>
      <c r="H181" s="46"/>
      <c r="I181" s="434"/>
      <c r="J181" s="441"/>
      <c r="K181" s="440"/>
      <c r="L181" s="430"/>
      <c r="M181" s="434"/>
      <c r="N181" s="441"/>
      <c r="P181" s="47"/>
      <c r="Q181" s="47"/>
      <c r="R181" s="47"/>
      <c r="S181" s="47"/>
      <c r="T181" s="47"/>
      <c r="V181" s="47"/>
      <c r="W181" s="47"/>
      <c r="X181" s="47"/>
      <c r="Y181" s="47"/>
      <c r="Z181" s="47"/>
      <c r="AA181" s="47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</row>
    <row r="183" spans="1:146" s="44" customFormat="1" x14ac:dyDescent="0.45">
      <c r="A183" s="1"/>
      <c r="B183" s="1"/>
      <c r="C183" s="1"/>
      <c r="D183" s="4"/>
      <c r="E183"/>
      <c r="F183" s="1"/>
      <c r="G183" s="4" t="s">
        <v>1393</v>
      </c>
      <c r="H183" s="442"/>
      <c r="I183" s="442"/>
      <c r="J183" s="442"/>
      <c r="K183" s="442"/>
      <c r="L183" s="442"/>
      <c r="M183" s="442"/>
      <c r="N183" s="442"/>
      <c r="P183" s="443"/>
      <c r="Q183" s="444"/>
      <c r="R183" s="441"/>
      <c r="S183" s="440"/>
      <c r="T183" s="430"/>
      <c r="V183" s="441"/>
      <c r="W183" s="440"/>
      <c r="X183" s="430"/>
      <c r="Y183" s="47"/>
      <c r="Z183" s="47"/>
      <c r="AA183" s="47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</row>
  </sheetData>
  <phoneticPr fontId="2" type="noConversion"/>
  <pageMargins left="0.7" right="0.7" top="0.75" bottom="0.75" header="0.3" footer="0.3"/>
  <pageSetup paperSize="9" orientation="portrait" r:id="rId1"/>
  <ignoredErrors>
    <ignoredError sqref="C5 C70" formula="1"/>
    <ignoredError sqref="C40 C105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F71E-0D55-4F6A-AE6A-B2E975F91B8E}">
  <dimension ref="B2:FI54"/>
  <sheetViews>
    <sheetView showGridLines="0" zoomScale="110" zoomScaleNormal="110" workbookViewId="0"/>
  </sheetViews>
  <sheetFormatPr defaultRowHeight="17" x14ac:dyDescent="0.45"/>
  <cols>
    <col min="2" max="2" width="15.33203125" style="1" bestFit="1" customWidth="1"/>
    <col min="3" max="3" width="1.58203125" style="1" customWidth="1"/>
    <col min="4" max="160" width="1.58203125" customWidth="1"/>
  </cols>
  <sheetData>
    <row r="2" spans="2:160" x14ac:dyDescent="0.4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</row>
    <row r="3" spans="2:160" x14ac:dyDescent="0.45">
      <c r="B3" s="1" t="s">
        <v>9</v>
      </c>
      <c r="D3" s="691"/>
      <c r="E3" s="692"/>
      <c r="F3" s="691"/>
      <c r="G3" s="691"/>
      <c r="H3" s="691"/>
      <c r="I3" s="691"/>
      <c r="J3" s="691"/>
      <c r="K3" s="691"/>
      <c r="L3" s="691"/>
      <c r="M3" s="691"/>
      <c r="N3" s="691"/>
      <c r="O3" s="691"/>
      <c r="P3" s="691"/>
      <c r="Q3" s="691"/>
      <c r="R3" s="691"/>
      <c r="S3" s="691"/>
      <c r="T3" s="691"/>
      <c r="U3" s="691"/>
      <c r="V3" s="691"/>
      <c r="W3" s="691"/>
      <c r="X3" s="691"/>
      <c r="Y3" s="691"/>
      <c r="Z3" s="691"/>
      <c r="AA3" s="691"/>
      <c r="AB3" s="691"/>
      <c r="AC3" s="691"/>
      <c r="AD3" s="691"/>
      <c r="AE3" s="692"/>
      <c r="AF3" s="691"/>
      <c r="AG3" s="691"/>
      <c r="AH3" s="691"/>
      <c r="AI3" s="691"/>
      <c r="AJ3" s="691"/>
      <c r="AK3" s="691"/>
      <c r="AL3" s="691"/>
      <c r="AM3" s="691"/>
      <c r="AN3" s="691"/>
      <c r="AO3" s="691"/>
      <c r="AP3" s="691"/>
      <c r="AQ3" s="691"/>
      <c r="AR3" s="691"/>
      <c r="AS3" s="691"/>
      <c r="AT3" s="691"/>
      <c r="AU3" s="691"/>
      <c r="AV3" s="691"/>
      <c r="AW3" s="691"/>
      <c r="AX3" s="691"/>
      <c r="AY3" s="691"/>
      <c r="AZ3" s="691"/>
      <c r="BA3" s="691"/>
      <c r="BB3" s="691"/>
      <c r="BC3" s="691"/>
      <c r="BD3" s="691"/>
      <c r="BE3" s="692"/>
      <c r="BF3" s="691"/>
      <c r="BG3" s="691"/>
      <c r="BH3" s="691"/>
      <c r="BI3" s="691"/>
      <c r="BJ3" s="691"/>
      <c r="BK3" s="691"/>
      <c r="BL3" s="691"/>
      <c r="BM3" s="691"/>
      <c r="BN3" s="691"/>
      <c r="BO3" s="691"/>
      <c r="BP3" s="691"/>
      <c r="BQ3" s="691"/>
      <c r="BR3" s="691"/>
      <c r="BS3" s="691"/>
      <c r="BT3" s="691"/>
      <c r="BU3" s="691"/>
      <c r="BV3" s="691"/>
      <c r="BW3" s="691"/>
      <c r="BX3" s="691"/>
      <c r="BY3" s="691"/>
      <c r="BZ3" s="691"/>
      <c r="CA3" s="691"/>
      <c r="CB3" s="691"/>
      <c r="CC3" s="691"/>
      <c r="CD3" s="691"/>
      <c r="CE3" s="692"/>
      <c r="CF3" s="691"/>
      <c r="CG3" s="691"/>
      <c r="CH3" s="691"/>
      <c r="CI3" s="691"/>
      <c r="CJ3" s="691"/>
      <c r="CK3" s="691"/>
      <c r="CL3" s="691"/>
      <c r="CM3" s="691"/>
      <c r="CN3" s="691"/>
      <c r="CO3" s="691"/>
      <c r="CP3" s="691"/>
      <c r="CQ3" s="691"/>
      <c r="CR3" s="691"/>
      <c r="CS3" s="691"/>
      <c r="CT3" s="691"/>
      <c r="CU3" s="691"/>
      <c r="CV3" s="691"/>
      <c r="CW3" s="691"/>
      <c r="CX3" s="691"/>
      <c r="CY3" s="691"/>
      <c r="CZ3" s="691"/>
      <c r="DA3" s="691"/>
      <c r="DB3" s="691"/>
      <c r="DC3" s="691"/>
      <c r="DD3" s="691"/>
      <c r="DE3" s="692"/>
      <c r="DF3" s="691"/>
      <c r="DG3" s="691"/>
      <c r="DH3" s="691"/>
      <c r="DI3" s="691"/>
      <c r="DJ3" s="691"/>
      <c r="DK3" s="691"/>
      <c r="DL3" s="691"/>
      <c r="DM3" s="691"/>
      <c r="DN3" s="691"/>
      <c r="DO3" s="691"/>
      <c r="DP3" s="691"/>
      <c r="DQ3" s="691"/>
      <c r="DR3" s="691"/>
      <c r="DS3" s="691"/>
      <c r="DT3" s="691"/>
      <c r="DU3" s="691"/>
      <c r="DV3" s="691"/>
      <c r="DW3" s="691"/>
      <c r="DX3" s="691"/>
      <c r="DY3" s="691"/>
      <c r="DZ3" s="691"/>
      <c r="EA3" s="691"/>
      <c r="EB3" s="691"/>
      <c r="EC3" s="691"/>
      <c r="ED3" s="691"/>
      <c r="EE3" s="692"/>
      <c r="EF3" s="691"/>
      <c r="EG3" s="691"/>
      <c r="EH3" s="691"/>
      <c r="EI3" s="691"/>
      <c r="EJ3" s="691"/>
      <c r="EK3" s="691"/>
      <c r="EL3" s="691"/>
      <c r="EM3" s="691"/>
      <c r="EN3" s="691"/>
      <c r="EO3" s="691"/>
      <c r="EP3" s="691"/>
      <c r="EQ3" s="691"/>
      <c r="ER3" s="691"/>
      <c r="ES3" s="691"/>
      <c r="ET3" s="691"/>
      <c r="EU3" s="691"/>
      <c r="EV3" s="691"/>
      <c r="EW3" s="691"/>
      <c r="EX3" s="691"/>
      <c r="EY3" s="691"/>
      <c r="EZ3" s="691"/>
      <c r="FA3" s="691"/>
      <c r="FB3" s="691"/>
      <c r="FC3" s="691"/>
      <c r="FD3" s="691"/>
    </row>
    <row r="4" spans="2:160" x14ac:dyDescent="0.45">
      <c r="B4" s="1" t="s">
        <v>1660</v>
      </c>
      <c r="D4" s="4"/>
      <c r="E4" s="69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693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693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693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693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693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</row>
    <row r="5" spans="2:160" x14ac:dyDescent="0.45">
      <c r="B5" s="1" t="s">
        <v>1661</v>
      </c>
      <c r="D5" s="691"/>
      <c r="E5" s="694"/>
      <c r="F5" s="691"/>
      <c r="G5" s="691"/>
      <c r="H5" s="691"/>
      <c r="I5" s="691"/>
      <c r="J5" s="691"/>
      <c r="K5" s="691"/>
      <c r="L5" s="691"/>
      <c r="M5" s="691"/>
      <c r="N5" s="691"/>
      <c r="O5" s="691"/>
      <c r="P5" s="691"/>
      <c r="Q5" s="691"/>
      <c r="R5" s="691"/>
      <c r="S5" s="691"/>
      <c r="T5" s="691"/>
      <c r="U5" s="691"/>
      <c r="V5" s="691"/>
      <c r="W5" s="691"/>
      <c r="X5" s="691"/>
      <c r="Y5" s="691"/>
      <c r="Z5" s="691"/>
      <c r="AA5" s="691"/>
      <c r="AB5" s="691"/>
      <c r="AC5" s="691"/>
      <c r="AD5" s="691"/>
      <c r="AE5" s="694"/>
      <c r="AF5" s="691"/>
      <c r="AG5" s="691"/>
      <c r="AH5" s="691"/>
      <c r="AI5" s="691"/>
      <c r="AJ5" s="691"/>
      <c r="AK5" s="691"/>
      <c r="AL5" s="691"/>
      <c r="AM5" s="691"/>
      <c r="AN5" s="691"/>
      <c r="AO5" s="691"/>
      <c r="AP5" s="691"/>
      <c r="AQ5" s="691"/>
      <c r="AR5" s="691"/>
      <c r="AS5" s="691"/>
      <c r="AT5" s="691"/>
      <c r="AU5" s="691"/>
      <c r="AV5" s="691"/>
      <c r="AW5" s="691"/>
      <c r="AX5" s="691"/>
      <c r="AY5" s="691"/>
      <c r="AZ5" s="691"/>
      <c r="BA5" s="691"/>
      <c r="BB5" s="691"/>
      <c r="BC5" s="691"/>
      <c r="BD5" s="691"/>
      <c r="BE5" s="694"/>
      <c r="BF5" s="691"/>
      <c r="BG5" s="691"/>
      <c r="BH5" s="691"/>
      <c r="BI5" s="691"/>
      <c r="BJ5" s="691"/>
      <c r="BK5" s="691"/>
      <c r="BL5" s="691"/>
      <c r="BM5" s="691"/>
      <c r="BN5" s="691"/>
      <c r="BO5" s="691"/>
      <c r="BP5" s="691"/>
      <c r="BQ5" s="691"/>
      <c r="BR5" s="691"/>
      <c r="BS5" s="691"/>
      <c r="BT5" s="691"/>
      <c r="BU5" s="691"/>
      <c r="BV5" s="691"/>
      <c r="BW5" s="691"/>
      <c r="BX5" s="691"/>
      <c r="BY5" s="691"/>
      <c r="BZ5" s="691"/>
      <c r="CA5" s="691"/>
      <c r="CB5" s="691"/>
      <c r="CC5" s="691"/>
      <c r="CD5" s="691"/>
      <c r="CE5" s="694"/>
      <c r="CF5" s="691"/>
      <c r="CG5" s="691"/>
      <c r="CH5" s="691"/>
      <c r="CI5" s="691"/>
      <c r="CJ5" s="691"/>
      <c r="CK5" s="691"/>
      <c r="CL5" s="691"/>
      <c r="CM5" s="691"/>
      <c r="CN5" s="691"/>
      <c r="CO5" s="691"/>
      <c r="CP5" s="691"/>
      <c r="CQ5" s="691"/>
      <c r="CR5" s="691"/>
      <c r="CS5" s="691"/>
      <c r="CT5" s="691"/>
      <c r="CU5" s="691"/>
      <c r="CV5" s="691"/>
      <c r="CW5" s="691"/>
      <c r="CX5" s="691"/>
      <c r="CY5" s="691"/>
      <c r="CZ5" s="691"/>
      <c r="DA5" s="691"/>
      <c r="DB5" s="691"/>
      <c r="DC5" s="691"/>
      <c r="DD5" s="691"/>
      <c r="DE5" s="694"/>
      <c r="DF5" s="691"/>
      <c r="DG5" s="691"/>
      <c r="DH5" s="691"/>
      <c r="DI5" s="691"/>
      <c r="DJ5" s="691"/>
      <c r="DK5" s="691"/>
      <c r="DL5" s="691"/>
      <c r="DM5" s="691"/>
      <c r="DN5" s="691"/>
      <c r="DO5" s="691"/>
      <c r="DP5" s="691"/>
      <c r="DQ5" s="691"/>
      <c r="DR5" s="691"/>
      <c r="DS5" s="691"/>
      <c r="DT5" s="691"/>
      <c r="DU5" s="691"/>
      <c r="DV5" s="691"/>
      <c r="DW5" s="691"/>
      <c r="DX5" s="691"/>
      <c r="DY5" s="691"/>
      <c r="DZ5" s="691"/>
      <c r="EA5" s="691"/>
      <c r="EB5" s="691"/>
      <c r="EC5" s="691"/>
      <c r="ED5" s="691"/>
      <c r="EE5" s="694"/>
      <c r="EF5" s="691"/>
      <c r="EG5" s="691"/>
      <c r="EH5" s="691"/>
      <c r="EI5" s="691"/>
      <c r="EJ5" s="691"/>
      <c r="EK5" s="691"/>
      <c r="EL5" s="691"/>
      <c r="EM5" s="691"/>
      <c r="EN5" s="691"/>
      <c r="EO5" s="691"/>
      <c r="EP5" s="691"/>
      <c r="EQ5" s="691"/>
      <c r="ER5" s="691"/>
      <c r="ES5" s="691"/>
      <c r="ET5" s="691"/>
      <c r="EU5" s="691"/>
      <c r="EV5" s="691"/>
      <c r="EW5" s="691"/>
      <c r="EX5" s="691"/>
      <c r="EY5" s="691"/>
      <c r="EZ5" s="691"/>
      <c r="FA5" s="691"/>
      <c r="FB5" s="691"/>
      <c r="FC5" s="691"/>
      <c r="FD5" s="691"/>
    </row>
    <row r="6" spans="2:160" x14ac:dyDescent="0.45">
      <c r="D6" s="4"/>
      <c r="E6" s="69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693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693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693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69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693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</row>
    <row r="7" spans="2:160" x14ac:dyDescent="0.45">
      <c r="B7" s="1" t="s">
        <v>1662</v>
      </c>
      <c r="D7" s="695"/>
      <c r="E7" s="696"/>
      <c r="F7" s="697"/>
      <c r="G7" s="698"/>
      <c r="H7" s="699"/>
      <c r="I7" s="695"/>
      <c r="J7" s="700"/>
      <c r="K7" s="691"/>
      <c r="L7" s="691"/>
      <c r="M7" s="691"/>
      <c r="N7" s="691"/>
      <c r="O7" s="691"/>
      <c r="P7" s="691"/>
      <c r="Q7" s="691"/>
      <c r="R7" s="691"/>
      <c r="S7" s="691"/>
      <c r="T7" s="691"/>
      <c r="U7" s="698"/>
      <c r="V7" s="695"/>
      <c r="W7" s="695"/>
      <c r="X7" s="695"/>
      <c r="Y7" s="695"/>
      <c r="Z7" s="695"/>
      <c r="AA7" s="695"/>
      <c r="AB7" s="695"/>
      <c r="AC7" s="697"/>
      <c r="AD7" s="691"/>
      <c r="AE7" s="694"/>
      <c r="AF7" s="691"/>
      <c r="AG7" s="691"/>
      <c r="AH7" s="698"/>
      <c r="AI7" s="695"/>
      <c r="AJ7" s="695"/>
      <c r="AK7" s="695"/>
      <c r="AL7" s="695"/>
      <c r="AM7" s="695"/>
      <c r="AN7" s="695"/>
      <c r="AO7" s="695"/>
      <c r="AP7" s="695"/>
      <c r="AQ7" s="695"/>
      <c r="AR7" s="695"/>
      <c r="AS7" s="697"/>
      <c r="AT7" s="698"/>
      <c r="AU7" s="695"/>
      <c r="AV7" s="695"/>
      <c r="AW7" s="695"/>
      <c r="AX7" s="695"/>
      <c r="AY7" s="695"/>
      <c r="AZ7" s="695"/>
      <c r="BA7" s="695"/>
      <c r="BB7" s="695"/>
      <c r="BC7" s="695"/>
      <c r="BD7" s="695"/>
      <c r="BE7" s="696"/>
      <c r="BF7" s="695"/>
      <c r="BG7" s="695"/>
      <c r="BH7" s="697"/>
      <c r="BI7" s="691"/>
      <c r="BJ7" s="691"/>
      <c r="BK7" s="691"/>
      <c r="BL7" s="691"/>
      <c r="BM7" s="691"/>
      <c r="BN7" s="691"/>
      <c r="BO7" s="691"/>
      <c r="BP7" s="691"/>
      <c r="BQ7" s="691"/>
      <c r="BR7" s="691"/>
      <c r="BS7" s="691"/>
      <c r="BT7" s="698"/>
      <c r="BU7" s="695"/>
      <c r="BV7" s="695"/>
      <c r="BW7" s="695"/>
      <c r="BX7" s="695"/>
      <c r="BY7" s="695"/>
      <c r="BZ7" s="695"/>
      <c r="CA7" s="695"/>
      <c r="CB7" s="695"/>
      <c r="CC7" s="695"/>
      <c r="CD7" s="695"/>
      <c r="CE7" s="696"/>
      <c r="CF7" s="695"/>
      <c r="CG7" s="695"/>
      <c r="CH7" s="695"/>
      <c r="CI7" s="695"/>
      <c r="CJ7" s="695"/>
      <c r="CK7" s="695"/>
      <c r="CL7" s="695"/>
      <c r="CM7" s="695"/>
      <c r="CN7" s="695"/>
      <c r="CO7" s="695"/>
      <c r="CP7" s="695"/>
      <c r="CQ7" s="695"/>
      <c r="CR7" s="695"/>
      <c r="CS7" s="695"/>
      <c r="CT7" s="695"/>
      <c r="CU7" s="695"/>
      <c r="CV7" s="695"/>
      <c r="CW7" s="695"/>
      <c r="CX7" s="695"/>
      <c r="CY7" s="695"/>
      <c r="CZ7" s="695"/>
      <c r="DA7" s="695"/>
      <c r="DB7" s="695"/>
      <c r="DC7" s="695"/>
      <c r="DD7" s="695"/>
      <c r="DE7" s="696"/>
      <c r="DF7" s="695"/>
      <c r="DG7" s="695"/>
      <c r="DH7" s="695"/>
      <c r="DI7" s="695"/>
      <c r="DJ7" s="695"/>
      <c r="DK7" s="695"/>
      <c r="DL7" s="695"/>
      <c r="DM7" s="695"/>
      <c r="DN7" s="695"/>
      <c r="DO7" s="695"/>
      <c r="DP7" s="695"/>
      <c r="DQ7" s="695"/>
      <c r="DR7" s="695"/>
      <c r="DS7" s="695"/>
      <c r="DT7" s="695"/>
      <c r="DU7" s="695"/>
      <c r="DV7" s="695"/>
      <c r="DW7" s="695"/>
      <c r="DX7" s="695"/>
      <c r="DY7" s="695"/>
      <c r="DZ7" s="695"/>
      <c r="EA7" s="695"/>
      <c r="EB7" s="695"/>
      <c r="EC7" s="695"/>
      <c r="ED7" s="695"/>
      <c r="EE7" s="696"/>
      <c r="EF7" s="695"/>
      <c r="EG7" s="695"/>
      <c r="EH7" s="695"/>
      <c r="EI7" s="695"/>
      <c r="EJ7" s="695"/>
      <c r="EK7" s="695"/>
      <c r="EL7" s="695"/>
      <c r="EM7" s="695"/>
      <c r="EN7" s="695"/>
      <c r="EO7" s="695"/>
      <c r="EP7" s="695"/>
      <c r="EQ7" s="695"/>
      <c r="ER7" s="695"/>
      <c r="ES7" s="695"/>
      <c r="ET7" s="695"/>
      <c r="EU7" s="695"/>
      <c r="EV7" s="695"/>
      <c r="EW7" s="695"/>
      <c r="EX7" s="695"/>
      <c r="EY7" s="695"/>
      <c r="EZ7" s="695"/>
      <c r="FA7" s="695"/>
      <c r="FB7" s="695"/>
      <c r="FC7" s="695"/>
      <c r="FD7" s="695"/>
    </row>
    <row r="8" spans="2:160" x14ac:dyDescent="0.45">
      <c r="D8" s="4"/>
      <c r="E8" s="69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93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693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693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693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693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</row>
    <row r="9" spans="2:160" x14ac:dyDescent="0.45">
      <c r="B9" s="1" t="s">
        <v>1663</v>
      </c>
      <c r="D9" s="691"/>
      <c r="E9" s="692"/>
      <c r="F9" s="691"/>
      <c r="G9" s="691"/>
      <c r="H9" s="691"/>
      <c r="I9" s="691"/>
      <c r="J9" s="691"/>
      <c r="K9" s="691"/>
      <c r="L9" s="691"/>
      <c r="M9" s="691"/>
      <c r="N9" s="691"/>
      <c r="O9" s="691"/>
      <c r="P9" s="691"/>
      <c r="Q9" s="691"/>
      <c r="R9" s="691"/>
      <c r="S9" s="691"/>
      <c r="T9" s="691"/>
      <c r="U9" s="691"/>
      <c r="V9" s="691"/>
      <c r="W9" s="691"/>
      <c r="X9" s="691"/>
      <c r="Y9" s="691"/>
      <c r="Z9" s="691"/>
      <c r="AA9" s="691"/>
      <c r="AB9" s="691"/>
      <c r="AC9" s="691"/>
      <c r="AD9" s="691"/>
      <c r="AE9" s="692"/>
      <c r="AF9" s="691"/>
      <c r="AG9" s="691"/>
      <c r="AH9" s="691"/>
      <c r="AI9" s="691"/>
      <c r="AJ9" s="691"/>
      <c r="AK9" s="691"/>
      <c r="AL9" s="691"/>
      <c r="AM9" s="691"/>
      <c r="AN9" s="691"/>
      <c r="AO9" s="691"/>
      <c r="AP9" s="691"/>
      <c r="AQ9" s="691"/>
      <c r="AR9" s="691"/>
      <c r="AS9" s="691"/>
      <c r="AT9" s="691"/>
      <c r="AU9" s="691"/>
      <c r="AV9" s="691"/>
      <c r="AW9" s="691"/>
      <c r="AX9" s="691"/>
      <c r="AY9" s="691"/>
      <c r="AZ9" s="691"/>
      <c r="BA9" s="691"/>
      <c r="BB9" s="691"/>
      <c r="BC9" s="691"/>
      <c r="BD9" s="691"/>
      <c r="BE9" s="692"/>
      <c r="BF9" s="691"/>
      <c r="BG9" s="691"/>
      <c r="BH9" s="691"/>
      <c r="BI9" s="691"/>
      <c r="BJ9" s="691"/>
      <c r="BK9" s="691"/>
      <c r="BL9" s="691"/>
      <c r="BM9" s="691"/>
      <c r="BN9" s="691"/>
      <c r="BO9" s="691"/>
      <c r="BP9" s="691"/>
      <c r="BQ9" s="691"/>
      <c r="BR9" s="691"/>
      <c r="BS9" s="691"/>
      <c r="BT9" s="691"/>
      <c r="BU9" s="691"/>
      <c r="BV9" s="691"/>
      <c r="BW9" s="691"/>
      <c r="BX9" s="691"/>
      <c r="BY9" s="691"/>
      <c r="BZ9" s="691"/>
      <c r="CA9" s="691"/>
      <c r="CB9" s="691"/>
      <c r="CC9" s="691"/>
      <c r="CD9" s="691"/>
      <c r="CE9" s="692"/>
      <c r="CF9" s="691"/>
      <c r="CG9" s="691"/>
      <c r="CH9" s="691"/>
      <c r="CI9" s="691"/>
      <c r="CJ9" s="691"/>
      <c r="CK9" s="691"/>
      <c r="CL9" s="691"/>
      <c r="CM9" s="691"/>
      <c r="CN9" s="691"/>
      <c r="CO9" s="691"/>
      <c r="CP9" s="691"/>
      <c r="CQ9" s="691"/>
      <c r="CR9" s="691"/>
      <c r="CS9" s="691"/>
      <c r="CT9" s="691"/>
      <c r="CU9" s="691"/>
      <c r="CV9" s="691"/>
      <c r="CW9" s="691"/>
      <c r="CX9" s="691"/>
      <c r="CY9" s="691"/>
      <c r="CZ9" s="691"/>
      <c r="DA9" s="691"/>
      <c r="DB9" s="691"/>
      <c r="DC9" s="691"/>
      <c r="DD9" s="691"/>
      <c r="DE9" s="692"/>
      <c r="DF9" s="691"/>
      <c r="DG9" s="691"/>
      <c r="DH9" s="691"/>
      <c r="DI9" s="691"/>
      <c r="DJ9" s="691"/>
      <c r="DK9" s="691"/>
      <c r="DL9" s="691"/>
      <c r="DM9" s="691"/>
      <c r="DN9" s="691"/>
      <c r="DO9" s="691"/>
      <c r="DP9" s="691"/>
      <c r="DQ9" s="691"/>
      <c r="DR9" s="691"/>
      <c r="DS9" s="691"/>
      <c r="DT9" s="691"/>
      <c r="DU9" s="691"/>
      <c r="DV9" s="691"/>
      <c r="DW9" s="691"/>
      <c r="DX9" s="691"/>
      <c r="DY9" s="691"/>
      <c r="DZ9" s="691"/>
      <c r="EA9" s="691"/>
      <c r="EB9" s="691"/>
      <c r="EC9" s="691"/>
      <c r="ED9" s="691"/>
      <c r="EE9" s="692"/>
      <c r="EF9" s="691"/>
      <c r="EG9" s="691"/>
      <c r="EH9" s="691"/>
      <c r="EI9" s="691"/>
      <c r="EJ9" s="691"/>
      <c r="EK9" s="691"/>
      <c r="EL9" s="691"/>
      <c r="EM9" s="691"/>
      <c r="EN9" s="691"/>
      <c r="EO9" s="691"/>
      <c r="EP9" s="691"/>
      <c r="EQ9" s="691"/>
      <c r="ER9" s="691"/>
      <c r="ES9" s="691"/>
      <c r="ET9" s="691"/>
      <c r="EU9" s="691"/>
      <c r="EV9" s="691"/>
      <c r="EW9" s="691"/>
      <c r="EX9" s="691"/>
      <c r="EY9" s="691"/>
      <c r="EZ9" s="691"/>
      <c r="FA9" s="691"/>
      <c r="FB9" s="691"/>
      <c r="FC9" s="691"/>
      <c r="FD9" s="691"/>
    </row>
    <row r="10" spans="2:160" x14ac:dyDescent="0.45">
      <c r="D10" s="4"/>
      <c r="E10" s="69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93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693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693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693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693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</row>
    <row r="11" spans="2:160" x14ac:dyDescent="0.45">
      <c r="B11" s="1" t="s">
        <v>1664</v>
      </c>
      <c r="D11" s="691"/>
      <c r="E11" s="694"/>
      <c r="F11" s="692"/>
      <c r="G11" s="691"/>
      <c r="H11" s="691"/>
      <c r="I11" s="691"/>
      <c r="J11" s="691"/>
      <c r="K11" s="691"/>
      <c r="L11" s="691"/>
      <c r="M11" s="691"/>
      <c r="N11" s="691"/>
      <c r="O11" s="691"/>
      <c r="P11" s="691"/>
      <c r="Q11" s="691"/>
      <c r="R11" s="691"/>
      <c r="S11" s="691"/>
      <c r="T11" s="691"/>
      <c r="U11" s="691"/>
      <c r="V11" s="691"/>
      <c r="W11" s="691"/>
      <c r="X11" s="691"/>
      <c r="Y11" s="691"/>
      <c r="Z11" s="691"/>
      <c r="AA11" s="691"/>
      <c r="AB11" s="691"/>
      <c r="AC11" s="691"/>
      <c r="AD11" s="691"/>
      <c r="AE11" s="694"/>
      <c r="AF11" s="692"/>
      <c r="AG11" s="691"/>
      <c r="AH11" s="691"/>
      <c r="AI11" s="691"/>
      <c r="AJ11" s="691"/>
      <c r="AK11" s="691"/>
      <c r="AL11" s="691"/>
      <c r="AM11" s="691"/>
      <c r="AN11" s="691"/>
      <c r="AO11" s="691"/>
      <c r="AP11" s="691"/>
      <c r="AQ11" s="691"/>
      <c r="AR11" s="691"/>
      <c r="AS11" s="691"/>
      <c r="AT11" s="691"/>
      <c r="AU11" s="691"/>
      <c r="AV11" s="691"/>
      <c r="AW11" s="691"/>
      <c r="AX11" s="691"/>
      <c r="AY11" s="691"/>
      <c r="AZ11" s="691"/>
      <c r="BA11" s="691"/>
      <c r="BB11" s="691"/>
      <c r="BC11" s="691"/>
      <c r="BD11" s="691"/>
      <c r="BE11" s="694"/>
      <c r="BF11" s="692"/>
      <c r="BG11" s="691"/>
      <c r="BH11" s="691"/>
      <c r="BI11" s="691"/>
      <c r="BJ11" s="691"/>
      <c r="BK11" s="691"/>
      <c r="BL11" s="691"/>
      <c r="BM11" s="691"/>
      <c r="BN11" s="691"/>
      <c r="BO11" s="691"/>
      <c r="BP11" s="691"/>
      <c r="BQ11" s="691"/>
      <c r="BR11" s="691"/>
      <c r="BS11" s="691"/>
      <c r="BT11" s="691"/>
      <c r="BU11" s="691"/>
      <c r="BV11" s="691"/>
      <c r="BW11" s="691"/>
      <c r="BX11" s="691"/>
      <c r="BY11" s="691"/>
      <c r="BZ11" s="691"/>
      <c r="CA11" s="691"/>
      <c r="CB11" s="691"/>
      <c r="CC11" s="691"/>
      <c r="CD11" s="691"/>
      <c r="CE11" s="694"/>
      <c r="CF11" s="692"/>
      <c r="CG11" s="691"/>
      <c r="CH11" s="691"/>
      <c r="CI11" s="691"/>
      <c r="CJ11" s="691"/>
      <c r="CK11" s="691"/>
      <c r="CL11" s="691"/>
      <c r="CM11" s="691"/>
      <c r="CN11" s="691"/>
      <c r="CO11" s="691"/>
      <c r="CP11" s="691"/>
      <c r="CQ11" s="691"/>
      <c r="CR11" s="691"/>
      <c r="CS11" s="691"/>
      <c r="CT11" s="691"/>
      <c r="CU11" s="691"/>
      <c r="CV11" s="691"/>
      <c r="CW11" s="691"/>
      <c r="CX11" s="691"/>
      <c r="CY11" s="691"/>
      <c r="CZ11" s="691"/>
      <c r="DA11" s="691"/>
      <c r="DB11" s="691"/>
      <c r="DC11" s="691"/>
      <c r="DD11" s="691"/>
      <c r="DE11" s="694"/>
      <c r="DF11" s="692"/>
      <c r="DG11" s="691"/>
      <c r="DH11" s="691"/>
      <c r="DI11" s="691"/>
      <c r="DJ11" s="691"/>
      <c r="DK11" s="691"/>
      <c r="DL11" s="691"/>
      <c r="DM11" s="691"/>
      <c r="DN11" s="691"/>
      <c r="DO11" s="691"/>
      <c r="DP11" s="691"/>
      <c r="DQ11" s="691"/>
      <c r="DR11" s="691"/>
      <c r="DS11" s="691"/>
      <c r="DT11" s="691"/>
      <c r="DU11" s="691"/>
      <c r="DV11" s="691"/>
      <c r="DW11" s="691"/>
      <c r="DX11" s="691"/>
      <c r="DY11" s="691"/>
      <c r="DZ11" s="691"/>
      <c r="EA11" s="691"/>
      <c r="EB11" s="691"/>
      <c r="EC11" s="691"/>
      <c r="ED11" s="691"/>
      <c r="EE11" s="694"/>
      <c r="EF11" s="692"/>
      <c r="EG11" s="691"/>
      <c r="EH11" s="691"/>
      <c r="EI11" s="691"/>
      <c r="EJ11" s="691"/>
      <c r="EK11" s="691"/>
      <c r="EL11" s="691"/>
      <c r="EM11" s="691"/>
      <c r="EN11" s="691"/>
      <c r="EO11" s="691"/>
      <c r="EP11" s="691"/>
      <c r="EQ11" s="691"/>
      <c r="ER11" s="691"/>
      <c r="ES11" s="691"/>
      <c r="ET11" s="691"/>
      <c r="EU11" s="691"/>
      <c r="EV11" s="691"/>
      <c r="EW11" s="691"/>
      <c r="EX11" s="691"/>
      <c r="EY11" s="691"/>
      <c r="EZ11" s="691"/>
      <c r="FA11" s="691"/>
      <c r="FB11" s="691"/>
      <c r="FC11" s="691"/>
      <c r="FD11" s="691"/>
    </row>
    <row r="12" spans="2:160" x14ac:dyDescent="0.45">
      <c r="D12" s="695"/>
      <c r="E12" s="696"/>
      <c r="F12" s="695"/>
      <c r="G12" s="695"/>
      <c r="H12" s="695"/>
      <c r="I12" s="695"/>
      <c r="J12" s="695"/>
      <c r="K12" s="695"/>
      <c r="L12" s="695"/>
      <c r="M12" s="695"/>
      <c r="N12" s="695"/>
      <c r="O12" s="695"/>
      <c r="P12" s="695"/>
      <c r="Q12" s="695"/>
      <c r="R12" s="695"/>
      <c r="S12" s="695"/>
      <c r="T12" s="695"/>
      <c r="U12" s="695"/>
      <c r="V12" s="695"/>
      <c r="W12" s="695"/>
      <c r="X12" s="695"/>
      <c r="Y12" s="695"/>
      <c r="Z12" s="695"/>
      <c r="AA12" s="695"/>
      <c r="AB12" s="695"/>
      <c r="AC12" s="695"/>
      <c r="AD12" s="695"/>
      <c r="AE12" s="696"/>
      <c r="AF12" s="695"/>
      <c r="AG12" s="695"/>
      <c r="AH12" s="695"/>
      <c r="AI12" s="695"/>
      <c r="AJ12" s="695"/>
      <c r="AK12" s="695"/>
      <c r="AL12" s="695"/>
      <c r="AM12" s="695"/>
      <c r="AN12" s="695"/>
      <c r="AO12" s="695"/>
      <c r="AP12" s="695"/>
      <c r="AQ12" s="695"/>
      <c r="AR12" s="695"/>
      <c r="AS12" s="695"/>
      <c r="AT12" s="695"/>
      <c r="AU12" s="695"/>
      <c r="AV12" s="695"/>
      <c r="AW12" s="695"/>
      <c r="AX12" s="695"/>
      <c r="AY12" s="695"/>
      <c r="AZ12" s="695"/>
      <c r="BA12" s="695"/>
      <c r="BB12" s="695"/>
      <c r="BC12" s="695"/>
      <c r="BD12" s="695"/>
      <c r="BE12" s="696"/>
      <c r="BF12" s="695"/>
      <c r="BG12" s="695"/>
      <c r="BH12" s="695"/>
      <c r="BI12" s="695"/>
      <c r="BJ12" s="695"/>
      <c r="BK12" s="695"/>
      <c r="BL12" s="695"/>
      <c r="BM12" s="695"/>
      <c r="BN12" s="695"/>
      <c r="BO12" s="695"/>
      <c r="BP12" s="695"/>
      <c r="BQ12" s="695"/>
      <c r="BR12" s="695"/>
      <c r="BS12" s="695"/>
      <c r="BT12" s="695"/>
      <c r="BU12" s="695"/>
      <c r="BV12" s="695"/>
      <c r="BW12" s="695"/>
      <c r="BX12" s="695"/>
      <c r="BY12" s="695"/>
      <c r="BZ12" s="695"/>
      <c r="CA12" s="695"/>
      <c r="CB12" s="695"/>
      <c r="CC12" s="695"/>
      <c r="CD12" s="695"/>
      <c r="CE12" s="696"/>
      <c r="CF12" s="695"/>
      <c r="CG12" s="695"/>
      <c r="CH12" s="695"/>
      <c r="CI12" s="695"/>
      <c r="CJ12" s="695"/>
      <c r="CK12" s="695"/>
      <c r="CL12" s="695"/>
      <c r="CM12" s="695"/>
      <c r="CN12" s="695"/>
      <c r="CO12" s="695"/>
      <c r="CP12" s="695"/>
      <c r="CQ12" s="695"/>
      <c r="CR12" s="695"/>
      <c r="CS12" s="695"/>
      <c r="CT12" s="695"/>
      <c r="CU12" s="695"/>
      <c r="CV12" s="695"/>
      <c r="CW12" s="695"/>
      <c r="CX12" s="695"/>
      <c r="CY12" s="695"/>
      <c r="CZ12" s="695"/>
      <c r="DA12" s="695"/>
      <c r="DB12" s="695"/>
      <c r="DC12" s="695"/>
      <c r="DD12" s="695"/>
      <c r="DE12" s="696"/>
      <c r="DF12" s="695"/>
      <c r="DG12" s="695"/>
      <c r="DH12" s="695"/>
      <c r="DI12" s="695"/>
      <c r="DJ12" s="695"/>
      <c r="DK12" s="695"/>
      <c r="DL12" s="695"/>
      <c r="DM12" s="695"/>
      <c r="DN12" s="695"/>
      <c r="DO12" s="695"/>
      <c r="DP12" s="695"/>
      <c r="DQ12" s="695"/>
      <c r="DR12" s="695"/>
      <c r="DS12" s="695"/>
      <c r="DT12" s="695"/>
      <c r="DU12" s="695"/>
      <c r="DV12" s="695"/>
      <c r="DW12" s="695"/>
      <c r="DX12" s="695"/>
      <c r="DY12" s="695"/>
      <c r="DZ12" s="695"/>
      <c r="EA12" s="695"/>
      <c r="EB12" s="695"/>
      <c r="EC12" s="695"/>
      <c r="ED12" s="695"/>
      <c r="EE12" s="696"/>
      <c r="EF12" s="695"/>
      <c r="EG12" s="695"/>
      <c r="EH12" s="695"/>
      <c r="EI12" s="695"/>
      <c r="EJ12" s="695"/>
      <c r="EK12" s="695"/>
      <c r="EL12" s="695"/>
      <c r="EM12" s="695"/>
      <c r="EN12" s="695"/>
      <c r="EO12" s="695"/>
      <c r="EP12" s="695"/>
      <c r="EQ12" s="695"/>
      <c r="ER12" s="695"/>
      <c r="ES12" s="695"/>
      <c r="ET12" s="695"/>
      <c r="EU12" s="695"/>
      <c r="EV12" s="695"/>
      <c r="EW12" s="695"/>
      <c r="EX12" s="695"/>
      <c r="EY12" s="695"/>
      <c r="EZ12" s="695"/>
      <c r="FA12" s="695"/>
      <c r="FB12" s="695"/>
      <c r="FC12" s="695"/>
      <c r="FD12" s="695"/>
    </row>
    <row r="13" spans="2:160" x14ac:dyDescent="0.45">
      <c r="B13" s="1" t="s">
        <v>1665</v>
      </c>
      <c r="D13" s="691"/>
      <c r="E13" s="694"/>
      <c r="F13" s="691"/>
      <c r="G13" s="692"/>
      <c r="H13" s="691"/>
      <c r="I13" s="691"/>
      <c r="J13" s="691"/>
      <c r="K13" s="691"/>
      <c r="L13" s="691"/>
      <c r="M13" s="691"/>
      <c r="N13" s="691"/>
      <c r="O13" s="691"/>
      <c r="P13" s="691"/>
      <c r="Q13" s="691"/>
      <c r="R13" s="691"/>
      <c r="S13" s="691"/>
      <c r="T13" s="691"/>
      <c r="U13" s="691"/>
      <c r="V13" s="691"/>
      <c r="W13" s="691"/>
      <c r="X13" s="691"/>
      <c r="Y13" s="691"/>
      <c r="Z13" s="691"/>
      <c r="AA13" s="691"/>
      <c r="AB13" s="691"/>
      <c r="AC13" s="691"/>
      <c r="AD13" s="691"/>
      <c r="AE13" s="694"/>
      <c r="AF13" s="691"/>
      <c r="AG13" s="692"/>
      <c r="AH13" s="691"/>
      <c r="AI13" s="691"/>
      <c r="AJ13" s="691"/>
      <c r="AK13" s="691"/>
      <c r="AL13" s="691"/>
      <c r="AM13" s="691"/>
      <c r="AN13" s="691"/>
      <c r="AO13" s="691"/>
      <c r="AP13" s="691"/>
      <c r="AQ13" s="691"/>
      <c r="AR13" s="691"/>
      <c r="AS13" s="691"/>
      <c r="AT13" s="691"/>
      <c r="AU13" s="691"/>
      <c r="AV13" s="691"/>
      <c r="AW13" s="691"/>
      <c r="AX13" s="691"/>
      <c r="AY13" s="691"/>
      <c r="AZ13" s="691"/>
      <c r="BA13" s="691"/>
      <c r="BB13" s="691"/>
      <c r="BC13" s="691"/>
      <c r="BD13" s="691"/>
      <c r="BE13" s="694"/>
      <c r="BF13" s="691"/>
      <c r="BG13" s="692"/>
      <c r="BH13" s="691"/>
      <c r="BI13" s="691"/>
      <c r="BJ13" s="691"/>
      <c r="BK13" s="691"/>
      <c r="BL13" s="691"/>
      <c r="BM13" s="691"/>
      <c r="BN13" s="691"/>
      <c r="BO13" s="691"/>
      <c r="BP13" s="691"/>
      <c r="BQ13" s="691"/>
      <c r="BR13" s="691"/>
      <c r="BS13" s="691"/>
      <c r="BT13" s="691"/>
      <c r="BU13" s="691"/>
      <c r="BV13" s="691"/>
      <c r="BW13" s="691"/>
      <c r="BX13" s="691"/>
      <c r="BY13" s="691"/>
      <c r="BZ13" s="691"/>
      <c r="CA13" s="691"/>
      <c r="CB13" s="691"/>
      <c r="CC13" s="691"/>
      <c r="CD13" s="691"/>
      <c r="CE13" s="694"/>
      <c r="CF13" s="691"/>
      <c r="CG13" s="692"/>
      <c r="CH13" s="691"/>
      <c r="CI13" s="691"/>
      <c r="CJ13" s="691"/>
      <c r="CK13" s="691"/>
      <c r="CL13" s="691"/>
      <c r="CM13" s="691"/>
      <c r="CN13" s="691"/>
      <c r="CO13" s="691"/>
      <c r="CP13" s="691"/>
      <c r="CQ13" s="691"/>
      <c r="CR13" s="691"/>
      <c r="CS13" s="691"/>
      <c r="CT13" s="691"/>
      <c r="CU13" s="691"/>
      <c r="CV13" s="691"/>
      <c r="CW13" s="691"/>
      <c r="CX13" s="691"/>
      <c r="CY13" s="691"/>
      <c r="CZ13" s="691"/>
      <c r="DA13" s="691"/>
      <c r="DB13" s="691"/>
      <c r="DC13" s="691"/>
      <c r="DD13" s="691"/>
      <c r="DE13" s="694"/>
      <c r="DF13" s="691"/>
      <c r="DG13" s="692"/>
      <c r="DH13" s="691"/>
      <c r="DI13" s="691"/>
      <c r="DJ13" s="691"/>
      <c r="DK13" s="691"/>
      <c r="DL13" s="691"/>
      <c r="DM13" s="691"/>
      <c r="DN13" s="691"/>
      <c r="DO13" s="691"/>
      <c r="DP13" s="691"/>
      <c r="DQ13" s="691"/>
      <c r="DR13" s="691"/>
      <c r="DS13" s="691"/>
      <c r="DT13" s="691"/>
      <c r="DU13" s="691"/>
      <c r="DV13" s="691"/>
      <c r="DW13" s="691"/>
      <c r="DX13" s="691"/>
      <c r="DY13" s="691"/>
      <c r="DZ13" s="691"/>
      <c r="EA13" s="691"/>
      <c r="EB13" s="691"/>
      <c r="EC13" s="691"/>
      <c r="ED13" s="691"/>
      <c r="EE13" s="694"/>
      <c r="EF13" s="691"/>
      <c r="EG13" s="692"/>
      <c r="EH13" s="691"/>
      <c r="EI13" s="691"/>
      <c r="EJ13" s="691"/>
      <c r="EK13" s="691"/>
      <c r="EL13" s="691"/>
      <c r="EM13" s="691"/>
      <c r="EN13" s="691"/>
      <c r="EO13" s="691"/>
      <c r="EP13" s="691"/>
      <c r="EQ13" s="691"/>
      <c r="ER13" s="691"/>
      <c r="ES13" s="691"/>
      <c r="ET13" s="691"/>
      <c r="EU13" s="691"/>
      <c r="EV13" s="691"/>
      <c r="EW13" s="691"/>
      <c r="EX13" s="691"/>
      <c r="EY13" s="691"/>
      <c r="EZ13" s="691"/>
      <c r="FA13" s="691"/>
      <c r="FB13" s="691"/>
      <c r="FC13" s="691"/>
      <c r="FD13" s="691"/>
    </row>
    <row r="14" spans="2:160" x14ac:dyDescent="0.45">
      <c r="D14" s="4"/>
      <c r="E14" s="69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693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693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693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693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693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</row>
    <row r="15" spans="2:160" x14ac:dyDescent="0.45">
      <c r="B15" s="1" t="s">
        <v>1666</v>
      </c>
      <c r="D15" s="691"/>
      <c r="E15" s="694"/>
      <c r="F15" s="691"/>
      <c r="G15" s="691"/>
      <c r="H15" s="691"/>
      <c r="I15" s="691"/>
      <c r="J15" s="691"/>
      <c r="K15" s="691"/>
      <c r="L15" s="692"/>
      <c r="M15" s="691"/>
      <c r="N15" s="691"/>
      <c r="O15" s="691"/>
      <c r="P15" s="691"/>
      <c r="Q15" s="691"/>
      <c r="R15" s="691"/>
      <c r="S15" s="691"/>
      <c r="T15" s="691"/>
      <c r="U15" s="691"/>
      <c r="V15" s="691"/>
      <c r="W15" s="691"/>
      <c r="X15" s="691"/>
      <c r="Y15" s="691"/>
      <c r="Z15" s="691"/>
      <c r="AA15" s="691"/>
      <c r="AB15" s="691"/>
      <c r="AC15" s="691"/>
      <c r="AD15" s="691"/>
      <c r="AE15" s="694"/>
      <c r="AF15" s="691"/>
      <c r="AG15" s="691"/>
      <c r="AH15" s="691"/>
      <c r="AI15" s="691"/>
      <c r="AJ15" s="691"/>
      <c r="AK15" s="691"/>
      <c r="AL15" s="692"/>
      <c r="AM15" s="691"/>
      <c r="AN15" s="691"/>
      <c r="AO15" s="691"/>
      <c r="AP15" s="691"/>
      <c r="AQ15" s="691"/>
      <c r="AR15" s="691"/>
      <c r="AS15" s="691"/>
      <c r="AT15" s="691"/>
      <c r="AU15" s="691"/>
      <c r="AV15" s="691"/>
      <c r="AW15" s="691"/>
      <c r="AX15" s="691"/>
      <c r="AY15" s="691"/>
      <c r="AZ15" s="691"/>
      <c r="BA15" s="691"/>
      <c r="BB15" s="691"/>
      <c r="BC15" s="691"/>
      <c r="BD15" s="691"/>
      <c r="BE15" s="694"/>
      <c r="BF15" s="691"/>
      <c r="BG15" s="691"/>
      <c r="BH15" s="691"/>
      <c r="BI15" s="691"/>
      <c r="BJ15" s="691"/>
      <c r="BK15" s="691"/>
      <c r="BL15" s="692"/>
      <c r="BM15" s="691"/>
      <c r="BN15" s="691"/>
      <c r="BO15" s="691"/>
      <c r="BP15" s="691"/>
      <c r="BQ15" s="691"/>
      <c r="BR15" s="691"/>
      <c r="BS15" s="691"/>
      <c r="BT15" s="691"/>
      <c r="BU15" s="691"/>
      <c r="BV15" s="691"/>
      <c r="BW15" s="691"/>
      <c r="BX15" s="691"/>
      <c r="BY15" s="691"/>
      <c r="BZ15" s="691"/>
      <c r="CA15" s="691"/>
      <c r="CB15" s="691"/>
      <c r="CC15" s="691"/>
      <c r="CD15" s="691"/>
      <c r="CE15" s="694"/>
      <c r="CF15" s="691"/>
      <c r="CG15" s="691"/>
      <c r="CH15" s="691"/>
      <c r="CI15" s="691"/>
      <c r="CJ15" s="691"/>
      <c r="CK15" s="691"/>
      <c r="CL15" s="692"/>
      <c r="CM15" s="691"/>
      <c r="CN15" s="691"/>
      <c r="CO15" s="691"/>
      <c r="CP15" s="691"/>
      <c r="CQ15" s="691"/>
      <c r="CR15" s="691"/>
      <c r="CS15" s="691"/>
      <c r="CT15" s="691"/>
      <c r="CU15" s="691"/>
      <c r="CV15" s="691"/>
      <c r="CW15" s="691"/>
      <c r="CX15" s="691"/>
      <c r="CY15" s="691"/>
      <c r="CZ15" s="691"/>
      <c r="DA15" s="691"/>
      <c r="DB15" s="691"/>
      <c r="DC15" s="691"/>
      <c r="DD15" s="691"/>
      <c r="DE15" s="694"/>
      <c r="DF15" s="691"/>
      <c r="DG15" s="691"/>
      <c r="DH15" s="691"/>
      <c r="DI15" s="691"/>
      <c r="DJ15" s="691"/>
      <c r="DK15" s="691"/>
      <c r="DL15" s="692"/>
      <c r="DM15" s="691"/>
      <c r="DN15" s="691"/>
      <c r="DO15" s="691"/>
      <c r="DP15" s="691"/>
      <c r="DQ15" s="691"/>
      <c r="DR15" s="691"/>
      <c r="DS15" s="691"/>
      <c r="DT15" s="691"/>
      <c r="DU15" s="691"/>
      <c r="DV15" s="691"/>
      <c r="DW15" s="691"/>
      <c r="DX15" s="691"/>
      <c r="DY15" s="691"/>
      <c r="DZ15" s="691"/>
      <c r="EA15" s="691"/>
      <c r="EB15" s="691"/>
      <c r="EC15" s="691"/>
      <c r="ED15" s="691"/>
      <c r="EE15" s="694"/>
      <c r="EF15" s="691"/>
      <c r="EG15" s="691"/>
      <c r="EH15" s="691"/>
      <c r="EI15" s="691"/>
      <c r="EJ15" s="691"/>
      <c r="EK15" s="691"/>
      <c r="EL15" s="692"/>
      <c r="EM15" s="691"/>
      <c r="EN15" s="691"/>
      <c r="EO15" s="691"/>
      <c r="EP15" s="691"/>
      <c r="EQ15" s="691"/>
      <c r="ER15" s="691"/>
      <c r="ES15" s="691"/>
      <c r="ET15" s="691"/>
      <c r="EU15" s="691"/>
      <c r="EV15" s="691"/>
      <c r="EW15" s="691"/>
      <c r="EX15" s="691"/>
      <c r="EY15" s="691"/>
      <c r="EZ15" s="691"/>
      <c r="FA15" s="691"/>
      <c r="FB15" s="691"/>
      <c r="FC15" s="691"/>
      <c r="FD15" s="691"/>
    </row>
    <row r="16" spans="2:160" x14ac:dyDescent="0.45">
      <c r="D16" s="4"/>
      <c r="E16" s="69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93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693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693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693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693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</row>
    <row r="17" spans="4:165" x14ac:dyDescent="0.45">
      <c r="D17" s="4"/>
      <c r="E17" s="69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693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693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693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693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693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</row>
    <row r="18" spans="4:165" x14ac:dyDescent="0.45">
      <c r="D18" s="4"/>
      <c r="E18" s="69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693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693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693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693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693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</row>
    <row r="19" spans="4:165" x14ac:dyDescent="0.45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</row>
    <row r="22" spans="4:165" x14ac:dyDescent="0.45">
      <c r="FE22" s="1" t="s">
        <v>1667</v>
      </c>
      <c r="FF22" s="1" t="s">
        <v>1668</v>
      </c>
      <c r="FG22" s="1" t="s">
        <v>1669</v>
      </c>
      <c r="FH22" s="1" t="s">
        <v>1670</v>
      </c>
      <c r="FI22" s="1" t="s">
        <v>1671</v>
      </c>
    </row>
    <row r="23" spans="4:165" x14ac:dyDescent="0.45">
      <c r="FE23" s="1">
        <v>4095</v>
      </c>
      <c r="FF23" s="1">
        <v>4095</v>
      </c>
      <c r="FG23" s="1">
        <f>FF23-FE23</f>
        <v>0</v>
      </c>
      <c r="FH23" s="1">
        <v>4095</v>
      </c>
      <c r="FI23">
        <f>FG23+FH23</f>
        <v>4095</v>
      </c>
    </row>
    <row r="24" spans="4:165" x14ac:dyDescent="0.45">
      <c r="FE24" s="1">
        <f>FF23</f>
        <v>4095</v>
      </c>
      <c r="FF24" s="1">
        <v>4095</v>
      </c>
      <c r="FG24" s="1">
        <f>FF24-FE24</f>
        <v>0</v>
      </c>
      <c r="FH24" s="1">
        <f>FI23</f>
        <v>4095</v>
      </c>
      <c r="FI24">
        <f t="shared" ref="FI24:FI25" si="0">FG24+FH24</f>
        <v>4095</v>
      </c>
    </row>
    <row r="25" spans="4:165" x14ac:dyDescent="0.45">
      <c r="FE25" s="1">
        <f t="shared" ref="FE25:FE26" si="1">FF24</f>
        <v>4095</v>
      </c>
      <c r="FF25">
        <v>4094</v>
      </c>
      <c r="FG25" s="1">
        <f t="shared" ref="FG25:FG26" si="2">FF25-FE25</f>
        <v>-1</v>
      </c>
      <c r="FH25" s="1">
        <f>FI24</f>
        <v>4095</v>
      </c>
      <c r="FI25">
        <f t="shared" si="0"/>
        <v>4094</v>
      </c>
    </row>
    <row r="26" spans="4:165" x14ac:dyDescent="0.45">
      <c r="FE26" s="1">
        <f t="shared" si="1"/>
        <v>4094</v>
      </c>
      <c r="FG26" s="1">
        <f t="shared" si="2"/>
        <v>-4094</v>
      </c>
      <c r="FH26" s="1">
        <v>4098</v>
      </c>
    </row>
    <row r="31" spans="4:165" x14ac:dyDescent="0.45">
      <c r="DB31" s="632"/>
      <c r="EB31" s="632"/>
      <c r="FB31" s="632"/>
    </row>
    <row r="33" spans="105:158" x14ac:dyDescent="0.45">
      <c r="DB33" s="683"/>
      <c r="EB33" s="683"/>
      <c r="FB33" s="683"/>
    </row>
    <row r="41" spans="105:158" x14ac:dyDescent="0.45">
      <c r="DA41" s="683"/>
      <c r="DI41" s="4"/>
      <c r="EA41" s="683"/>
      <c r="FA41" s="683"/>
    </row>
    <row r="54" spans="2:3" s="31" customFormat="1" x14ac:dyDescent="0.45">
      <c r="B54" s="55"/>
      <c r="C54" s="5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75FB-CFE6-4F33-9AF9-0D7BBA31CA04}">
  <sheetPr>
    <tabColor theme="1"/>
  </sheetPr>
  <dimension ref="B11:FA34"/>
  <sheetViews>
    <sheetView showGridLines="0" zoomScaleNormal="100" workbookViewId="0"/>
  </sheetViews>
  <sheetFormatPr defaultRowHeight="17" x14ac:dyDescent="0.45"/>
  <cols>
    <col min="2" max="2" width="1.58203125" style="1" customWidth="1"/>
    <col min="3" max="159" width="1.58203125" customWidth="1"/>
  </cols>
  <sheetData>
    <row r="11" spans="105:157" x14ac:dyDescent="0.45">
      <c r="DA11" s="632"/>
      <c r="EA11" s="632"/>
      <c r="FA11" s="632"/>
    </row>
    <row r="13" spans="105:157" x14ac:dyDescent="0.45">
      <c r="DA13" s="683"/>
      <c r="EA13" s="683"/>
      <c r="FA13" s="683"/>
    </row>
    <row r="21" spans="104:156" x14ac:dyDescent="0.45">
      <c r="CZ21" s="683"/>
      <c r="DH21" s="4"/>
      <c r="DZ21" s="683"/>
      <c r="EZ21" s="683"/>
    </row>
    <row r="34" spans="2:2" s="31" customFormat="1" x14ac:dyDescent="0.45">
      <c r="B34" s="5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A02A-F5CF-44A0-AC55-B250D0A770FC}">
  <dimension ref="B2:AP112"/>
  <sheetViews>
    <sheetView showGridLines="0" zoomScale="120" zoomScaleNormal="120" workbookViewId="0"/>
  </sheetViews>
  <sheetFormatPr defaultColWidth="8.58203125" defaultRowHeight="14.5" x14ac:dyDescent="0.45"/>
  <cols>
    <col min="1" max="1" width="8.58203125" style="234"/>
    <col min="2" max="2" width="20" style="235" bestFit="1" customWidth="1"/>
    <col min="3" max="3" width="11.33203125" style="235" bestFit="1" customWidth="1"/>
    <col min="4" max="4" width="4.58203125" style="235" bestFit="1" customWidth="1"/>
    <col min="5" max="5" width="8.83203125" style="234" bestFit="1" customWidth="1"/>
    <col min="6" max="6" width="8.83203125" style="234" customWidth="1"/>
    <col min="7" max="12" width="8.33203125" style="234" customWidth="1"/>
    <col min="13" max="14" width="8.83203125" style="234" customWidth="1"/>
    <col min="15" max="16" width="11.33203125" style="234" bestFit="1" customWidth="1"/>
    <col min="17" max="27" width="8.33203125" style="234" customWidth="1"/>
    <col min="28" max="28" width="2.08203125" style="234" customWidth="1"/>
    <col min="29" max="30" width="8.83203125" style="234" customWidth="1"/>
    <col min="31" max="32" width="8.33203125" style="234" customWidth="1"/>
    <col min="33" max="33" width="8.83203125" style="234" bestFit="1" customWidth="1"/>
    <col min="34" max="34" width="8.83203125" style="234" customWidth="1"/>
    <col min="35" max="35" width="2.08203125" style="235" bestFit="1" customWidth="1"/>
    <col min="36" max="37" width="8.83203125" style="234" customWidth="1"/>
    <col min="38" max="16384" width="8.58203125" style="234"/>
  </cols>
  <sheetData>
    <row r="2" spans="2:42" x14ac:dyDescent="0.45">
      <c r="B2" s="232" t="s">
        <v>1265</v>
      </c>
      <c r="C2" s="233"/>
      <c r="D2" s="233"/>
      <c r="E2" s="233" t="s">
        <v>1249</v>
      </c>
      <c r="F2" s="233" t="s">
        <v>1250</v>
      </c>
      <c r="G2" s="233" t="s">
        <v>1251</v>
      </c>
      <c r="H2" s="233"/>
      <c r="I2" s="233"/>
      <c r="J2" s="311"/>
      <c r="K2" s="311"/>
      <c r="L2" s="311"/>
      <c r="M2" s="311"/>
      <c r="N2" s="311"/>
      <c r="O2" s="311"/>
      <c r="P2" s="311"/>
    </row>
    <row r="3" spans="2:42" x14ac:dyDescent="0.45">
      <c r="B3" s="236" t="s">
        <v>1253</v>
      </c>
      <c r="C3" s="236"/>
      <c r="D3" s="236" t="s">
        <v>1254</v>
      </c>
      <c r="E3" s="234">
        <v>20.28</v>
      </c>
      <c r="F3" s="234">
        <v>6.22</v>
      </c>
      <c r="G3" s="234">
        <v>4.33</v>
      </c>
    </row>
    <row r="4" spans="2:42" x14ac:dyDescent="0.45">
      <c r="B4" s="236" t="s">
        <v>1252</v>
      </c>
      <c r="C4" s="236"/>
      <c r="D4" s="236" t="s">
        <v>903</v>
      </c>
      <c r="E4" s="237">
        <f>E3/SUM($E$3:$G$3)</f>
        <v>0.65780084333441458</v>
      </c>
      <c r="F4" s="237">
        <f>F3/SUM($E$3:$G$3)</f>
        <v>0.20175154070710347</v>
      </c>
      <c r="G4" s="237">
        <f>G3/SUM($E$3:$G$3)</f>
        <v>0.14044761595848201</v>
      </c>
      <c r="H4" s="237"/>
      <c r="I4" s="237"/>
    </row>
    <row r="5" spans="2:42" x14ac:dyDescent="0.45">
      <c r="B5" s="232" t="s">
        <v>1266</v>
      </c>
      <c r="C5" s="236"/>
      <c r="D5" s="236"/>
      <c r="E5" s="238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</row>
    <row r="6" spans="2:42" x14ac:dyDescent="0.45">
      <c r="B6" s="236" t="s">
        <v>1248</v>
      </c>
      <c r="C6" s="236"/>
      <c r="D6" s="236" t="s">
        <v>903</v>
      </c>
      <c r="E6" s="351">
        <f>1-F6-G6</f>
        <v>0.66</v>
      </c>
      <c r="F6" s="351">
        <v>0.2</v>
      </c>
      <c r="G6" s="351">
        <v>0.14000000000000001</v>
      </c>
      <c r="AM6" s="239"/>
      <c r="AN6" s="239"/>
      <c r="AO6" s="239"/>
      <c r="AP6" s="239"/>
    </row>
    <row r="7" spans="2:42" x14ac:dyDescent="0.45">
      <c r="B7" s="236" t="s">
        <v>1264</v>
      </c>
      <c r="C7" s="236"/>
      <c r="D7" s="236" t="s">
        <v>1254</v>
      </c>
      <c r="E7" s="240">
        <f>E3*1/E6</f>
        <v>30.727272727272727</v>
      </c>
      <c r="F7" s="240">
        <f>F3*1/F6</f>
        <v>31.099999999999998</v>
      </c>
      <c r="G7" s="240">
        <f>G3*1/G6</f>
        <v>30.928571428571427</v>
      </c>
    </row>
    <row r="8" spans="2:42" x14ac:dyDescent="0.45">
      <c r="B8" s="232" t="s">
        <v>1267</v>
      </c>
      <c r="C8" s="236"/>
      <c r="D8" s="236"/>
      <c r="E8" s="238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AM8" s="239"/>
      <c r="AN8" s="239"/>
      <c r="AO8" s="239"/>
      <c r="AP8" s="239"/>
    </row>
    <row r="9" spans="2:42" x14ac:dyDescent="0.45">
      <c r="B9" s="236" t="s">
        <v>1314</v>
      </c>
      <c r="C9" s="255">
        <v>32</v>
      </c>
      <c r="D9" s="236" t="s">
        <v>5</v>
      </c>
      <c r="E9" s="235">
        <f>2^$C$22/$C$9</f>
        <v>128</v>
      </c>
      <c r="F9" s="312" t="s">
        <v>1158</v>
      </c>
    </row>
    <row r="10" spans="2:42" x14ac:dyDescent="0.45">
      <c r="B10" s="236" t="s">
        <v>1263</v>
      </c>
      <c r="C10" s="236">
        <v>10</v>
      </c>
      <c r="D10" s="236" t="s">
        <v>1</v>
      </c>
      <c r="E10" s="235"/>
    </row>
    <row r="11" spans="2:42" x14ac:dyDescent="0.45">
      <c r="B11" s="236" t="s">
        <v>1262</v>
      </c>
      <c r="C11" s="236">
        <f>C10*3</f>
        <v>30</v>
      </c>
      <c r="D11" s="236" t="s">
        <v>1</v>
      </c>
      <c r="E11" s="235"/>
    </row>
    <row r="12" spans="2:42" x14ac:dyDescent="0.45">
      <c r="B12" s="236" t="s">
        <v>1261</v>
      </c>
      <c r="C12" s="236">
        <f>C11*C9</f>
        <v>960</v>
      </c>
      <c r="D12" s="236" t="s">
        <v>1</v>
      </c>
      <c r="E12" s="235"/>
    </row>
    <row r="13" spans="2:42" x14ac:dyDescent="0.45">
      <c r="B13" s="236" t="s">
        <v>1156</v>
      </c>
      <c r="C13" s="236"/>
      <c r="D13" s="236" t="s">
        <v>4</v>
      </c>
      <c r="E13" s="236">
        <v>50</v>
      </c>
      <c r="F13" s="311">
        <v>60</v>
      </c>
      <c r="G13" s="311">
        <v>100</v>
      </c>
      <c r="H13" s="311">
        <v>120</v>
      </c>
      <c r="I13" s="311">
        <v>144</v>
      </c>
      <c r="J13" s="311">
        <v>165</v>
      </c>
      <c r="K13" s="311">
        <v>200</v>
      </c>
      <c r="L13" s="311">
        <v>240</v>
      </c>
      <c r="M13" s="357">
        <v>50</v>
      </c>
      <c r="N13" s="357">
        <v>60</v>
      </c>
      <c r="O13" s="357">
        <v>800</v>
      </c>
      <c r="P13" s="357">
        <v>960</v>
      </c>
    </row>
    <row r="14" spans="2:42" x14ac:dyDescent="0.45">
      <c r="B14" s="236" t="s">
        <v>1268</v>
      </c>
      <c r="C14" s="236"/>
      <c r="D14" s="236" t="s">
        <v>1</v>
      </c>
      <c r="E14" s="352">
        <f>1/E13*1000000</f>
        <v>20000</v>
      </c>
      <c r="F14" s="352">
        <f t="shared" ref="F14:L14" si="0">1/F13*1000000</f>
        <v>16666.666666666668</v>
      </c>
      <c r="G14" s="352">
        <f t="shared" si="0"/>
        <v>10000</v>
      </c>
      <c r="H14" s="352">
        <f t="shared" si="0"/>
        <v>8333.3333333333339</v>
      </c>
      <c r="I14" s="352">
        <f t="shared" si="0"/>
        <v>6944.4444444444443</v>
      </c>
      <c r="J14" s="352">
        <f t="shared" si="0"/>
        <v>6060.606060606061</v>
      </c>
      <c r="K14" s="352">
        <f t="shared" si="0"/>
        <v>5000</v>
      </c>
      <c r="L14" s="352">
        <f t="shared" si="0"/>
        <v>4166.666666666667</v>
      </c>
      <c r="M14" s="352">
        <f t="shared" ref="M14:N14" si="1">1/M13*1000000</f>
        <v>20000</v>
      </c>
      <c r="N14" s="352">
        <f t="shared" si="1"/>
        <v>16666.666666666668</v>
      </c>
      <c r="O14" s="352">
        <f>1/O13*1000000</f>
        <v>1250</v>
      </c>
      <c r="P14" s="352">
        <f>1/P13*1000000</f>
        <v>1041.6666666666667</v>
      </c>
    </row>
    <row r="15" spans="2:42" x14ac:dyDescent="0.45">
      <c r="B15" s="236" t="s">
        <v>1273</v>
      </c>
      <c r="C15" s="254" t="s">
        <v>1274</v>
      </c>
      <c r="D15" s="236" t="s">
        <v>903</v>
      </c>
      <c r="E15" s="237">
        <f>$C$12/E14</f>
        <v>4.8000000000000001E-2</v>
      </c>
      <c r="F15" s="237">
        <f>$C$12/F14</f>
        <v>5.7599999999999998E-2</v>
      </c>
      <c r="G15" s="237">
        <f>$C$12/G14</f>
        <v>9.6000000000000002E-2</v>
      </c>
      <c r="H15" s="237">
        <f t="shared" ref="H15:I15" si="2">$C$12/H14</f>
        <v>0.1152</v>
      </c>
      <c r="I15" s="237">
        <f t="shared" si="2"/>
        <v>0.13824</v>
      </c>
      <c r="J15" s="237">
        <f>$C$12/J14</f>
        <v>0.15839999999999999</v>
      </c>
      <c r="K15" s="237">
        <f>$C$12/K14</f>
        <v>0.192</v>
      </c>
      <c r="L15" s="237">
        <f>$C$12/L14</f>
        <v>0.23039999999999999</v>
      </c>
      <c r="M15" s="237">
        <f>$C$12/M14</f>
        <v>4.8000000000000001E-2</v>
      </c>
      <c r="N15" s="237">
        <f>$C$12/N14</f>
        <v>5.7599999999999998E-2</v>
      </c>
      <c r="O15" s="237">
        <f>$C$11/O14</f>
        <v>2.4E-2</v>
      </c>
      <c r="P15" s="237">
        <f>$C$11/P14</f>
        <v>2.8799999999999999E-2</v>
      </c>
    </row>
    <row r="16" spans="2:42" x14ac:dyDescent="0.45">
      <c r="B16" s="236" t="s">
        <v>1269</v>
      </c>
      <c r="C16" s="254" t="s">
        <v>1274</v>
      </c>
      <c r="D16" s="236" t="s">
        <v>1</v>
      </c>
      <c r="E16" s="253">
        <f>E14-E14*E15</f>
        <v>19040</v>
      </c>
      <c r="F16" s="253">
        <f t="shared" ref="F16:L16" si="3">F14-F14*F15</f>
        <v>15706.666666666668</v>
      </c>
      <c r="G16" s="253">
        <f t="shared" si="3"/>
        <v>9040</v>
      </c>
      <c r="H16" s="253">
        <f t="shared" si="3"/>
        <v>7373.3333333333339</v>
      </c>
      <c r="I16" s="253">
        <f>I14-I14*I15</f>
        <v>5984.4444444444443</v>
      </c>
      <c r="J16" s="253">
        <f t="shared" si="3"/>
        <v>5100.606060606061</v>
      </c>
      <c r="K16" s="253">
        <f t="shared" si="3"/>
        <v>4040</v>
      </c>
      <c r="L16" s="253">
        <f t="shared" si="3"/>
        <v>3206.666666666667</v>
      </c>
      <c r="M16" s="253">
        <f t="shared" ref="M16:N16" si="4">M14-M14*M15</f>
        <v>19040</v>
      </c>
      <c r="N16" s="253">
        <f t="shared" si="4"/>
        <v>15706.666666666668</v>
      </c>
      <c r="O16" s="253">
        <f>O14-O14*O15</f>
        <v>1220</v>
      </c>
      <c r="P16" s="253">
        <f t="shared" ref="P16" si="5">P14-P14*P15</f>
        <v>1011.6666666666667</v>
      </c>
    </row>
    <row r="17" spans="2:34" x14ac:dyDescent="0.45">
      <c r="B17" s="236" t="s">
        <v>1270</v>
      </c>
      <c r="C17" s="245"/>
      <c r="D17" s="236"/>
    </row>
    <row r="18" spans="2:34" x14ac:dyDescent="0.45">
      <c r="B18" s="236"/>
      <c r="C18" s="245" t="s">
        <v>1249</v>
      </c>
      <c r="D18" s="236" t="s">
        <v>1254</v>
      </c>
      <c r="E18" s="240">
        <f>$E$7+$E$7*E$15</f>
        <v>32.20218181818182</v>
      </c>
      <c r="F18" s="240">
        <f t="shared" ref="F18" si="6">$E$7+$E$7*F$15</f>
        <v>32.497163636363638</v>
      </c>
      <c r="G18" s="240">
        <f t="shared" ref="G18:P18" si="7">$E$7+$E$7*G$15</f>
        <v>33.677090909090907</v>
      </c>
      <c r="H18" s="240">
        <f t="shared" si="7"/>
        <v>34.267054545454542</v>
      </c>
      <c r="I18" s="240">
        <f t="shared" si="7"/>
        <v>34.975010909090912</v>
      </c>
      <c r="J18" s="240">
        <f t="shared" si="7"/>
        <v>35.594472727272723</v>
      </c>
      <c r="K18" s="240">
        <f t="shared" si="7"/>
        <v>36.626909090909088</v>
      </c>
      <c r="L18" s="240">
        <f t="shared" si="7"/>
        <v>37.806836363636364</v>
      </c>
      <c r="M18" s="240">
        <f t="shared" si="7"/>
        <v>32.20218181818182</v>
      </c>
      <c r="N18" s="240">
        <f t="shared" si="7"/>
        <v>32.497163636363638</v>
      </c>
      <c r="O18" s="240">
        <f t="shared" si="7"/>
        <v>31.464727272727274</v>
      </c>
      <c r="P18" s="240">
        <f t="shared" si="7"/>
        <v>31.612218181818182</v>
      </c>
    </row>
    <row r="19" spans="2:34" x14ac:dyDescent="0.45">
      <c r="B19" s="236"/>
      <c r="C19" s="245" t="s">
        <v>1250</v>
      </c>
      <c r="D19" s="236" t="s">
        <v>1254</v>
      </c>
      <c r="E19" s="240">
        <f t="shared" ref="E19" si="8">$F$7+$F$7*E$15</f>
        <v>32.592799999999997</v>
      </c>
      <c r="F19" s="240">
        <f t="shared" ref="F19:P19" si="9">$F$7+$F$7*F$15</f>
        <v>32.891359999999999</v>
      </c>
      <c r="G19" s="240">
        <f t="shared" si="9"/>
        <v>34.085599999999999</v>
      </c>
      <c r="H19" s="240">
        <f t="shared" si="9"/>
        <v>34.682719999999996</v>
      </c>
      <c r="I19" s="240">
        <f t="shared" si="9"/>
        <v>35.399263999999995</v>
      </c>
      <c r="J19" s="240">
        <f t="shared" si="9"/>
        <v>36.026239999999994</v>
      </c>
      <c r="K19" s="240">
        <f t="shared" si="9"/>
        <v>37.071199999999997</v>
      </c>
      <c r="L19" s="382">
        <f t="shared" si="9"/>
        <v>38.265439999999998</v>
      </c>
      <c r="M19" s="240">
        <f t="shared" si="9"/>
        <v>32.592799999999997</v>
      </c>
      <c r="N19" s="240">
        <f t="shared" si="9"/>
        <v>32.891359999999999</v>
      </c>
      <c r="O19" s="240">
        <f t="shared" si="9"/>
        <v>31.846399999999999</v>
      </c>
      <c r="P19" s="240">
        <f t="shared" si="9"/>
        <v>31.995679999999997</v>
      </c>
    </row>
    <row r="20" spans="2:34" x14ac:dyDescent="0.45">
      <c r="B20" s="236"/>
      <c r="C20" s="245" t="s">
        <v>1251</v>
      </c>
      <c r="D20" s="236" t="s">
        <v>1254</v>
      </c>
      <c r="E20" s="240">
        <f>$G$7+$G$7*E$15</f>
        <v>32.413142857142859</v>
      </c>
      <c r="F20" s="240">
        <f t="shared" ref="F20" si="10">$G$7+$G$7*F$15</f>
        <v>32.710057142857139</v>
      </c>
      <c r="G20" s="240">
        <f t="shared" ref="G20:P20" si="11">$G$7+$G$7*G$15</f>
        <v>33.897714285714287</v>
      </c>
      <c r="H20" s="240">
        <f t="shared" si="11"/>
        <v>34.491542857142854</v>
      </c>
      <c r="I20" s="240">
        <f t="shared" si="11"/>
        <v>35.204137142857142</v>
      </c>
      <c r="J20" s="240">
        <f t="shared" si="11"/>
        <v>35.827657142857142</v>
      </c>
      <c r="K20" s="240">
        <f t="shared" si="11"/>
        <v>36.866857142857143</v>
      </c>
      <c r="L20" s="382">
        <f t="shared" si="11"/>
        <v>38.054514285714284</v>
      </c>
      <c r="M20" s="240">
        <f t="shared" si="11"/>
        <v>32.413142857142859</v>
      </c>
      <c r="N20" s="240">
        <f t="shared" si="11"/>
        <v>32.710057142857139</v>
      </c>
      <c r="O20" s="240">
        <f t="shared" si="11"/>
        <v>31.670857142857141</v>
      </c>
      <c r="P20" s="240">
        <f t="shared" si="11"/>
        <v>31.819314285714285</v>
      </c>
    </row>
    <row r="22" spans="2:34" x14ac:dyDescent="0.45">
      <c r="B22" s="236" t="s">
        <v>1290</v>
      </c>
      <c r="C22" s="255">
        <v>12</v>
      </c>
      <c r="D22" s="236" t="s">
        <v>18</v>
      </c>
    </row>
    <row r="23" spans="2:34" x14ac:dyDescent="0.45">
      <c r="B23" s="236" t="s">
        <v>1314</v>
      </c>
      <c r="C23" s="255">
        <v>16</v>
      </c>
      <c r="D23" s="236" t="s">
        <v>5</v>
      </c>
    </row>
    <row r="24" spans="2:34" x14ac:dyDescent="0.45">
      <c r="B24" s="236" t="s">
        <v>1263</v>
      </c>
      <c r="C24" s="255">
        <v>10</v>
      </c>
      <c r="D24" s="236" t="s">
        <v>1</v>
      </c>
    </row>
    <row r="25" spans="2:34" x14ac:dyDescent="0.45">
      <c r="B25" s="236" t="s">
        <v>1318</v>
      </c>
      <c r="C25" s="236">
        <f>C24*3</f>
        <v>30</v>
      </c>
      <c r="D25" s="236" t="s">
        <v>1</v>
      </c>
    </row>
    <row r="26" spans="2:34" x14ac:dyDescent="0.45">
      <c r="B26" s="236" t="s">
        <v>1319</v>
      </c>
      <c r="C26" s="236">
        <f>C25*C23</f>
        <v>480</v>
      </c>
      <c r="D26" s="236" t="s">
        <v>1</v>
      </c>
    </row>
    <row r="27" spans="2:34" x14ac:dyDescent="0.45">
      <c r="B27" s="236"/>
      <c r="C27" s="236"/>
      <c r="D27" s="236"/>
      <c r="E27" s="383">
        <v>2</v>
      </c>
      <c r="F27" s="384">
        <v>2</v>
      </c>
      <c r="G27" s="384">
        <v>3</v>
      </c>
      <c r="H27" s="384">
        <v>4</v>
      </c>
      <c r="I27" s="384">
        <v>5</v>
      </c>
      <c r="J27" s="384">
        <v>6</v>
      </c>
      <c r="K27" s="384">
        <v>7</v>
      </c>
      <c r="L27" s="384">
        <v>8</v>
      </c>
      <c r="M27" s="384">
        <v>9</v>
      </c>
      <c r="N27" s="384">
        <v>10</v>
      </c>
      <c r="O27" s="384">
        <v>11</v>
      </c>
      <c r="P27" s="384">
        <v>12</v>
      </c>
      <c r="Q27" s="384">
        <v>13</v>
      </c>
      <c r="R27" s="384">
        <v>14</v>
      </c>
      <c r="S27" s="384">
        <v>15</v>
      </c>
      <c r="T27" s="384">
        <v>16</v>
      </c>
      <c r="U27" s="384">
        <v>17</v>
      </c>
      <c r="V27" s="384">
        <v>18</v>
      </c>
      <c r="W27" s="384">
        <v>19</v>
      </c>
      <c r="X27" s="384">
        <v>20</v>
      </c>
      <c r="Y27" s="384">
        <v>21</v>
      </c>
      <c r="Z27" s="384">
        <v>22</v>
      </c>
      <c r="AA27" s="384">
        <v>23</v>
      </c>
      <c r="AC27" s="384">
        <v>24</v>
      </c>
      <c r="AD27" s="384">
        <v>25</v>
      </c>
      <c r="AE27" s="384">
        <v>26</v>
      </c>
      <c r="AF27" s="384">
        <v>27</v>
      </c>
      <c r="AG27" s="384"/>
      <c r="AH27" s="384"/>
    </row>
    <row r="28" spans="2:34" x14ac:dyDescent="0.45">
      <c r="B28" s="236" t="s">
        <v>1156</v>
      </c>
      <c r="C28" s="236"/>
      <c r="D28" s="236" t="s">
        <v>4</v>
      </c>
      <c r="E28" s="311">
        <v>100</v>
      </c>
      <c r="F28" s="311">
        <f>$E$28+$E$27*(F27-1)</f>
        <v>102</v>
      </c>
      <c r="G28" s="311">
        <f t="shared" ref="G28:AA28" si="12">$E$28+$E$27*(G27-1)</f>
        <v>104</v>
      </c>
      <c r="H28" s="311">
        <f t="shared" si="12"/>
        <v>106</v>
      </c>
      <c r="I28" s="311">
        <f t="shared" si="12"/>
        <v>108</v>
      </c>
      <c r="J28" s="311">
        <f t="shared" si="12"/>
        <v>110</v>
      </c>
      <c r="K28" s="311">
        <f t="shared" si="12"/>
        <v>112</v>
      </c>
      <c r="L28" s="311">
        <f t="shared" si="12"/>
        <v>114</v>
      </c>
      <c r="M28" s="311">
        <f t="shared" si="12"/>
        <v>116</v>
      </c>
      <c r="N28" s="311">
        <f t="shared" si="12"/>
        <v>118</v>
      </c>
      <c r="O28" s="311">
        <f t="shared" si="12"/>
        <v>120</v>
      </c>
      <c r="P28" s="311">
        <f t="shared" si="12"/>
        <v>122</v>
      </c>
      <c r="Q28" s="311">
        <f t="shared" si="12"/>
        <v>124</v>
      </c>
      <c r="R28" s="311">
        <f t="shared" si="12"/>
        <v>126</v>
      </c>
      <c r="S28" s="311">
        <f t="shared" si="12"/>
        <v>128</v>
      </c>
      <c r="T28" s="311">
        <f t="shared" si="12"/>
        <v>130</v>
      </c>
      <c r="U28" s="311">
        <f t="shared" si="12"/>
        <v>132</v>
      </c>
      <c r="V28" s="311">
        <f t="shared" si="12"/>
        <v>134</v>
      </c>
      <c r="W28" s="311">
        <f t="shared" si="12"/>
        <v>136</v>
      </c>
      <c r="X28" s="311">
        <f t="shared" si="12"/>
        <v>138</v>
      </c>
      <c r="Y28" s="311">
        <f t="shared" si="12"/>
        <v>140</v>
      </c>
      <c r="Z28" s="311">
        <f t="shared" si="12"/>
        <v>142</v>
      </c>
      <c r="AA28" s="311">
        <f t="shared" si="12"/>
        <v>144</v>
      </c>
      <c r="AC28" s="357">
        <v>50</v>
      </c>
      <c r="AD28" s="357">
        <v>60</v>
      </c>
      <c r="AE28" s="357">
        <f>O13</f>
        <v>800</v>
      </c>
      <c r="AF28" s="357">
        <f>P13</f>
        <v>960</v>
      </c>
      <c r="AG28" s="236" t="s">
        <v>1342</v>
      </c>
      <c r="AH28" s="236" t="s">
        <v>1343</v>
      </c>
    </row>
    <row r="29" spans="2:34" x14ac:dyDescent="0.45">
      <c r="B29" s="236" t="s">
        <v>1268</v>
      </c>
      <c r="C29" s="236"/>
      <c r="D29" s="236" t="s">
        <v>1</v>
      </c>
      <c r="E29" s="253">
        <f>1/E28*1000000</f>
        <v>10000</v>
      </c>
      <c r="F29" s="253">
        <f t="shared" ref="F29:J29" si="13">1/F28*1000000</f>
        <v>9803.9215686274511</v>
      </c>
      <c r="G29" s="253">
        <f t="shared" si="13"/>
        <v>9615.3846153846152</v>
      </c>
      <c r="H29" s="253">
        <f t="shared" si="13"/>
        <v>9433.9622641509432</v>
      </c>
      <c r="I29" s="253">
        <f t="shared" si="13"/>
        <v>9259.2592592592591</v>
      </c>
      <c r="J29" s="253">
        <f t="shared" si="13"/>
        <v>9090.9090909090901</v>
      </c>
      <c r="K29" s="253">
        <f>1/K28*1000000</f>
        <v>8928.5714285714275</v>
      </c>
      <c r="L29" s="253">
        <f t="shared" ref="L29:AF29" si="14">1/L28*1000000</f>
        <v>8771.9298245614027</v>
      </c>
      <c r="M29" s="253">
        <f t="shared" si="14"/>
        <v>8620.689655172413</v>
      </c>
      <c r="N29" s="253">
        <f t="shared" ref="N29:O29" si="15">1/N28*1000000</f>
        <v>8474.5762711864409</v>
      </c>
      <c r="O29" s="253">
        <f t="shared" si="15"/>
        <v>8333.3333333333339</v>
      </c>
      <c r="P29" s="253">
        <f t="shared" ref="P29:Q29" si="16">1/P28*1000000</f>
        <v>8196.7213114754104</v>
      </c>
      <c r="Q29" s="253">
        <f t="shared" si="16"/>
        <v>8064.5161290322576</v>
      </c>
      <c r="R29" s="253">
        <f>1/R28*1000000</f>
        <v>7936.5079365079364</v>
      </c>
      <c r="S29" s="253">
        <f t="shared" ref="S29:T29" si="17">1/S28*1000000</f>
        <v>7812.5</v>
      </c>
      <c r="T29" s="253">
        <f t="shared" si="17"/>
        <v>7692.3076923076924</v>
      </c>
      <c r="U29" s="253">
        <f t="shared" ref="U29:V29" si="18">1/U28*1000000</f>
        <v>7575.757575757576</v>
      </c>
      <c r="V29" s="253">
        <f t="shared" si="18"/>
        <v>7462.686567164179</v>
      </c>
      <c r="W29" s="253">
        <f t="shared" ref="W29:X29" si="19">1/W28*1000000</f>
        <v>7352.9411764705883</v>
      </c>
      <c r="X29" s="253">
        <f t="shared" si="19"/>
        <v>7246.376811594203</v>
      </c>
      <c r="Y29" s="253">
        <f t="shared" ref="Y29:AA29" si="20">1/Y28*1000000</f>
        <v>7142.8571428571422</v>
      </c>
      <c r="Z29" s="253">
        <f t="shared" si="20"/>
        <v>7042.2535211267605</v>
      </c>
      <c r="AA29" s="253">
        <f t="shared" si="20"/>
        <v>6944.4444444444443</v>
      </c>
      <c r="AB29" s="253"/>
      <c r="AC29" s="253">
        <f>1/AC28*1000000</f>
        <v>20000</v>
      </c>
      <c r="AD29" s="253">
        <f t="shared" ref="AD29" si="21">1/AD28*1000000</f>
        <v>16666.666666666668</v>
      </c>
      <c r="AE29" s="253">
        <f t="shared" si="14"/>
        <v>1250</v>
      </c>
      <c r="AF29" s="253">
        <f t="shared" si="14"/>
        <v>1041.6666666666667</v>
      </c>
    </row>
    <row r="30" spans="2:34" x14ac:dyDescent="0.45">
      <c r="B30" s="236" t="s">
        <v>1269</v>
      </c>
      <c r="C30" s="254" t="s">
        <v>1274</v>
      </c>
      <c r="D30" s="236" t="s">
        <v>1</v>
      </c>
      <c r="E30" s="253">
        <f>E29-$C$26</f>
        <v>9520</v>
      </c>
      <c r="F30" s="253">
        <f t="shared" ref="F30:AD30" si="22">F29-$C$26</f>
        <v>9323.9215686274511</v>
      </c>
      <c r="G30" s="253">
        <f t="shared" si="22"/>
        <v>9135.3846153846152</v>
      </c>
      <c r="H30" s="253">
        <f t="shared" si="22"/>
        <v>8953.9622641509432</v>
      </c>
      <c r="I30" s="253">
        <f t="shared" si="22"/>
        <v>8779.2592592592591</v>
      </c>
      <c r="J30" s="253">
        <f t="shared" si="22"/>
        <v>8610.9090909090901</v>
      </c>
      <c r="K30" s="253">
        <f t="shared" si="22"/>
        <v>8448.5714285714275</v>
      </c>
      <c r="L30" s="253">
        <f t="shared" si="22"/>
        <v>8291.9298245614027</v>
      </c>
      <c r="M30" s="253">
        <f t="shared" si="22"/>
        <v>8140.689655172413</v>
      </c>
      <c r="N30" s="253">
        <f t="shared" si="22"/>
        <v>7994.5762711864409</v>
      </c>
      <c r="O30" s="253">
        <f t="shared" si="22"/>
        <v>7853.3333333333339</v>
      </c>
      <c r="P30" s="253">
        <f t="shared" si="22"/>
        <v>7716.7213114754104</v>
      </c>
      <c r="Q30" s="253">
        <f t="shared" si="22"/>
        <v>7584.5161290322576</v>
      </c>
      <c r="R30" s="253">
        <f t="shared" si="22"/>
        <v>7456.5079365079364</v>
      </c>
      <c r="S30" s="253">
        <f t="shared" si="22"/>
        <v>7332.5</v>
      </c>
      <c r="T30" s="253">
        <f t="shared" si="22"/>
        <v>7212.3076923076924</v>
      </c>
      <c r="U30" s="253">
        <f t="shared" si="22"/>
        <v>7095.757575757576</v>
      </c>
      <c r="V30" s="253">
        <f t="shared" si="22"/>
        <v>6982.686567164179</v>
      </c>
      <c r="W30" s="253">
        <f t="shared" si="22"/>
        <v>6872.9411764705883</v>
      </c>
      <c r="X30" s="253">
        <f t="shared" si="22"/>
        <v>6766.376811594203</v>
      </c>
      <c r="Y30" s="253">
        <f t="shared" si="22"/>
        <v>6662.8571428571422</v>
      </c>
      <c r="Z30" s="253">
        <f t="shared" si="22"/>
        <v>6562.2535211267605</v>
      </c>
      <c r="AA30" s="253">
        <f t="shared" si="22"/>
        <v>6464.4444444444443</v>
      </c>
      <c r="AB30" s="253"/>
      <c r="AC30" s="253">
        <f t="shared" si="22"/>
        <v>19520</v>
      </c>
      <c r="AD30" s="253">
        <f t="shared" si="22"/>
        <v>16186.666666666668</v>
      </c>
      <c r="AE30" s="253">
        <f>AE29-$C$25</f>
        <v>1220</v>
      </c>
      <c r="AF30" s="253">
        <f>AF29-$C$25</f>
        <v>1011.6666666666667</v>
      </c>
    </row>
    <row r="31" spans="2:34" x14ac:dyDescent="0.45">
      <c r="B31" s="236"/>
      <c r="C31" s="236"/>
      <c r="D31" s="236"/>
    </row>
    <row r="32" spans="2:34" x14ac:dyDescent="0.45">
      <c r="B32" s="236" t="s">
        <v>1256</v>
      </c>
      <c r="C32" s="236" t="s">
        <v>1255</v>
      </c>
      <c r="D32" s="236" t="s">
        <v>1</v>
      </c>
      <c r="E32" s="240">
        <f>E30/(2^$C$22)</f>
        <v>2.32421875</v>
      </c>
      <c r="F32" s="240">
        <f>F30/(2^$C$22)</f>
        <v>2.2763480392156863</v>
      </c>
      <c r="G32" s="240">
        <f t="shared" ref="G32:N32" si="23">G30/(2^$C$22)</f>
        <v>2.2303185096153846</v>
      </c>
      <c r="H32" s="240">
        <f t="shared" si="23"/>
        <v>2.1860259433962264</v>
      </c>
      <c r="I32" s="240">
        <f t="shared" si="23"/>
        <v>2.1433738425925926</v>
      </c>
      <c r="J32" s="240">
        <f t="shared" si="23"/>
        <v>2.1022727272727271</v>
      </c>
      <c r="K32" s="240">
        <f t="shared" si="23"/>
        <v>2.0626395089285712</v>
      </c>
      <c r="L32" s="240">
        <f t="shared" si="23"/>
        <v>2.0243969298245612</v>
      </c>
      <c r="M32" s="240">
        <f t="shared" si="23"/>
        <v>1.9874730603448274</v>
      </c>
      <c r="N32" s="240">
        <f t="shared" si="23"/>
        <v>1.9518008474576272</v>
      </c>
      <c r="O32" s="240">
        <f t="shared" ref="O32:AA32" si="24">O30/(2^$C$22)</f>
        <v>1.9173177083333335</v>
      </c>
      <c r="P32" s="240">
        <f t="shared" si="24"/>
        <v>1.8839651639344264</v>
      </c>
      <c r="Q32" s="240">
        <f t="shared" si="24"/>
        <v>1.851688508064516</v>
      </c>
      <c r="R32" s="240">
        <f t="shared" si="24"/>
        <v>1.8204365079365079</v>
      </c>
      <c r="S32" s="240">
        <f t="shared" si="24"/>
        <v>1.7901611328125</v>
      </c>
      <c r="T32" s="240">
        <f t="shared" si="24"/>
        <v>1.7608173076923077</v>
      </c>
      <c r="U32" s="240">
        <f t="shared" si="24"/>
        <v>1.7323626893939394</v>
      </c>
      <c r="V32" s="240">
        <f t="shared" si="24"/>
        <v>1.7047574626865671</v>
      </c>
      <c r="W32" s="240">
        <f t="shared" si="24"/>
        <v>1.6779641544117647</v>
      </c>
      <c r="X32" s="240">
        <f t="shared" si="24"/>
        <v>1.651947463768116</v>
      </c>
      <c r="Y32" s="240">
        <f t="shared" si="24"/>
        <v>1.626674107142857</v>
      </c>
      <c r="Z32" s="240">
        <f t="shared" si="24"/>
        <v>1.602112676056338</v>
      </c>
      <c r="AA32" s="240">
        <f t="shared" si="24"/>
        <v>1.5782335069444444</v>
      </c>
      <c r="AB32" s="240"/>
      <c r="AC32" s="240">
        <f>AC30/(2^$C$22)</f>
        <v>4.765625</v>
      </c>
      <c r="AD32" s="240">
        <f>AD30/(2^$C$22)</f>
        <v>3.951822916666667</v>
      </c>
      <c r="AE32" s="240">
        <f>AE30/(2^$C$22/8)</f>
        <v>2.3828125</v>
      </c>
      <c r="AF32" s="240">
        <f>AF30/(2^$C$22/8)</f>
        <v>1.9759114583333335</v>
      </c>
    </row>
    <row r="33" spans="2:34" x14ac:dyDescent="0.45">
      <c r="B33" s="307" t="s">
        <v>1295</v>
      </c>
      <c r="C33" s="398">
        <v>100</v>
      </c>
      <c r="D33" s="236" t="s">
        <v>5</v>
      </c>
      <c r="E33" s="350"/>
      <c r="AE33" s="350"/>
      <c r="AF33" s="350"/>
    </row>
    <row r="34" spans="2:34" x14ac:dyDescent="0.45">
      <c r="B34" s="307" t="s">
        <v>1159</v>
      </c>
      <c r="C34" s="399">
        <f>1/(O32/C33)</f>
        <v>52.15619694397283</v>
      </c>
      <c r="D34" s="236" t="s">
        <v>0</v>
      </c>
      <c r="E34" s="350"/>
      <c r="AE34" s="350"/>
      <c r="AF34" s="350"/>
    </row>
    <row r="35" spans="2:34" x14ac:dyDescent="0.45">
      <c r="B35" s="307"/>
      <c r="C35" s="236">
        <f>1/C34</f>
        <v>1.9173177083333336E-2</v>
      </c>
      <c r="D35" s="236" t="s">
        <v>1</v>
      </c>
      <c r="AE35" s="350"/>
      <c r="AF35" s="350"/>
    </row>
    <row r="36" spans="2:34" x14ac:dyDescent="0.45">
      <c r="B36" s="307"/>
      <c r="C36" s="236"/>
      <c r="D36" s="236"/>
      <c r="AE36" s="350"/>
      <c r="AF36" s="350"/>
    </row>
    <row r="37" spans="2:34" x14ac:dyDescent="0.45">
      <c r="B37" s="236" t="s">
        <v>1294</v>
      </c>
      <c r="C37" s="236" t="s">
        <v>1297</v>
      </c>
      <c r="D37" s="236" t="s">
        <v>5</v>
      </c>
      <c r="E37" s="253">
        <f>E32/$C$35</f>
        <v>121.22241086587434</v>
      </c>
      <c r="F37" s="253">
        <f t="shared" ref="F37:L37" si="25">F32/$C$35</f>
        <v>118.72565664635971</v>
      </c>
      <c r="G37" s="253">
        <f t="shared" si="25"/>
        <v>116.32493143528795</v>
      </c>
      <c r="H37" s="253">
        <f t="shared" si="25"/>
        <v>114.01479962840757</v>
      </c>
      <c r="I37" s="253">
        <f t="shared" si="25"/>
        <v>111.79022825881907</v>
      </c>
      <c r="J37" s="253">
        <f t="shared" si="25"/>
        <v>109.64655039357923</v>
      </c>
      <c r="K37" s="253">
        <f t="shared" si="25"/>
        <v>107.57943245209796</v>
      </c>
      <c r="L37" s="253">
        <f t="shared" si="25"/>
        <v>105.58484496470375</v>
      </c>
      <c r="M37" s="253">
        <f t="shared" ref="M37:AC37" si="26">M32/$C$35</f>
        <v>103.65903635618521</v>
      </c>
      <c r="N37" s="253">
        <f t="shared" si="26"/>
        <v>101.79850939541306</v>
      </c>
      <c r="O37" s="253">
        <f t="shared" si="26"/>
        <v>99.999999999999986</v>
      </c>
      <c r="P37" s="253">
        <f t="shared" si="26"/>
        <v>98.260458125747988</v>
      </c>
      <c r="Q37" s="253">
        <f t="shared" si="26"/>
        <v>96.577030505504112</v>
      </c>
      <c r="R37" s="253">
        <f t="shared" si="26"/>
        <v>94.947045031934664</v>
      </c>
      <c r="S37" s="253">
        <f t="shared" si="26"/>
        <v>93.367996604414245</v>
      </c>
      <c r="T37" s="253">
        <f t="shared" si="26"/>
        <v>91.837534282356003</v>
      </c>
      <c r="U37" s="253">
        <f t="shared" si="26"/>
        <v>90.353449606420739</v>
      </c>
      <c r="V37" s="253">
        <f t="shared" si="26"/>
        <v>88.913665965588009</v>
      </c>
      <c r="W37" s="253">
        <f t="shared" si="26"/>
        <v>87.516228902426832</v>
      </c>
      <c r="X37" s="253">
        <f t="shared" si="26"/>
        <v>86.159297261386271</v>
      </c>
      <c r="Y37" s="253">
        <f t="shared" si="26"/>
        <v>84.841135095804006</v>
      </c>
      <c r="Z37" s="253">
        <f t="shared" si="26"/>
        <v>83.56010425882971</v>
      </c>
      <c r="AA37" s="253">
        <f t="shared" si="26"/>
        <v>82.314657611771352</v>
      </c>
      <c r="AB37" s="253"/>
      <c r="AC37" s="253">
        <f t="shared" si="26"/>
        <v>248.55687606112051</v>
      </c>
      <c r="AD37" s="253">
        <f>AD32/$C$35</f>
        <v>206.1120543293718</v>
      </c>
      <c r="AE37" s="253">
        <f>AE32/$C$35</f>
        <v>124.27843803056025</v>
      </c>
      <c r="AF37" s="253">
        <f>AF32/$C$35</f>
        <v>103.0560271646859</v>
      </c>
    </row>
    <row r="38" spans="2:34" x14ac:dyDescent="0.45">
      <c r="B38" s="236"/>
      <c r="C38" s="236" t="s">
        <v>1269</v>
      </c>
      <c r="D38" s="236" t="s">
        <v>5</v>
      </c>
      <c r="E38" s="234">
        <f>MROUND( (E37+0.499999*0),1)</f>
        <v>121</v>
      </c>
      <c r="F38" s="234">
        <f t="shared" ref="F38:AD38" si="27">MROUND( (F37+0.499999*0),1)</f>
        <v>119</v>
      </c>
      <c r="G38" s="234">
        <f t="shared" si="27"/>
        <v>116</v>
      </c>
      <c r="H38" s="234">
        <f t="shared" si="27"/>
        <v>114</v>
      </c>
      <c r="I38" s="234">
        <f t="shared" si="27"/>
        <v>112</v>
      </c>
      <c r="J38" s="234">
        <f t="shared" si="27"/>
        <v>110</v>
      </c>
      <c r="K38" s="234">
        <f t="shared" si="27"/>
        <v>108</v>
      </c>
      <c r="L38" s="234">
        <f t="shared" si="27"/>
        <v>106</v>
      </c>
      <c r="M38" s="234">
        <f t="shared" si="27"/>
        <v>104</v>
      </c>
      <c r="N38" s="234">
        <f t="shared" si="27"/>
        <v>102</v>
      </c>
      <c r="O38" s="234">
        <f t="shared" si="27"/>
        <v>100</v>
      </c>
      <c r="P38" s="234">
        <f t="shared" si="27"/>
        <v>98</v>
      </c>
      <c r="Q38" s="234">
        <f t="shared" si="27"/>
        <v>97</v>
      </c>
      <c r="R38" s="234">
        <f t="shared" si="27"/>
        <v>95</v>
      </c>
      <c r="S38" s="234">
        <f t="shared" si="27"/>
        <v>93</v>
      </c>
      <c r="T38" s="234">
        <f t="shared" si="27"/>
        <v>92</v>
      </c>
      <c r="U38" s="234">
        <f t="shared" si="27"/>
        <v>90</v>
      </c>
      <c r="V38" s="234">
        <f t="shared" si="27"/>
        <v>89</v>
      </c>
      <c r="W38" s="234">
        <f t="shared" si="27"/>
        <v>88</v>
      </c>
      <c r="X38" s="234">
        <f t="shared" si="27"/>
        <v>86</v>
      </c>
      <c r="Y38" s="234">
        <f t="shared" si="27"/>
        <v>85</v>
      </c>
      <c r="Z38" s="234">
        <f t="shared" si="27"/>
        <v>84</v>
      </c>
      <c r="AA38" s="234">
        <f t="shared" si="27"/>
        <v>82</v>
      </c>
      <c r="AC38" s="234">
        <f t="shared" si="27"/>
        <v>249</v>
      </c>
      <c r="AD38" s="234">
        <f t="shared" si="27"/>
        <v>206</v>
      </c>
      <c r="AE38" s="234">
        <f t="shared" ref="AE38" si="28">MROUND( (AE37+0.499999*0),1)</f>
        <v>124</v>
      </c>
      <c r="AF38" s="234">
        <f t="shared" ref="AF38" si="29">MROUND( (AF37+0.499999*0),1)</f>
        <v>103</v>
      </c>
    </row>
    <row r="39" spans="2:34" x14ac:dyDescent="0.45">
      <c r="B39" s="236"/>
      <c r="C39" s="236" t="s">
        <v>1320</v>
      </c>
      <c r="D39" s="236" t="s">
        <v>903</v>
      </c>
      <c r="E39" s="350">
        <f t="shared" ref="E39:AA39" si="30">1/E38</f>
        <v>8.2644628099173556E-3</v>
      </c>
      <c r="F39" s="350">
        <f t="shared" si="30"/>
        <v>8.4033613445378148E-3</v>
      </c>
      <c r="G39" s="350">
        <f t="shared" si="30"/>
        <v>8.6206896551724137E-3</v>
      </c>
      <c r="H39" s="350">
        <f t="shared" si="30"/>
        <v>8.771929824561403E-3</v>
      </c>
      <c r="I39" s="350">
        <f t="shared" si="30"/>
        <v>8.9285714285714281E-3</v>
      </c>
      <c r="J39" s="350">
        <f t="shared" si="30"/>
        <v>9.0909090909090905E-3</v>
      </c>
      <c r="K39" s="350">
        <f t="shared" si="30"/>
        <v>9.2592592592592587E-3</v>
      </c>
      <c r="L39" s="350">
        <f t="shared" si="30"/>
        <v>9.433962264150943E-3</v>
      </c>
      <c r="M39" s="350">
        <f t="shared" si="30"/>
        <v>9.6153846153846159E-3</v>
      </c>
      <c r="N39" s="350">
        <f t="shared" si="30"/>
        <v>9.8039215686274508E-3</v>
      </c>
      <c r="O39" s="350">
        <f t="shared" si="30"/>
        <v>0.01</v>
      </c>
      <c r="P39" s="350">
        <f t="shared" si="30"/>
        <v>1.020408163265306E-2</v>
      </c>
      <c r="Q39" s="350">
        <f t="shared" si="30"/>
        <v>1.0309278350515464E-2</v>
      </c>
      <c r="R39" s="350">
        <f t="shared" si="30"/>
        <v>1.0526315789473684E-2</v>
      </c>
      <c r="S39" s="350">
        <f t="shared" si="30"/>
        <v>1.0752688172043012E-2</v>
      </c>
      <c r="T39" s="350">
        <f t="shared" si="30"/>
        <v>1.0869565217391304E-2</v>
      </c>
      <c r="U39" s="350">
        <f t="shared" si="30"/>
        <v>1.1111111111111112E-2</v>
      </c>
      <c r="V39" s="350">
        <f t="shared" si="30"/>
        <v>1.1235955056179775E-2</v>
      </c>
      <c r="W39" s="350">
        <f t="shared" si="30"/>
        <v>1.1363636363636364E-2</v>
      </c>
      <c r="X39" s="350">
        <f t="shared" si="30"/>
        <v>1.1627906976744186E-2</v>
      </c>
      <c r="Y39" s="350">
        <f t="shared" si="30"/>
        <v>1.1764705882352941E-2</v>
      </c>
      <c r="Z39" s="350">
        <f t="shared" si="30"/>
        <v>1.1904761904761904E-2</v>
      </c>
      <c r="AA39" s="350">
        <f t="shared" si="30"/>
        <v>1.2195121951219513E-2</v>
      </c>
      <c r="AB39" s="350"/>
      <c r="AC39" s="350">
        <f>1/AC38</f>
        <v>4.0160642570281121E-3</v>
      </c>
      <c r="AD39" s="350">
        <f>1/AD38</f>
        <v>4.8543689320388345E-3</v>
      </c>
      <c r="AE39" s="350">
        <f>1/AE38</f>
        <v>8.0645161290322578E-3</v>
      </c>
      <c r="AF39" s="350">
        <f>1/AF38</f>
        <v>9.7087378640776691E-3</v>
      </c>
      <c r="AG39" s="356">
        <f>MIN(E39:AF39)</f>
        <v>4.0160642570281121E-3</v>
      </c>
      <c r="AH39" s="356">
        <f>MAX(E39:AF39)</f>
        <v>1.2195121951219513E-2</v>
      </c>
    </row>
    <row r="40" spans="2:34" x14ac:dyDescent="0.45">
      <c r="B40" s="236" t="s">
        <v>2</v>
      </c>
      <c r="C40" s="236"/>
      <c r="D40" s="236"/>
    </row>
    <row r="41" spans="2:34" x14ac:dyDescent="0.45">
      <c r="B41" s="399">
        <f>SUM(E41:AF41)/27</f>
        <v>52.191710574103993</v>
      </c>
      <c r="C41" s="236" t="s">
        <v>1298</v>
      </c>
      <c r="D41" s="236" t="s">
        <v>0</v>
      </c>
      <c r="E41" s="242">
        <f t="shared" ref="E41:U41" si="31">1/(E32/E38)</f>
        <v>52.060504201680672</v>
      </c>
      <c r="F41" s="242">
        <f t="shared" si="31"/>
        <v>52.276716016150736</v>
      </c>
      <c r="G41" s="242">
        <f t="shared" si="31"/>
        <v>52.010508588750419</v>
      </c>
      <c r="H41" s="242">
        <f t="shared" si="31"/>
        <v>52.149426837491575</v>
      </c>
      <c r="I41" s="242">
        <f t="shared" si="31"/>
        <v>52.254066824164703</v>
      </c>
      <c r="J41" s="242">
        <f t="shared" si="31"/>
        <v>52.32432432432433</v>
      </c>
      <c r="K41" s="242">
        <f t="shared" si="31"/>
        <v>52.360094690564772</v>
      </c>
      <c r="L41" s="242">
        <f t="shared" si="31"/>
        <v>52.361272850372387</v>
      </c>
      <c r="M41" s="242">
        <f t="shared" si="31"/>
        <v>52.327753303964762</v>
      </c>
      <c r="N41" s="242">
        <f t="shared" si="31"/>
        <v>52.25943012211669</v>
      </c>
      <c r="O41" s="242">
        <f t="shared" si="31"/>
        <v>52.15619694397283</v>
      </c>
      <c r="P41" s="242">
        <f t="shared" si="31"/>
        <v>52.017946974847035</v>
      </c>
      <c r="Q41" s="242">
        <f t="shared" si="31"/>
        <v>52.384620619258257</v>
      </c>
      <c r="R41" s="242">
        <f t="shared" si="31"/>
        <v>52.185286103542239</v>
      </c>
      <c r="S41" s="242">
        <f t="shared" si="31"/>
        <v>51.950630753494714</v>
      </c>
      <c r="T41" s="242">
        <f t="shared" si="31"/>
        <v>52.248464163822533</v>
      </c>
      <c r="U41" s="242">
        <f t="shared" si="31"/>
        <v>51.952169456781689</v>
      </c>
      <c r="V41" s="242">
        <f t="shared" ref="V41" si="32">1/(V32/V38)</f>
        <v>52.206839945280436</v>
      </c>
      <c r="W41" s="242">
        <f t="shared" ref="W41" si="33">1/(W32/W38)</f>
        <v>52.444505306401915</v>
      </c>
      <c r="X41" s="242">
        <f t="shared" ref="X41" si="34">1/(X32/X38)</f>
        <v>52.059766963673752</v>
      </c>
      <c r="Y41" s="242">
        <f t="shared" ref="Y41" si="35">1/(Y32/Y38)</f>
        <v>52.253859348198979</v>
      </c>
      <c r="Z41" s="242">
        <f t="shared" ref="Z41" si="36">1/(Z32/Z38)</f>
        <v>52.430769230769229</v>
      </c>
      <c r="AA41" s="242">
        <f t="shared" ref="AA41" si="37">1/(AA32/AA38)</f>
        <v>51.956823650739089</v>
      </c>
      <c r="AB41" s="242"/>
      <c r="AC41" s="242">
        <f t="shared" ref="AC41:AD41" si="38">1/(AC32/AC38)</f>
        <v>52.249180327868856</v>
      </c>
      <c r="AD41" s="242">
        <f t="shared" si="38"/>
        <v>52.127841845140026</v>
      </c>
      <c r="AE41" s="242">
        <f>1/(AE32/AE38)</f>
        <v>52.039344262295089</v>
      </c>
      <c r="AF41" s="242">
        <f t="shared" ref="AF41" si="39">1/(AF32/AF38)</f>
        <v>52.127841845140026</v>
      </c>
      <c r="AG41" s="385">
        <f>MIN(E41:AF41)</f>
        <v>51.950630753494714</v>
      </c>
      <c r="AH41" s="385">
        <f>MAX(E41:AF41)</f>
        <v>52.444505306401915</v>
      </c>
    </row>
    <row r="42" spans="2:34" x14ac:dyDescent="0.45">
      <c r="B42" s="236"/>
      <c r="C42" s="236" t="s">
        <v>902</v>
      </c>
      <c r="D42" s="236" t="s">
        <v>903</v>
      </c>
      <c r="E42" s="350">
        <f t="shared" ref="E42:AA42" si="40">(E41-$B$41)/$B$41</f>
        <v>-2.5139312542176383E-3</v>
      </c>
      <c r="F42" s="350">
        <f t="shared" si="40"/>
        <v>1.6287153862498656E-3</v>
      </c>
      <c r="G42" s="350">
        <f t="shared" si="40"/>
        <v>-3.4718537361655591E-3</v>
      </c>
      <c r="H42" s="350">
        <f t="shared" si="40"/>
        <v>-8.1016192317326396E-4</v>
      </c>
      <c r="I42" s="350">
        <f t="shared" si="40"/>
        <v>1.1947539058366997E-3</v>
      </c>
      <c r="J42" s="350">
        <f t="shared" si="40"/>
        <v>2.5408967968590722E-3</v>
      </c>
      <c r="K42" s="350">
        <f t="shared" si="40"/>
        <v>3.2262616919156075E-3</v>
      </c>
      <c r="L42" s="350">
        <f t="shared" si="40"/>
        <v>3.2488353879040286E-3</v>
      </c>
      <c r="M42" s="350">
        <f t="shared" si="40"/>
        <v>2.6065964951964876E-3</v>
      </c>
      <c r="N42" s="350">
        <f t="shared" si="40"/>
        <v>1.297515395985073E-3</v>
      </c>
      <c r="O42" s="350">
        <f t="shared" si="40"/>
        <v>-6.804457976279471E-4</v>
      </c>
      <c r="P42" s="350">
        <f t="shared" si="40"/>
        <v>-3.3293332857952805E-3</v>
      </c>
      <c r="Q42" s="350">
        <f t="shared" si="40"/>
        <v>3.6961816930748412E-3</v>
      </c>
      <c r="R42" s="350">
        <f t="shared" si="40"/>
        <v>-1.2309369612694066E-4</v>
      </c>
      <c r="S42" s="350">
        <f t="shared" si="40"/>
        <v>-4.6191208902222882E-3</v>
      </c>
      <c r="T42" s="350">
        <f t="shared" si="40"/>
        <v>1.087406200989681E-3</v>
      </c>
      <c r="U42" s="350">
        <f t="shared" si="40"/>
        <v>-4.5896391340190567E-3</v>
      </c>
      <c r="V42" s="350">
        <f t="shared" si="40"/>
        <v>2.8988073029262185E-4</v>
      </c>
      <c r="W42" s="350">
        <f t="shared" si="40"/>
        <v>4.8435801302008094E-3</v>
      </c>
      <c r="X42" s="350">
        <f t="shared" si="40"/>
        <v>-2.5280568308429373E-3</v>
      </c>
      <c r="Y42" s="350">
        <f t="shared" si="40"/>
        <v>1.1907786392006548E-3</v>
      </c>
      <c r="Z42" s="350">
        <f t="shared" si="40"/>
        <v>4.5803951247355727E-3</v>
      </c>
      <c r="AA42" s="350">
        <f t="shared" si="40"/>
        <v>-4.5004641691404551E-3</v>
      </c>
      <c r="AB42" s="350"/>
      <c r="AC42" s="350">
        <f>(AC41-$B$41)/$B$41</f>
        <v>1.101127997773999E-3</v>
      </c>
      <c r="AD42" s="350">
        <f>(AD41-$B$41)/$B$41</f>
        <v>-1.2237331994184048E-3</v>
      </c>
      <c r="AE42" s="350">
        <f>(AE41-$B$41)/$B$41</f>
        <v>-2.9193584600483362E-3</v>
      </c>
      <c r="AF42" s="350">
        <f>(AF41-$B$41)/$B$41</f>
        <v>-1.2237331994184048E-3</v>
      </c>
      <c r="AG42" s="356">
        <f>MIN(E42:AF42)</f>
        <v>-4.6191208902222882E-3</v>
      </c>
      <c r="AH42" s="356">
        <f>MAX(E42:AF42)</f>
        <v>4.8435801302008094E-3</v>
      </c>
    </row>
    <row r="43" spans="2:34" x14ac:dyDescent="0.45">
      <c r="B43" s="236"/>
      <c r="C43" s="236"/>
      <c r="D43" s="236"/>
      <c r="E43" s="350"/>
      <c r="F43" s="350">
        <f>F42-E42</f>
        <v>4.1426466404675035E-3</v>
      </c>
      <c r="G43" s="350">
        <f t="shared" ref="G43:AD43" si="41">G42-F42</f>
        <v>-5.1005691224154243E-3</v>
      </c>
      <c r="H43" s="350">
        <f t="shared" si="41"/>
        <v>2.6616918129922949E-3</v>
      </c>
      <c r="I43" s="350">
        <f t="shared" si="41"/>
        <v>2.0049158290099635E-3</v>
      </c>
      <c r="J43" s="350">
        <f t="shared" si="41"/>
        <v>1.3461428910223725E-3</v>
      </c>
      <c r="K43" s="350">
        <f t="shared" si="41"/>
        <v>6.8536489505653534E-4</v>
      </c>
      <c r="L43" s="350">
        <f t="shared" si="41"/>
        <v>2.25736959884211E-5</v>
      </c>
      <c r="M43" s="350">
        <f t="shared" si="41"/>
        <v>-6.4223889270754097E-4</v>
      </c>
      <c r="N43" s="350">
        <f t="shared" si="41"/>
        <v>-1.3090810992114146E-3</v>
      </c>
      <c r="O43" s="350">
        <f t="shared" si="41"/>
        <v>-1.97796119361302E-3</v>
      </c>
      <c r="P43" s="350">
        <f t="shared" si="41"/>
        <v>-2.6488874881673333E-3</v>
      </c>
      <c r="Q43" s="350">
        <f t="shared" si="41"/>
        <v>7.0255149788701222E-3</v>
      </c>
      <c r="R43" s="350">
        <f t="shared" si="41"/>
        <v>-3.8192753892017819E-3</v>
      </c>
      <c r="S43" s="350">
        <f t="shared" si="41"/>
        <v>-4.496027194095348E-3</v>
      </c>
      <c r="T43" s="350">
        <f t="shared" si="41"/>
        <v>5.7065270912119697E-3</v>
      </c>
      <c r="U43" s="350">
        <f t="shared" si="41"/>
        <v>-5.6770453350087381E-3</v>
      </c>
      <c r="V43" s="350">
        <f t="shared" si="41"/>
        <v>4.8795198643116783E-3</v>
      </c>
      <c r="W43" s="350">
        <f t="shared" si="41"/>
        <v>4.5536993999081878E-3</v>
      </c>
      <c r="X43" s="350">
        <f t="shared" si="41"/>
        <v>-7.3716369610437472E-3</v>
      </c>
      <c r="Y43" s="350">
        <f t="shared" si="41"/>
        <v>3.7188354700435919E-3</v>
      </c>
      <c r="Z43" s="350">
        <f t="shared" si="41"/>
        <v>3.3896164855349176E-3</v>
      </c>
      <c r="AA43" s="350">
        <f t="shared" si="41"/>
        <v>-9.0808592938760278E-3</v>
      </c>
      <c r="AB43" s="350"/>
      <c r="AC43" s="350">
        <f>AC42-AA42</f>
        <v>5.6015921669144543E-3</v>
      </c>
      <c r="AD43" s="350">
        <f t="shared" si="41"/>
        <v>-2.324861197192404E-3</v>
      </c>
      <c r="AE43" s="350">
        <f t="shared" ref="AE43" si="42">AE42-AD42</f>
        <v>-1.6956252606299313E-3</v>
      </c>
      <c r="AF43" s="350">
        <f t="shared" ref="AF43" si="43">AF42-AE42</f>
        <v>1.6956252606299313E-3</v>
      </c>
      <c r="AG43" s="356">
        <f>MIN(E43:AF43)</f>
        <v>-9.0808592938760278E-3</v>
      </c>
      <c r="AH43" s="356">
        <f>MAX(E43:AF43)</f>
        <v>7.0255149788701222E-3</v>
      </c>
    </row>
    <row r="44" spans="2:34" x14ac:dyDescent="0.45">
      <c r="B44" s="236"/>
      <c r="C44" s="236"/>
      <c r="D44" s="236"/>
    </row>
    <row r="45" spans="2:34" x14ac:dyDescent="0.45">
      <c r="B45" s="236" t="s">
        <v>1315</v>
      </c>
      <c r="C45" s="236" t="s">
        <v>1294</v>
      </c>
      <c r="D45" s="236"/>
    </row>
    <row r="46" spans="2:34" x14ac:dyDescent="0.45">
      <c r="B46" s="236" t="s">
        <v>1249</v>
      </c>
      <c r="C46" s="355">
        <f>1-C48-C50</f>
        <v>0.65</v>
      </c>
      <c r="D46" s="236" t="s">
        <v>5</v>
      </c>
      <c r="E46" s="234">
        <f>MROUND(E$38*$C46,1)</f>
        <v>79</v>
      </c>
      <c r="F46" s="234">
        <f t="shared" ref="F46:AF46" si="44">MROUND(F$38*$C46,1)</f>
        <v>77</v>
      </c>
      <c r="G46" s="234">
        <f t="shared" si="44"/>
        <v>75</v>
      </c>
      <c r="H46" s="234">
        <f t="shared" si="44"/>
        <v>74</v>
      </c>
      <c r="I46" s="234">
        <f t="shared" si="44"/>
        <v>73</v>
      </c>
      <c r="J46" s="234">
        <f t="shared" si="44"/>
        <v>72</v>
      </c>
      <c r="K46" s="234">
        <f t="shared" si="44"/>
        <v>70</v>
      </c>
      <c r="L46" s="234">
        <f t="shared" si="44"/>
        <v>69</v>
      </c>
      <c r="M46" s="234">
        <f t="shared" si="44"/>
        <v>68</v>
      </c>
      <c r="N46" s="234">
        <f t="shared" si="44"/>
        <v>66</v>
      </c>
      <c r="O46" s="234">
        <f t="shared" si="44"/>
        <v>65</v>
      </c>
      <c r="P46" s="234">
        <f t="shared" si="44"/>
        <v>64</v>
      </c>
      <c r="Q46" s="234">
        <f t="shared" si="44"/>
        <v>63</v>
      </c>
      <c r="R46" s="234">
        <f t="shared" si="44"/>
        <v>62</v>
      </c>
      <c r="S46" s="234">
        <f t="shared" si="44"/>
        <v>60</v>
      </c>
      <c r="T46" s="234">
        <f t="shared" si="44"/>
        <v>60</v>
      </c>
      <c r="U46" s="234">
        <f t="shared" si="44"/>
        <v>59</v>
      </c>
      <c r="V46" s="234">
        <f t="shared" si="44"/>
        <v>58</v>
      </c>
      <c r="W46" s="234">
        <f t="shared" si="44"/>
        <v>57</v>
      </c>
      <c r="X46" s="234">
        <f t="shared" si="44"/>
        <v>56</v>
      </c>
      <c r="Y46" s="234">
        <f t="shared" si="44"/>
        <v>55</v>
      </c>
      <c r="Z46" s="234">
        <f t="shared" si="44"/>
        <v>55</v>
      </c>
      <c r="AA46" s="234">
        <f t="shared" si="44"/>
        <v>53</v>
      </c>
      <c r="AC46" s="234">
        <f t="shared" si="44"/>
        <v>162</v>
      </c>
      <c r="AD46" s="234">
        <f t="shared" si="44"/>
        <v>134</v>
      </c>
      <c r="AE46" s="234">
        <f t="shared" si="44"/>
        <v>81</v>
      </c>
      <c r="AF46" s="234">
        <f t="shared" si="44"/>
        <v>67</v>
      </c>
    </row>
    <row r="47" spans="2:34" x14ac:dyDescent="0.45">
      <c r="B47" s="236"/>
      <c r="C47" s="355"/>
      <c r="D47" s="236" t="s">
        <v>1</v>
      </c>
      <c r="E47" s="375">
        <f t="shared" ref="E47:AA47" si="45">E46*(1/E$41)</f>
        <v>1.5174651342975205</v>
      </c>
      <c r="F47" s="375">
        <f t="shared" si="45"/>
        <v>1.4729310841983854</v>
      </c>
      <c r="G47" s="375">
        <f t="shared" si="45"/>
        <v>1.4420162777685677</v>
      </c>
      <c r="H47" s="375">
        <f t="shared" si="45"/>
        <v>1.4189992965905327</v>
      </c>
      <c r="I47" s="375">
        <f t="shared" si="45"/>
        <v>1.3970204509755291</v>
      </c>
      <c r="J47" s="375">
        <f t="shared" si="45"/>
        <v>1.3760330578512396</v>
      </c>
      <c r="K47" s="375">
        <f t="shared" si="45"/>
        <v>1.3368959780092591</v>
      </c>
      <c r="L47" s="375">
        <f t="shared" si="45"/>
        <v>1.3177678128103276</v>
      </c>
      <c r="M47" s="375">
        <f t="shared" si="45"/>
        <v>1.2995016163793103</v>
      </c>
      <c r="N47" s="375">
        <f t="shared" si="45"/>
        <v>1.2629299601196411</v>
      </c>
      <c r="O47" s="375">
        <f t="shared" si="45"/>
        <v>1.246256510416667</v>
      </c>
      <c r="P47" s="375">
        <f t="shared" si="45"/>
        <v>1.2303445968551356</v>
      </c>
      <c r="Q47" s="375">
        <f t="shared" si="45"/>
        <v>1.202643051629531</v>
      </c>
      <c r="R47" s="375">
        <f t="shared" si="45"/>
        <v>1.1880743525480366</v>
      </c>
      <c r="S47" s="375">
        <f t="shared" si="45"/>
        <v>1.1549426663306452</v>
      </c>
      <c r="T47" s="375">
        <f t="shared" si="45"/>
        <v>1.1483591137123745</v>
      </c>
      <c r="U47" s="375">
        <f t="shared" si="45"/>
        <v>1.1356599852693603</v>
      </c>
      <c r="V47" s="375">
        <f t="shared" si="45"/>
        <v>1.1109655374811336</v>
      </c>
      <c r="W47" s="375">
        <f t="shared" si="45"/>
        <v>1.0868631454712567</v>
      </c>
      <c r="X47" s="375">
        <f t="shared" si="45"/>
        <v>1.0756867205931917</v>
      </c>
      <c r="Y47" s="375">
        <f t="shared" si="45"/>
        <v>1.0525538340336134</v>
      </c>
      <c r="Z47" s="375">
        <f t="shared" si="45"/>
        <v>1.0490023474178405</v>
      </c>
      <c r="AA47" s="375">
        <f t="shared" si="45"/>
        <v>1.0200777544884825</v>
      </c>
      <c r="AC47" s="375">
        <f>AC46*(1/AC$41)</f>
        <v>3.1005271084337349</v>
      </c>
      <c r="AD47" s="375">
        <f>AD46*(1/AD$41)</f>
        <v>2.5706032564724923</v>
      </c>
      <c r="AE47" s="375">
        <f>AE46*(1/AE$41)</f>
        <v>1.5565146169354838</v>
      </c>
      <c r="AF47" s="375">
        <f>AF46*(1/AF$41)</f>
        <v>1.2853016282362462</v>
      </c>
    </row>
    <row r="48" spans="2:34" x14ac:dyDescent="0.45">
      <c r="B48" s="236" t="s">
        <v>1250</v>
      </c>
      <c r="C48" s="355">
        <v>0.2</v>
      </c>
      <c r="D48" s="236" t="s">
        <v>5</v>
      </c>
      <c r="E48" s="234">
        <f>MROUND(E$38*$C48,1)</f>
        <v>24</v>
      </c>
      <c r="F48" s="234">
        <f t="shared" ref="F48:AF48" si="46">MROUND(F$38*$C48,1)</f>
        <v>24</v>
      </c>
      <c r="G48" s="234">
        <f t="shared" si="46"/>
        <v>23</v>
      </c>
      <c r="H48" s="234">
        <f t="shared" si="46"/>
        <v>23</v>
      </c>
      <c r="I48" s="234">
        <f t="shared" si="46"/>
        <v>22</v>
      </c>
      <c r="J48" s="234">
        <f t="shared" si="46"/>
        <v>22</v>
      </c>
      <c r="K48" s="234">
        <f t="shared" si="46"/>
        <v>22</v>
      </c>
      <c r="L48" s="234">
        <f t="shared" si="46"/>
        <v>21</v>
      </c>
      <c r="M48" s="234">
        <f t="shared" si="46"/>
        <v>21</v>
      </c>
      <c r="N48" s="234">
        <f t="shared" si="46"/>
        <v>20</v>
      </c>
      <c r="O48" s="234">
        <f t="shared" si="46"/>
        <v>20</v>
      </c>
      <c r="P48" s="234">
        <f t="shared" si="46"/>
        <v>20</v>
      </c>
      <c r="Q48" s="234">
        <f t="shared" si="46"/>
        <v>19</v>
      </c>
      <c r="R48" s="234">
        <f t="shared" si="46"/>
        <v>19</v>
      </c>
      <c r="S48" s="234">
        <f t="shared" si="46"/>
        <v>19</v>
      </c>
      <c r="T48" s="234">
        <f t="shared" si="46"/>
        <v>18</v>
      </c>
      <c r="U48" s="234">
        <f t="shared" si="46"/>
        <v>18</v>
      </c>
      <c r="V48" s="234">
        <f t="shared" si="46"/>
        <v>18</v>
      </c>
      <c r="W48" s="234">
        <f t="shared" si="46"/>
        <v>18</v>
      </c>
      <c r="X48" s="234">
        <f t="shared" si="46"/>
        <v>17</v>
      </c>
      <c r="Y48" s="234">
        <f t="shared" si="46"/>
        <v>17</v>
      </c>
      <c r="Z48" s="234">
        <f t="shared" si="46"/>
        <v>17</v>
      </c>
      <c r="AA48" s="234">
        <f t="shared" si="46"/>
        <v>16</v>
      </c>
      <c r="AC48" s="234">
        <f t="shared" si="46"/>
        <v>50</v>
      </c>
      <c r="AD48" s="234">
        <f t="shared" si="46"/>
        <v>41</v>
      </c>
      <c r="AE48" s="234">
        <f t="shared" si="46"/>
        <v>25</v>
      </c>
      <c r="AF48" s="234">
        <f t="shared" si="46"/>
        <v>21</v>
      </c>
    </row>
    <row r="49" spans="2:35" x14ac:dyDescent="0.45">
      <c r="B49" s="236"/>
      <c r="C49" s="355"/>
      <c r="D49" s="236" t="s">
        <v>1</v>
      </c>
      <c r="E49" s="375">
        <f>E48*(1/E$41)</f>
        <v>0.46100206611570249</v>
      </c>
      <c r="F49" s="375">
        <f t="shared" ref="F49:AF49" si="47">F48*(1/F$41)</f>
        <v>0.45909540286702921</v>
      </c>
      <c r="G49" s="375">
        <f t="shared" si="47"/>
        <v>0.44221832518236076</v>
      </c>
      <c r="H49" s="375">
        <f t="shared" si="47"/>
        <v>0.44104032191327369</v>
      </c>
      <c r="I49" s="375">
        <f t="shared" si="47"/>
        <v>0.42101986193783064</v>
      </c>
      <c r="J49" s="375">
        <f t="shared" si="47"/>
        <v>0.42045454545454541</v>
      </c>
      <c r="K49" s="375">
        <f t="shared" si="47"/>
        <v>0.42016730737433855</v>
      </c>
      <c r="L49" s="375">
        <f t="shared" si="47"/>
        <v>0.40105976911618663</v>
      </c>
      <c r="M49" s="375">
        <f t="shared" si="47"/>
        <v>0.40131667564655166</v>
      </c>
      <c r="N49" s="375">
        <f t="shared" si="47"/>
        <v>0.38270604852110335</v>
      </c>
      <c r="O49" s="375">
        <f t="shared" si="47"/>
        <v>0.38346354166666674</v>
      </c>
      <c r="P49" s="375">
        <f t="shared" si="47"/>
        <v>0.38448268651722989</v>
      </c>
      <c r="Q49" s="375">
        <f t="shared" si="47"/>
        <v>0.36270187271366805</v>
      </c>
      <c r="R49" s="375">
        <f t="shared" si="47"/>
        <v>0.36408730158730157</v>
      </c>
      <c r="S49" s="375">
        <f t="shared" si="47"/>
        <v>0.36573184433803763</v>
      </c>
      <c r="T49" s="375">
        <f t="shared" si="47"/>
        <v>0.34450773411371233</v>
      </c>
      <c r="U49" s="375">
        <f t="shared" si="47"/>
        <v>0.34647253787878785</v>
      </c>
      <c r="V49" s="375">
        <f t="shared" si="47"/>
        <v>0.34478240818380007</v>
      </c>
      <c r="W49" s="375">
        <f t="shared" si="47"/>
        <v>0.34321994067513373</v>
      </c>
      <c r="X49" s="375">
        <f t="shared" si="47"/>
        <v>0.32654775446579037</v>
      </c>
      <c r="Y49" s="375">
        <f t="shared" si="47"/>
        <v>0.3253348214285714</v>
      </c>
      <c r="Z49" s="375">
        <f t="shared" si="47"/>
        <v>0.32423708920187794</v>
      </c>
      <c r="AA49" s="375">
        <f t="shared" si="47"/>
        <v>0.30794800135501355</v>
      </c>
      <c r="AC49" s="375">
        <f t="shared" si="47"/>
        <v>0.95695281124497988</v>
      </c>
      <c r="AD49" s="375">
        <f t="shared" si="47"/>
        <v>0.78652786205501624</v>
      </c>
      <c r="AE49" s="375">
        <f t="shared" si="47"/>
        <v>0.48040574596774188</v>
      </c>
      <c r="AF49" s="375">
        <f t="shared" si="47"/>
        <v>0.40285573422330101</v>
      </c>
    </row>
    <row r="50" spans="2:35" x14ac:dyDescent="0.45">
      <c r="B50" s="236" t="s">
        <v>1251</v>
      </c>
      <c r="C50" s="355">
        <v>0.15</v>
      </c>
      <c r="D50" s="236" t="s">
        <v>5</v>
      </c>
      <c r="E50" s="234">
        <f>MROUND(E$38*$C50,1)</f>
        <v>18</v>
      </c>
      <c r="F50" s="234">
        <f t="shared" ref="F50:AF50" si="48">MROUND(F$38*$C50,1)</f>
        <v>18</v>
      </c>
      <c r="G50" s="234">
        <f t="shared" si="48"/>
        <v>17</v>
      </c>
      <c r="H50" s="234">
        <f t="shared" si="48"/>
        <v>17</v>
      </c>
      <c r="I50" s="234">
        <f t="shared" si="48"/>
        <v>17</v>
      </c>
      <c r="J50" s="234">
        <f t="shared" si="48"/>
        <v>17</v>
      </c>
      <c r="K50" s="234">
        <f t="shared" si="48"/>
        <v>16</v>
      </c>
      <c r="L50" s="234">
        <f t="shared" si="48"/>
        <v>16</v>
      </c>
      <c r="M50" s="234">
        <f t="shared" si="48"/>
        <v>16</v>
      </c>
      <c r="N50" s="234">
        <f t="shared" si="48"/>
        <v>15</v>
      </c>
      <c r="O50" s="234">
        <f t="shared" si="48"/>
        <v>15</v>
      </c>
      <c r="P50" s="234">
        <f t="shared" si="48"/>
        <v>15</v>
      </c>
      <c r="Q50" s="234">
        <f t="shared" si="48"/>
        <v>15</v>
      </c>
      <c r="R50" s="234">
        <f t="shared" si="48"/>
        <v>14</v>
      </c>
      <c r="S50" s="234">
        <f t="shared" si="48"/>
        <v>14</v>
      </c>
      <c r="T50" s="234">
        <f t="shared" si="48"/>
        <v>14</v>
      </c>
      <c r="U50" s="234">
        <f t="shared" si="48"/>
        <v>14</v>
      </c>
      <c r="V50" s="234">
        <f t="shared" si="48"/>
        <v>13</v>
      </c>
      <c r="W50" s="234">
        <f t="shared" si="48"/>
        <v>13</v>
      </c>
      <c r="X50" s="234">
        <f t="shared" si="48"/>
        <v>13</v>
      </c>
      <c r="Y50" s="234">
        <f t="shared" si="48"/>
        <v>13</v>
      </c>
      <c r="Z50" s="234">
        <f t="shared" si="48"/>
        <v>13</v>
      </c>
      <c r="AA50" s="234">
        <f t="shared" si="48"/>
        <v>12</v>
      </c>
      <c r="AC50" s="234">
        <f t="shared" si="48"/>
        <v>37</v>
      </c>
      <c r="AD50" s="234">
        <f t="shared" si="48"/>
        <v>31</v>
      </c>
      <c r="AE50" s="234">
        <f t="shared" si="48"/>
        <v>19</v>
      </c>
      <c r="AF50" s="234">
        <f t="shared" si="48"/>
        <v>15</v>
      </c>
    </row>
    <row r="51" spans="2:35" x14ac:dyDescent="0.45">
      <c r="B51" s="236"/>
      <c r="C51" s="355"/>
      <c r="D51" s="236" t="s">
        <v>1</v>
      </c>
      <c r="E51" s="375">
        <f>E50*(1/E$41)</f>
        <v>0.34575154958677684</v>
      </c>
      <c r="F51" s="375">
        <f t="shared" ref="F51:AF51" si="49">F50*(1/F$41)</f>
        <v>0.34432155215027188</v>
      </c>
      <c r="G51" s="375">
        <f t="shared" si="49"/>
        <v>0.32685702296087532</v>
      </c>
      <c r="H51" s="375">
        <f t="shared" si="49"/>
        <v>0.32598632489241969</v>
      </c>
      <c r="I51" s="375">
        <f t="shared" si="49"/>
        <v>0.32533352967923279</v>
      </c>
      <c r="J51" s="375">
        <f t="shared" si="49"/>
        <v>0.32489669421487599</v>
      </c>
      <c r="K51" s="375">
        <f t="shared" si="49"/>
        <v>0.30557622354497349</v>
      </c>
      <c r="L51" s="375">
        <f t="shared" si="49"/>
        <v>0.30556934789804696</v>
      </c>
      <c r="M51" s="375">
        <f t="shared" si="49"/>
        <v>0.30576508620689652</v>
      </c>
      <c r="N51" s="375">
        <f t="shared" si="49"/>
        <v>0.28702953639082751</v>
      </c>
      <c r="O51" s="375">
        <f t="shared" si="49"/>
        <v>0.28759765625000006</v>
      </c>
      <c r="P51" s="375">
        <f t="shared" si="49"/>
        <v>0.2883620148879224</v>
      </c>
      <c r="Q51" s="375">
        <f t="shared" si="49"/>
        <v>0.28634358372131691</v>
      </c>
      <c r="R51" s="375">
        <f t="shared" si="49"/>
        <v>0.26827485380116955</v>
      </c>
      <c r="S51" s="375">
        <f t="shared" si="49"/>
        <v>0.26948662214381719</v>
      </c>
      <c r="T51" s="375">
        <f t="shared" si="49"/>
        <v>0.26795045986622074</v>
      </c>
      <c r="U51" s="375">
        <f t="shared" si="49"/>
        <v>0.26947864057239057</v>
      </c>
      <c r="V51" s="375">
        <f t="shared" si="49"/>
        <v>0.2490095170216334</v>
      </c>
      <c r="W51" s="375">
        <f t="shared" si="49"/>
        <v>0.24788106826537434</v>
      </c>
      <c r="X51" s="375">
        <f t="shared" si="49"/>
        <v>0.2497129887091338</v>
      </c>
      <c r="Y51" s="375">
        <f t="shared" si="49"/>
        <v>0.24878545168067223</v>
      </c>
      <c r="Z51" s="375">
        <f t="shared" si="49"/>
        <v>0.24794600938967137</v>
      </c>
      <c r="AA51" s="375">
        <f t="shared" si="49"/>
        <v>0.23096100101626016</v>
      </c>
      <c r="AC51" s="375">
        <f t="shared" si="49"/>
        <v>0.70814508032128509</v>
      </c>
      <c r="AD51" s="375">
        <f t="shared" si="49"/>
        <v>0.59469179813915862</v>
      </c>
      <c r="AE51" s="375">
        <f t="shared" si="49"/>
        <v>0.36510836693548382</v>
      </c>
      <c r="AF51" s="375">
        <f t="shared" si="49"/>
        <v>0.28775409587378642</v>
      </c>
      <c r="AG51" s="385">
        <f>MIN(E51:AF51)</f>
        <v>0.23096100101626016</v>
      </c>
    </row>
    <row r="52" spans="2:35" x14ac:dyDescent="0.45">
      <c r="B52" s="236"/>
      <c r="C52" s="355" t="s">
        <v>1349</v>
      </c>
      <c r="D52" s="236" t="s">
        <v>5</v>
      </c>
      <c r="E52" s="400">
        <f>E38-E46-E48-E50</f>
        <v>0</v>
      </c>
      <c r="F52" s="400">
        <f t="shared" ref="F52:AF52" si="50">F38-F46-F48-F50</f>
        <v>0</v>
      </c>
      <c r="G52" s="400">
        <f t="shared" si="50"/>
        <v>1</v>
      </c>
      <c r="H52" s="400">
        <f t="shared" si="50"/>
        <v>0</v>
      </c>
      <c r="I52" s="400">
        <f t="shared" si="50"/>
        <v>0</v>
      </c>
      <c r="J52" s="400">
        <f t="shared" si="50"/>
        <v>-1</v>
      </c>
      <c r="K52" s="400">
        <f t="shared" si="50"/>
        <v>0</v>
      </c>
      <c r="L52" s="400">
        <f t="shared" si="50"/>
        <v>0</v>
      </c>
      <c r="M52" s="400">
        <f t="shared" si="50"/>
        <v>-1</v>
      </c>
      <c r="N52" s="400">
        <f t="shared" si="50"/>
        <v>1</v>
      </c>
      <c r="O52" s="400">
        <f t="shared" si="50"/>
        <v>0</v>
      </c>
      <c r="P52" s="400">
        <f t="shared" si="50"/>
        <v>-1</v>
      </c>
      <c r="Q52" s="400">
        <f t="shared" si="50"/>
        <v>0</v>
      </c>
      <c r="R52" s="400">
        <f t="shared" si="50"/>
        <v>0</v>
      </c>
      <c r="S52" s="400">
        <f t="shared" si="50"/>
        <v>0</v>
      </c>
      <c r="T52" s="400">
        <f t="shared" si="50"/>
        <v>0</v>
      </c>
      <c r="U52" s="400">
        <f t="shared" si="50"/>
        <v>-1</v>
      </c>
      <c r="V52" s="400">
        <f t="shared" si="50"/>
        <v>0</v>
      </c>
      <c r="W52" s="400">
        <f t="shared" si="50"/>
        <v>0</v>
      </c>
      <c r="X52" s="400">
        <f t="shared" si="50"/>
        <v>0</v>
      </c>
      <c r="Y52" s="400">
        <f t="shared" si="50"/>
        <v>0</v>
      </c>
      <c r="Z52" s="400">
        <f t="shared" si="50"/>
        <v>-1</v>
      </c>
      <c r="AA52" s="400">
        <f t="shared" si="50"/>
        <v>1</v>
      </c>
      <c r="AB52" s="400"/>
      <c r="AC52" s="400">
        <f t="shared" si="50"/>
        <v>0</v>
      </c>
      <c r="AD52" s="400">
        <f t="shared" si="50"/>
        <v>0</v>
      </c>
      <c r="AE52" s="400">
        <f t="shared" si="50"/>
        <v>-1</v>
      </c>
      <c r="AF52" s="400">
        <f t="shared" si="50"/>
        <v>0</v>
      </c>
    </row>
    <row r="53" spans="2:35" x14ac:dyDescent="0.45">
      <c r="B53" s="236" t="s">
        <v>902</v>
      </c>
      <c r="C53" s="236" t="s">
        <v>1249</v>
      </c>
      <c r="D53" s="236" t="s">
        <v>903</v>
      </c>
      <c r="E53" s="350">
        <f>$C46-E46/E$38</f>
        <v>-2.8925619834710981E-3</v>
      </c>
      <c r="F53" s="350">
        <f>$C46-F46/F$38</f>
        <v>2.9411764705882248E-3</v>
      </c>
      <c r="G53" s="350">
        <f>$C46-G46/G$38</f>
        <v>3.4482758620689724E-3</v>
      </c>
      <c r="H53" s="350">
        <f t="shared" ref="H53:AA53" si="51">$C46-H46/H$38</f>
        <v>8.7719298245614308E-4</v>
      </c>
      <c r="I53" s="350">
        <f t="shared" si="51"/>
        <v>-1.7857142857142794E-3</v>
      </c>
      <c r="J53" s="350">
        <f t="shared" si="51"/>
        <v>-4.5454545454545192E-3</v>
      </c>
      <c r="K53" s="350">
        <f t="shared" si="51"/>
        <v>1.8518518518518823E-3</v>
      </c>
      <c r="L53" s="350">
        <f t="shared" si="51"/>
        <v>-9.4339622641503862E-4</v>
      </c>
      <c r="M53" s="350">
        <f t="shared" si="51"/>
        <v>-3.8461538461538325E-3</v>
      </c>
      <c r="N53" s="350">
        <f t="shared" si="51"/>
        <v>2.9411764705882248E-3</v>
      </c>
      <c r="O53" s="350">
        <f t="shared" si="51"/>
        <v>0</v>
      </c>
      <c r="P53" s="350">
        <f t="shared" si="51"/>
        <v>-3.0612244897958441E-3</v>
      </c>
      <c r="Q53" s="350">
        <f t="shared" si="51"/>
        <v>5.1546391752577136E-4</v>
      </c>
      <c r="R53" s="350">
        <f t="shared" si="51"/>
        <v>-2.6315789473684292E-3</v>
      </c>
      <c r="S53" s="350">
        <f t="shared" si="51"/>
        <v>4.8387096774193949E-3</v>
      </c>
      <c r="T53" s="350">
        <f t="shared" si="51"/>
        <v>-2.1739130434782483E-3</v>
      </c>
      <c r="U53" s="350">
        <f t="shared" si="51"/>
        <v>-5.5555555555555358E-3</v>
      </c>
      <c r="V53" s="350">
        <f t="shared" si="51"/>
        <v>-1.6853932584269815E-3</v>
      </c>
      <c r="W53" s="350">
        <f t="shared" si="51"/>
        <v>2.2727272727273151E-3</v>
      </c>
      <c r="X53" s="350">
        <f t="shared" si="51"/>
        <v>-1.1627906976744429E-3</v>
      </c>
      <c r="Y53" s="350">
        <f t="shared" si="51"/>
        <v>2.9411764705882248E-3</v>
      </c>
      <c r="Z53" s="350">
        <f t="shared" si="51"/>
        <v>-4.761904761904745E-3</v>
      </c>
      <c r="AA53" s="350">
        <f t="shared" si="51"/>
        <v>3.6585365853658569E-3</v>
      </c>
      <c r="AC53" s="350">
        <f t="shared" ref="AC53:AF53" si="52">$C46-AC46/AC$38</f>
        <v>-6.0240963855417995E-4</v>
      </c>
      <c r="AD53" s="350">
        <f t="shared" si="52"/>
        <v>-4.8543689320390548E-4</v>
      </c>
      <c r="AE53" s="350">
        <f t="shared" si="52"/>
        <v>-3.225806451612856E-3</v>
      </c>
      <c r="AF53" s="350">
        <f t="shared" si="52"/>
        <v>-4.8543689320390548E-4</v>
      </c>
      <c r="AG53" s="356">
        <f>MIN(E53:AF53)</f>
        <v>-5.5555555555555358E-3</v>
      </c>
      <c r="AH53" s="356">
        <f>MAX(E53:AF53)</f>
        <v>4.8387096774193949E-3</v>
      </c>
      <c r="AI53" s="235" t="s">
        <v>1249</v>
      </c>
    </row>
    <row r="54" spans="2:35" x14ac:dyDescent="0.45">
      <c r="B54" s="236"/>
      <c r="C54" s="236" t="s">
        <v>1250</v>
      </c>
      <c r="D54" s="236" t="s">
        <v>903</v>
      </c>
      <c r="E54" s="350">
        <f>$C48-E48/E$38</f>
        <v>1.6528925619834767E-3</v>
      </c>
      <c r="F54" s="350">
        <f>$C48-F48/F$38</f>
        <v>-1.6806722689075571E-3</v>
      </c>
      <c r="G54" s="350">
        <f>$C48-G48/G$38</f>
        <v>1.7241379310344862E-3</v>
      </c>
      <c r="H54" s="350">
        <f t="shared" ref="H54:AA54" si="53">$C48-H48/H$38</f>
        <v>-1.7543859649122584E-3</v>
      </c>
      <c r="I54" s="350">
        <f t="shared" si="53"/>
        <v>3.5714285714285865E-3</v>
      </c>
      <c r="J54" s="350">
        <f t="shared" si="53"/>
        <v>0</v>
      </c>
      <c r="K54" s="350">
        <f t="shared" si="53"/>
        <v>-3.7037037037036813E-3</v>
      </c>
      <c r="L54" s="350">
        <f t="shared" si="53"/>
        <v>1.8867924528301883E-3</v>
      </c>
      <c r="M54" s="350">
        <f t="shared" si="53"/>
        <v>-1.9230769230769162E-3</v>
      </c>
      <c r="N54" s="350">
        <f t="shared" si="53"/>
        <v>3.9215686274509942E-3</v>
      </c>
      <c r="O54" s="350">
        <f t="shared" si="53"/>
        <v>0</v>
      </c>
      <c r="P54" s="350">
        <f t="shared" si="53"/>
        <v>-4.0816326530612179E-3</v>
      </c>
      <c r="Q54" s="350">
        <f t="shared" si="53"/>
        <v>4.1237113402061987E-3</v>
      </c>
      <c r="R54" s="350">
        <f t="shared" si="53"/>
        <v>0</v>
      </c>
      <c r="S54" s="350">
        <f t="shared" si="53"/>
        <v>-4.301075268817206E-3</v>
      </c>
      <c r="T54" s="350">
        <f t="shared" si="53"/>
        <v>4.3478260869565244E-3</v>
      </c>
      <c r="U54" s="350">
        <f t="shared" si="53"/>
        <v>0</v>
      </c>
      <c r="V54" s="350">
        <f t="shared" si="53"/>
        <v>-2.2471910112359383E-3</v>
      </c>
      <c r="W54" s="350">
        <f t="shared" si="53"/>
        <v>-4.545454545454547E-3</v>
      </c>
      <c r="X54" s="350">
        <f t="shared" si="53"/>
        <v>2.325581395348858E-3</v>
      </c>
      <c r="Y54" s="350">
        <f t="shared" si="53"/>
        <v>0</v>
      </c>
      <c r="Z54" s="350">
        <f t="shared" si="53"/>
        <v>-2.3809523809523725E-3</v>
      </c>
      <c r="AA54" s="350">
        <f t="shared" si="53"/>
        <v>4.8780487804878092E-3</v>
      </c>
      <c r="AB54" s="350"/>
      <c r="AC54" s="350">
        <f t="shared" ref="AC54:AF54" si="54">$C48-AC48/AC$38</f>
        <v>-8.0321285140561027E-4</v>
      </c>
      <c r="AD54" s="350">
        <f t="shared" si="54"/>
        <v>9.7087378640778321E-4</v>
      </c>
      <c r="AE54" s="350">
        <f t="shared" si="54"/>
        <v>-1.612903225806428E-3</v>
      </c>
      <c r="AF54" s="350">
        <f t="shared" si="54"/>
        <v>-3.8834951456310496E-3</v>
      </c>
      <c r="AG54" s="356">
        <f>MIN(E54:AF54)</f>
        <v>-4.545454545454547E-3</v>
      </c>
      <c r="AH54" s="356">
        <f>MAX(E54:AF54)</f>
        <v>4.8780487804878092E-3</v>
      </c>
      <c r="AI54" s="235" t="s">
        <v>1250</v>
      </c>
    </row>
    <row r="55" spans="2:35" x14ac:dyDescent="0.45">
      <c r="B55" s="236"/>
      <c r="C55" s="236" t="s">
        <v>1251</v>
      </c>
      <c r="D55" s="236" t="s">
        <v>903</v>
      </c>
      <c r="E55" s="350">
        <f>$C50-E50/E$38</f>
        <v>1.2396694214875936E-3</v>
      </c>
      <c r="F55" s="350">
        <f>$C50-F50/F$38</f>
        <v>-1.2605042016806678E-3</v>
      </c>
      <c r="G55" s="350">
        <f>$C50-G50/G$38</f>
        <v>3.4482758620689724E-3</v>
      </c>
      <c r="H55" s="350">
        <f t="shared" ref="H55:AA55" si="55">$C50-H50/H$38</f>
        <v>8.7719298245614308E-4</v>
      </c>
      <c r="I55" s="350">
        <f t="shared" si="55"/>
        <v>-1.7857142857142794E-3</v>
      </c>
      <c r="J55" s="350">
        <f t="shared" si="55"/>
        <v>-4.545454545454547E-3</v>
      </c>
      <c r="K55" s="350">
        <f t="shared" si="55"/>
        <v>1.8518518518518545E-3</v>
      </c>
      <c r="L55" s="350">
        <f t="shared" si="55"/>
        <v>-9.4339622641509413E-4</v>
      </c>
      <c r="M55" s="350">
        <f t="shared" si="55"/>
        <v>-3.8461538461538602E-3</v>
      </c>
      <c r="N55" s="350">
        <f t="shared" si="55"/>
        <v>2.9411764705882248E-3</v>
      </c>
      <c r="O55" s="350">
        <f t="shared" si="55"/>
        <v>0</v>
      </c>
      <c r="P55" s="350">
        <f t="shared" si="55"/>
        <v>-3.0612244897959273E-3</v>
      </c>
      <c r="Q55" s="350">
        <f t="shared" si="55"/>
        <v>-4.63917525773197E-3</v>
      </c>
      <c r="R55" s="350">
        <f t="shared" si="55"/>
        <v>2.6315789473684292E-3</v>
      </c>
      <c r="S55" s="350">
        <f t="shared" si="55"/>
        <v>-5.3763440860216116E-4</v>
      </c>
      <c r="T55" s="350">
        <f t="shared" si="55"/>
        <v>-2.1739130434782761E-3</v>
      </c>
      <c r="U55" s="350">
        <f t="shared" si="55"/>
        <v>-5.5555555555555636E-3</v>
      </c>
      <c r="V55" s="350">
        <f t="shared" si="55"/>
        <v>3.9325842696629199E-3</v>
      </c>
      <c r="W55" s="350">
        <f t="shared" si="55"/>
        <v>2.2727272727272596E-3</v>
      </c>
      <c r="X55" s="350">
        <f t="shared" si="55"/>
        <v>-1.1627906976744151E-3</v>
      </c>
      <c r="Y55" s="350">
        <f t="shared" si="55"/>
        <v>-2.9411764705882526E-3</v>
      </c>
      <c r="Z55" s="350">
        <f t="shared" si="55"/>
        <v>-4.7619047619047727E-3</v>
      </c>
      <c r="AA55" s="350">
        <f t="shared" si="55"/>
        <v>3.6585365853658569E-3</v>
      </c>
      <c r="AB55" s="350"/>
      <c r="AC55" s="350">
        <f t="shared" ref="AC55:AF55" si="56">$C50-AC50/AC$38</f>
        <v>1.4056224899598457E-3</v>
      </c>
      <c r="AD55" s="350">
        <f t="shared" si="56"/>
        <v>-4.8543689320387773E-4</v>
      </c>
      <c r="AE55" s="350">
        <f t="shared" si="56"/>
        <v>-3.2258064516129115E-3</v>
      </c>
      <c r="AF55" s="350">
        <f t="shared" si="56"/>
        <v>4.3689320388349551E-3</v>
      </c>
      <c r="AG55" s="356">
        <f>MIN(E55:AF55)</f>
        <v>-5.5555555555555636E-3</v>
      </c>
      <c r="AH55" s="356">
        <f>MAX(E55:AF55)</f>
        <v>4.3689320388349551E-3</v>
      </c>
      <c r="AI55" s="235" t="s">
        <v>1251</v>
      </c>
    </row>
    <row r="56" spans="2:35" x14ac:dyDescent="0.45">
      <c r="B56" s="236"/>
      <c r="C56" s="236"/>
      <c r="D56" s="236"/>
      <c r="F56" s="350">
        <f t="shared" ref="F56:AA56" si="57">F53-E53</f>
        <v>5.8337384540593229E-3</v>
      </c>
      <c r="G56" s="350">
        <f t="shared" si="57"/>
        <v>5.0709939148074756E-4</v>
      </c>
      <c r="H56" s="350">
        <f t="shared" si="57"/>
        <v>-2.5710828796128293E-3</v>
      </c>
      <c r="I56" s="350">
        <f t="shared" si="57"/>
        <v>-2.6629072681704224E-3</v>
      </c>
      <c r="J56" s="350">
        <f t="shared" si="57"/>
        <v>-2.7597402597402398E-3</v>
      </c>
      <c r="K56" s="350">
        <f t="shared" si="57"/>
        <v>6.3973063973064015E-3</v>
      </c>
      <c r="L56" s="350">
        <f t="shared" si="57"/>
        <v>-2.7952480782669209E-3</v>
      </c>
      <c r="M56" s="350">
        <f t="shared" si="57"/>
        <v>-2.9027576197387939E-3</v>
      </c>
      <c r="N56" s="350">
        <f t="shared" si="57"/>
        <v>6.7873303167420573E-3</v>
      </c>
      <c r="O56" s="350">
        <f t="shared" si="57"/>
        <v>-2.9411764705882248E-3</v>
      </c>
      <c r="P56" s="350">
        <f t="shared" si="57"/>
        <v>-3.0612244897958441E-3</v>
      </c>
      <c r="Q56" s="350">
        <f t="shared" si="57"/>
        <v>3.5766884073216154E-3</v>
      </c>
      <c r="R56" s="350">
        <f t="shared" si="57"/>
        <v>-3.1470428648942006E-3</v>
      </c>
      <c r="S56" s="350">
        <f t="shared" si="57"/>
        <v>7.4702886247878242E-3</v>
      </c>
      <c r="T56" s="350">
        <f t="shared" si="57"/>
        <v>-7.0126227208976433E-3</v>
      </c>
      <c r="U56" s="350">
        <f t="shared" si="57"/>
        <v>-3.3816425120772875E-3</v>
      </c>
      <c r="V56" s="350">
        <f t="shared" si="57"/>
        <v>3.8701622971285543E-3</v>
      </c>
      <c r="W56" s="350">
        <f t="shared" si="57"/>
        <v>3.9581205311542966E-3</v>
      </c>
      <c r="X56" s="350">
        <f t="shared" si="57"/>
        <v>-3.435517970401758E-3</v>
      </c>
      <c r="Y56" s="350">
        <f t="shared" si="57"/>
        <v>4.1039671682626677E-3</v>
      </c>
      <c r="Z56" s="350">
        <f t="shared" si="57"/>
        <v>-7.7030812324929698E-3</v>
      </c>
      <c r="AA56" s="350">
        <f t="shared" si="57"/>
        <v>8.4204413472706019E-3</v>
      </c>
      <c r="AB56" s="350"/>
      <c r="AC56" s="350"/>
      <c r="AD56" s="350"/>
      <c r="AE56" s="350"/>
      <c r="AF56" s="350"/>
      <c r="AG56" s="356">
        <f>MIN(E56:AF56)</f>
        <v>-7.7030812324929698E-3</v>
      </c>
      <c r="AH56" s="356">
        <f>MAX(E56:AF56)</f>
        <v>8.4204413472706019E-3</v>
      </c>
      <c r="AI56" s="235" t="s">
        <v>1249</v>
      </c>
    </row>
    <row r="57" spans="2:35" x14ac:dyDescent="0.45">
      <c r="B57" s="236"/>
      <c r="C57" s="236"/>
      <c r="D57" s="236"/>
      <c r="F57" s="350">
        <f t="shared" ref="F57:AA57" si="58">F54-E54</f>
        <v>-3.3335648308910337E-3</v>
      </c>
      <c r="G57" s="350">
        <f t="shared" si="58"/>
        <v>3.4048101999420433E-3</v>
      </c>
      <c r="H57" s="350">
        <f t="shared" si="58"/>
        <v>-3.4785238959467446E-3</v>
      </c>
      <c r="I57" s="350">
        <f t="shared" si="58"/>
        <v>5.3258145363408449E-3</v>
      </c>
      <c r="J57" s="350">
        <f t="shared" si="58"/>
        <v>-3.5714285714285865E-3</v>
      </c>
      <c r="K57" s="350">
        <f t="shared" si="58"/>
        <v>-3.7037037037036813E-3</v>
      </c>
      <c r="L57" s="350">
        <f t="shared" si="58"/>
        <v>5.5904961565338696E-3</v>
      </c>
      <c r="M57" s="350">
        <f t="shared" si="58"/>
        <v>-3.8098693759071045E-3</v>
      </c>
      <c r="N57" s="350">
        <f t="shared" si="58"/>
        <v>5.8446455505279105E-3</v>
      </c>
      <c r="O57" s="350">
        <f t="shared" si="58"/>
        <v>-3.9215686274509942E-3</v>
      </c>
      <c r="P57" s="350">
        <f t="shared" si="58"/>
        <v>-4.0816326530612179E-3</v>
      </c>
      <c r="Q57" s="350">
        <f t="shared" si="58"/>
        <v>8.2053439932674166E-3</v>
      </c>
      <c r="R57" s="350">
        <f t="shared" si="58"/>
        <v>-4.1237113402061987E-3</v>
      </c>
      <c r="S57" s="350">
        <f t="shared" si="58"/>
        <v>-4.301075268817206E-3</v>
      </c>
      <c r="T57" s="350">
        <f t="shared" si="58"/>
        <v>8.6489013557737304E-3</v>
      </c>
      <c r="U57" s="350">
        <f t="shared" si="58"/>
        <v>-4.3478260869565244E-3</v>
      </c>
      <c r="V57" s="350">
        <f t="shared" si="58"/>
        <v>-2.2471910112359383E-3</v>
      </c>
      <c r="W57" s="350">
        <f t="shared" si="58"/>
        <v>-2.2982635342186086E-3</v>
      </c>
      <c r="X57" s="350">
        <f t="shared" si="58"/>
        <v>6.871035940803405E-3</v>
      </c>
      <c r="Y57" s="350">
        <f t="shared" si="58"/>
        <v>-2.325581395348858E-3</v>
      </c>
      <c r="Z57" s="350">
        <f t="shared" si="58"/>
        <v>-2.3809523809523725E-3</v>
      </c>
      <c r="AA57" s="350">
        <f t="shared" si="58"/>
        <v>7.2590011614401817E-3</v>
      </c>
      <c r="AB57" s="350"/>
      <c r="AC57" s="350"/>
      <c r="AD57" s="350"/>
      <c r="AE57" s="350"/>
      <c r="AF57" s="350"/>
      <c r="AG57" s="356">
        <f t="shared" ref="AG57:AG58" si="59">MIN(E57:AF57)</f>
        <v>-4.3478260869565244E-3</v>
      </c>
      <c r="AH57" s="356">
        <f t="shared" ref="AH57:AH58" si="60">MAX(E57:AF57)</f>
        <v>8.6489013557737304E-3</v>
      </c>
      <c r="AI57" s="235" t="s">
        <v>1250</v>
      </c>
    </row>
    <row r="58" spans="2:35" x14ac:dyDescent="0.45">
      <c r="B58" s="236"/>
      <c r="C58" s="236"/>
      <c r="D58" s="236"/>
      <c r="F58" s="350">
        <f t="shared" ref="F58:AA58" si="61">F55-E55</f>
        <v>-2.5001736231682614E-3</v>
      </c>
      <c r="G58" s="350">
        <f t="shared" si="61"/>
        <v>4.7087800637496402E-3</v>
      </c>
      <c r="H58" s="350">
        <f t="shared" si="61"/>
        <v>-2.5710828796128293E-3</v>
      </c>
      <c r="I58" s="350">
        <f t="shared" si="61"/>
        <v>-2.6629072681704224E-3</v>
      </c>
      <c r="J58" s="350">
        <f t="shared" si="61"/>
        <v>-2.7597402597402676E-3</v>
      </c>
      <c r="K58" s="350">
        <f t="shared" si="61"/>
        <v>6.3973063973064015E-3</v>
      </c>
      <c r="L58" s="350">
        <f t="shared" si="61"/>
        <v>-2.7952480782669487E-3</v>
      </c>
      <c r="M58" s="350">
        <f t="shared" si="61"/>
        <v>-2.9027576197387661E-3</v>
      </c>
      <c r="N58" s="350">
        <f t="shared" si="61"/>
        <v>6.7873303167420851E-3</v>
      </c>
      <c r="O58" s="350">
        <f t="shared" si="61"/>
        <v>-2.9411764705882248E-3</v>
      </c>
      <c r="P58" s="350">
        <f t="shared" si="61"/>
        <v>-3.0612244897959273E-3</v>
      </c>
      <c r="Q58" s="350">
        <f t="shared" si="61"/>
        <v>-1.5779507679360427E-3</v>
      </c>
      <c r="R58" s="350">
        <f t="shared" si="61"/>
        <v>7.2707542051003993E-3</v>
      </c>
      <c r="S58" s="350">
        <f t="shared" si="61"/>
        <v>-3.1692133559705904E-3</v>
      </c>
      <c r="T58" s="350">
        <f t="shared" si="61"/>
        <v>-1.6362786348761149E-3</v>
      </c>
      <c r="U58" s="350">
        <f t="shared" si="61"/>
        <v>-3.3816425120772875E-3</v>
      </c>
      <c r="V58" s="350">
        <f t="shared" si="61"/>
        <v>9.4881398252184834E-3</v>
      </c>
      <c r="W58" s="350">
        <f t="shared" si="61"/>
        <v>-1.6598569969356602E-3</v>
      </c>
      <c r="X58" s="350">
        <f t="shared" si="61"/>
        <v>-3.4355179704016747E-3</v>
      </c>
      <c r="Y58" s="350">
        <f t="shared" si="61"/>
        <v>-1.7783857729138375E-3</v>
      </c>
      <c r="Z58" s="350">
        <f t="shared" si="61"/>
        <v>-1.8207282913165201E-3</v>
      </c>
      <c r="AA58" s="350">
        <f t="shared" si="61"/>
        <v>8.4204413472706297E-3</v>
      </c>
      <c r="AB58" s="350"/>
      <c r="AC58" s="350"/>
      <c r="AD58" s="350"/>
      <c r="AE58" s="350"/>
      <c r="AF58" s="350"/>
      <c r="AG58" s="356">
        <f t="shared" si="59"/>
        <v>-3.4355179704016747E-3</v>
      </c>
      <c r="AH58" s="356">
        <f t="shared" si="60"/>
        <v>9.4881398252184834E-3</v>
      </c>
      <c r="AI58" s="235" t="s">
        <v>1251</v>
      </c>
    </row>
    <row r="59" spans="2:35" x14ac:dyDescent="0.45">
      <c r="B59" s="234"/>
      <c r="C59" s="234"/>
      <c r="D59" s="234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350"/>
      <c r="AB59" s="350"/>
      <c r="AC59" s="350"/>
      <c r="AD59" s="350"/>
      <c r="AE59" s="350"/>
      <c r="AF59" s="350"/>
      <c r="AG59" s="350"/>
      <c r="AH59" s="350"/>
    </row>
    <row r="60" spans="2:35" x14ac:dyDescent="0.45">
      <c r="B60" s="234"/>
      <c r="C60" s="234"/>
      <c r="D60" s="234"/>
    </row>
    <row r="61" spans="2:35" x14ac:dyDescent="0.45">
      <c r="B61" s="236" t="s">
        <v>1290</v>
      </c>
      <c r="C61" s="255">
        <v>14</v>
      </c>
      <c r="D61" s="236" t="s">
        <v>18</v>
      </c>
    </row>
    <row r="62" spans="2:35" x14ac:dyDescent="0.45">
      <c r="B62" s="236" t="s">
        <v>1314</v>
      </c>
      <c r="C62" s="255">
        <v>32</v>
      </c>
      <c r="D62" s="236" t="s">
        <v>5</v>
      </c>
    </row>
    <row r="63" spans="2:35" x14ac:dyDescent="0.45">
      <c r="B63" s="236" t="s">
        <v>1263</v>
      </c>
      <c r="C63" s="255">
        <v>10</v>
      </c>
      <c r="D63" s="236" t="s">
        <v>1</v>
      </c>
    </row>
    <row r="64" spans="2:35" x14ac:dyDescent="0.45">
      <c r="B64" s="236" t="s">
        <v>2155</v>
      </c>
      <c r="C64" s="255">
        <v>2</v>
      </c>
      <c r="D64" s="236" t="s">
        <v>5</v>
      </c>
    </row>
    <row r="65" spans="2:36" x14ac:dyDescent="0.45">
      <c r="B65" s="236" t="s">
        <v>1318</v>
      </c>
      <c r="C65" s="236">
        <f>C63*C64</f>
        <v>20</v>
      </c>
      <c r="D65" s="236" t="s">
        <v>1</v>
      </c>
    </row>
    <row r="66" spans="2:36" x14ac:dyDescent="0.45">
      <c r="B66" s="236" t="s">
        <v>1319</v>
      </c>
      <c r="C66" s="236">
        <f>C65*C62</f>
        <v>640</v>
      </c>
      <c r="D66" s="236" t="s">
        <v>1</v>
      </c>
    </row>
    <row r="67" spans="2:36" x14ac:dyDescent="0.45">
      <c r="B67" s="236"/>
      <c r="C67" s="236"/>
      <c r="D67" s="236"/>
      <c r="E67" s="383">
        <v>2</v>
      </c>
      <c r="F67" s="384">
        <v>2</v>
      </c>
      <c r="G67" s="384">
        <v>3</v>
      </c>
      <c r="H67" s="384">
        <v>4</v>
      </c>
      <c r="I67" s="384">
        <v>5</v>
      </c>
      <c r="J67" s="384">
        <v>6</v>
      </c>
      <c r="K67" s="384">
        <v>7</v>
      </c>
      <c r="L67" s="384">
        <v>8</v>
      </c>
      <c r="M67" s="384">
        <v>9</v>
      </c>
      <c r="N67" s="384">
        <v>10</v>
      </c>
      <c r="O67" s="384">
        <v>11</v>
      </c>
      <c r="P67" s="384">
        <v>12</v>
      </c>
      <c r="Q67" s="384">
        <v>13</v>
      </c>
      <c r="R67" s="384">
        <v>14</v>
      </c>
      <c r="S67" s="384">
        <v>15</v>
      </c>
      <c r="T67" s="384">
        <v>16</v>
      </c>
      <c r="U67" s="384">
        <v>17</v>
      </c>
      <c r="V67" s="384">
        <v>18</v>
      </c>
      <c r="W67" s="384">
        <v>19</v>
      </c>
      <c r="X67" s="384">
        <v>20</v>
      </c>
      <c r="Y67" s="384">
        <v>21</v>
      </c>
      <c r="Z67" s="384">
        <v>22</v>
      </c>
      <c r="AA67" s="384">
        <v>23</v>
      </c>
      <c r="AC67" s="384">
        <v>24</v>
      </c>
      <c r="AD67" s="384">
        <v>25</v>
      </c>
      <c r="AE67" s="384">
        <v>26</v>
      </c>
      <c r="AF67" s="384">
        <v>27</v>
      </c>
    </row>
    <row r="68" spans="2:36" x14ac:dyDescent="0.45">
      <c r="B68" s="236" t="s">
        <v>1156</v>
      </c>
      <c r="C68" s="236"/>
      <c r="D68" s="236" t="s">
        <v>4</v>
      </c>
      <c r="E68" s="311">
        <v>100</v>
      </c>
      <c r="F68" s="311">
        <f>$E$68+$E$67*(F67-1)</f>
        <v>102</v>
      </c>
      <c r="G68" s="311">
        <f t="shared" ref="G68:AA68" si="62">$E$68+$E$67*(G67-1)</f>
        <v>104</v>
      </c>
      <c r="H68" s="311">
        <f t="shared" si="62"/>
        <v>106</v>
      </c>
      <c r="I68" s="311">
        <f t="shared" si="62"/>
        <v>108</v>
      </c>
      <c r="J68" s="311">
        <f t="shared" si="62"/>
        <v>110</v>
      </c>
      <c r="K68" s="311">
        <f t="shared" si="62"/>
        <v>112</v>
      </c>
      <c r="L68" s="311">
        <f t="shared" si="62"/>
        <v>114</v>
      </c>
      <c r="M68" s="311">
        <f t="shared" si="62"/>
        <v>116</v>
      </c>
      <c r="N68" s="311">
        <f t="shared" si="62"/>
        <v>118</v>
      </c>
      <c r="O68" s="311">
        <f t="shared" si="62"/>
        <v>120</v>
      </c>
      <c r="P68" s="311">
        <f t="shared" si="62"/>
        <v>122</v>
      </c>
      <c r="Q68" s="311">
        <f t="shared" si="62"/>
        <v>124</v>
      </c>
      <c r="R68" s="311">
        <f t="shared" si="62"/>
        <v>126</v>
      </c>
      <c r="S68" s="311">
        <f t="shared" si="62"/>
        <v>128</v>
      </c>
      <c r="T68" s="311">
        <f t="shared" si="62"/>
        <v>130</v>
      </c>
      <c r="U68" s="311">
        <f t="shared" si="62"/>
        <v>132</v>
      </c>
      <c r="V68" s="311">
        <f t="shared" si="62"/>
        <v>134</v>
      </c>
      <c r="W68" s="311">
        <f t="shared" si="62"/>
        <v>136</v>
      </c>
      <c r="X68" s="311">
        <f t="shared" si="62"/>
        <v>138</v>
      </c>
      <c r="Y68" s="311">
        <f t="shared" si="62"/>
        <v>140</v>
      </c>
      <c r="Z68" s="311">
        <f t="shared" si="62"/>
        <v>142</v>
      </c>
      <c r="AA68" s="311">
        <f t="shared" si="62"/>
        <v>144</v>
      </c>
      <c r="AC68" s="357">
        <v>50</v>
      </c>
      <c r="AD68" s="357">
        <v>60</v>
      </c>
      <c r="AE68" s="357">
        <v>800</v>
      </c>
      <c r="AF68" s="357">
        <v>960</v>
      </c>
      <c r="AG68" s="236" t="s">
        <v>1342</v>
      </c>
      <c r="AH68" s="236" t="s">
        <v>1343</v>
      </c>
    </row>
    <row r="69" spans="2:36" x14ac:dyDescent="0.45">
      <c r="B69" s="236" t="s">
        <v>1268</v>
      </c>
      <c r="C69" s="236"/>
      <c r="D69" s="236" t="s">
        <v>1</v>
      </c>
      <c r="E69" s="253">
        <f>1/E68*1000000</f>
        <v>10000</v>
      </c>
      <c r="F69" s="253">
        <f>1/F68*1000000</f>
        <v>9803.9215686274511</v>
      </c>
      <c r="G69" s="253">
        <f t="shared" ref="G69" si="63">1/G68*1000000</f>
        <v>9615.3846153846152</v>
      </c>
      <c r="H69" s="253">
        <f t="shared" ref="H69" si="64">1/H68*1000000</f>
        <v>9433.9622641509432</v>
      </c>
      <c r="I69" s="253">
        <f t="shared" ref="I69" si="65">1/I68*1000000</f>
        <v>9259.2592592592591</v>
      </c>
      <c r="J69" s="253">
        <f t="shared" ref="J69" si="66">1/J68*1000000</f>
        <v>9090.9090909090901</v>
      </c>
      <c r="K69" s="253">
        <f>1/K68*1000000</f>
        <v>8928.5714285714275</v>
      </c>
      <c r="L69" s="253">
        <f t="shared" ref="L69" si="67">1/L68*1000000</f>
        <v>8771.9298245614027</v>
      </c>
      <c r="M69" s="253">
        <f t="shared" ref="M69" si="68">1/M68*1000000</f>
        <v>8620.689655172413</v>
      </c>
      <c r="N69" s="253">
        <f t="shared" ref="N69" si="69">1/N68*1000000</f>
        <v>8474.5762711864409</v>
      </c>
      <c r="O69" s="253">
        <f>1/O68*1000000</f>
        <v>8333.3333333333339</v>
      </c>
      <c r="P69" s="253">
        <f t="shared" ref="P69" si="70">1/P68*1000000</f>
        <v>8196.7213114754104</v>
      </c>
      <c r="Q69" s="253">
        <f t="shared" ref="Q69" si="71">1/Q68*1000000</f>
        <v>8064.5161290322576</v>
      </c>
      <c r="R69" s="253">
        <f t="shared" ref="R69" si="72">1/R68*1000000</f>
        <v>7936.5079365079364</v>
      </c>
      <c r="S69" s="253">
        <f t="shared" ref="S69" si="73">1/S68*1000000</f>
        <v>7812.5</v>
      </c>
      <c r="T69" s="253">
        <f t="shared" ref="T69" si="74">1/T68*1000000</f>
        <v>7692.3076923076924</v>
      </c>
      <c r="U69" s="253">
        <f t="shared" ref="U69" si="75">1/U68*1000000</f>
        <v>7575.757575757576</v>
      </c>
      <c r="V69" s="253">
        <f t="shared" ref="V69" si="76">1/V68*1000000</f>
        <v>7462.686567164179</v>
      </c>
      <c r="W69" s="253">
        <f t="shared" ref="W69" si="77">1/W68*1000000</f>
        <v>7352.9411764705883</v>
      </c>
      <c r="X69" s="253">
        <f t="shared" ref="X69" si="78">1/X68*1000000</f>
        <v>7246.376811594203</v>
      </c>
      <c r="Y69" s="253">
        <f t="shared" ref="Y69" si="79">1/Y68*1000000</f>
        <v>7142.8571428571422</v>
      </c>
      <c r="Z69" s="253">
        <f t="shared" ref="Z69" si="80">1/Z68*1000000</f>
        <v>7042.2535211267605</v>
      </c>
      <c r="AA69" s="253">
        <f t="shared" ref="AA69" si="81">1/AA68*1000000</f>
        <v>6944.4444444444443</v>
      </c>
      <c r="AB69" s="253"/>
      <c r="AC69" s="253">
        <f>1/AC68*1000000</f>
        <v>20000</v>
      </c>
      <c r="AD69" s="253">
        <f t="shared" ref="AD69" si="82">1/AD68*1000000</f>
        <v>16666.666666666668</v>
      </c>
      <c r="AE69" s="253">
        <f t="shared" ref="AE69" si="83">1/AE68*1000000</f>
        <v>1250</v>
      </c>
      <c r="AF69" s="253">
        <f t="shared" ref="AF69" si="84">1/AF68*1000000</f>
        <v>1041.6666666666667</v>
      </c>
    </row>
    <row r="70" spans="2:36" x14ac:dyDescent="0.45">
      <c r="B70" s="236" t="s">
        <v>1269</v>
      </c>
      <c r="C70" s="254" t="s">
        <v>1274</v>
      </c>
      <c r="D70" s="236" t="s">
        <v>1</v>
      </c>
      <c r="E70" s="253">
        <f>E69-$C$66</f>
        <v>9360</v>
      </c>
      <c r="F70" s="253">
        <f>F69-$C$66</f>
        <v>9163.9215686274511</v>
      </c>
      <c r="G70" s="253">
        <f t="shared" ref="G70:AD70" si="85">G69-$C$66</f>
        <v>8975.3846153846152</v>
      </c>
      <c r="H70" s="253">
        <f t="shared" si="85"/>
        <v>8793.9622641509432</v>
      </c>
      <c r="I70" s="253">
        <f t="shared" si="85"/>
        <v>8619.2592592592591</v>
      </c>
      <c r="J70" s="253">
        <f t="shared" si="85"/>
        <v>8450.9090909090901</v>
      </c>
      <c r="K70" s="253">
        <f t="shared" si="85"/>
        <v>8288.5714285714275</v>
      </c>
      <c r="L70" s="253">
        <f t="shared" si="85"/>
        <v>8131.9298245614027</v>
      </c>
      <c r="M70" s="253">
        <f t="shared" si="85"/>
        <v>7980.689655172413</v>
      </c>
      <c r="N70" s="253">
        <f t="shared" si="85"/>
        <v>7834.5762711864409</v>
      </c>
      <c r="O70" s="253">
        <f>O69-$C$66</f>
        <v>7693.3333333333339</v>
      </c>
      <c r="P70" s="253">
        <f t="shared" si="85"/>
        <v>7556.7213114754104</v>
      </c>
      <c r="Q70" s="253">
        <f t="shared" ref="Q70" si="86">Q69-$C$66</f>
        <v>7424.5161290322576</v>
      </c>
      <c r="R70" s="253">
        <f t="shared" ref="R70" si="87">R69-$C$66</f>
        <v>7296.5079365079364</v>
      </c>
      <c r="S70" s="253">
        <f t="shared" ref="S70" si="88">S69-$C$66</f>
        <v>7172.5</v>
      </c>
      <c r="T70" s="253">
        <f t="shared" ref="T70" si="89">T69-$C$66</f>
        <v>7052.3076923076924</v>
      </c>
      <c r="U70" s="253">
        <f t="shared" ref="U70" si="90">U69-$C$66</f>
        <v>6935.757575757576</v>
      </c>
      <c r="V70" s="253">
        <f t="shared" ref="V70" si="91">V69-$C$66</f>
        <v>6822.686567164179</v>
      </c>
      <c r="W70" s="253">
        <f t="shared" ref="W70" si="92">W69-$C$66</f>
        <v>6712.9411764705883</v>
      </c>
      <c r="X70" s="253">
        <f t="shared" ref="X70" si="93">X69-$C$66</f>
        <v>6606.376811594203</v>
      </c>
      <c r="Y70" s="253">
        <f t="shared" ref="Y70" si="94">Y69-$C$66</f>
        <v>6502.8571428571422</v>
      </c>
      <c r="Z70" s="253">
        <f t="shared" ref="Z70" si="95">Z69-$C$66</f>
        <v>6402.2535211267605</v>
      </c>
      <c r="AA70" s="253">
        <f t="shared" ref="AA70" si="96">AA69-$C$66</f>
        <v>6304.4444444444443</v>
      </c>
      <c r="AB70" s="253"/>
      <c r="AC70" s="253">
        <f t="shared" si="85"/>
        <v>19360</v>
      </c>
      <c r="AD70" s="253">
        <f t="shared" si="85"/>
        <v>16026.666666666668</v>
      </c>
      <c r="AE70" s="253">
        <f>AE69-$C$65</f>
        <v>1230</v>
      </c>
      <c r="AF70" s="253">
        <f>AF69-$C$65</f>
        <v>1021.6666666666667</v>
      </c>
      <c r="AJ70" s="253"/>
    </row>
    <row r="71" spans="2:36" x14ac:dyDescent="0.45">
      <c r="B71" s="236"/>
      <c r="C71" s="236"/>
      <c r="D71" s="236"/>
      <c r="E71" s="234">
        <f t="shared" ref="E71:N71" si="97">1/E70*1000000</f>
        <v>106.83760683760684</v>
      </c>
      <c r="F71" s="234">
        <f t="shared" si="97"/>
        <v>109.12358781239301</v>
      </c>
      <c r="G71" s="234">
        <f t="shared" si="97"/>
        <v>111.41583818992116</v>
      </c>
      <c r="H71" s="234">
        <f t="shared" si="97"/>
        <v>113.71438379677309</v>
      </c>
      <c r="I71" s="234">
        <f t="shared" si="97"/>
        <v>116.01925060158131</v>
      </c>
      <c r="J71" s="234">
        <f t="shared" si="97"/>
        <v>118.3304647160069</v>
      </c>
      <c r="K71" s="234">
        <f t="shared" si="97"/>
        <v>120.64805239572563</v>
      </c>
      <c r="L71" s="234">
        <f t="shared" si="97"/>
        <v>122.97204004142216</v>
      </c>
      <c r="M71" s="234">
        <f t="shared" si="97"/>
        <v>125.30245419979262</v>
      </c>
      <c r="N71" s="234">
        <f t="shared" si="97"/>
        <v>127.6393215645552</v>
      </c>
      <c r="O71" s="234">
        <f>1/O70*1000000</f>
        <v>129.98266897746967</v>
      </c>
      <c r="P71" s="234">
        <f t="shared" ref="P71:AA71" si="98">1/P70*1000000</f>
        <v>132.33252342936481</v>
      </c>
      <c r="Q71" s="234">
        <f t="shared" si="98"/>
        <v>134.68891206117485</v>
      </c>
      <c r="R71" s="234">
        <f t="shared" si="98"/>
        <v>137.05186216498433</v>
      </c>
      <c r="S71" s="234">
        <f t="shared" si="98"/>
        <v>139.42140118508192</v>
      </c>
      <c r="T71" s="234">
        <f t="shared" si="98"/>
        <v>141.79755671902268</v>
      </c>
      <c r="U71" s="234">
        <f t="shared" si="98"/>
        <v>144.18035651869977</v>
      </c>
      <c r="V71" s="234">
        <f t="shared" si="98"/>
        <v>146.56982849142457</v>
      </c>
      <c r="W71" s="234">
        <f t="shared" si="98"/>
        <v>148.96600070101647</v>
      </c>
      <c r="X71" s="234">
        <f t="shared" si="98"/>
        <v>151.36890136890136</v>
      </c>
      <c r="Y71" s="234">
        <f t="shared" si="98"/>
        <v>153.77855887521972</v>
      </c>
      <c r="Z71" s="234">
        <f t="shared" si="98"/>
        <v>156.19500175994366</v>
      </c>
      <c r="AA71" s="234">
        <f t="shared" si="98"/>
        <v>158.61825872400422</v>
      </c>
    </row>
    <row r="72" spans="2:36" x14ac:dyDescent="0.45">
      <c r="B72" s="236"/>
      <c r="C72" s="236"/>
      <c r="D72" s="236"/>
    </row>
    <row r="73" spans="2:36" x14ac:dyDescent="0.45">
      <c r="B73" s="236" t="s">
        <v>1256</v>
      </c>
      <c r="C73" s="236" t="s">
        <v>1255</v>
      </c>
      <c r="D73" s="236" t="s">
        <v>1</v>
      </c>
      <c r="E73" s="240">
        <f t="shared" ref="E73:P73" si="99">E70/(2^$C$61)</f>
        <v>0.5712890625</v>
      </c>
      <c r="F73" s="240">
        <f t="shared" si="99"/>
        <v>0.55932138480392157</v>
      </c>
      <c r="G73" s="240">
        <f t="shared" si="99"/>
        <v>0.54781400240384615</v>
      </c>
      <c r="H73" s="240">
        <f t="shared" si="99"/>
        <v>0.53674086084905659</v>
      </c>
      <c r="I73" s="240">
        <f t="shared" si="99"/>
        <v>0.52607783564814814</v>
      </c>
      <c r="J73" s="240">
        <f t="shared" si="99"/>
        <v>0.51580255681818177</v>
      </c>
      <c r="K73" s="240">
        <f t="shared" si="99"/>
        <v>0.50589425223214279</v>
      </c>
      <c r="L73" s="240">
        <f t="shared" si="99"/>
        <v>0.4963336074561403</v>
      </c>
      <c r="M73" s="240">
        <f t="shared" si="99"/>
        <v>0.48710264008620685</v>
      </c>
      <c r="N73" s="240">
        <f t="shared" si="99"/>
        <v>0.47818458686440679</v>
      </c>
      <c r="O73" s="240">
        <f t="shared" si="99"/>
        <v>0.46956380208333337</v>
      </c>
      <c r="P73" s="240">
        <f t="shared" si="99"/>
        <v>0.46122566598360659</v>
      </c>
      <c r="Q73" s="240">
        <f t="shared" ref="Q73:AA73" si="100">Q70/(2^$C$61)</f>
        <v>0.453156502016129</v>
      </c>
      <c r="R73" s="240">
        <f t="shared" si="100"/>
        <v>0.44534350198412698</v>
      </c>
      <c r="S73" s="240">
        <f t="shared" si="100"/>
        <v>0.437774658203125</v>
      </c>
      <c r="T73" s="240">
        <f t="shared" si="100"/>
        <v>0.43043870192307693</v>
      </c>
      <c r="U73" s="240">
        <f t="shared" si="100"/>
        <v>0.42332504734848486</v>
      </c>
      <c r="V73" s="240">
        <f t="shared" si="100"/>
        <v>0.41642374067164178</v>
      </c>
      <c r="W73" s="240">
        <f t="shared" si="100"/>
        <v>0.40972541360294118</v>
      </c>
      <c r="X73" s="240">
        <f t="shared" si="100"/>
        <v>0.40322124094202899</v>
      </c>
      <c r="Y73" s="240">
        <f t="shared" si="100"/>
        <v>0.39690290178571425</v>
      </c>
      <c r="Z73" s="240">
        <f t="shared" si="100"/>
        <v>0.3907625440140845</v>
      </c>
      <c r="AA73" s="240">
        <f t="shared" si="100"/>
        <v>0.3847927517361111</v>
      </c>
      <c r="AB73" s="240"/>
      <c r="AC73" s="240">
        <f>AC70/(2^$C$61)</f>
        <v>1.181640625</v>
      </c>
      <c r="AD73" s="240">
        <f>AD70/(2^$C$61)</f>
        <v>0.97819010416666674</v>
      </c>
      <c r="AE73" s="240">
        <f>AE70/(2^$C$61/8)</f>
        <v>0.6005859375</v>
      </c>
      <c r="AF73" s="240">
        <f>AF70/(2^$C$61/8)</f>
        <v>0.49886067708333337</v>
      </c>
    </row>
    <row r="74" spans="2:36" x14ac:dyDescent="0.45">
      <c r="B74" s="307" t="s">
        <v>1295</v>
      </c>
      <c r="C74" s="398">
        <v>30</v>
      </c>
      <c r="D74" s="236" t="s">
        <v>5</v>
      </c>
      <c r="E74" s="350"/>
    </row>
    <row r="75" spans="2:36" x14ac:dyDescent="0.45">
      <c r="B75" s="307" t="s">
        <v>1159</v>
      </c>
      <c r="C75" s="399">
        <f>1/(O73/C74)</f>
        <v>63.889081455805886</v>
      </c>
      <c r="D75" s="236" t="s">
        <v>0</v>
      </c>
      <c r="E75" s="350"/>
    </row>
    <row r="76" spans="2:36" x14ac:dyDescent="0.45">
      <c r="B76" s="307"/>
      <c r="C76" s="236">
        <f>1/C75</f>
        <v>1.5652126736111112E-2</v>
      </c>
      <c r="D76" s="236" t="s">
        <v>1</v>
      </c>
    </row>
    <row r="77" spans="2:36" x14ac:dyDescent="0.45">
      <c r="B77" s="307"/>
      <c r="C77" s="236"/>
      <c r="D77" s="236"/>
    </row>
    <row r="78" spans="2:36" x14ac:dyDescent="0.45">
      <c r="B78" s="236" t="s">
        <v>1294</v>
      </c>
      <c r="C78" s="236" t="s">
        <v>1297</v>
      </c>
      <c r="D78" s="236" t="s">
        <v>5</v>
      </c>
      <c r="E78" s="253">
        <f t="shared" ref="E78:AF78" si="101">E73/$C$76</f>
        <v>36.499133448873479</v>
      </c>
      <c r="F78" s="253">
        <f t="shared" si="101"/>
        <v>35.734529513711898</v>
      </c>
      <c r="G78" s="253">
        <f t="shared" si="101"/>
        <v>34.99933342221037</v>
      </c>
      <c r="H78" s="253">
        <f t="shared" si="101"/>
        <v>34.291880579444751</v>
      </c>
      <c r="I78" s="253">
        <f t="shared" si="101"/>
        <v>33.610629693818602</v>
      </c>
      <c r="J78" s="253">
        <f t="shared" si="101"/>
        <v>32.954151567669761</v>
      </c>
      <c r="K78" s="253">
        <f t="shared" si="101"/>
        <v>32.321119088883378</v>
      </c>
      <c r="L78" s="253">
        <f t="shared" si="101"/>
        <v>31.710298276019333</v>
      </c>
      <c r="M78" s="253">
        <f t="shared" si="101"/>
        <v>31.120540249805767</v>
      </c>
      <c r="N78" s="253">
        <f t="shared" si="101"/>
        <v>30.550774021090973</v>
      </c>
      <c r="O78" s="253">
        <f>O73/$C$76</f>
        <v>30</v>
      </c>
      <c r="P78" s="253">
        <f t="shared" si="101"/>
        <v>29.467284143534961</v>
      </c>
      <c r="Q78" s="253">
        <f t="shared" ref="Q78:AA78" si="102">Q73/$C$76</f>
        <v>28.951752669536532</v>
      </c>
      <c r="R78" s="253">
        <f t="shared" si="102"/>
        <v>28.452587274077739</v>
      </c>
      <c r="S78" s="253">
        <f t="shared" si="102"/>
        <v>27.969020797227035</v>
      </c>
      <c r="T78" s="253">
        <f t="shared" si="102"/>
        <v>27.500333288894812</v>
      </c>
      <c r="U78" s="253">
        <f t="shared" si="102"/>
        <v>27.045848432330235</v>
      </c>
      <c r="V78" s="253">
        <f t="shared" si="102"/>
        <v>26.604930287901912</v>
      </c>
      <c r="W78" s="253">
        <f t="shared" si="102"/>
        <v>26.176980324192069</v>
      </c>
      <c r="X78" s="253">
        <f t="shared" si="102"/>
        <v>25.761434707256424</v>
      </c>
      <c r="Y78" s="253">
        <f t="shared" si="102"/>
        <v>25.357761822233222</v>
      </c>
      <c r="Z78" s="253">
        <f t="shared" si="102"/>
        <v>24.96546000439378</v>
      </c>
      <c r="AA78" s="253">
        <f t="shared" si="102"/>
        <v>24.584055459272097</v>
      </c>
      <c r="AB78" s="253"/>
      <c r="AC78" s="253">
        <f t="shared" si="101"/>
        <v>75.493934142114384</v>
      </c>
      <c r="AD78" s="253">
        <f t="shared" si="101"/>
        <v>62.495667244367418</v>
      </c>
      <c r="AE78" s="253">
        <f t="shared" si="101"/>
        <v>38.370883882149045</v>
      </c>
      <c r="AF78" s="253">
        <f t="shared" si="101"/>
        <v>31.871750433275565</v>
      </c>
    </row>
    <row r="79" spans="2:36" x14ac:dyDescent="0.45">
      <c r="B79" s="236"/>
      <c r="C79" s="236" t="s">
        <v>1269</v>
      </c>
      <c r="D79" s="236" t="s">
        <v>5</v>
      </c>
      <c r="E79" s="234">
        <f t="shared" ref="E79:G79" si="103">MROUND( (E78+0.499999*0),1)</f>
        <v>36</v>
      </c>
      <c r="F79" s="234">
        <f t="shared" si="103"/>
        <v>36</v>
      </c>
      <c r="G79" s="234">
        <f t="shared" si="103"/>
        <v>35</v>
      </c>
      <c r="H79" s="234">
        <f t="shared" ref="H79" si="104">MROUND( (H78+0.499999*0),1)</f>
        <v>34</v>
      </c>
      <c r="I79" s="234">
        <f t="shared" ref="I79" si="105">MROUND( (I78+0.499999*0),1)</f>
        <v>34</v>
      </c>
      <c r="J79" s="234">
        <f t="shared" ref="J79" si="106">MROUND( (J78+0.499999*0),1)</f>
        <v>33</v>
      </c>
      <c r="K79" s="234">
        <f t="shared" ref="K79" si="107">MROUND( (K78+0.499999*0),1)</f>
        <v>32</v>
      </c>
      <c r="L79" s="234">
        <f t="shared" ref="L79" si="108">MROUND( (L78+0.499999*0),1)</f>
        <v>32</v>
      </c>
      <c r="M79" s="234">
        <f t="shared" ref="M79" si="109">MROUND( (M78+0.499999*0),1)</f>
        <v>31</v>
      </c>
      <c r="N79" s="234">
        <f t="shared" ref="N79" si="110">MROUND( (N78+0.499999*0),1)</f>
        <v>31</v>
      </c>
      <c r="O79" s="234">
        <f t="shared" ref="O79" si="111">MROUND( (O78+0.499999*0),1)</f>
        <v>30</v>
      </c>
      <c r="P79" s="234">
        <f t="shared" ref="P79" si="112">MROUND( (P78+0.499999*0),1)</f>
        <v>29</v>
      </c>
      <c r="Q79" s="234">
        <f t="shared" ref="Q79" si="113">MROUND( (Q78+0.499999*0),1)</f>
        <v>29</v>
      </c>
      <c r="R79" s="234">
        <f t="shared" ref="R79" si="114">MROUND( (R78+0.499999*0),1)</f>
        <v>28</v>
      </c>
      <c r="S79" s="234">
        <f t="shared" ref="S79" si="115">MROUND( (S78+0.499999*0),1)</f>
        <v>28</v>
      </c>
      <c r="T79" s="234">
        <f t="shared" ref="T79" si="116">MROUND( (T78+0.499999*0),1)</f>
        <v>28</v>
      </c>
      <c r="U79" s="234">
        <f t="shared" ref="U79" si="117">MROUND( (U78+0.499999*0),1)</f>
        <v>27</v>
      </c>
      <c r="V79" s="234">
        <f t="shared" ref="V79" si="118">MROUND( (V78+0.499999*0),1)</f>
        <v>27</v>
      </c>
      <c r="W79" s="234">
        <f t="shared" ref="W79" si="119">MROUND( (W78+0.499999*0),1)</f>
        <v>26</v>
      </c>
      <c r="X79" s="234">
        <f t="shared" ref="X79" si="120">MROUND( (X78+0.499999*0),1)</f>
        <v>26</v>
      </c>
      <c r="Y79" s="234">
        <f t="shared" ref="Y79:AA79" si="121">MROUND( (Y78+0.499999*0),1)</f>
        <v>25</v>
      </c>
      <c r="Z79" s="234">
        <f t="shared" si="121"/>
        <v>25</v>
      </c>
      <c r="AA79" s="234">
        <f t="shared" si="121"/>
        <v>25</v>
      </c>
      <c r="AC79" s="234">
        <f t="shared" ref="AC79" si="122">MROUND( (AC78+0.499999*0),1)</f>
        <v>75</v>
      </c>
      <c r="AD79" s="234">
        <f t="shared" ref="AD79" si="123">MROUND( (AD78+0.499999*0),1)</f>
        <v>62</v>
      </c>
      <c r="AE79" s="234">
        <f t="shared" ref="AE79" si="124">MROUND( (AE78+0.499999*0),1)</f>
        <v>38</v>
      </c>
      <c r="AF79" s="234">
        <f t="shared" ref="AF79" si="125">MROUND( (AF78+0.499999*0),1)</f>
        <v>32</v>
      </c>
    </row>
    <row r="80" spans="2:36" x14ac:dyDescent="0.45">
      <c r="B80" s="236"/>
      <c r="C80" s="236" t="s">
        <v>1320</v>
      </c>
      <c r="D80" s="236" t="s">
        <v>903</v>
      </c>
      <c r="E80" s="350">
        <f>1/E79</f>
        <v>2.7777777777777776E-2</v>
      </c>
      <c r="F80" s="350">
        <f t="shared" ref="F80:P80" si="126">1/F79</f>
        <v>2.7777777777777776E-2</v>
      </c>
      <c r="G80" s="350">
        <f t="shared" si="126"/>
        <v>2.8571428571428571E-2</v>
      </c>
      <c r="H80" s="350">
        <f t="shared" si="126"/>
        <v>2.9411764705882353E-2</v>
      </c>
      <c r="I80" s="350">
        <f t="shared" si="126"/>
        <v>2.9411764705882353E-2</v>
      </c>
      <c r="J80" s="350">
        <f t="shared" si="126"/>
        <v>3.0303030303030304E-2</v>
      </c>
      <c r="K80" s="350">
        <f t="shared" si="126"/>
        <v>3.125E-2</v>
      </c>
      <c r="L80" s="350">
        <f t="shared" si="126"/>
        <v>3.125E-2</v>
      </c>
      <c r="M80" s="350">
        <f t="shared" si="126"/>
        <v>3.2258064516129031E-2</v>
      </c>
      <c r="N80" s="350">
        <f t="shared" si="126"/>
        <v>3.2258064516129031E-2</v>
      </c>
      <c r="O80" s="350">
        <f>1/O79</f>
        <v>3.3333333333333333E-2</v>
      </c>
      <c r="P80" s="350">
        <f t="shared" si="126"/>
        <v>3.4482758620689655E-2</v>
      </c>
      <c r="Q80" s="350">
        <f t="shared" ref="Q80:AA80" si="127">1/Q79</f>
        <v>3.4482758620689655E-2</v>
      </c>
      <c r="R80" s="350">
        <f t="shared" si="127"/>
        <v>3.5714285714285712E-2</v>
      </c>
      <c r="S80" s="350">
        <f t="shared" si="127"/>
        <v>3.5714285714285712E-2</v>
      </c>
      <c r="T80" s="350">
        <f t="shared" si="127"/>
        <v>3.5714285714285712E-2</v>
      </c>
      <c r="U80" s="350">
        <f t="shared" si="127"/>
        <v>3.7037037037037035E-2</v>
      </c>
      <c r="V80" s="350">
        <f t="shared" si="127"/>
        <v>3.7037037037037035E-2</v>
      </c>
      <c r="W80" s="350">
        <f t="shared" si="127"/>
        <v>3.8461538461538464E-2</v>
      </c>
      <c r="X80" s="350">
        <f t="shared" si="127"/>
        <v>3.8461538461538464E-2</v>
      </c>
      <c r="Y80" s="350">
        <f t="shared" si="127"/>
        <v>0.04</v>
      </c>
      <c r="Z80" s="350">
        <f t="shared" si="127"/>
        <v>0.04</v>
      </c>
      <c r="AA80" s="350">
        <f t="shared" si="127"/>
        <v>0.04</v>
      </c>
      <c r="AB80" s="350"/>
      <c r="AC80" s="350">
        <f>1/AC79</f>
        <v>1.3333333333333334E-2</v>
      </c>
      <c r="AD80" s="350">
        <f>1/AD79</f>
        <v>1.6129032258064516E-2</v>
      </c>
      <c r="AE80" s="350">
        <f>1/AE79</f>
        <v>2.6315789473684209E-2</v>
      </c>
      <c r="AF80" s="350">
        <f>1/AF79</f>
        <v>3.125E-2</v>
      </c>
      <c r="AG80" s="356">
        <f>MIN(E80:AF80)</f>
        <v>1.3333333333333334E-2</v>
      </c>
      <c r="AH80" s="356">
        <f>MAX(E80:AF80)</f>
        <v>0.04</v>
      </c>
    </row>
    <row r="81" spans="2:34" x14ac:dyDescent="0.45">
      <c r="B81" s="236" t="s">
        <v>2</v>
      </c>
      <c r="C81" s="236"/>
      <c r="D81" s="236"/>
      <c r="AG81" s="350"/>
      <c r="AH81" s="350"/>
    </row>
    <row r="82" spans="2:34" x14ac:dyDescent="0.45">
      <c r="B82" s="399">
        <f>SUM(E82:AF82)/27</f>
        <v>63.882409065210815</v>
      </c>
      <c r="C82" s="236" t="s">
        <v>1298</v>
      </c>
      <c r="D82" s="236" t="s">
        <v>0</v>
      </c>
      <c r="E82" s="242">
        <f>1/(E73/E79)</f>
        <v>63.015384615384619</v>
      </c>
      <c r="F82" s="242">
        <f t="shared" ref="F82:AF82" si="128">1/(F73/F79)</f>
        <v>64.363711057856904</v>
      </c>
      <c r="G82" s="242">
        <f t="shared" si="128"/>
        <v>63.890298251628394</v>
      </c>
      <c r="H82" s="242">
        <f t="shared" si="128"/>
        <v>63.345279780295222</v>
      </c>
      <c r="I82" s="242">
        <f t="shared" si="128"/>
        <v>64.629219663114469</v>
      </c>
      <c r="J82" s="242">
        <f t="shared" si="128"/>
        <v>63.977969018932875</v>
      </c>
      <c r="K82" s="242">
        <f t="shared" si="128"/>
        <v>63.254326094450199</v>
      </c>
      <c r="L82" s="242">
        <f t="shared" si="128"/>
        <v>64.472764929237144</v>
      </c>
      <c r="M82" s="242">
        <f t="shared" si="128"/>
        <v>63.641617697891462</v>
      </c>
      <c r="N82" s="242">
        <f t="shared" si="128"/>
        <v>64.828521979923849</v>
      </c>
      <c r="O82" s="242">
        <f t="shared" si="128"/>
        <v>63.889081455805886</v>
      </c>
      <c r="P82" s="242">
        <f t="shared" si="128"/>
        <v>62.87594585213467</v>
      </c>
      <c r="Q82" s="242">
        <f t="shared" ref="Q82:AA82" si="129">1/(Q73/Q79)</f>
        <v>63.995550921098378</v>
      </c>
      <c r="R82" s="242">
        <f t="shared" si="129"/>
        <v>62.872815871910902</v>
      </c>
      <c r="S82" s="242">
        <f t="shared" si="129"/>
        <v>63.9598466364587</v>
      </c>
      <c r="T82" s="242">
        <f t="shared" si="129"/>
        <v>65.049912739965094</v>
      </c>
      <c r="U82" s="242">
        <f t="shared" si="129"/>
        <v>63.780775952464175</v>
      </c>
      <c r="V82" s="242">
        <f t="shared" si="129"/>
        <v>64.837801890094497</v>
      </c>
      <c r="W82" s="242">
        <f t="shared" si="129"/>
        <v>63.457132842621803</v>
      </c>
      <c r="X82" s="242">
        <f t="shared" si="129"/>
        <v>64.480730080730083</v>
      </c>
      <c r="Y82" s="242">
        <f t="shared" si="129"/>
        <v>62.987697715289983</v>
      </c>
      <c r="Z82" s="242">
        <f t="shared" si="129"/>
        <v>63.977472720872932</v>
      </c>
      <c r="AA82" s="242">
        <f t="shared" si="129"/>
        <v>64.97003877335213</v>
      </c>
      <c r="AB82" s="242"/>
      <c r="AC82" s="242">
        <f t="shared" si="128"/>
        <v>63.471074380165291</v>
      </c>
      <c r="AD82" s="242">
        <f t="shared" si="128"/>
        <v>63.38236272878536</v>
      </c>
      <c r="AE82" s="242">
        <f t="shared" si="128"/>
        <v>63.271544715447149</v>
      </c>
      <c r="AF82" s="242">
        <f t="shared" si="128"/>
        <v>64.146166394779769</v>
      </c>
      <c r="AG82" s="385">
        <f>MIN(E82:AF82)</f>
        <v>62.872815871910902</v>
      </c>
      <c r="AH82" s="385">
        <f>MAX(E82:AF82)</f>
        <v>65.049912739965094</v>
      </c>
    </row>
    <row r="83" spans="2:34" x14ac:dyDescent="0.45">
      <c r="B83" s="236"/>
      <c r="C83" s="236" t="s">
        <v>902</v>
      </c>
      <c r="D83" s="236" t="s">
        <v>903</v>
      </c>
      <c r="E83" s="350">
        <f>(E82-$B$82)/$B$82</f>
        <v>-1.357219401261375E-2</v>
      </c>
      <c r="F83" s="350">
        <f t="shared" ref="F83:AD83" si="130">(F82-$B$82)/$B$82</f>
        <v>7.5341866358668115E-3</v>
      </c>
      <c r="G83" s="350">
        <f t="shared" si="130"/>
        <v>1.2349544315909413E-4</v>
      </c>
      <c r="H83" s="350">
        <f t="shared" si="130"/>
        <v>-8.4080937581313634E-3</v>
      </c>
      <c r="I83" s="350">
        <f t="shared" si="130"/>
        <v>1.1690395037252171E-2</v>
      </c>
      <c r="J83" s="350">
        <f t="shared" si="130"/>
        <v>1.4958727311694241E-3</v>
      </c>
      <c r="K83" s="350">
        <f t="shared" si="130"/>
        <v>-9.8318610702278347E-3</v>
      </c>
      <c r="L83" s="350">
        <f t="shared" si="130"/>
        <v>9.2412899366975405E-3</v>
      </c>
      <c r="M83" s="350">
        <f t="shared" si="130"/>
        <v>-3.7692906520409215E-3</v>
      </c>
      <c r="N83" s="350">
        <f t="shared" si="130"/>
        <v>1.4810225984859881E-2</v>
      </c>
      <c r="O83" s="350">
        <f t="shared" si="130"/>
        <v>1.0444801147464281E-4</v>
      </c>
      <c r="P83" s="350">
        <f t="shared" si="130"/>
        <v>-1.5754935166091704E-2</v>
      </c>
      <c r="Q83" s="350">
        <f t="shared" ref="Q83" si="131">(Q82-$B$82)/$B$82</f>
        <v>1.7710956356086654E-3</v>
      </c>
      <c r="R83" s="350">
        <f t="shared" ref="R83" si="132">(R82-$B$82)/$B$82</f>
        <v>-1.5803931130232211E-2</v>
      </c>
      <c r="S83" s="350">
        <f t="shared" ref="S83" si="133">(S82-$B$82)/$B$82</f>
        <v>1.2121892768451555E-3</v>
      </c>
      <c r="T83" s="350">
        <f t="shared" ref="T83" si="134">(T82-$B$82)/$B$82</f>
        <v>1.8275824156263387E-2</v>
      </c>
      <c r="U83" s="350">
        <f t="shared" ref="U83" si="135">(U82-$B$82)/$B$82</f>
        <v>-1.5909405145146229E-3</v>
      </c>
      <c r="V83" s="350">
        <f t="shared" ref="V83" si="136">(V82-$B$82)/$B$82</f>
        <v>1.4955491486058726E-2</v>
      </c>
      <c r="W83" s="350">
        <f t="shared" ref="W83" si="137">(W82-$B$82)/$B$82</f>
        <v>-6.6571725896387634E-3</v>
      </c>
      <c r="X83" s="350">
        <f t="shared" ref="X83" si="138">(X82-$B$82)/$B$82</f>
        <v>9.3659745190339504E-3</v>
      </c>
      <c r="Y83" s="350">
        <f t="shared" ref="Y83" si="139">(Y82-$B$82)/$B$82</f>
        <v>-1.4005598145297187E-2</v>
      </c>
      <c r="Z83" s="350">
        <f t="shared" ref="Z83" si="140">(Z82-$B$82)/$B$82</f>
        <v>1.4881037996716093E-3</v>
      </c>
      <c r="AA83" s="350">
        <f t="shared" ref="AA83" si="141">(AA82-$B$82)/$B$82</f>
        <v>1.7025496127283924E-2</v>
      </c>
      <c r="AB83" s="350"/>
      <c r="AC83" s="350">
        <f t="shared" si="130"/>
        <v>-6.438935085019042E-3</v>
      </c>
      <c r="AD83" s="350">
        <f t="shared" si="130"/>
        <v>-7.8276061241680968E-3</v>
      </c>
      <c r="AE83" s="350">
        <f t="shared" ref="AE83" si="142">(AE82-$B$82)/$B$82</f>
        <v>-9.5623248825838624E-3</v>
      </c>
      <c r="AF83" s="350">
        <f t="shared" ref="AF83" si="143">(AF82-$B$82)/$B$82</f>
        <v>4.1287943493131486E-3</v>
      </c>
      <c r="AG83" s="356">
        <f>MIN(E83:AF83)</f>
        <v>-1.5803931130232211E-2</v>
      </c>
      <c r="AH83" s="356">
        <f>MAX(E83:AF83)</f>
        <v>1.8275824156263387E-2</v>
      </c>
    </row>
    <row r="84" spans="2:34" x14ac:dyDescent="0.45">
      <c r="B84" s="236"/>
      <c r="C84" s="236"/>
      <c r="D84" s="236"/>
      <c r="E84" s="350"/>
      <c r="F84" s="350">
        <f>F83-E83</f>
        <v>2.1106380648480562E-2</v>
      </c>
      <c r="G84" s="350">
        <f t="shared" ref="G84" si="144">G83-F83</f>
        <v>-7.4106911927077175E-3</v>
      </c>
      <c r="H84" s="350">
        <f t="shared" ref="H84" si="145">H83-G83</f>
        <v>-8.5315892012904574E-3</v>
      </c>
      <c r="I84" s="350">
        <f t="shared" ref="I84" si="146">I83-H83</f>
        <v>2.0098488795383534E-2</v>
      </c>
      <c r="J84" s="350">
        <f t="shared" ref="J84" si="147">J83-I83</f>
        <v>-1.0194522306082747E-2</v>
      </c>
      <c r="K84" s="350">
        <f t="shared" ref="K84" si="148">K83-J83</f>
        <v>-1.1327733801397259E-2</v>
      </c>
      <c r="L84" s="350">
        <f t="shared" ref="L84" si="149">L83-K83</f>
        <v>1.9073151006925373E-2</v>
      </c>
      <c r="M84" s="350">
        <f t="shared" ref="M84" si="150">M83-L83</f>
        <v>-1.3010580588738462E-2</v>
      </c>
      <c r="N84" s="350">
        <f t="shared" ref="N84" si="151">N83-M83</f>
        <v>1.8579516636900804E-2</v>
      </c>
      <c r="O84" s="350">
        <f t="shared" ref="O84" si="152">O83-N83</f>
        <v>-1.4705777973385238E-2</v>
      </c>
      <c r="P84" s="350">
        <f t="shared" ref="P84" si="153">P83-O83</f>
        <v>-1.5859383177566348E-2</v>
      </c>
      <c r="Q84" s="350">
        <f t="shared" ref="Q84" si="154">Q83-P83</f>
        <v>1.7526030801700371E-2</v>
      </c>
      <c r="R84" s="350">
        <f t="shared" ref="R84" si="155">R83-Q83</f>
        <v>-1.7575026765840877E-2</v>
      </c>
      <c r="S84" s="350">
        <f t="shared" ref="S84" si="156">S83-R83</f>
        <v>1.7016120407077368E-2</v>
      </c>
      <c r="T84" s="350">
        <f t="shared" ref="T84" si="157">T83-S83</f>
        <v>1.706363487941823E-2</v>
      </c>
      <c r="U84" s="350">
        <f t="shared" ref="U84" si="158">U83-T83</f>
        <v>-1.9866764670778012E-2</v>
      </c>
      <c r="V84" s="350">
        <f t="shared" ref="V84" si="159">V83-U83</f>
        <v>1.654643200057335E-2</v>
      </c>
      <c r="W84" s="350">
        <f t="shared" ref="W84" si="160">W83-V83</f>
        <v>-2.161266407569749E-2</v>
      </c>
      <c r="X84" s="350">
        <f t="shared" ref="X84" si="161">X83-W83</f>
        <v>1.6023147108672715E-2</v>
      </c>
      <c r="Y84" s="350">
        <f t="shared" ref="Y84" si="162">Y83-X83</f>
        <v>-2.3371572664331139E-2</v>
      </c>
      <c r="Z84" s="350">
        <f t="shared" ref="Z84" si="163">Z83-Y83</f>
        <v>1.5493701944968796E-2</v>
      </c>
      <c r="AA84" s="350">
        <f t="shared" ref="AA84" si="164">AA83-Z83</f>
        <v>1.5537392327612315E-2</v>
      </c>
      <c r="AB84" s="350"/>
      <c r="AC84" s="350">
        <f>AC83-AA83</f>
        <v>-2.3464431212302968E-2</v>
      </c>
      <c r="AD84" s="350">
        <f t="shared" ref="AD84" si="165">AD83-AC83</f>
        <v>-1.3886710391490548E-3</v>
      </c>
      <c r="AE84" s="350">
        <f t="shared" ref="AE84" si="166">AE83-AD83</f>
        <v>-1.7347187584157656E-3</v>
      </c>
      <c r="AF84" s="350">
        <f t="shared" ref="AF84" si="167">AF83-AE83</f>
        <v>1.369111923189701E-2</v>
      </c>
      <c r="AG84" s="356">
        <f>MIN(E84:AF84)</f>
        <v>-2.3464431212302968E-2</v>
      </c>
      <c r="AH84" s="356">
        <f>MAX(E84:AF84)</f>
        <v>2.1106380648480562E-2</v>
      </c>
    </row>
    <row r="85" spans="2:34" x14ac:dyDescent="0.45">
      <c r="B85" s="236"/>
      <c r="C85" s="236"/>
      <c r="D85" s="236"/>
      <c r="AH85" s="350"/>
    </row>
    <row r="86" spans="2:34" x14ac:dyDescent="0.45">
      <c r="B86" s="236" t="s">
        <v>1315</v>
      </c>
      <c r="C86" s="236" t="s">
        <v>1294</v>
      </c>
      <c r="D86" s="236"/>
      <c r="AH86" s="350"/>
    </row>
    <row r="87" spans="2:34" x14ac:dyDescent="0.45">
      <c r="B87" s="236" t="s">
        <v>1249</v>
      </c>
      <c r="C87" s="355">
        <f>1-C89-C91</f>
        <v>0.65</v>
      </c>
      <c r="D87" s="236" t="s">
        <v>5</v>
      </c>
      <c r="E87" s="234">
        <f t="shared" ref="E87:AA87" si="168">MROUND(E$79*$C87,1)</f>
        <v>23</v>
      </c>
      <c r="F87" s="234">
        <f t="shared" si="168"/>
        <v>23</v>
      </c>
      <c r="G87" s="234">
        <f t="shared" si="168"/>
        <v>23</v>
      </c>
      <c r="H87" s="234">
        <f t="shared" si="168"/>
        <v>22</v>
      </c>
      <c r="I87" s="234">
        <f t="shared" si="168"/>
        <v>22</v>
      </c>
      <c r="J87" s="234">
        <f t="shared" si="168"/>
        <v>21</v>
      </c>
      <c r="K87" s="234">
        <f t="shared" si="168"/>
        <v>21</v>
      </c>
      <c r="L87" s="234">
        <f t="shared" si="168"/>
        <v>21</v>
      </c>
      <c r="M87" s="234">
        <f t="shared" si="168"/>
        <v>20</v>
      </c>
      <c r="N87" s="234">
        <f t="shared" si="168"/>
        <v>20</v>
      </c>
      <c r="O87" s="234">
        <f>MROUND(O$79*$C87,1)</f>
        <v>20</v>
      </c>
      <c r="P87" s="234">
        <f t="shared" si="168"/>
        <v>19</v>
      </c>
      <c r="Q87" s="234">
        <f t="shared" si="168"/>
        <v>19</v>
      </c>
      <c r="R87" s="234">
        <f t="shared" si="168"/>
        <v>18</v>
      </c>
      <c r="S87" s="234">
        <f t="shared" si="168"/>
        <v>18</v>
      </c>
      <c r="T87" s="234">
        <f t="shared" si="168"/>
        <v>18</v>
      </c>
      <c r="U87" s="234">
        <f t="shared" si="168"/>
        <v>18</v>
      </c>
      <c r="V87" s="234">
        <f t="shared" si="168"/>
        <v>18</v>
      </c>
      <c r="W87" s="234">
        <f t="shared" si="168"/>
        <v>17</v>
      </c>
      <c r="X87" s="234">
        <f t="shared" si="168"/>
        <v>17</v>
      </c>
      <c r="Y87" s="234">
        <f t="shared" si="168"/>
        <v>16</v>
      </c>
      <c r="Z87" s="234">
        <f t="shared" si="168"/>
        <v>16</v>
      </c>
      <c r="AA87" s="234">
        <f t="shared" si="168"/>
        <v>16</v>
      </c>
      <c r="AC87" s="234">
        <f>MROUND(AC$79*$C87,1)</f>
        <v>49</v>
      </c>
      <c r="AD87" s="234">
        <f>MROUND(AD$79*$C87,1)</f>
        <v>40</v>
      </c>
      <c r="AE87" s="234">
        <f>MROUND(AE$79*$C87,1)</f>
        <v>25</v>
      </c>
      <c r="AF87" s="234">
        <f>MROUND(AF$79*$C87,1)</f>
        <v>21</v>
      </c>
      <c r="AH87" s="350"/>
    </row>
    <row r="88" spans="2:34" x14ac:dyDescent="0.45">
      <c r="B88" s="236"/>
      <c r="C88" s="355"/>
      <c r="D88" s="236" t="s">
        <v>1</v>
      </c>
      <c r="E88" s="375">
        <f t="shared" ref="E88:L88" si="169">E87*(1/E$82)</f>
        <v>0.364990234375</v>
      </c>
      <c r="F88" s="375">
        <f t="shared" si="169"/>
        <v>0.35734421806917205</v>
      </c>
      <c r="G88" s="375">
        <f t="shared" si="169"/>
        <v>0.35999205872252743</v>
      </c>
      <c r="H88" s="375">
        <f t="shared" si="169"/>
        <v>0.34730290996115432</v>
      </c>
      <c r="I88" s="375">
        <f t="shared" si="169"/>
        <v>0.34040330541938996</v>
      </c>
      <c r="J88" s="375">
        <f t="shared" si="169"/>
        <v>0.32823799070247933</v>
      </c>
      <c r="K88" s="375">
        <f t="shared" si="169"/>
        <v>0.33199310302734369</v>
      </c>
      <c r="L88" s="375">
        <f t="shared" si="169"/>
        <v>0.32571892989309209</v>
      </c>
      <c r="M88" s="375">
        <f t="shared" ref="M88" si="170">M87*(1/M$82)</f>
        <v>0.31425976779755282</v>
      </c>
      <c r="N88" s="375">
        <f t="shared" ref="N88" si="171">N87*(1/N$82)</f>
        <v>0.30850618507381083</v>
      </c>
      <c r="O88" s="375">
        <f t="shared" ref="O88" si="172">O87*(1/O$82)</f>
        <v>0.31304253472222221</v>
      </c>
      <c r="P88" s="375">
        <f t="shared" ref="P88" si="173">P87*(1/P$82)</f>
        <v>0.30218233288581126</v>
      </c>
      <c r="Q88" s="375">
        <f t="shared" ref="Q88" si="174">Q87*(1/Q$82)</f>
        <v>0.29689563925194656</v>
      </c>
      <c r="R88" s="375">
        <f t="shared" ref="R88" si="175">R87*(1/R$82)</f>
        <v>0.28629225127551017</v>
      </c>
      <c r="S88" s="375">
        <f t="shared" ref="S88" si="176">S87*(1/S$82)</f>
        <v>0.2814265659877232</v>
      </c>
      <c r="T88" s="375">
        <f t="shared" ref="T88" si="177">T87*(1/T$82)</f>
        <v>0.27671059409340659</v>
      </c>
      <c r="U88" s="375">
        <f t="shared" ref="U88" si="178">U87*(1/U$82)</f>
        <v>0.2822166982323232</v>
      </c>
      <c r="V88" s="375">
        <f t="shared" ref="V88" si="179">V87*(1/V$82)</f>
        <v>0.27761582711442789</v>
      </c>
      <c r="W88" s="375">
        <f t="shared" ref="W88" si="180">W87*(1/W$82)</f>
        <v>0.26789738581730771</v>
      </c>
      <c r="X88" s="375">
        <f t="shared" ref="X88" si="181">X87*(1/X$82)</f>
        <v>0.26364465753901895</v>
      </c>
      <c r="Y88" s="375">
        <f t="shared" ref="Y88" si="182">Y87*(1/Y$82)</f>
        <v>0.25401785714285713</v>
      </c>
      <c r="Z88" s="375">
        <f t="shared" ref="Z88" si="183">Z87*(1/Z$82)</f>
        <v>0.2500880281690141</v>
      </c>
      <c r="AA88" s="375">
        <f t="shared" ref="AA88" si="184">AA87*(1/AA$82)</f>
        <v>0.24626736111111111</v>
      </c>
      <c r="AC88" s="375">
        <f>AC87*(1/AC$82)</f>
        <v>0.7720052083333333</v>
      </c>
      <c r="AD88" s="375">
        <f>AD87*(1/AD$82)</f>
        <v>0.63109038978494625</v>
      </c>
      <c r="AE88" s="375">
        <f>AE87*(1/AE$82)</f>
        <v>0.39512232730263164</v>
      </c>
      <c r="AF88" s="375">
        <f>AF87*(1/AF$82)</f>
        <v>0.3273773193359375</v>
      </c>
      <c r="AH88" s="350"/>
    </row>
    <row r="89" spans="2:34" x14ac:dyDescent="0.45">
      <c r="B89" s="236" t="s">
        <v>1250</v>
      </c>
      <c r="C89" s="355">
        <v>0.2</v>
      </c>
      <c r="D89" s="236" t="s">
        <v>5</v>
      </c>
      <c r="E89" s="234">
        <f t="shared" ref="E89:AA89" si="185">MROUND(E$79*$C89,1)</f>
        <v>7</v>
      </c>
      <c r="F89" s="234">
        <f t="shared" si="185"/>
        <v>7</v>
      </c>
      <c r="G89" s="234">
        <f t="shared" si="185"/>
        <v>7</v>
      </c>
      <c r="H89" s="234">
        <f t="shared" si="185"/>
        <v>7</v>
      </c>
      <c r="I89" s="234">
        <f t="shared" si="185"/>
        <v>7</v>
      </c>
      <c r="J89" s="234">
        <f t="shared" si="185"/>
        <v>7</v>
      </c>
      <c r="K89" s="234">
        <f t="shared" si="185"/>
        <v>6</v>
      </c>
      <c r="L89" s="234">
        <f t="shared" si="185"/>
        <v>6</v>
      </c>
      <c r="M89" s="234">
        <f t="shared" si="185"/>
        <v>6</v>
      </c>
      <c r="N89" s="234">
        <f t="shared" si="185"/>
        <v>6</v>
      </c>
      <c r="O89" s="234">
        <f t="shared" si="185"/>
        <v>6</v>
      </c>
      <c r="P89" s="234">
        <f t="shared" si="185"/>
        <v>6</v>
      </c>
      <c r="Q89" s="234">
        <f t="shared" si="185"/>
        <v>6</v>
      </c>
      <c r="R89" s="234">
        <f t="shared" si="185"/>
        <v>6</v>
      </c>
      <c r="S89" s="234">
        <f t="shared" si="185"/>
        <v>6</v>
      </c>
      <c r="T89" s="234">
        <f t="shared" si="185"/>
        <v>6</v>
      </c>
      <c r="U89" s="234">
        <f t="shared" si="185"/>
        <v>5</v>
      </c>
      <c r="V89" s="234">
        <f t="shared" si="185"/>
        <v>5</v>
      </c>
      <c r="W89" s="234">
        <f t="shared" si="185"/>
        <v>5</v>
      </c>
      <c r="X89" s="234">
        <f t="shared" si="185"/>
        <v>5</v>
      </c>
      <c r="Y89" s="234">
        <f t="shared" si="185"/>
        <v>5</v>
      </c>
      <c r="Z89" s="234">
        <f t="shared" si="185"/>
        <v>5</v>
      </c>
      <c r="AA89" s="234">
        <f t="shared" si="185"/>
        <v>5</v>
      </c>
      <c r="AC89" s="234">
        <f>MROUND(AC$79*$C89,1)</f>
        <v>15</v>
      </c>
      <c r="AD89" s="234">
        <f>MROUND(AD$79*$C89,1)</f>
        <v>12</v>
      </c>
      <c r="AE89" s="234">
        <f>MROUND(AE$79*$C89,1)</f>
        <v>8</v>
      </c>
      <c r="AF89" s="234">
        <f>MROUND(AF$79*$C89,1)</f>
        <v>6</v>
      </c>
      <c r="AG89" s="350"/>
      <c r="AH89" s="350"/>
    </row>
    <row r="90" spans="2:34" x14ac:dyDescent="0.45">
      <c r="B90" s="236"/>
      <c r="C90" s="355"/>
      <c r="D90" s="236" t="s">
        <v>1</v>
      </c>
      <c r="E90" s="375">
        <f>E89*(1/E$82)</f>
        <v>0.111083984375</v>
      </c>
      <c r="F90" s="375">
        <f t="shared" ref="F90:AF90" si="186">F89*(1/F$82)</f>
        <v>0.10875693593409584</v>
      </c>
      <c r="G90" s="375">
        <f t="shared" si="186"/>
        <v>0.10956280048076922</v>
      </c>
      <c r="H90" s="375">
        <f t="shared" si="186"/>
        <v>0.11050547135127636</v>
      </c>
      <c r="I90" s="375">
        <f t="shared" si="186"/>
        <v>0.10831014263344227</v>
      </c>
      <c r="J90" s="375">
        <f t="shared" si="186"/>
        <v>0.10941266356749312</v>
      </c>
      <c r="K90" s="375">
        <f t="shared" si="186"/>
        <v>9.4855172293526774E-2</v>
      </c>
      <c r="L90" s="375">
        <f t="shared" si="186"/>
        <v>9.3062551398026314E-2</v>
      </c>
      <c r="M90" s="375">
        <f t="shared" si="186"/>
        <v>9.4277930339265847E-2</v>
      </c>
      <c r="N90" s="375">
        <f t="shared" si="186"/>
        <v>9.2551855522143248E-2</v>
      </c>
      <c r="O90" s="375">
        <f t="shared" si="186"/>
        <v>9.3912760416666671E-2</v>
      </c>
      <c r="P90" s="375">
        <f t="shared" si="186"/>
        <v>9.5425999858677224E-2</v>
      </c>
      <c r="Q90" s="375">
        <f t="shared" ref="Q90" si="187">Q89*(1/Q$82)</f>
        <v>9.3756517658509439E-2</v>
      </c>
      <c r="R90" s="375">
        <f t="shared" ref="R90" si="188">R89*(1/R$82)</f>
        <v>9.5430750425170061E-2</v>
      </c>
      <c r="S90" s="375">
        <f t="shared" ref="S90" si="189">S89*(1/S$82)</f>
        <v>9.3808855329241075E-2</v>
      </c>
      <c r="T90" s="375">
        <f t="shared" ref="T90" si="190">T89*(1/T$82)</f>
        <v>9.2236864697802207E-2</v>
      </c>
      <c r="U90" s="375">
        <f t="shared" ref="U90" si="191">U89*(1/U$82)</f>
        <v>7.8393527286756443E-2</v>
      </c>
      <c r="V90" s="375">
        <f t="shared" ref="V90" si="192">V89*(1/V$82)</f>
        <v>7.7115507531785532E-2</v>
      </c>
      <c r="W90" s="375">
        <f t="shared" ref="W90" si="193">W89*(1/W$82)</f>
        <v>7.8793348769796379E-2</v>
      </c>
      <c r="X90" s="375">
        <f t="shared" ref="X90" si="194">X89*(1/X$82)</f>
        <v>7.7542546335005569E-2</v>
      </c>
      <c r="Y90" s="375">
        <f t="shared" ref="Y90" si="195">Y89*(1/Y$82)</f>
        <v>7.9380580357142849E-2</v>
      </c>
      <c r="Z90" s="375">
        <f t="shared" ref="Z90" si="196">Z89*(1/Z$82)</f>
        <v>7.8152508802816906E-2</v>
      </c>
      <c r="AA90" s="375">
        <f t="shared" ref="AA90" si="197">AA89*(1/AA$82)</f>
        <v>7.6958550347222224E-2</v>
      </c>
      <c r="AC90" s="375">
        <f t="shared" si="186"/>
        <v>0.236328125</v>
      </c>
      <c r="AD90" s="375">
        <f t="shared" si="186"/>
        <v>0.18932711693548387</v>
      </c>
      <c r="AE90" s="375">
        <f t="shared" si="186"/>
        <v>0.12643914473684212</v>
      </c>
      <c r="AF90" s="375">
        <f t="shared" si="186"/>
        <v>9.3536376953125E-2</v>
      </c>
      <c r="AG90" s="350"/>
      <c r="AH90" s="350"/>
    </row>
    <row r="91" spans="2:34" x14ac:dyDescent="0.45">
      <c r="B91" s="236" t="s">
        <v>1251</v>
      </c>
      <c r="C91" s="355">
        <v>0.15</v>
      </c>
      <c r="D91" s="236" t="s">
        <v>5</v>
      </c>
      <c r="E91" s="234">
        <f t="shared" ref="E91:AA91" si="198">MROUND(E$79*$C91,1)</f>
        <v>5</v>
      </c>
      <c r="F91" s="234">
        <f t="shared" si="198"/>
        <v>5</v>
      </c>
      <c r="G91" s="234">
        <f t="shared" si="198"/>
        <v>5</v>
      </c>
      <c r="H91" s="234">
        <f t="shared" si="198"/>
        <v>5</v>
      </c>
      <c r="I91" s="234">
        <f t="shared" si="198"/>
        <v>5</v>
      </c>
      <c r="J91" s="234">
        <f t="shared" si="198"/>
        <v>5</v>
      </c>
      <c r="K91" s="234">
        <f t="shared" si="198"/>
        <v>5</v>
      </c>
      <c r="L91" s="234">
        <f t="shared" si="198"/>
        <v>5</v>
      </c>
      <c r="M91" s="234">
        <f t="shared" si="198"/>
        <v>5</v>
      </c>
      <c r="N91" s="234">
        <f t="shared" si="198"/>
        <v>5</v>
      </c>
      <c r="O91" s="234">
        <f t="shared" si="198"/>
        <v>5</v>
      </c>
      <c r="P91" s="234">
        <f t="shared" si="198"/>
        <v>4</v>
      </c>
      <c r="Q91" s="234">
        <f t="shared" si="198"/>
        <v>4</v>
      </c>
      <c r="R91" s="234">
        <f t="shared" si="198"/>
        <v>4</v>
      </c>
      <c r="S91" s="234">
        <f t="shared" si="198"/>
        <v>4</v>
      </c>
      <c r="T91" s="234">
        <f t="shared" si="198"/>
        <v>4</v>
      </c>
      <c r="U91" s="234">
        <f t="shared" si="198"/>
        <v>4</v>
      </c>
      <c r="V91" s="234">
        <f t="shared" si="198"/>
        <v>4</v>
      </c>
      <c r="W91" s="234">
        <f t="shared" si="198"/>
        <v>4</v>
      </c>
      <c r="X91" s="234">
        <f t="shared" si="198"/>
        <v>4</v>
      </c>
      <c r="Y91" s="234">
        <f t="shared" si="198"/>
        <v>4</v>
      </c>
      <c r="Z91" s="234">
        <f t="shared" si="198"/>
        <v>4</v>
      </c>
      <c r="AA91" s="234">
        <f t="shared" si="198"/>
        <v>4</v>
      </c>
      <c r="AC91" s="234">
        <f>MROUND(AC$79*$C91,1)</f>
        <v>11</v>
      </c>
      <c r="AD91" s="234">
        <f>MROUND(AD$79*$C91,1)</f>
        <v>9</v>
      </c>
      <c r="AE91" s="234">
        <f>MROUND(AE$79*$C91,1)</f>
        <v>6</v>
      </c>
      <c r="AF91" s="234">
        <f>MROUND(AF$79*$C91,1)</f>
        <v>5</v>
      </c>
      <c r="AG91" s="350"/>
      <c r="AH91" s="350"/>
    </row>
    <row r="92" spans="2:34" x14ac:dyDescent="0.45">
      <c r="B92" s="236"/>
      <c r="C92" s="355"/>
      <c r="D92" s="236" t="s">
        <v>1</v>
      </c>
      <c r="E92" s="375">
        <f>E91*(1/E$82)</f>
        <v>7.9345703125E-2</v>
      </c>
      <c r="F92" s="375">
        <f t="shared" ref="F92:AF92" si="199">F91*(1/F$82)</f>
        <v>7.7683525667211317E-2</v>
      </c>
      <c r="G92" s="375">
        <f t="shared" si="199"/>
        <v>7.8259143200549441E-2</v>
      </c>
      <c r="H92" s="375">
        <f t="shared" si="199"/>
        <v>7.893247953662598E-2</v>
      </c>
      <c r="I92" s="375">
        <f t="shared" si="199"/>
        <v>7.73643875953159E-2</v>
      </c>
      <c r="J92" s="375">
        <f t="shared" si="199"/>
        <v>7.8151902548209362E-2</v>
      </c>
      <c r="K92" s="375">
        <f t="shared" si="199"/>
        <v>7.9045976911272312E-2</v>
      </c>
      <c r="L92" s="375">
        <f t="shared" si="199"/>
        <v>7.7552126165021926E-2</v>
      </c>
      <c r="M92" s="375">
        <f t="shared" si="199"/>
        <v>7.8564941949388206E-2</v>
      </c>
      <c r="N92" s="375">
        <f t="shared" si="199"/>
        <v>7.7126546268452709E-2</v>
      </c>
      <c r="O92" s="375">
        <f t="shared" si="199"/>
        <v>7.8260633680555552E-2</v>
      </c>
      <c r="P92" s="375">
        <f t="shared" si="199"/>
        <v>6.3617333239118154E-2</v>
      </c>
      <c r="Q92" s="375">
        <f t="shared" ref="Q92" si="200">Q91*(1/Q$82)</f>
        <v>6.2504345105672959E-2</v>
      </c>
      <c r="R92" s="375">
        <f t="shared" ref="R92" si="201">R91*(1/R$82)</f>
        <v>6.3620500283446707E-2</v>
      </c>
      <c r="S92" s="375">
        <f t="shared" ref="S92" si="202">S91*(1/S$82)</f>
        <v>6.2539236886160712E-2</v>
      </c>
      <c r="T92" s="375">
        <f t="shared" ref="T92" si="203">T91*(1/T$82)</f>
        <v>6.1491243131868135E-2</v>
      </c>
      <c r="U92" s="375">
        <f t="shared" ref="U92" si="204">U91*(1/U$82)</f>
        <v>6.271482182940516E-2</v>
      </c>
      <c r="V92" s="375">
        <f t="shared" ref="V92" si="205">V91*(1/V$82)</f>
        <v>6.1692406025428422E-2</v>
      </c>
      <c r="W92" s="375">
        <f t="shared" ref="W92" si="206">W91*(1/W$82)</f>
        <v>6.3034679015837106E-2</v>
      </c>
      <c r="X92" s="375">
        <f t="shared" ref="X92" si="207">X91*(1/X$82)</f>
        <v>6.2034037068004456E-2</v>
      </c>
      <c r="Y92" s="375">
        <f t="shared" ref="Y92" si="208">Y91*(1/Y$82)</f>
        <v>6.3504464285714282E-2</v>
      </c>
      <c r="Z92" s="375">
        <f t="shared" ref="Z92" si="209">Z91*(1/Z$82)</f>
        <v>6.2522007042253525E-2</v>
      </c>
      <c r="AA92" s="375">
        <f t="shared" ref="AA92" si="210">AA91*(1/AA$82)</f>
        <v>6.1566840277777778E-2</v>
      </c>
      <c r="AC92" s="375">
        <f t="shared" si="199"/>
        <v>0.17330729166666667</v>
      </c>
      <c r="AD92" s="375">
        <f t="shared" si="199"/>
        <v>0.14199533770161291</v>
      </c>
      <c r="AE92" s="375">
        <f t="shared" si="199"/>
        <v>9.4829358552631582E-2</v>
      </c>
      <c r="AF92" s="375">
        <f t="shared" si="199"/>
        <v>7.7946980794270843E-2</v>
      </c>
      <c r="AG92" s="385">
        <f>MIN(E92:AF92)</f>
        <v>6.1491243131868135E-2</v>
      </c>
      <c r="AH92" s="350"/>
    </row>
    <row r="93" spans="2:34" x14ac:dyDescent="0.45">
      <c r="B93" s="236"/>
      <c r="C93" s="355" t="s">
        <v>1348</v>
      </c>
      <c r="D93" s="236" t="s">
        <v>5</v>
      </c>
      <c r="E93" s="400">
        <f>E79-E87-E89-E91</f>
        <v>1</v>
      </c>
      <c r="F93" s="400">
        <f t="shared" ref="F93:AF93" si="211">F79-F87-F89-F91</f>
        <v>1</v>
      </c>
      <c r="G93" s="400">
        <f t="shared" si="211"/>
        <v>0</v>
      </c>
      <c r="H93" s="400">
        <f t="shared" si="211"/>
        <v>0</v>
      </c>
      <c r="I93" s="400">
        <f t="shared" si="211"/>
        <v>0</v>
      </c>
      <c r="J93" s="400">
        <f t="shared" si="211"/>
        <v>0</v>
      </c>
      <c r="K93" s="400">
        <f t="shared" si="211"/>
        <v>0</v>
      </c>
      <c r="L93" s="400">
        <f t="shared" si="211"/>
        <v>0</v>
      </c>
      <c r="M93" s="400">
        <f t="shared" si="211"/>
        <v>0</v>
      </c>
      <c r="N93" s="400">
        <f t="shared" si="211"/>
        <v>0</v>
      </c>
      <c r="O93" s="400">
        <f t="shared" si="211"/>
        <v>-1</v>
      </c>
      <c r="P93" s="400">
        <f t="shared" si="211"/>
        <v>0</v>
      </c>
      <c r="Q93" s="400">
        <f t="shared" si="211"/>
        <v>0</v>
      </c>
      <c r="R93" s="400">
        <f t="shared" si="211"/>
        <v>0</v>
      </c>
      <c r="S93" s="400">
        <f t="shared" si="211"/>
        <v>0</v>
      </c>
      <c r="T93" s="400">
        <f t="shared" si="211"/>
        <v>0</v>
      </c>
      <c r="U93" s="400">
        <f t="shared" si="211"/>
        <v>0</v>
      </c>
      <c r="V93" s="400">
        <f t="shared" si="211"/>
        <v>0</v>
      </c>
      <c r="W93" s="400">
        <f t="shared" si="211"/>
        <v>0</v>
      </c>
      <c r="X93" s="400">
        <f t="shared" si="211"/>
        <v>0</v>
      </c>
      <c r="Y93" s="400">
        <f t="shared" si="211"/>
        <v>0</v>
      </c>
      <c r="Z93" s="400">
        <f t="shared" si="211"/>
        <v>0</v>
      </c>
      <c r="AA93" s="400">
        <f t="shared" si="211"/>
        <v>0</v>
      </c>
      <c r="AC93" s="400">
        <f t="shared" si="211"/>
        <v>0</v>
      </c>
      <c r="AD93" s="400">
        <f t="shared" si="211"/>
        <v>1</v>
      </c>
      <c r="AE93" s="400">
        <f t="shared" si="211"/>
        <v>-1</v>
      </c>
      <c r="AF93" s="400">
        <f t="shared" si="211"/>
        <v>0</v>
      </c>
      <c r="AG93" s="350"/>
      <c r="AH93" s="350"/>
    </row>
    <row r="94" spans="2:34" x14ac:dyDescent="0.45">
      <c r="B94" s="236" t="s">
        <v>902</v>
      </c>
      <c r="C94" s="236" t="s">
        <v>1249</v>
      </c>
      <c r="D94" s="236" t="s">
        <v>903</v>
      </c>
      <c r="E94" s="350">
        <f>$C87-E87/E$79</f>
        <v>1.1111111111111183E-2</v>
      </c>
      <c r="F94" s="350">
        <f t="shared" ref="F94:AF94" si="212">$C87-F87/F$79</f>
        <v>1.1111111111111183E-2</v>
      </c>
      <c r="G94" s="350">
        <f t="shared" si="212"/>
        <v>-7.1428571428571175E-3</v>
      </c>
      <c r="H94" s="350">
        <f t="shared" si="212"/>
        <v>2.9411764705882248E-3</v>
      </c>
      <c r="I94" s="350">
        <f t="shared" si="212"/>
        <v>2.9411764705882248E-3</v>
      </c>
      <c r="J94" s="350">
        <f t="shared" si="212"/>
        <v>1.3636363636363669E-2</v>
      </c>
      <c r="K94" s="350">
        <f t="shared" si="212"/>
        <v>-6.2499999999999778E-3</v>
      </c>
      <c r="L94" s="350">
        <f t="shared" si="212"/>
        <v>-6.2499999999999778E-3</v>
      </c>
      <c r="M94" s="350">
        <f t="shared" si="212"/>
        <v>4.8387096774193949E-3</v>
      </c>
      <c r="N94" s="350">
        <f t="shared" si="212"/>
        <v>4.8387096774193949E-3</v>
      </c>
      <c r="O94" s="350">
        <f t="shared" si="212"/>
        <v>-1.6666666666666607E-2</v>
      </c>
      <c r="P94" s="350">
        <f>$C87-P87/P$79</f>
        <v>-5.1724137931034031E-3</v>
      </c>
      <c r="Q94" s="350">
        <f t="shared" ref="Q94:AA94" si="213">$C87-Q87/Q$79</f>
        <v>-5.1724137931034031E-3</v>
      </c>
      <c r="R94" s="350">
        <f t="shared" si="213"/>
        <v>7.1428571428571175E-3</v>
      </c>
      <c r="S94" s="350">
        <f t="shared" si="213"/>
        <v>7.1428571428571175E-3</v>
      </c>
      <c r="T94" s="350">
        <f t="shared" si="213"/>
        <v>7.1428571428571175E-3</v>
      </c>
      <c r="U94" s="350">
        <f t="shared" si="213"/>
        <v>-1.6666666666666607E-2</v>
      </c>
      <c r="V94" s="350">
        <f t="shared" si="213"/>
        <v>-1.6666666666666607E-2</v>
      </c>
      <c r="W94" s="350">
        <f t="shared" si="213"/>
        <v>-3.8461538461538325E-3</v>
      </c>
      <c r="X94" s="350">
        <f t="shared" si="213"/>
        <v>-3.8461538461538325E-3</v>
      </c>
      <c r="Y94" s="350">
        <f t="shared" si="213"/>
        <v>1.0000000000000009E-2</v>
      </c>
      <c r="Z94" s="350">
        <f t="shared" si="213"/>
        <v>1.0000000000000009E-2</v>
      </c>
      <c r="AA94" s="350">
        <f t="shared" si="213"/>
        <v>1.0000000000000009E-2</v>
      </c>
      <c r="AC94" s="350">
        <f t="shared" si="212"/>
        <v>-3.3333333333332993E-3</v>
      </c>
      <c r="AD94" s="350">
        <f t="shared" si="212"/>
        <v>4.8387096774193949E-3</v>
      </c>
      <c r="AE94" s="350">
        <f t="shared" si="212"/>
        <v>-7.8947368421052877E-3</v>
      </c>
      <c r="AF94" s="350">
        <f t="shared" si="212"/>
        <v>-6.2499999999999778E-3</v>
      </c>
      <c r="AG94" s="356">
        <f>MIN(E94:AA94)</f>
        <v>-1.6666666666666607E-2</v>
      </c>
      <c r="AH94" s="356">
        <f>MAX(E94:AA94)</f>
        <v>1.3636363636363669E-2</v>
      </c>
    </row>
    <row r="95" spans="2:34" x14ac:dyDescent="0.45">
      <c r="B95" s="236"/>
      <c r="C95" s="236" t="s">
        <v>1250</v>
      </c>
      <c r="D95" s="236" t="s">
        <v>903</v>
      </c>
      <c r="E95" s="350">
        <f>$C89-E89/E$79</f>
        <v>5.5555555555555636E-3</v>
      </c>
      <c r="F95" s="350">
        <f t="shared" ref="F95:AF95" si="214">$C89-F89/F$79</f>
        <v>5.5555555555555636E-3</v>
      </c>
      <c r="G95" s="350">
        <f t="shared" si="214"/>
        <v>0</v>
      </c>
      <c r="H95" s="350">
        <f t="shared" si="214"/>
        <v>-5.8823529411764497E-3</v>
      </c>
      <c r="I95" s="350">
        <f t="shared" si="214"/>
        <v>-5.8823529411764497E-3</v>
      </c>
      <c r="J95" s="350">
        <f t="shared" si="214"/>
        <v>-1.2121212121212116E-2</v>
      </c>
      <c r="K95" s="350">
        <f t="shared" si="214"/>
        <v>1.2500000000000011E-2</v>
      </c>
      <c r="L95" s="350">
        <f t="shared" si="214"/>
        <v>1.2500000000000011E-2</v>
      </c>
      <c r="M95" s="350">
        <f t="shared" si="214"/>
        <v>6.4516129032258229E-3</v>
      </c>
      <c r="N95" s="350">
        <f t="shared" si="214"/>
        <v>6.4516129032258229E-3</v>
      </c>
      <c r="O95" s="350">
        <f t="shared" si="214"/>
        <v>0</v>
      </c>
      <c r="P95" s="350">
        <f t="shared" si="214"/>
        <v>-6.8965517241379171E-3</v>
      </c>
      <c r="Q95" s="350">
        <f t="shared" ref="Q95:AA95" si="215">$C89-Q89/Q$79</f>
        <v>-6.8965517241379171E-3</v>
      </c>
      <c r="R95" s="350">
        <f t="shared" si="215"/>
        <v>-1.4285714285714263E-2</v>
      </c>
      <c r="S95" s="350">
        <f t="shared" si="215"/>
        <v>-1.4285714285714263E-2</v>
      </c>
      <c r="T95" s="350">
        <f t="shared" si="215"/>
        <v>-1.4285714285714263E-2</v>
      </c>
      <c r="U95" s="350">
        <f t="shared" si="215"/>
        <v>1.4814814814814836E-2</v>
      </c>
      <c r="V95" s="350">
        <f t="shared" si="215"/>
        <v>1.4814814814814836E-2</v>
      </c>
      <c r="W95" s="350">
        <f t="shared" si="215"/>
        <v>7.6923076923076927E-3</v>
      </c>
      <c r="X95" s="350">
        <f t="shared" si="215"/>
        <v>7.6923076923076927E-3</v>
      </c>
      <c r="Y95" s="350">
        <f t="shared" si="215"/>
        <v>0</v>
      </c>
      <c r="Z95" s="350">
        <f t="shared" si="215"/>
        <v>0</v>
      </c>
      <c r="AA95" s="350">
        <f t="shared" si="215"/>
        <v>0</v>
      </c>
      <c r="AC95" s="350">
        <f t="shared" si="214"/>
        <v>0</v>
      </c>
      <c r="AD95" s="350">
        <f t="shared" si="214"/>
        <v>6.4516129032258229E-3</v>
      </c>
      <c r="AE95" s="350">
        <f t="shared" si="214"/>
        <v>-1.0526315789473661E-2</v>
      </c>
      <c r="AF95" s="350">
        <f t="shared" si="214"/>
        <v>1.2500000000000011E-2</v>
      </c>
      <c r="AG95" s="356">
        <f t="shared" ref="AG95:AG99" si="216">MIN(E95:AA95)</f>
        <v>-1.4285714285714263E-2</v>
      </c>
      <c r="AH95" s="356">
        <f t="shared" ref="AH95:AH99" si="217">MAX(E95:AA95)</f>
        <v>1.4814814814814836E-2</v>
      </c>
    </row>
    <row r="96" spans="2:34" x14ac:dyDescent="0.45">
      <c r="B96" s="236"/>
      <c r="C96" s="236" t="s">
        <v>1251</v>
      </c>
      <c r="D96" s="236" t="s">
        <v>903</v>
      </c>
      <c r="E96" s="350">
        <f>$C91-E91/E$79</f>
        <v>1.1111111111111099E-2</v>
      </c>
      <c r="F96" s="350">
        <f t="shared" ref="F96:AF96" si="218">$C91-F91/F$79</f>
        <v>1.1111111111111099E-2</v>
      </c>
      <c r="G96" s="350">
        <f t="shared" si="218"/>
        <v>7.1428571428571452E-3</v>
      </c>
      <c r="H96" s="350">
        <f t="shared" si="218"/>
        <v>2.9411764705882248E-3</v>
      </c>
      <c r="I96" s="350">
        <f t="shared" si="218"/>
        <v>2.9411764705882248E-3</v>
      </c>
      <c r="J96" s="350">
        <f t="shared" si="218"/>
        <v>-1.5151515151515249E-3</v>
      </c>
      <c r="K96" s="350">
        <f t="shared" si="218"/>
        <v>-6.2500000000000056E-3</v>
      </c>
      <c r="L96" s="350">
        <f t="shared" si="218"/>
        <v>-6.2500000000000056E-3</v>
      </c>
      <c r="M96" s="350">
        <f t="shared" si="218"/>
        <v>-1.1290322580645162E-2</v>
      </c>
      <c r="N96" s="350">
        <f t="shared" si="218"/>
        <v>-1.1290322580645162E-2</v>
      </c>
      <c r="O96" s="350">
        <f t="shared" si="218"/>
        <v>-1.6666666666666663E-2</v>
      </c>
      <c r="P96" s="350">
        <f t="shared" si="218"/>
        <v>1.2068965517241376E-2</v>
      </c>
      <c r="Q96" s="350">
        <f t="shared" ref="Q96:AA96" si="219">$C91-Q91/Q$79</f>
        <v>1.2068965517241376E-2</v>
      </c>
      <c r="R96" s="350">
        <f t="shared" si="219"/>
        <v>7.1428571428571452E-3</v>
      </c>
      <c r="S96" s="350">
        <f t="shared" si="219"/>
        <v>7.1428571428571452E-3</v>
      </c>
      <c r="T96" s="350">
        <f t="shared" si="219"/>
        <v>7.1428571428571452E-3</v>
      </c>
      <c r="U96" s="350">
        <f t="shared" si="219"/>
        <v>1.8518518518518545E-3</v>
      </c>
      <c r="V96" s="350">
        <f t="shared" si="219"/>
        <v>1.8518518518518545E-3</v>
      </c>
      <c r="W96" s="350">
        <f t="shared" si="219"/>
        <v>-3.8461538461538602E-3</v>
      </c>
      <c r="X96" s="350">
        <f t="shared" si="219"/>
        <v>-3.8461538461538602E-3</v>
      </c>
      <c r="Y96" s="350">
        <f t="shared" si="219"/>
        <v>-1.0000000000000009E-2</v>
      </c>
      <c r="Z96" s="350">
        <f t="shared" si="219"/>
        <v>-1.0000000000000009E-2</v>
      </c>
      <c r="AA96" s="350">
        <f t="shared" si="219"/>
        <v>-1.0000000000000009E-2</v>
      </c>
      <c r="AC96" s="350">
        <f t="shared" si="218"/>
        <v>3.333333333333327E-3</v>
      </c>
      <c r="AD96" s="350">
        <f t="shared" si="218"/>
        <v>4.8387096774193394E-3</v>
      </c>
      <c r="AE96" s="350">
        <f t="shared" si="218"/>
        <v>-7.8947368421052599E-3</v>
      </c>
      <c r="AF96" s="350">
        <f t="shared" si="218"/>
        <v>-6.2500000000000056E-3</v>
      </c>
      <c r="AG96" s="356">
        <f t="shared" si="216"/>
        <v>-1.6666666666666663E-2</v>
      </c>
      <c r="AH96" s="356">
        <f t="shared" si="217"/>
        <v>1.2068965517241376E-2</v>
      </c>
    </row>
    <row r="97" spans="2:34" x14ac:dyDescent="0.45">
      <c r="B97" s="236"/>
      <c r="C97" s="236"/>
      <c r="D97" s="236"/>
      <c r="F97" s="350">
        <f t="shared" ref="F97:P97" si="220">F94-E94</f>
        <v>0</v>
      </c>
      <c r="G97" s="350">
        <f t="shared" si="220"/>
        <v>-1.82539682539683E-2</v>
      </c>
      <c r="H97" s="350">
        <f t="shared" si="220"/>
        <v>1.0084033613445342E-2</v>
      </c>
      <c r="I97" s="350">
        <f t="shared" si="220"/>
        <v>0</v>
      </c>
      <c r="J97" s="350">
        <f t="shared" si="220"/>
        <v>1.0695187165775444E-2</v>
      </c>
      <c r="K97" s="350">
        <f t="shared" si="220"/>
        <v>-1.9886363636363646E-2</v>
      </c>
      <c r="L97" s="350">
        <f t="shared" si="220"/>
        <v>0</v>
      </c>
      <c r="M97" s="350">
        <f t="shared" si="220"/>
        <v>1.1088709677419373E-2</v>
      </c>
      <c r="N97" s="350">
        <f t="shared" si="220"/>
        <v>0</v>
      </c>
      <c r="O97" s="350">
        <f t="shared" si="220"/>
        <v>-2.1505376344086002E-2</v>
      </c>
      <c r="P97" s="350">
        <f t="shared" si="220"/>
        <v>1.1494252873563204E-2</v>
      </c>
      <c r="Q97" s="350">
        <f t="shared" ref="Q97:AA97" si="221">Q94-P94</f>
        <v>0</v>
      </c>
      <c r="R97" s="350">
        <f t="shared" si="221"/>
        <v>1.2315270935960521E-2</v>
      </c>
      <c r="S97" s="350">
        <f t="shared" si="221"/>
        <v>0</v>
      </c>
      <c r="T97" s="350">
        <f t="shared" si="221"/>
        <v>0</v>
      </c>
      <c r="U97" s="350">
        <f t="shared" si="221"/>
        <v>-2.3809523809523725E-2</v>
      </c>
      <c r="V97" s="350">
        <f t="shared" si="221"/>
        <v>0</v>
      </c>
      <c r="W97" s="350">
        <f t="shared" si="221"/>
        <v>1.2820512820512775E-2</v>
      </c>
      <c r="X97" s="350">
        <f t="shared" si="221"/>
        <v>0</v>
      </c>
      <c r="Y97" s="350">
        <f t="shared" si="221"/>
        <v>1.3846153846153841E-2</v>
      </c>
      <c r="Z97" s="350">
        <f t="shared" si="221"/>
        <v>0</v>
      </c>
      <c r="AA97" s="350">
        <f t="shared" si="221"/>
        <v>0</v>
      </c>
      <c r="AC97" s="350"/>
      <c r="AD97" s="350"/>
      <c r="AE97" s="350"/>
      <c r="AF97" s="350"/>
      <c r="AG97" s="356">
        <f t="shared" si="216"/>
        <v>-2.3809523809523725E-2</v>
      </c>
      <c r="AH97" s="356">
        <f t="shared" si="217"/>
        <v>1.3846153846153841E-2</v>
      </c>
    </row>
    <row r="98" spans="2:34" x14ac:dyDescent="0.45">
      <c r="B98" s="236"/>
      <c r="C98" s="236"/>
      <c r="D98" s="236"/>
      <c r="F98" s="350">
        <f t="shared" ref="F98:P98" si="222">F95-E95</f>
        <v>0</v>
      </c>
      <c r="G98" s="350">
        <f t="shared" si="222"/>
        <v>-5.5555555555555636E-3</v>
      </c>
      <c r="H98" s="350">
        <f t="shared" si="222"/>
        <v>-5.8823529411764497E-3</v>
      </c>
      <c r="I98" s="350">
        <f t="shared" si="222"/>
        <v>0</v>
      </c>
      <c r="J98" s="350">
        <f t="shared" si="222"/>
        <v>-6.2388591800356663E-3</v>
      </c>
      <c r="K98" s="350">
        <f t="shared" si="222"/>
        <v>2.4621212121212127E-2</v>
      </c>
      <c r="L98" s="350">
        <f t="shared" si="222"/>
        <v>0</v>
      </c>
      <c r="M98" s="350">
        <f t="shared" si="222"/>
        <v>-6.0483870967741882E-3</v>
      </c>
      <c r="N98" s="350">
        <f t="shared" si="222"/>
        <v>0</v>
      </c>
      <c r="O98" s="350">
        <f t="shared" si="222"/>
        <v>-6.4516129032258229E-3</v>
      </c>
      <c r="P98" s="350">
        <f t="shared" si="222"/>
        <v>-6.8965517241379171E-3</v>
      </c>
      <c r="Q98" s="350">
        <f t="shared" ref="Q98:AA98" si="223">Q95-P95</f>
        <v>0</v>
      </c>
      <c r="R98" s="350">
        <f t="shared" si="223"/>
        <v>-7.3891625615763457E-3</v>
      </c>
      <c r="S98" s="350">
        <f t="shared" si="223"/>
        <v>0</v>
      </c>
      <c r="T98" s="350">
        <f t="shared" si="223"/>
        <v>0</v>
      </c>
      <c r="U98" s="350">
        <f t="shared" si="223"/>
        <v>2.9100529100529099E-2</v>
      </c>
      <c r="V98" s="350">
        <f t="shared" si="223"/>
        <v>0</v>
      </c>
      <c r="W98" s="350">
        <f t="shared" si="223"/>
        <v>-7.1225071225071435E-3</v>
      </c>
      <c r="X98" s="350">
        <f t="shared" si="223"/>
        <v>0</v>
      </c>
      <c r="Y98" s="350">
        <f t="shared" si="223"/>
        <v>-7.6923076923076927E-3</v>
      </c>
      <c r="Z98" s="350">
        <f t="shared" si="223"/>
        <v>0</v>
      </c>
      <c r="AA98" s="350">
        <f t="shared" si="223"/>
        <v>0</v>
      </c>
      <c r="AC98" s="350"/>
      <c r="AD98" s="350"/>
      <c r="AE98" s="350"/>
      <c r="AF98" s="350"/>
      <c r="AG98" s="356">
        <f t="shared" si="216"/>
        <v>-7.6923076923076927E-3</v>
      </c>
      <c r="AH98" s="356">
        <f t="shared" si="217"/>
        <v>2.9100529100529099E-2</v>
      </c>
    </row>
    <row r="99" spans="2:34" x14ac:dyDescent="0.45">
      <c r="B99" s="236"/>
      <c r="C99" s="236"/>
      <c r="D99" s="236"/>
      <c r="F99" s="350">
        <f t="shared" ref="F99:P99" si="224">F96-E96</f>
        <v>0</v>
      </c>
      <c r="G99" s="350">
        <f t="shared" si="224"/>
        <v>-3.9682539682539542E-3</v>
      </c>
      <c r="H99" s="350">
        <f t="shared" si="224"/>
        <v>-4.2016806722689204E-3</v>
      </c>
      <c r="I99" s="350">
        <f t="shared" si="224"/>
        <v>0</v>
      </c>
      <c r="J99" s="350">
        <f t="shared" si="224"/>
        <v>-4.4563279857397498E-3</v>
      </c>
      <c r="K99" s="350">
        <f t="shared" si="224"/>
        <v>-4.7348484848484806E-3</v>
      </c>
      <c r="L99" s="350">
        <f t="shared" si="224"/>
        <v>0</v>
      </c>
      <c r="M99" s="350">
        <f t="shared" si="224"/>
        <v>-5.0403225806451568E-3</v>
      </c>
      <c r="N99" s="350">
        <f t="shared" si="224"/>
        <v>0</v>
      </c>
      <c r="O99" s="350">
        <f t="shared" si="224"/>
        <v>-5.3763440860215006E-3</v>
      </c>
      <c r="P99" s="350">
        <f t="shared" si="224"/>
        <v>2.8735632183908039E-2</v>
      </c>
      <c r="Q99" s="350">
        <f t="shared" ref="Q99:AA99" si="225">Q96-P96</f>
        <v>0</v>
      </c>
      <c r="R99" s="350">
        <f t="shared" si="225"/>
        <v>-4.9261083743842304E-3</v>
      </c>
      <c r="S99" s="350">
        <f t="shared" si="225"/>
        <v>0</v>
      </c>
      <c r="T99" s="350">
        <f t="shared" si="225"/>
        <v>0</v>
      </c>
      <c r="U99" s="350">
        <f t="shared" si="225"/>
        <v>-5.2910052910052907E-3</v>
      </c>
      <c r="V99" s="350">
        <f t="shared" si="225"/>
        <v>0</v>
      </c>
      <c r="W99" s="350">
        <f t="shared" si="225"/>
        <v>-5.6980056980057148E-3</v>
      </c>
      <c r="X99" s="350">
        <f t="shared" si="225"/>
        <v>0</v>
      </c>
      <c r="Y99" s="350">
        <f t="shared" si="225"/>
        <v>-6.1538461538461486E-3</v>
      </c>
      <c r="Z99" s="350">
        <f t="shared" si="225"/>
        <v>0</v>
      </c>
      <c r="AA99" s="350">
        <f t="shared" si="225"/>
        <v>0</v>
      </c>
      <c r="AC99" s="350"/>
      <c r="AD99" s="350"/>
      <c r="AE99" s="350"/>
      <c r="AF99" s="350"/>
      <c r="AG99" s="356">
        <f t="shared" si="216"/>
        <v>-6.1538461538461486E-3</v>
      </c>
      <c r="AH99" s="356">
        <f t="shared" si="217"/>
        <v>2.8735632183908039E-2</v>
      </c>
    </row>
    <row r="100" spans="2:34" x14ac:dyDescent="0.45">
      <c r="B100" s="234"/>
      <c r="C100" s="234"/>
      <c r="D100" s="234"/>
    </row>
    <row r="102" spans="2:34" x14ac:dyDescent="0.45">
      <c r="E102" s="240">
        <f t="shared" ref="E102:AA102" si="226">E87*(1/$E$82)*(2^$C$61/$C$62)</f>
        <v>186.875</v>
      </c>
      <c r="F102" s="240">
        <f t="shared" si="226"/>
        <v>186.875</v>
      </c>
      <c r="G102" s="240">
        <f t="shared" si="226"/>
        <v>186.875</v>
      </c>
      <c r="H102" s="240">
        <f t="shared" si="226"/>
        <v>178.75</v>
      </c>
      <c r="I102" s="240">
        <f t="shared" si="226"/>
        <v>178.75</v>
      </c>
      <c r="J102" s="240">
        <f t="shared" si="226"/>
        <v>170.625</v>
      </c>
      <c r="K102" s="240">
        <f t="shared" si="226"/>
        <v>170.625</v>
      </c>
      <c r="L102" s="240">
        <f t="shared" si="226"/>
        <v>170.625</v>
      </c>
      <c r="M102" s="240">
        <f t="shared" si="226"/>
        <v>162.5</v>
      </c>
      <c r="N102" s="240">
        <f t="shared" si="226"/>
        <v>162.5</v>
      </c>
      <c r="O102" s="240">
        <f t="shared" si="226"/>
        <v>162.5</v>
      </c>
      <c r="P102" s="240">
        <f t="shared" si="226"/>
        <v>154.375</v>
      </c>
      <c r="Q102" s="240">
        <f t="shared" si="226"/>
        <v>154.375</v>
      </c>
      <c r="R102" s="240">
        <f t="shared" si="226"/>
        <v>146.25</v>
      </c>
      <c r="S102" s="240">
        <f t="shared" si="226"/>
        <v>146.25</v>
      </c>
      <c r="T102" s="240">
        <f t="shared" si="226"/>
        <v>146.25</v>
      </c>
      <c r="U102" s="240">
        <f t="shared" si="226"/>
        <v>146.25</v>
      </c>
      <c r="V102" s="240">
        <f t="shared" si="226"/>
        <v>146.25</v>
      </c>
      <c r="W102" s="240">
        <f t="shared" si="226"/>
        <v>138.125</v>
      </c>
      <c r="X102" s="240">
        <f t="shared" si="226"/>
        <v>138.125</v>
      </c>
      <c r="Y102" s="240">
        <f t="shared" si="226"/>
        <v>130</v>
      </c>
      <c r="Z102" s="240">
        <f t="shared" si="226"/>
        <v>130</v>
      </c>
      <c r="AA102" s="240">
        <f t="shared" si="226"/>
        <v>130</v>
      </c>
      <c r="AB102" s="240"/>
      <c r="AC102" s="240">
        <f>AC87*(1/$E$82)*(2^$C$61/$C$62)</f>
        <v>398.125</v>
      </c>
      <c r="AD102" s="240">
        <f>AD87*(1/$E$82)*(2^$C$61/$C$62)</f>
        <v>325</v>
      </c>
      <c r="AE102" s="240">
        <f>AE87*(1/$E$82)*(2^$C$61/$C$62)</f>
        <v>203.125</v>
      </c>
      <c r="AF102" s="240">
        <f>AF87*(1/$E$82)*(2^$C$61/$C$62)</f>
        <v>170.625</v>
      </c>
      <c r="AG102" s="385">
        <f>MIN(E102:AF102)</f>
        <v>130</v>
      </c>
      <c r="AH102" s="385">
        <f>MAX(E102:AF102)</f>
        <v>398.125</v>
      </c>
    </row>
    <row r="103" spans="2:34" x14ac:dyDescent="0.45">
      <c r="E103" s="240">
        <f t="shared" ref="E103:AA103" si="227">E89*(1/$E$82)*(2^$C$61/$C$62)</f>
        <v>56.875</v>
      </c>
      <c r="F103" s="240">
        <f t="shared" si="227"/>
        <v>56.875</v>
      </c>
      <c r="G103" s="240">
        <f t="shared" si="227"/>
        <v>56.875</v>
      </c>
      <c r="H103" s="240">
        <f t="shared" si="227"/>
        <v>56.875</v>
      </c>
      <c r="I103" s="240">
        <f t="shared" si="227"/>
        <v>56.875</v>
      </c>
      <c r="J103" s="240">
        <f t="shared" si="227"/>
        <v>56.875</v>
      </c>
      <c r="K103" s="240">
        <f t="shared" si="227"/>
        <v>48.75</v>
      </c>
      <c r="L103" s="240">
        <f t="shared" si="227"/>
        <v>48.75</v>
      </c>
      <c r="M103" s="240">
        <f t="shared" si="227"/>
        <v>48.75</v>
      </c>
      <c r="N103" s="240">
        <f t="shared" si="227"/>
        <v>48.75</v>
      </c>
      <c r="O103" s="240">
        <f t="shared" si="227"/>
        <v>48.75</v>
      </c>
      <c r="P103" s="240">
        <f t="shared" si="227"/>
        <v>48.75</v>
      </c>
      <c r="Q103" s="240">
        <f t="shared" si="227"/>
        <v>48.75</v>
      </c>
      <c r="R103" s="240">
        <f t="shared" si="227"/>
        <v>48.75</v>
      </c>
      <c r="S103" s="240">
        <f t="shared" si="227"/>
        <v>48.75</v>
      </c>
      <c r="T103" s="240">
        <f t="shared" si="227"/>
        <v>48.75</v>
      </c>
      <c r="U103" s="240">
        <f t="shared" si="227"/>
        <v>40.625</v>
      </c>
      <c r="V103" s="240">
        <f t="shared" si="227"/>
        <v>40.625</v>
      </c>
      <c r="W103" s="240">
        <f t="shared" si="227"/>
        <v>40.625</v>
      </c>
      <c r="X103" s="240">
        <f t="shared" si="227"/>
        <v>40.625</v>
      </c>
      <c r="Y103" s="240">
        <f t="shared" si="227"/>
        <v>40.625</v>
      </c>
      <c r="Z103" s="240">
        <f t="shared" si="227"/>
        <v>40.625</v>
      </c>
      <c r="AA103" s="240">
        <f t="shared" si="227"/>
        <v>40.625</v>
      </c>
      <c r="AB103" s="240"/>
      <c r="AC103" s="240">
        <f>AC89*(1/$E$82)*(2^$C$61/$C$62)</f>
        <v>121.875</v>
      </c>
      <c r="AD103" s="240">
        <f>AD89*(1/$E$82)*(2^$C$61/$C$62)</f>
        <v>97.5</v>
      </c>
      <c r="AE103" s="240">
        <f>AE89*(1/$E$82)*(2^$C$61/$C$62)</f>
        <v>65</v>
      </c>
      <c r="AF103" s="240">
        <f>AF89*(1/$E$82)*(2^$C$61/$C$62)</f>
        <v>48.75</v>
      </c>
      <c r="AG103" s="385">
        <f t="shared" ref="AG103:AG104" si="228">MIN(E103:AF103)</f>
        <v>40.625</v>
      </c>
      <c r="AH103" s="385">
        <f t="shared" ref="AH103:AH104" si="229">MAX(E103:AF103)</f>
        <v>121.875</v>
      </c>
    </row>
    <row r="104" spans="2:34" x14ac:dyDescent="0.45">
      <c r="E104" s="240">
        <f t="shared" ref="E104:AA104" si="230">E91*(1/$E$82)*(2^$C$61/$C$62)</f>
        <v>40.625</v>
      </c>
      <c r="F104" s="240">
        <f t="shared" si="230"/>
        <v>40.625</v>
      </c>
      <c r="G104" s="240">
        <f t="shared" si="230"/>
        <v>40.625</v>
      </c>
      <c r="H104" s="240">
        <f t="shared" si="230"/>
        <v>40.625</v>
      </c>
      <c r="I104" s="240">
        <f t="shared" si="230"/>
        <v>40.625</v>
      </c>
      <c r="J104" s="240">
        <f t="shared" si="230"/>
        <v>40.625</v>
      </c>
      <c r="K104" s="240">
        <f t="shared" si="230"/>
        <v>40.625</v>
      </c>
      <c r="L104" s="240">
        <f t="shared" si="230"/>
        <v>40.625</v>
      </c>
      <c r="M104" s="240">
        <f t="shared" si="230"/>
        <v>40.625</v>
      </c>
      <c r="N104" s="240">
        <f t="shared" si="230"/>
        <v>40.625</v>
      </c>
      <c r="O104" s="240">
        <f t="shared" si="230"/>
        <v>40.625</v>
      </c>
      <c r="P104" s="240">
        <f t="shared" si="230"/>
        <v>32.5</v>
      </c>
      <c r="Q104" s="240">
        <f t="shared" si="230"/>
        <v>32.5</v>
      </c>
      <c r="R104" s="240">
        <f t="shared" si="230"/>
        <v>32.5</v>
      </c>
      <c r="S104" s="240">
        <f t="shared" si="230"/>
        <v>32.5</v>
      </c>
      <c r="T104" s="240">
        <f t="shared" si="230"/>
        <v>32.5</v>
      </c>
      <c r="U104" s="240">
        <f t="shared" si="230"/>
        <v>32.5</v>
      </c>
      <c r="V104" s="240">
        <f t="shared" si="230"/>
        <v>32.5</v>
      </c>
      <c r="W104" s="240">
        <f t="shared" si="230"/>
        <v>32.5</v>
      </c>
      <c r="X104" s="240">
        <f t="shared" si="230"/>
        <v>32.5</v>
      </c>
      <c r="Y104" s="240">
        <f t="shared" si="230"/>
        <v>32.5</v>
      </c>
      <c r="Z104" s="240">
        <f t="shared" si="230"/>
        <v>32.5</v>
      </c>
      <c r="AA104" s="240">
        <f t="shared" si="230"/>
        <v>32.5</v>
      </c>
      <c r="AB104" s="240"/>
      <c r="AC104" s="240">
        <f>AC91*(1/$E$82)*(2^$C$61/$C$62)</f>
        <v>89.375</v>
      </c>
      <c r="AD104" s="240">
        <f>AD91*(1/$E$82)*(2^$C$61/$C$62)</f>
        <v>73.125</v>
      </c>
      <c r="AE104" s="240">
        <f>AE91*(1/$E$82)*(2^$C$61/$C$62)</f>
        <v>48.75</v>
      </c>
      <c r="AF104" s="240">
        <f>AF91*(1/$E$82)*(2^$C$61/$C$62)</f>
        <v>40.625</v>
      </c>
      <c r="AG104" s="385">
        <f t="shared" si="228"/>
        <v>32.5</v>
      </c>
      <c r="AH104" s="385">
        <f t="shared" si="229"/>
        <v>89.375</v>
      </c>
    </row>
    <row r="105" spans="2:34" x14ac:dyDescent="0.45">
      <c r="E105" s="240">
        <f>SUM(E102:E104)</f>
        <v>284.375</v>
      </c>
      <c r="F105" s="240">
        <f t="shared" ref="F105:AA105" si="231">SUM(F102:F104)</f>
        <v>284.375</v>
      </c>
      <c r="G105" s="240">
        <f t="shared" si="231"/>
        <v>284.375</v>
      </c>
      <c r="H105" s="240">
        <f t="shared" si="231"/>
        <v>276.25</v>
      </c>
      <c r="I105" s="240">
        <f t="shared" si="231"/>
        <v>276.25</v>
      </c>
      <c r="J105" s="240">
        <f t="shared" si="231"/>
        <v>268.125</v>
      </c>
      <c r="K105" s="240">
        <f t="shared" si="231"/>
        <v>260</v>
      </c>
      <c r="L105" s="240">
        <f t="shared" si="231"/>
        <v>260</v>
      </c>
      <c r="M105" s="240">
        <f t="shared" si="231"/>
        <v>251.875</v>
      </c>
      <c r="N105" s="240">
        <f t="shared" si="231"/>
        <v>251.875</v>
      </c>
      <c r="O105" s="240">
        <f t="shared" si="231"/>
        <v>251.875</v>
      </c>
      <c r="P105" s="240">
        <f t="shared" si="231"/>
        <v>235.625</v>
      </c>
      <c r="Q105" s="240">
        <f t="shared" si="231"/>
        <v>235.625</v>
      </c>
      <c r="R105" s="240">
        <f t="shared" si="231"/>
        <v>227.5</v>
      </c>
      <c r="S105" s="240">
        <f t="shared" si="231"/>
        <v>227.5</v>
      </c>
      <c r="T105" s="240">
        <f t="shared" si="231"/>
        <v>227.5</v>
      </c>
      <c r="U105" s="240">
        <f t="shared" si="231"/>
        <v>219.375</v>
      </c>
      <c r="V105" s="240">
        <f t="shared" si="231"/>
        <v>219.375</v>
      </c>
      <c r="W105" s="240">
        <f t="shared" si="231"/>
        <v>211.25</v>
      </c>
      <c r="X105" s="240">
        <f t="shared" si="231"/>
        <v>211.25</v>
      </c>
      <c r="Y105" s="240">
        <f t="shared" si="231"/>
        <v>203.125</v>
      </c>
      <c r="Z105" s="240">
        <f t="shared" si="231"/>
        <v>203.125</v>
      </c>
      <c r="AA105" s="240">
        <f t="shared" si="231"/>
        <v>203.125</v>
      </c>
      <c r="AB105" s="240"/>
      <c r="AC105" s="240">
        <f t="shared" ref="AC105" si="232">SUM(AC102:AC104)</f>
        <v>609.375</v>
      </c>
      <c r="AD105" s="240">
        <f t="shared" ref="AD105" si="233">SUM(AD102:AD104)</f>
        <v>495.625</v>
      </c>
      <c r="AE105" s="240">
        <f t="shared" ref="AE105" si="234">SUM(AE102:AE104)</f>
        <v>316.875</v>
      </c>
      <c r="AF105" s="240">
        <f t="shared" ref="AF105" si="235">SUM(AF102:AF104)</f>
        <v>260</v>
      </c>
      <c r="AG105" s="385">
        <f t="shared" ref="AG105:AG109" si="236">MIN(E105:AF105)</f>
        <v>203.125</v>
      </c>
      <c r="AH105" s="385">
        <f t="shared" ref="AH105:AH109" si="237">MAX(E105:AF105)</f>
        <v>609.375</v>
      </c>
    </row>
    <row r="106" spans="2:34" x14ac:dyDescent="0.45">
      <c r="AG106" s="235"/>
      <c r="AH106" s="235"/>
    </row>
    <row r="107" spans="2:34" x14ac:dyDescent="0.45">
      <c r="E107" s="240">
        <f>E104</f>
        <v>40.625</v>
      </c>
      <c r="F107" s="240">
        <f t="shared" ref="F107:AF107" si="238">F104</f>
        <v>40.625</v>
      </c>
      <c r="G107" s="240">
        <f t="shared" si="238"/>
        <v>40.625</v>
      </c>
      <c r="H107" s="240">
        <f t="shared" si="238"/>
        <v>40.625</v>
      </c>
      <c r="I107" s="240">
        <f t="shared" si="238"/>
        <v>40.625</v>
      </c>
      <c r="J107" s="240">
        <f t="shared" si="238"/>
        <v>40.625</v>
      </c>
      <c r="K107" s="240">
        <f t="shared" si="238"/>
        <v>40.625</v>
      </c>
      <c r="L107" s="240">
        <f t="shared" si="238"/>
        <v>40.625</v>
      </c>
      <c r="M107" s="240">
        <f t="shared" si="238"/>
        <v>40.625</v>
      </c>
      <c r="N107" s="240">
        <f t="shared" si="238"/>
        <v>40.625</v>
      </c>
      <c r="O107" s="240">
        <f t="shared" si="238"/>
        <v>40.625</v>
      </c>
      <c r="P107" s="240">
        <f t="shared" si="238"/>
        <v>32.5</v>
      </c>
      <c r="Q107" s="240">
        <f t="shared" si="238"/>
        <v>32.5</v>
      </c>
      <c r="R107" s="240">
        <f t="shared" si="238"/>
        <v>32.5</v>
      </c>
      <c r="S107" s="240">
        <f t="shared" si="238"/>
        <v>32.5</v>
      </c>
      <c r="T107" s="240">
        <f t="shared" si="238"/>
        <v>32.5</v>
      </c>
      <c r="U107" s="240">
        <f t="shared" si="238"/>
        <v>32.5</v>
      </c>
      <c r="V107" s="240">
        <f t="shared" si="238"/>
        <v>32.5</v>
      </c>
      <c r="W107" s="240">
        <f t="shared" si="238"/>
        <v>32.5</v>
      </c>
      <c r="X107" s="240">
        <f t="shared" si="238"/>
        <v>32.5</v>
      </c>
      <c r="Y107" s="240">
        <f t="shared" si="238"/>
        <v>32.5</v>
      </c>
      <c r="Z107" s="240">
        <f t="shared" si="238"/>
        <v>32.5</v>
      </c>
      <c r="AA107" s="240">
        <f t="shared" si="238"/>
        <v>32.5</v>
      </c>
      <c r="AB107" s="240"/>
      <c r="AC107" s="240"/>
      <c r="AD107" s="240"/>
      <c r="AE107" s="240">
        <f t="shared" si="238"/>
        <v>48.75</v>
      </c>
      <c r="AF107" s="240">
        <f t="shared" si="238"/>
        <v>40.625</v>
      </c>
      <c r="AG107" s="385">
        <f t="shared" si="236"/>
        <v>32.5</v>
      </c>
      <c r="AH107" s="385">
        <f t="shared" si="237"/>
        <v>48.75</v>
      </c>
    </row>
    <row r="108" spans="2:34" x14ac:dyDescent="0.45">
      <c r="E108" s="240">
        <f>E104+E103+$C$63</f>
        <v>107.5</v>
      </c>
      <c r="F108" s="240">
        <f t="shared" ref="F108:AF108" si="239">F104+F103+$C$63</f>
        <v>107.5</v>
      </c>
      <c r="G108" s="240">
        <f t="shared" si="239"/>
        <v>107.5</v>
      </c>
      <c r="H108" s="240">
        <f t="shared" si="239"/>
        <v>107.5</v>
      </c>
      <c r="I108" s="240">
        <f t="shared" si="239"/>
        <v>107.5</v>
      </c>
      <c r="J108" s="240">
        <f t="shared" si="239"/>
        <v>107.5</v>
      </c>
      <c r="K108" s="240">
        <f t="shared" si="239"/>
        <v>99.375</v>
      </c>
      <c r="L108" s="240">
        <f t="shared" si="239"/>
        <v>99.375</v>
      </c>
      <c r="M108" s="240">
        <f t="shared" si="239"/>
        <v>99.375</v>
      </c>
      <c r="N108" s="240">
        <f t="shared" si="239"/>
        <v>99.375</v>
      </c>
      <c r="O108" s="240">
        <f t="shared" si="239"/>
        <v>99.375</v>
      </c>
      <c r="P108" s="240">
        <f t="shared" si="239"/>
        <v>91.25</v>
      </c>
      <c r="Q108" s="240">
        <f t="shared" si="239"/>
        <v>91.25</v>
      </c>
      <c r="R108" s="240">
        <f t="shared" si="239"/>
        <v>91.25</v>
      </c>
      <c r="S108" s="240">
        <f t="shared" si="239"/>
        <v>91.25</v>
      </c>
      <c r="T108" s="240">
        <f t="shared" si="239"/>
        <v>91.25</v>
      </c>
      <c r="U108" s="240">
        <f t="shared" si="239"/>
        <v>83.125</v>
      </c>
      <c r="V108" s="240">
        <f t="shared" si="239"/>
        <v>83.125</v>
      </c>
      <c r="W108" s="240">
        <f t="shared" si="239"/>
        <v>83.125</v>
      </c>
      <c r="X108" s="240">
        <f t="shared" si="239"/>
        <v>83.125</v>
      </c>
      <c r="Y108" s="240">
        <f t="shared" si="239"/>
        <v>83.125</v>
      </c>
      <c r="Z108" s="240">
        <f t="shared" si="239"/>
        <v>83.125</v>
      </c>
      <c r="AA108" s="240">
        <f t="shared" si="239"/>
        <v>83.125</v>
      </c>
      <c r="AB108" s="240"/>
      <c r="AC108" s="240"/>
      <c r="AD108" s="240"/>
      <c r="AE108" s="240">
        <f t="shared" si="239"/>
        <v>123.75</v>
      </c>
      <c r="AF108" s="240">
        <f t="shared" si="239"/>
        <v>99.375</v>
      </c>
      <c r="AG108" s="385">
        <f t="shared" si="236"/>
        <v>83.125</v>
      </c>
      <c r="AH108" s="385">
        <f t="shared" si="237"/>
        <v>123.75</v>
      </c>
    </row>
    <row r="109" spans="2:34" x14ac:dyDescent="0.45">
      <c r="E109" s="240">
        <f>E108+E102+$C$63</f>
        <v>304.375</v>
      </c>
      <c r="F109" s="240">
        <f t="shared" ref="F109:AF109" si="240">F108+F102+$C$63</f>
        <v>304.375</v>
      </c>
      <c r="G109" s="240">
        <f t="shared" si="240"/>
        <v>304.375</v>
      </c>
      <c r="H109" s="240">
        <f t="shared" si="240"/>
        <v>296.25</v>
      </c>
      <c r="I109" s="240">
        <f t="shared" si="240"/>
        <v>296.25</v>
      </c>
      <c r="J109" s="240">
        <f t="shared" si="240"/>
        <v>288.125</v>
      </c>
      <c r="K109" s="240">
        <f t="shared" si="240"/>
        <v>280</v>
      </c>
      <c r="L109" s="240">
        <f t="shared" si="240"/>
        <v>280</v>
      </c>
      <c r="M109" s="240">
        <f t="shared" si="240"/>
        <v>271.875</v>
      </c>
      <c r="N109" s="240">
        <f t="shared" si="240"/>
        <v>271.875</v>
      </c>
      <c r="O109" s="240">
        <f t="shared" si="240"/>
        <v>271.875</v>
      </c>
      <c r="P109" s="240">
        <f t="shared" si="240"/>
        <v>255.625</v>
      </c>
      <c r="Q109" s="240">
        <f t="shared" si="240"/>
        <v>255.625</v>
      </c>
      <c r="R109" s="240">
        <f t="shared" si="240"/>
        <v>247.5</v>
      </c>
      <c r="S109" s="240">
        <f t="shared" si="240"/>
        <v>247.5</v>
      </c>
      <c r="T109" s="240">
        <f t="shared" si="240"/>
        <v>247.5</v>
      </c>
      <c r="U109" s="240">
        <f t="shared" si="240"/>
        <v>239.375</v>
      </c>
      <c r="V109" s="240">
        <f t="shared" si="240"/>
        <v>239.375</v>
      </c>
      <c r="W109" s="240">
        <f t="shared" si="240"/>
        <v>231.25</v>
      </c>
      <c r="X109" s="240">
        <f t="shared" si="240"/>
        <v>231.25</v>
      </c>
      <c r="Y109" s="240">
        <f t="shared" si="240"/>
        <v>223.125</v>
      </c>
      <c r="Z109" s="240">
        <f t="shared" si="240"/>
        <v>223.125</v>
      </c>
      <c r="AA109" s="240">
        <f t="shared" si="240"/>
        <v>223.125</v>
      </c>
      <c r="AB109" s="240"/>
      <c r="AC109" s="240"/>
      <c r="AD109" s="240"/>
      <c r="AE109" s="240">
        <f t="shared" si="240"/>
        <v>336.875</v>
      </c>
      <c r="AF109" s="240">
        <f t="shared" si="240"/>
        <v>280</v>
      </c>
      <c r="AG109" s="385">
        <f t="shared" si="236"/>
        <v>223.125</v>
      </c>
      <c r="AH109" s="385">
        <f t="shared" si="237"/>
        <v>336.875</v>
      </c>
    </row>
    <row r="111" spans="2:34" x14ac:dyDescent="0.45">
      <c r="E111" s="242">
        <f>MIN(E82:AA82)</f>
        <v>62.872815871910902</v>
      </c>
    </row>
    <row r="112" spans="2:34" x14ac:dyDescent="0.45">
      <c r="E112" s="242">
        <f>MAX(E82:AA82)</f>
        <v>65.049912739965094</v>
      </c>
    </row>
  </sheetData>
  <phoneticPr fontId="2" type="noConversion"/>
  <pageMargins left="0.7" right="0.7" top="0.75" bottom="0.75" header="0.3" footer="0.3"/>
  <ignoredErrors>
    <ignoredError sqref="E47 AC47:AF47 E88:L88 H47:AA47 F47:G47 AC43 E92:P92 AC88:AF88 E49 E48 F53:AA53 E50 Z51 F51:G51 H51:Y51 AC51:AF51 AA51 H49:AA49 AC49:AF49 F49:G49 F48:AG48 F50:AA50 AG49 AG52 AC92:AF92 AC90:AF90 G90:P90 G89:P89 G91:P91 E90:F90 E89:F89 E91:F91 M88:P88 AC89:AF89 AC91:AF91 AC50:AG50 E70:AD70" formula="1"/>
    <ignoredError sqref="Q88:AA88 Q90:AA90 Q91:AA91 Q89:AA89" evalError="1" formula="1"/>
    <ignoredError sqref="Q92:AA92" evalError="1"/>
  </ignoredErrors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D05A-8F04-4E75-A402-8CAD33538467}">
  <dimension ref="B2:AA27"/>
  <sheetViews>
    <sheetView showGridLines="0" zoomScale="120" zoomScaleNormal="120" workbookViewId="0"/>
  </sheetViews>
  <sheetFormatPr defaultColWidth="8.58203125" defaultRowHeight="14.5" x14ac:dyDescent="0.45"/>
  <cols>
    <col min="1" max="1" width="8.58203125" style="234"/>
    <col min="2" max="3" width="8.08203125" style="235" bestFit="1" customWidth="1"/>
    <col min="4" max="4" width="6.58203125" style="235" bestFit="1" customWidth="1"/>
    <col min="5" max="5" width="5.83203125" style="235" bestFit="1" customWidth="1"/>
    <col min="6" max="6" width="6.58203125" style="235" bestFit="1" customWidth="1"/>
    <col min="7" max="7" width="5.83203125" style="235" bestFit="1" customWidth="1"/>
    <col min="8" max="8" width="6.58203125" style="235" bestFit="1" customWidth="1"/>
    <col min="9" max="9" width="5.83203125" style="235" bestFit="1" customWidth="1"/>
    <col min="10" max="10" width="6.58203125" style="235" bestFit="1" customWidth="1"/>
    <col min="11" max="11" width="5.83203125" style="234" bestFit="1" customWidth="1"/>
    <col min="12" max="12" width="6.58203125" style="234" bestFit="1" customWidth="1"/>
    <col min="13" max="13" width="5.83203125" style="234" bestFit="1" customWidth="1"/>
    <col min="14" max="14" width="8.58203125" style="234"/>
    <col min="15" max="16" width="8.08203125" style="235" bestFit="1" customWidth="1"/>
    <col min="17" max="17" width="6.58203125" style="235" bestFit="1" customWidth="1"/>
    <col min="18" max="18" width="5.83203125" style="235" bestFit="1" customWidth="1"/>
    <col min="19" max="19" width="6.58203125" style="235" bestFit="1" customWidth="1"/>
    <col min="20" max="20" width="5.83203125" style="235" bestFit="1" customWidth="1"/>
    <col min="21" max="21" width="6.58203125" style="235" bestFit="1" customWidth="1"/>
    <col min="22" max="22" width="5.83203125" style="234" bestFit="1" customWidth="1"/>
    <col min="23" max="23" width="6.58203125" style="234" bestFit="1" customWidth="1"/>
    <col min="24" max="24" width="5.83203125" style="234" bestFit="1" customWidth="1"/>
    <col min="25" max="16384" width="8.58203125" style="234"/>
  </cols>
  <sheetData>
    <row r="2" spans="2:27" x14ac:dyDescent="0.45">
      <c r="B2" s="376" t="s">
        <v>1344</v>
      </c>
      <c r="C2" s="377" t="s">
        <v>1314</v>
      </c>
      <c r="D2" s="461">
        <v>8</v>
      </c>
      <c r="E2" s="461"/>
      <c r="F2" s="462">
        <v>16</v>
      </c>
      <c r="G2" s="463"/>
      <c r="H2" s="462">
        <v>16</v>
      </c>
      <c r="I2" s="463"/>
      <c r="J2" s="461">
        <v>32</v>
      </c>
      <c r="K2" s="464"/>
      <c r="L2" s="462">
        <v>32</v>
      </c>
      <c r="M2" s="464"/>
      <c r="O2" s="376" t="s">
        <v>1345</v>
      </c>
      <c r="P2" s="377" t="s">
        <v>1314</v>
      </c>
      <c r="Q2" s="462">
        <v>16</v>
      </c>
      <c r="R2" s="463"/>
      <c r="S2" s="462">
        <v>16</v>
      </c>
      <c r="T2" s="463"/>
      <c r="U2" s="461">
        <v>32</v>
      </c>
      <c r="V2" s="465"/>
      <c r="W2" s="462">
        <v>32</v>
      </c>
      <c r="X2" s="464"/>
    </row>
    <row r="3" spans="2:27" x14ac:dyDescent="0.45">
      <c r="B3" s="380"/>
      <c r="C3" s="381"/>
      <c r="D3" s="394" t="s">
        <v>1342</v>
      </c>
      <c r="E3" s="466" t="s">
        <v>1343</v>
      </c>
      <c r="F3" s="394" t="s">
        <v>1342</v>
      </c>
      <c r="G3" s="394" t="s">
        <v>1343</v>
      </c>
      <c r="H3" s="394" t="s">
        <v>1342</v>
      </c>
      <c r="I3" s="394" t="s">
        <v>1343</v>
      </c>
      <c r="J3" s="394" t="s">
        <v>1342</v>
      </c>
      <c r="K3" s="394" t="s">
        <v>1343</v>
      </c>
      <c r="L3" s="394" t="s">
        <v>1342</v>
      </c>
      <c r="M3" s="394" t="s">
        <v>1343</v>
      </c>
      <c r="O3" s="380"/>
      <c r="P3" s="381"/>
      <c r="Q3" s="394" t="s">
        <v>1342</v>
      </c>
      <c r="R3" s="394" t="s">
        <v>1343</v>
      </c>
      <c r="S3" s="394" t="s">
        <v>1342</v>
      </c>
      <c r="T3" s="394" t="s">
        <v>1343</v>
      </c>
      <c r="U3" s="394" t="s">
        <v>1342</v>
      </c>
      <c r="V3" s="466" t="s">
        <v>1343</v>
      </c>
      <c r="W3" s="394" t="s">
        <v>1342</v>
      </c>
      <c r="X3" s="394" t="s">
        <v>1343</v>
      </c>
    </row>
    <row r="4" spans="2:27" x14ac:dyDescent="0.45">
      <c r="B4" s="462"/>
      <c r="C4" s="377"/>
      <c r="D4" s="467"/>
      <c r="E4" s="468"/>
      <c r="F4" s="467"/>
      <c r="G4" s="469"/>
      <c r="H4" s="467"/>
      <c r="I4" s="469"/>
      <c r="J4" s="467"/>
      <c r="K4" s="469"/>
      <c r="L4" s="467"/>
      <c r="M4" s="469"/>
      <c r="O4" s="462"/>
      <c r="P4" s="377"/>
      <c r="Q4" s="467"/>
      <c r="R4" s="469"/>
      <c r="S4" s="467"/>
      <c r="T4" s="469"/>
      <c r="U4" s="467"/>
      <c r="V4" s="468"/>
      <c r="W4" s="467"/>
      <c r="X4" s="469"/>
    </row>
    <row r="5" spans="2:27" x14ac:dyDescent="0.45">
      <c r="B5" s="374" t="s">
        <v>1259</v>
      </c>
      <c r="C5" s="379" t="s">
        <v>1320</v>
      </c>
      <c r="D5" s="470">
        <v>5.1282051282051282E-3</v>
      </c>
      <c r="E5" s="471">
        <v>1.5151515151515152E-2</v>
      </c>
      <c r="F5" s="458">
        <v>5.0251256281407036E-3</v>
      </c>
      <c r="G5" s="459">
        <v>1.5151515151515152E-2</v>
      </c>
      <c r="H5" s="458">
        <v>4.0160642570281121E-3</v>
      </c>
      <c r="I5" s="459">
        <v>1.2195121951219513E-2</v>
      </c>
      <c r="J5" s="470">
        <v>4.830917874396135E-3</v>
      </c>
      <c r="K5" s="459">
        <v>1.5384615384615385E-2</v>
      </c>
      <c r="L5" s="470">
        <v>3.875968992248062E-3</v>
      </c>
      <c r="M5" s="459">
        <v>1.2345679012345678E-2</v>
      </c>
      <c r="O5" s="374" t="s">
        <v>1259</v>
      </c>
      <c r="P5" s="379" t="s">
        <v>1320</v>
      </c>
      <c r="Q5" s="458">
        <v>1.3333333333333334E-2</v>
      </c>
      <c r="R5" s="459">
        <v>0.04</v>
      </c>
      <c r="S5" s="458">
        <v>1.4925373134328358E-2</v>
      </c>
      <c r="T5" s="456">
        <v>4.5454545454545456E-2</v>
      </c>
      <c r="U5" s="350">
        <v>1.2987012987012988E-2</v>
      </c>
      <c r="V5" s="350">
        <v>4.1666666666666664E-2</v>
      </c>
      <c r="W5" s="458">
        <v>1.4285714285714285E-2</v>
      </c>
      <c r="X5" s="456">
        <v>4.5454545454545456E-2</v>
      </c>
    </row>
    <row r="6" spans="2:27" x14ac:dyDescent="0.45">
      <c r="B6" s="378"/>
      <c r="C6" s="379"/>
      <c r="D6" s="472"/>
      <c r="F6" s="472"/>
      <c r="G6" s="473"/>
      <c r="H6" s="458"/>
      <c r="I6" s="459"/>
      <c r="J6" s="472"/>
      <c r="K6" s="474"/>
      <c r="L6" s="472"/>
      <c r="M6" s="474"/>
      <c r="O6" s="378"/>
      <c r="P6" s="379"/>
      <c r="Q6" s="458"/>
      <c r="R6" s="459"/>
      <c r="S6" s="458"/>
      <c r="T6" s="459"/>
      <c r="U6" s="472"/>
      <c r="W6" s="472"/>
      <c r="X6" s="474"/>
    </row>
    <row r="7" spans="2:27" x14ac:dyDescent="0.45">
      <c r="B7" s="372" t="s">
        <v>2</v>
      </c>
      <c r="C7" s="379" t="s">
        <v>1296</v>
      </c>
      <c r="D7" s="472">
        <v>80</v>
      </c>
      <c r="F7" s="472">
        <v>80</v>
      </c>
      <c r="G7" s="473"/>
      <c r="H7" s="475">
        <v>100</v>
      </c>
      <c r="I7" s="459"/>
      <c r="J7" s="472">
        <v>80</v>
      </c>
      <c r="K7" s="474"/>
      <c r="L7" s="472">
        <v>100</v>
      </c>
      <c r="M7" s="474"/>
      <c r="O7" s="372" t="s">
        <v>2</v>
      </c>
      <c r="P7" s="379" t="s">
        <v>1296</v>
      </c>
      <c r="Q7" s="475">
        <v>30</v>
      </c>
      <c r="R7" s="459"/>
      <c r="S7" s="476">
        <v>27</v>
      </c>
      <c r="T7" s="459"/>
      <c r="U7" s="624">
        <v>30</v>
      </c>
      <c r="W7" s="472">
        <v>27</v>
      </c>
      <c r="X7" s="474"/>
    </row>
    <row r="8" spans="2:27" x14ac:dyDescent="0.45">
      <c r="B8" s="373"/>
      <c r="C8" s="379" t="s">
        <v>1159</v>
      </c>
      <c r="D8" s="493">
        <v>40.487644151565071</v>
      </c>
      <c r="E8" s="494"/>
      <c r="F8" s="477">
        <v>41.724957555178264</v>
      </c>
      <c r="G8" s="495"/>
      <c r="H8" s="496">
        <v>52.15619694397283</v>
      </c>
      <c r="I8" s="478"/>
      <c r="J8" s="477">
        <v>44.44122965641953</v>
      </c>
      <c r="K8" s="478"/>
      <c r="L8" s="479">
        <v>55.551537070524411</v>
      </c>
      <c r="M8" s="474"/>
      <c r="O8" s="373"/>
      <c r="P8" s="379" t="s">
        <v>1159</v>
      </c>
      <c r="Q8" s="496">
        <v>62.587436332767403</v>
      </c>
      <c r="R8" s="478"/>
      <c r="S8" s="240">
        <v>56.328692699490659</v>
      </c>
      <c r="T8" s="234"/>
      <c r="U8" s="496">
        <v>66.661844484629285</v>
      </c>
      <c r="W8" s="479">
        <v>59.995660036166363</v>
      </c>
      <c r="X8" s="474"/>
    </row>
    <row r="9" spans="2:27" x14ac:dyDescent="0.45">
      <c r="B9" s="373"/>
      <c r="C9" s="379" t="s">
        <v>902</v>
      </c>
      <c r="D9" s="470">
        <v>-4.7006883760734508E-3</v>
      </c>
      <c r="E9" s="471">
        <v>7.6279844107533237E-3</v>
      </c>
      <c r="F9" s="470">
        <v>-5.5956275023728731E-3</v>
      </c>
      <c r="G9" s="480">
        <v>5.7931807157249743E-3</v>
      </c>
      <c r="H9" s="458">
        <v>-4.803695053448501E-3</v>
      </c>
      <c r="I9" s="459">
        <v>4.6572512917951153E-3</v>
      </c>
      <c r="J9" s="470">
        <v>-5.5135282187552294E-3</v>
      </c>
      <c r="K9" s="459">
        <v>6.11222445628728E-3</v>
      </c>
      <c r="L9" s="470">
        <v>-5.7373656320316461E-3</v>
      </c>
      <c r="M9" s="459">
        <v>4.2394944075336343E-3</v>
      </c>
      <c r="O9" s="373"/>
      <c r="P9" s="379" t="s">
        <v>902</v>
      </c>
      <c r="Q9" s="458">
        <v>-1.6552245193463752E-2</v>
      </c>
      <c r="R9" s="459">
        <v>1.50626058260052E-2</v>
      </c>
      <c r="S9" s="458">
        <v>-1.5864874708394521E-2</v>
      </c>
      <c r="T9" s="350">
        <v>1.6040162654653311E-2</v>
      </c>
      <c r="U9" s="458">
        <v>-1.5617568918476293E-2</v>
      </c>
      <c r="V9" s="350">
        <v>1.8254330497719184E-2</v>
      </c>
      <c r="W9" s="458">
        <v>-2.0313478851814008E-2</v>
      </c>
      <c r="X9" s="459">
        <v>1.6227372014861335E-2</v>
      </c>
    </row>
    <row r="10" spans="2:27" x14ac:dyDescent="0.45">
      <c r="B10" s="374"/>
      <c r="C10" s="379" t="s">
        <v>1346</v>
      </c>
      <c r="D10" s="470">
        <v>-1.2264026136565603E-2</v>
      </c>
      <c r="E10" s="471">
        <v>9.8318185745407544E-3</v>
      </c>
      <c r="F10" s="470">
        <v>-1.049737918432548E-2</v>
      </c>
      <c r="G10" s="480">
        <v>8.0625555990948457E-3</v>
      </c>
      <c r="H10" s="458">
        <v>-9.0791754238713704E-3</v>
      </c>
      <c r="I10" s="459">
        <v>7.0242122327799847E-3</v>
      </c>
      <c r="J10" s="470">
        <v>-1.1556135204985774E-2</v>
      </c>
      <c r="K10" s="459">
        <v>8.1453650584953075E-3</v>
      </c>
      <c r="L10" s="470">
        <v>-7.6776964275027367E-3</v>
      </c>
      <c r="M10" s="459">
        <v>7.7137725444324894E-3</v>
      </c>
      <c r="O10" s="374"/>
      <c r="P10" s="379" t="s">
        <v>1346</v>
      </c>
      <c r="Q10" s="458">
        <v>-2.2315832005471322E-2</v>
      </c>
      <c r="R10" s="459">
        <v>3.0184886645095693E-2</v>
      </c>
      <c r="S10" s="458">
        <v>-2.1237057482020615E-2</v>
      </c>
      <c r="T10" s="356">
        <v>3.1905037363047832E-2</v>
      </c>
      <c r="U10" s="458">
        <v>-2.4600359116784491E-2</v>
      </c>
      <c r="V10" s="350">
        <v>2.0793938821873532E-2</v>
      </c>
      <c r="W10" s="458">
        <v>-2.8054187553629779E-2</v>
      </c>
      <c r="X10" s="459">
        <v>2.1491703598049486E-2</v>
      </c>
    </row>
    <row r="11" spans="2:27" x14ac:dyDescent="0.45">
      <c r="B11" s="378"/>
      <c r="C11" s="379"/>
      <c r="D11" s="472"/>
      <c r="F11" s="472"/>
      <c r="G11" s="473"/>
      <c r="H11" s="476"/>
      <c r="I11" s="474"/>
      <c r="J11" s="472"/>
      <c r="K11" s="474"/>
      <c r="L11" s="470"/>
      <c r="M11" s="459"/>
      <c r="O11" s="378"/>
      <c r="P11" s="379"/>
      <c r="Q11" s="476"/>
      <c r="R11" s="459"/>
      <c r="S11" s="458"/>
      <c r="T11" s="350"/>
      <c r="U11" s="472"/>
      <c r="W11" s="470"/>
      <c r="X11" s="459"/>
    </row>
    <row r="12" spans="2:27" x14ac:dyDescent="0.45">
      <c r="B12" s="481" t="s">
        <v>1347</v>
      </c>
      <c r="C12" s="379" t="s">
        <v>1342</v>
      </c>
      <c r="D12" s="482">
        <v>0.24783350840336132</v>
      </c>
      <c r="F12" s="482">
        <v>0.23912129493378179</v>
      </c>
      <c r="G12" s="473"/>
      <c r="H12" s="479">
        <v>0.23096100101626016</v>
      </c>
      <c r="I12" s="474"/>
      <c r="J12" s="482">
        <v>0.22477630876068377</v>
      </c>
      <c r="K12" s="474"/>
      <c r="L12" s="482">
        <v>0.21645126028806583</v>
      </c>
      <c r="M12" s="459"/>
      <c r="O12" s="481" t="s">
        <v>1347</v>
      </c>
      <c r="P12" s="379" t="s">
        <v>1342</v>
      </c>
      <c r="Q12" s="458"/>
      <c r="R12" s="459"/>
      <c r="S12" s="458"/>
      <c r="T12" s="350"/>
      <c r="U12" s="482"/>
      <c r="W12" s="482"/>
      <c r="X12" s="459"/>
    </row>
    <row r="13" spans="2:27" x14ac:dyDescent="0.45">
      <c r="B13" s="378"/>
      <c r="C13" s="379"/>
      <c r="D13" s="472"/>
      <c r="F13" s="472"/>
      <c r="G13" s="473"/>
      <c r="H13" s="476"/>
      <c r="I13" s="474"/>
      <c r="J13" s="472"/>
      <c r="K13" s="474"/>
      <c r="L13" s="470"/>
      <c r="M13" s="459"/>
      <c r="O13" s="378"/>
      <c r="P13" s="379"/>
      <c r="Q13" s="458"/>
      <c r="R13" s="459"/>
      <c r="S13" s="458"/>
      <c r="T13" s="350"/>
      <c r="U13" s="472"/>
      <c r="W13" s="470"/>
      <c r="X13" s="459"/>
    </row>
    <row r="14" spans="2:27" x14ac:dyDescent="0.45">
      <c r="B14" s="372" t="s">
        <v>1259</v>
      </c>
      <c r="C14" s="379"/>
      <c r="D14" s="472"/>
      <c r="F14" s="483"/>
      <c r="G14" s="484"/>
      <c r="H14" s="476"/>
      <c r="I14" s="474"/>
      <c r="J14" s="472"/>
      <c r="K14" s="474"/>
      <c r="L14" s="470"/>
      <c r="M14" s="459"/>
      <c r="O14" s="372" t="s">
        <v>1259</v>
      </c>
      <c r="P14" s="379"/>
      <c r="Q14" s="458"/>
      <c r="R14" s="459"/>
      <c r="S14" s="458"/>
      <c r="T14" s="350"/>
      <c r="U14" s="472"/>
      <c r="W14" s="470"/>
      <c r="X14" s="459"/>
      <c r="Z14" s="350"/>
      <c r="AA14" s="350"/>
    </row>
    <row r="15" spans="2:27" x14ac:dyDescent="0.45">
      <c r="B15" s="373" t="s">
        <v>902</v>
      </c>
      <c r="C15" s="379" t="s">
        <v>1249</v>
      </c>
      <c r="D15" s="470">
        <v>-7.1428571428571175E-3</v>
      </c>
      <c r="E15" s="471">
        <v>6.164383561643838E-3</v>
      </c>
      <c r="F15" s="470">
        <v>-7.1428571428571175E-3</v>
      </c>
      <c r="G15" s="480">
        <v>6.164383561643838E-3</v>
      </c>
      <c r="H15" s="458">
        <v>-8.5365853658536661E-3</v>
      </c>
      <c r="I15" s="459">
        <v>7.1428571428571175E-3</v>
      </c>
      <c r="J15" s="470">
        <v>-6.7164179104477473E-3</v>
      </c>
      <c r="K15" s="459">
        <v>6.164383561643838E-3</v>
      </c>
      <c r="L15" s="470">
        <v>-8.5365853658536661E-3</v>
      </c>
      <c r="M15" s="459">
        <v>7.1428571428571175E-3</v>
      </c>
      <c r="O15" s="373" t="s">
        <v>902</v>
      </c>
      <c r="P15" s="379" t="s">
        <v>1249</v>
      </c>
      <c r="Q15" s="458">
        <v>-1.3333319999999982E-2</v>
      </c>
      <c r="R15" s="459">
        <v>1.2820526153846212E-2</v>
      </c>
      <c r="S15" s="458">
        <v>-1.5151501818181701E-2</v>
      </c>
      <c r="T15" s="350">
        <v>1.4492766956521796E-2</v>
      </c>
      <c r="U15" s="458">
        <v>-1.3333319999999982E-2</v>
      </c>
      <c r="V15" s="350">
        <v>1.2820526153846212E-2</v>
      </c>
      <c r="W15" s="458">
        <v>-1.5151501818181701E-2</v>
      </c>
      <c r="X15" s="459">
        <v>1.4492766956521796E-2</v>
      </c>
      <c r="Z15" s="350"/>
      <c r="AA15" s="350"/>
    </row>
    <row r="16" spans="2:27" x14ac:dyDescent="0.45">
      <c r="B16" s="373"/>
      <c r="C16" s="379" t="s">
        <v>1250</v>
      </c>
      <c r="D16" s="470">
        <v>-5.8823529411764497E-3</v>
      </c>
      <c r="E16" s="471">
        <v>5.9701492537313494E-3</v>
      </c>
      <c r="F16" s="470">
        <v>-5.8823529411764497E-3</v>
      </c>
      <c r="G16" s="480">
        <v>5.9701492537313494E-3</v>
      </c>
      <c r="H16" s="458">
        <v>-4.545454545454547E-3</v>
      </c>
      <c r="I16" s="459">
        <v>4.8780487804878092E-3</v>
      </c>
      <c r="J16" s="470">
        <v>-5.8823529411764497E-3</v>
      </c>
      <c r="K16" s="459">
        <v>5.9701492537313494E-3</v>
      </c>
      <c r="L16" s="470">
        <v>-4.545454545454547E-3</v>
      </c>
      <c r="M16" s="459">
        <v>4.8780487804878092E-3</v>
      </c>
      <c r="O16" s="373"/>
      <c r="P16" s="379" t="s">
        <v>1250</v>
      </c>
      <c r="Q16" s="458">
        <v>-1.1904768571428581E-2</v>
      </c>
      <c r="R16" s="459">
        <v>1.8518511851851854E-2</v>
      </c>
      <c r="S16" s="458">
        <v>-1.5151521818181829E-2</v>
      </c>
      <c r="T16" s="350">
        <v>1.8518511851851854E-2</v>
      </c>
      <c r="U16" s="458">
        <v>-1.1904768571428581E-2</v>
      </c>
      <c r="V16" s="350">
        <v>1.8518511851851854E-2</v>
      </c>
      <c r="W16" s="458">
        <v>-1.5151521818181829E-2</v>
      </c>
      <c r="X16" s="459">
        <v>1.8518511851851854E-2</v>
      </c>
    </row>
    <row r="17" spans="2:27" x14ac:dyDescent="0.45">
      <c r="B17" s="373"/>
      <c r="C17" s="379" t="s">
        <v>1251</v>
      </c>
      <c r="D17" s="470">
        <v>-7.8947368421052599E-3</v>
      </c>
      <c r="E17" s="471">
        <v>7.1428571428571452E-3</v>
      </c>
      <c r="F17" s="470">
        <v>-7.8947368421052599E-3</v>
      </c>
      <c r="G17" s="480">
        <v>7.1428571428571452E-3</v>
      </c>
      <c r="H17" s="458">
        <v>-5.5555555555555636E-3</v>
      </c>
      <c r="I17" s="459">
        <v>3.9325842696629199E-3</v>
      </c>
      <c r="J17" s="470">
        <v>-8.5365853658536661E-3</v>
      </c>
      <c r="K17" s="459">
        <v>7.1428571428571452E-3</v>
      </c>
      <c r="L17" s="458">
        <v>-5.5555555555555636E-3</v>
      </c>
      <c r="M17" s="459">
        <v>4.1666666666666519E-3</v>
      </c>
      <c r="O17" s="373"/>
      <c r="P17" s="379" t="s">
        <v>1251</v>
      </c>
      <c r="Q17" s="458">
        <v>-1.1904768571428581E-2</v>
      </c>
      <c r="R17" s="459">
        <v>1.8518511851851854E-2</v>
      </c>
      <c r="S17" s="470">
        <v>-1.5151521818181829E-2</v>
      </c>
      <c r="T17" s="471">
        <v>1.8518511851851854E-2</v>
      </c>
      <c r="U17" s="458">
        <v>-1.1904768571428581E-2</v>
      </c>
      <c r="V17" s="350">
        <v>1.8518511851851854E-2</v>
      </c>
      <c r="W17" s="458">
        <v>-1.5151521818181829E-2</v>
      </c>
      <c r="X17" s="459">
        <v>1.8518511851851854E-2</v>
      </c>
    </row>
    <row r="18" spans="2:27" x14ac:dyDescent="0.45">
      <c r="B18" s="373" t="s">
        <v>1346</v>
      </c>
      <c r="C18" s="379" t="s">
        <v>1249</v>
      </c>
      <c r="D18" s="470">
        <v>-9.6575943810359721E-3</v>
      </c>
      <c r="E18" s="471">
        <v>7.4702886247878242E-3</v>
      </c>
      <c r="F18" s="470">
        <v>-9.6575943810359721E-3</v>
      </c>
      <c r="G18" s="480">
        <v>9.4977168949771373E-3</v>
      </c>
      <c r="H18" s="458">
        <v>-1.5679442508710784E-2</v>
      </c>
      <c r="I18" s="459">
        <v>7.7294685990337841E-3</v>
      </c>
      <c r="J18" s="470">
        <v>-9.6575943810359721E-3</v>
      </c>
      <c r="K18" s="459">
        <v>7.8282828282828509E-3</v>
      </c>
      <c r="L18" s="458">
        <v>-1.5679442508710784E-2</v>
      </c>
      <c r="M18" s="459">
        <v>8.1135902636916279E-3</v>
      </c>
      <c r="O18" s="373" t="s">
        <v>1346</v>
      </c>
      <c r="P18" s="379" t="s">
        <v>1249</v>
      </c>
      <c r="Q18" s="458">
        <v>-2.6153846153846194E-2</v>
      </c>
      <c r="R18" s="459">
        <v>2.0220588235294157E-2</v>
      </c>
      <c r="S18" s="485">
        <v>-2.9644268774703497E-2</v>
      </c>
      <c r="T18" s="471">
        <v>1.4492753623188359E-2</v>
      </c>
      <c r="U18" s="458">
        <v>-2.6153846153846194E-2</v>
      </c>
      <c r="V18" s="350">
        <v>1.3333333333333419E-2</v>
      </c>
      <c r="W18" s="455">
        <v>-2.9644268774703497E-2</v>
      </c>
      <c r="X18" s="459">
        <v>1.4492753623188359E-2</v>
      </c>
      <c r="AA18" s="350"/>
    </row>
    <row r="19" spans="2:27" x14ac:dyDescent="0.45">
      <c r="B19" s="373"/>
      <c r="C19" s="379" t="s">
        <v>1250</v>
      </c>
      <c r="D19" s="470">
        <v>-4.7065337763012305E-3</v>
      </c>
      <c r="E19" s="471">
        <v>1.1852502194907799E-2</v>
      </c>
      <c r="F19" s="470">
        <v>-5.479452054794498E-3</v>
      </c>
      <c r="G19" s="480">
        <v>1.1852502194907799E-2</v>
      </c>
      <c r="H19" s="458">
        <v>-4.3478260869565244E-3</v>
      </c>
      <c r="I19" s="459">
        <v>8.6489013557737304E-3</v>
      </c>
      <c r="J19" s="470">
        <v>-5.7154521330884112E-3</v>
      </c>
      <c r="K19" s="459">
        <v>1.1852502194907799E-2</v>
      </c>
      <c r="L19" s="458">
        <v>-4.5977011494252873E-3</v>
      </c>
      <c r="M19" s="459">
        <v>9.1431556948798343E-3</v>
      </c>
      <c r="O19" s="373"/>
      <c r="P19" s="379" t="s">
        <v>1250</v>
      </c>
      <c r="Q19" s="458">
        <v>-6.157635467980288E-3</v>
      </c>
      <c r="R19" s="456">
        <v>3.0423280423280435E-2</v>
      </c>
      <c r="S19" s="470">
        <v>-9.7751710654936375E-3</v>
      </c>
      <c r="T19" s="486">
        <v>3.0423280423280435E-2</v>
      </c>
      <c r="U19" s="458">
        <v>-6.6666666666666541E-3</v>
      </c>
      <c r="V19" s="356">
        <v>3.0423280423280435E-2</v>
      </c>
      <c r="W19" s="458">
        <v>-7.9051383399209585E-3</v>
      </c>
      <c r="X19" s="456">
        <v>3.0423280423280435E-2</v>
      </c>
      <c r="AA19" s="350"/>
    </row>
    <row r="20" spans="2:27" x14ac:dyDescent="0.45">
      <c r="B20" s="374"/>
      <c r="C20" s="381" t="s">
        <v>1251</v>
      </c>
      <c r="D20" s="487">
        <v>-4.2446459579394136E-3</v>
      </c>
      <c r="E20" s="488">
        <v>1.2072434607645871E-2</v>
      </c>
      <c r="F20" s="487">
        <v>-4.0182648401826393E-3</v>
      </c>
      <c r="G20" s="489">
        <v>1.2072434607645871E-2</v>
      </c>
      <c r="H20" s="460">
        <v>-3.4355179704016747E-3</v>
      </c>
      <c r="I20" s="490">
        <v>9.4881398252184834E-3</v>
      </c>
      <c r="J20" s="487">
        <v>-1.3958272112841619E-2</v>
      </c>
      <c r="K20" s="490">
        <v>1.0002041232904657E-2</v>
      </c>
      <c r="L20" s="460">
        <v>-4.1029766693483349E-3</v>
      </c>
      <c r="M20" s="490">
        <v>8.4204413472706297E-3</v>
      </c>
      <c r="O20" s="374"/>
      <c r="P20" s="381" t="s">
        <v>1251</v>
      </c>
      <c r="Q20" s="460">
        <v>-6.157635467980288E-3</v>
      </c>
      <c r="R20" s="457">
        <v>3.0423280423280435E-2</v>
      </c>
      <c r="S20" s="487">
        <v>-9.7751710654936375E-3</v>
      </c>
      <c r="T20" s="491">
        <v>3.0423280423280435E-2</v>
      </c>
      <c r="U20" s="460">
        <v>-6.6666666666666541E-3</v>
      </c>
      <c r="V20" s="492">
        <v>3.0423280423280435E-2</v>
      </c>
      <c r="W20" s="460">
        <v>-7.9051383399209585E-3</v>
      </c>
      <c r="X20" s="457">
        <v>3.0423280423280435E-2</v>
      </c>
      <c r="Z20" s="350"/>
      <c r="AA20" s="350"/>
    </row>
    <row r="21" spans="2:27" x14ac:dyDescent="0.45">
      <c r="B21" s="234"/>
      <c r="C21" s="234"/>
      <c r="D21" s="234"/>
      <c r="E21" s="234"/>
      <c r="F21" s="234"/>
      <c r="G21" s="234"/>
      <c r="H21" s="234"/>
      <c r="I21" s="234"/>
      <c r="J21" s="234"/>
      <c r="O21" s="312"/>
      <c r="Q21" s="234"/>
      <c r="R21" s="234"/>
      <c r="S21" s="234"/>
      <c r="T21" s="234"/>
      <c r="U21" s="234"/>
      <c r="Z21" s="350"/>
      <c r="AA21" s="350"/>
    </row>
    <row r="22" spans="2:27" x14ac:dyDescent="0.45">
      <c r="S22" s="471"/>
      <c r="T22" s="471"/>
      <c r="Z22" s="350"/>
      <c r="AA22" s="350"/>
    </row>
    <row r="23" spans="2:27" x14ac:dyDescent="0.45">
      <c r="Q23" s="234"/>
      <c r="R23" s="234"/>
      <c r="S23" s="234"/>
      <c r="T23" s="234"/>
      <c r="Z23" s="350"/>
      <c r="AA23" s="350"/>
    </row>
    <row r="24" spans="2:27" x14ac:dyDescent="0.45">
      <c r="Q24" s="234"/>
      <c r="R24" s="234"/>
      <c r="S24" s="234"/>
      <c r="T24" s="234"/>
      <c r="Z24" s="350"/>
      <c r="AA24" s="350"/>
    </row>
    <row r="25" spans="2:27" x14ac:dyDescent="0.45">
      <c r="Q25" s="234"/>
      <c r="R25" s="234"/>
      <c r="S25" s="234"/>
      <c r="T25" s="234"/>
      <c r="Z25" s="350"/>
      <c r="AA25" s="350"/>
    </row>
    <row r="26" spans="2:27" x14ac:dyDescent="0.45">
      <c r="Z26" s="350"/>
      <c r="AA26" s="350"/>
    </row>
    <row r="27" spans="2:27" x14ac:dyDescent="0.45">
      <c r="Z27" s="350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92B7-1877-48FA-8898-D144AFAFE1B3}">
  <sheetPr>
    <tabColor rgb="FFFFFF00"/>
  </sheetPr>
  <dimension ref="A1:AL124"/>
  <sheetViews>
    <sheetView showGridLines="0" zoomScale="120" zoomScaleNormal="120" workbookViewId="0">
      <pane xSplit="4" topLeftCell="E1" activePane="topRight" state="frozen"/>
      <selection activeCell="A13" sqref="A13"/>
      <selection pane="topRight"/>
    </sheetView>
  </sheetViews>
  <sheetFormatPr defaultColWidth="8.58203125" defaultRowHeight="14.5" x14ac:dyDescent="0.45"/>
  <cols>
    <col min="1" max="1" width="8.58203125" style="234"/>
    <col min="2" max="2" width="15.5" style="235" bestFit="1" customWidth="1"/>
    <col min="3" max="3" width="8.1640625" style="235" bestFit="1" customWidth="1"/>
    <col min="4" max="4" width="6" style="235" bestFit="1" customWidth="1"/>
    <col min="5" max="7" width="9.5" style="234" bestFit="1" customWidth="1"/>
    <col min="8" max="26" width="8.58203125" style="234" bestFit="1" customWidth="1"/>
    <col min="27" max="29" width="8.58203125" style="234" customWidth="1"/>
    <col min="30" max="30" width="1.58203125" style="234" customWidth="1"/>
    <col min="31" max="32" width="8.58203125" style="234" customWidth="1"/>
    <col min="33" max="33" width="1.58203125" style="234" customWidth="1"/>
    <col min="34" max="35" width="9.08203125" style="234" bestFit="1" customWidth="1"/>
    <col min="36" max="36" width="1.58203125" style="234" customWidth="1"/>
    <col min="37" max="38" width="9.5" style="234" bestFit="1" customWidth="1"/>
    <col min="39" max="16384" width="8.58203125" style="234"/>
  </cols>
  <sheetData>
    <row r="1" spans="2:38" x14ac:dyDescent="0.45">
      <c r="B1" s="234"/>
      <c r="C1" s="234"/>
      <c r="D1" s="234"/>
    </row>
    <row r="2" spans="2:38" x14ac:dyDescent="0.45">
      <c r="B2" s="236" t="s">
        <v>1290</v>
      </c>
      <c r="C2" s="255">
        <v>14</v>
      </c>
      <c r="D2" s="236" t="s">
        <v>18</v>
      </c>
      <c r="E2" s="236" t="s">
        <v>2160</v>
      </c>
    </row>
    <row r="3" spans="2:38" x14ac:dyDescent="0.45">
      <c r="B3" s="236" t="s">
        <v>1314</v>
      </c>
      <c r="C3" s="255">
        <v>32</v>
      </c>
      <c r="D3" s="236" t="s">
        <v>5</v>
      </c>
      <c r="E3" s="236">
        <f>2^C2/C3</f>
        <v>512</v>
      </c>
    </row>
    <row r="4" spans="2:38" x14ac:dyDescent="0.45">
      <c r="B4" s="236" t="s">
        <v>2166</v>
      </c>
      <c r="C4" s="255">
        <v>35</v>
      </c>
      <c r="D4" s="236" t="s">
        <v>0</v>
      </c>
    </row>
    <row r="5" spans="2:38" x14ac:dyDescent="0.45">
      <c r="B5" s="236" t="s">
        <v>1263</v>
      </c>
      <c r="C5" s="236"/>
      <c r="D5" s="236"/>
    </row>
    <row r="6" spans="2:38" x14ac:dyDescent="0.45">
      <c r="B6" s="236" t="s">
        <v>2155</v>
      </c>
      <c r="C6" s="255">
        <v>2</v>
      </c>
      <c r="D6" s="236" t="s">
        <v>5</v>
      </c>
    </row>
    <row r="7" spans="2:38" x14ac:dyDescent="0.45">
      <c r="B7" s="236"/>
      <c r="C7" s="255">
        <v>350</v>
      </c>
      <c r="D7" s="236" t="s">
        <v>5</v>
      </c>
    </row>
    <row r="8" spans="2:38" x14ac:dyDescent="0.45">
      <c r="B8" s="236"/>
      <c r="C8" s="915">
        <f>C7*(1/C4)</f>
        <v>10</v>
      </c>
      <c r="D8" s="236" t="s">
        <v>1</v>
      </c>
    </row>
    <row r="9" spans="2:38" x14ac:dyDescent="0.45">
      <c r="B9" s="236" t="s">
        <v>1318</v>
      </c>
      <c r="C9" s="236">
        <f>C8*C6</f>
        <v>20</v>
      </c>
      <c r="D9" s="236" t="s">
        <v>1</v>
      </c>
    </row>
    <row r="10" spans="2:38" x14ac:dyDescent="0.45">
      <c r="B10" s="236" t="s">
        <v>1319</v>
      </c>
      <c r="C10" s="236">
        <f>C9*C3</f>
        <v>640</v>
      </c>
      <c r="D10" s="236" t="s">
        <v>1</v>
      </c>
    </row>
    <row r="11" spans="2:38" x14ac:dyDescent="0.45">
      <c r="B11" s="236"/>
      <c r="C11" s="236"/>
      <c r="D11" s="236"/>
      <c r="E11" s="255">
        <v>1</v>
      </c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  <c r="AC11" s="311"/>
      <c r="AD11" s="311"/>
      <c r="AE11" s="311"/>
      <c r="AF11" s="311"/>
      <c r="AG11" s="236"/>
      <c r="AH11" s="311"/>
      <c r="AI11" s="311"/>
      <c r="AJ11" s="311"/>
      <c r="AK11" s="916"/>
      <c r="AL11" s="916"/>
    </row>
    <row r="12" spans="2:38" x14ac:dyDescent="0.45">
      <c r="B12" s="232" t="s">
        <v>1156</v>
      </c>
      <c r="C12" s="236"/>
      <c r="D12" s="236" t="s">
        <v>4</v>
      </c>
      <c r="E12" s="1103">
        <v>98</v>
      </c>
      <c r="F12" s="311">
        <f>E12+$E$11</f>
        <v>99</v>
      </c>
      <c r="G12" s="311">
        <f t="shared" ref="G12:J12" si="0">F12+$E$11</f>
        <v>100</v>
      </c>
      <c r="H12" s="311">
        <f t="shared" si="0"/>
        <v>101</v>
      </c>
      <c r="I12" s="311">
        <f t="shared" si="0"/>
        <v>102</v>
      </c>
      <c r="J12" s="311">
        <f t="shared" si="0"/>
        <v>103</v>
      </c>
      <c r="K12" s="311">
        <f>J12+$E$11</f>
        <v>104</v>
      </c>
      <c r="L12" s="311">
        <f>K12+$E$11</f>
        <v>105</v>
      </c>
      <c r="M12" s="311">
        <f>L12+$E$11</f>
        <v>106</v>
      </c>
      <c r="N12" s="311">
        <f t="shared" ref="N12:P12" si="1">M12+$E$11</f>
        <v>107</v>
      </c>
      <c r="O12" s="311">
        <f t="shared" si="1"/>
        <v>108</v>
      </c>
      <c r="P12" s="311">
        <f t="shared" si="1"/>
        <v>109</v>
      </c>
      <c r="Q12" s="311">
        <f>P12+$E$11</f>
        <v>110</v>
      </c>
      <c r="R12" s="311">
        <f t="shared" ref="R12:U12" si="2">Q12+$E$11</f>
        <v>111</v>
      </c>
      <c r="S12" s="311">
        <f t="shared" si="2"/>
        <v>112</v>
      </c>
      <c r="T12" s="311">
        <f t="shared" si="2"/>
        <v>113</v>
      </c>
      <c r="U12" s="311">
        <f t="shared" si="2"/>
        <v>114</v>
      </c>
      <c r="V12" s="311">
        <f>U12+$E$11</f>
        <v>115</v>
      </c>
      <c r="W12" s="311">
        <f>V12+$E$11</f>
        <v>116</v>
      </c>
      <c r="X12" s="311">
        <f>W12+$E$11</f>
        <v>117</v>
      </c>
      <c r="Y12" s="311">
        <f t="shared" ref="Y12:AB12" si="3">X12+$E$11</f>
        <v>118</v>
      </c>
      <c r="Z12" s="311">
        <f t="shared" si="3"/>
        <v>119</v>
      </c>
      <c r="AA12" s="311">
        <f t="shared" si="3"/>
        <v>120</v>
      </c>
      <c r="AB12" s="311">
        <f t="shared" si="3"/>
        <v>121</v>
      </c>
      <c r="AC12" s="311">
        <f>AB12+$E$11</f>
        <v>122</v>
      </c>
      <c r="AD12" s="311"/>
      <c r="AE12" s="357">
        <v>144</v>
      </c>
      <c r="AF12" s="357">
        <v>165</v>
      </c>
      <c r="AG12" s="236"/>
      <c r="AH12" s="357">
        <v>800</v>
      </c>
      <c r="AI12" s="357">
        <v>960</v>
      </c>
      <c r="AJ12" s="311"/>
      <c r="AK12" s="357">
        <v>50</v>
      </c>
      <c r="AL12" s="357">
        <v>60</v>
      </c>
    </row>
    <row r="13" spans="2:38" x14ac:dyDescent="0.45">
      <c r="B13" s="236" t="s">
        <v>1249</v>
      </c>
      <c r="C13" s="914" t="s">
        <v>2156</v>
      </c>
      <c r="D13" s="236" t="s">
        <v>1</v>
      </c>
      <c r="E13" s="253">
        <f>1/E12*1000000</f>
        <v>10204.08163265306</v>
      </c>
      <c r="F13" s="253">
        <f>1/F12*1000000</f>
        <v>10101.010101010103</v>
      </c>
      <c r="G13" s="253">
        <f t="shared" ref="G13:J13" si="4">1/G12*1000000</f>
        <v>10000</v>
      </c>
      <c r="H13" s="253">
        <f t="shared" si="4"/>
        <v>9900.9900990099013</v>
      </c>
      <c r="I13" s="253">
        <f t="shared" si="4"/>
        <v>9803.9215686274511</v>
      </c>
      <c r="J13" s="253">
        <f t="shared" si="4"/>
        <v>9708.7378640776697</v>
      </c>
      <c r="K13" s="253">
        <f>1/K12*1000000</f>
        <v>9615.3846153846152</v>
      </c>
      <c r="L13" s="253">
        <f t="shared" ref="L13:N13" si="5">1/L12*1000000</f>
        <v>9523.8095238095248</v>
      </c>
      <c r="M13" s="253">
        <f t="shared" si="5"/>
        <v>9433.9622641509432</v>
      </c>
      <c r="N13" s="253">
        <f t="shared" si="5"/>
        <v>9345.7943925233631</v>
      </c>
      <c r="O13" s="253">
        <f>1/O12*1000000</f>
        <v>9259.2592592592591</v>
      </c>
      <c r="P13" s="253">
        <f t="shared" ref="P13:AC13" si="6">1/P12*1000000</f>
        <v>9174.3119266055055</v>
      </c>
      <c r="Q13" s="253">
        <f t="shared" si="6"/>
        <v>9090.9090909090901</v>
      </c>
      <c r="R13" s="253">
        <f t="shared" si="6"/>
        <v>9009.0090090090089</v>
      </c>
      <c r="S13" s="253">
        <f t="shared" si="6"/>
        <v>8928.5714285714275</v>
      </c>
      <c r="T13" s="253">
        <f t="shared" si="6"/>
        <v>8849.5575221238942</v>
      </c>
      <c r="U13" s="253">
        <f t="shared" si="6"/>
        <v>8771.9298245614027</v>
      </c>
      <c r="V13" s="253">
        <f t="shared" si="6"/>
        <v>8695.652173913044</v>
      </c>
      <c r="W13" s="253">
        <f t="shared" si="6"/>
        <v>8620.689655172413</v>
      </c>
      <c r="X13" s="253">
        <f t="shared" si="6"/>
        <v>8547.0085470085487</v>
      </c>
      <c r="Y13" s="253">
        <f t="shared" si="6"/>
        <v>8474.5762711864409</v>
      </c>
      <c r="Z13" s="253">
        <f t="shared" si="6"/>
        <v>8403.3613445378141</v>
      </c>
      <c r="AA13" s="253">
        <f t="shared" si="6"/>
        <v>8333.3333333333339</v>
      </c>
      <c r="AB13" s="253">
        <f t="shared" si="6"/>
        <v>8264.4628099173551</v>
      </c>
      <c r="AC13" s="253">
        <f t="shared" si="6"/>
        <v>8196.7213114754104</v>
      </c>
      <c r="AD13" s="311"/>
      <c r="AE13" s="253">
        <f t="shared" ref="AE13" si="7">1/AE12*1000000</f>
        <v>6944.4444444444443</v>
      </c>
      <c r="AF13" s="253">
        <f>1/AF12*1000000</f>
        <v>6060.606060606061</v>
      </c>
      <c r="AG13" s="236"/>
      <c r="AH13" s="253">
        <f>1/AH12*1000000</f>
        <v>1250</v>
      </c>
      <c r="AI13" s="253">
        <f>1/AI12*1000000</f>
        <v>1041.6666666666667</v>
      </c>
      <c r="AJ13" s="311"/>
      <c r="AK13" s="253">
        <f t="shared" ref="AK13:AL13" si="8">1/AK12*1000000</f>
        <v>20000</v>
      </c>
      <c r="AL13" s="253">
        <f t="shared" si="8"/>
        <v>16666.666666666668</v>
      </c>
    </row>
    <row r="14" spans="2:38" x14ac:dyDescent="0.45">
      <c r="B14" s="236" t="s">
        <v>2157</v>
      </c>
      <c r="C14" s="914" t="s">
        <v>1274</v>
      </c>
      <c r="D14" s="236" t="s">
        <v>1</v>
      </c>
      <c r="E14" s="253">
        <f>E13-$C$10</f>
        <v>9564.0816326530603</v>
      </c>
      <c r="F14" s="253">
        <f t="shared" ref="F14:AC14" si="9">F13-$C$10</f>
        <v>9461.0101010101025</v>
      </c>
      <c r="G14" s="253">
        <f t="shared" si="9"/>
        <v>9360</v>
      </c>
      <c r="H14" s="253">
        <f t="shared" si="9"/>
        <v>9260.9900990099013</v>
      </c>
      <c r="I14" s="253">
        <f t="shared" si="9"/>
        <v>9163.9215686274511</v>
      </c>
      <c r="J14" s="253">
        <f t="shared" si="9"/>
        <v>9068.7378640776697</v>
      </c>
      <c r="K14" s="253">
        <f t="shared" si="9"/>
        <v>8975.3846153846152</v>
      </c>
      <c r="L14" s="253">
        <f t="shared" si="9"/>
        <v>8883.8095238095248</v>
      </c>
      <c r="M14" s="253">
        <f t="shared" si="9"/>
        <v>8793.9622641509432</v>
      </c>
      <c r="N14" s="253">
        <f t="shared" si="9"/>
        <v>8705.7943925233631</v>
      </c>
      <c r="O14" s="253">
        <f t="shared" si="9"/>
        <v>8619.2592592592591</v>
      </c>
      <c r="P14" s="253">
        <f t="shared" si="9"/>
        <v>8534.3119266055055</v>
      </c>
      <c r="Q14" s="253">
        <f t="shared" si="9"/>
        <v>8450.9090909090901</v>
      </c>
      <c r="R14" s="253">
        <f t="shared" si="9"/>
        <v>8369.0090090090089</v>
      </c>
      <c r="S14" s="253">
        <f t="shared" si="9"/>
        <v>8288.5714285714275</v>
      </c>
      <c r="T14" s="253">
        <f t="shared" si="9"/>
        <v>8209.5575221238942</v>
      </c>
      <c r="U14" s="253">
        <f t="shared" si="9"/>
        <v>8131.9298245614027</v>
      </c>
      <c r="V14" s="253">
        <f t="shared" si="9"/>
        <v>8055.652173913044</v>
      </c>
      <c r="W14" s="253">
        <f t="shared" si="9"/>
        <v>7980.689655172413</v>
      </c>
      <c r="X14" s="253">
        <f t="shared" si="9"/>
        <v>7907.0085470085487</v>
      </c>
      <c r="Y14" s="253">
        <f t="shared" si="9"/>
        <v>7834.5762711864409</v>
      </c>
      <c r="Z14" s="253">
        <f t="shared" si="9"/>
        <v>7763.3613445378141</v>
      </c>
      <c r="AA14" s="253">
        <f t="shared" si="9"/>
        <v>7693.3333333333339</v>
      </c>
      <c r="AB14" s="253">
        <f t="shared" si="9"/>
        <v>7624.4628099173551</v>
      </c>
      <c r="AC14" s="253">
        <f t="shared" si="9"/>
        <v>7556.7213114754104</v>
      </c>
      <c r="AD14" s="311"/>
      <c r="AE14" s="253">
        <f>AE13-$C$10</f>
        <v>6304.4444444444443</v>
      </c>
      <c r="AF14" s="253">
        <f>AF13-$C$10</f>
        <v>5420.606060606061</v>
      </c>
      <c r="AG14" s="236"/>
      <c r="AH14" s="253">
        <f>AH13-$C$9</f>
        <v>1230</v>
      </c>
      <c r="AI14" s="253">
        <f>AI13-$C$9</f>
        <v>1021.6666666666667</v>
      </c>
      <c r="AJ14" s="311"/>
      <c r="AK14" s="253">
        <f>AK13-$C$10</f>
        <v>19360</v>
      </c>
      <c r="AL14" s="253">
        <f>AL13-$C$10</f>
        <v>16026.666666666668</v>
      </c>
    </row>
    <row r="15" spans="2:38" x14ac:dyDescent="0.45">
      <c r="B15" s="236"/>
      <c r="C15" s="236"/>
      <c r="D15" s="236"/>
      <c r="AD15" s="311"/>
      <c r="AG15" s="236"/>
      <c r="AJ15" s="311"/>
    </row>
    <row r="16" spans="2:38" x14ac:dyDescent="0.45">
      <c r="B16" s="236" t="s">
        <v>2606</v>
      </c>
      <c r="C16" s="236" t="s">
        <v>1249</v>
      </c>
      <c r="D16" s="236" t="s">
        <v>1</v>
      </c>
      <c r="E16" s="240">
        <f t="shared" ref="E16:AB17" si="10">E13/(2^$C$2)</f>
        <v>0.62280771683673464</v>
      </c>
      <c r="F16" s="240">
        <f t="shared" si="10"/>
        <v>0.61651672979797989</v>
      </c>
      <c r="G16" s="240">
        <f t="shared" si="10"/>
        <v>0.6103515625</v>
      </c>
      <c r="H16" s="240">
        <f t="shared" si="10"/>
        <v>0.6043084777227723</v>
      </c>
      <c r="I16" s="240">
        <f t="shared" si="10"/>
        <v>0.59838388480392157</v>
      </c>
      <c r="J16" s="240">
        <f t="shared" si="10"/>
        <v>0.59257433252427183</v>
      </c>
      <c r="K16" s="240">
        <f t="shared" si="10"/>
        <v>0.58687650240384615</v>
      </c>
      <c r="L16" s="240">
        <f t="shared" si="10"/>
        <v>0.58128720238095244</v>
      </c>
      <c r="M16" s="240">
        <f t="shared" si="10"/>
        <v>0.57580336084905659</v>
      </c>
      <c r="N16" s="240">
        <f t="shared" si="10"/>
        <v>0.5704220210280373</v>
      </c>
      <c r="O16" s="240">
        <f t="shared" si="10"/>
        <v>0.56514033564814814</v>
      </c>
      <c r="P16" s="240">
        <f t="shared" si="10"/>
        <v>0.55995556192660556</v>
      </c>
      <c r="Q16" s="240">
        <f t="shared" si="10"/>
        <v>0.55486505681818177</v>
      </c>
      <c r="R16" s="240">
        <f t="shared" si="10"/>
        <v>0.54986627252252251</v>
      </c>
      <c r="S16" s="240">
        <f t="shared" si="10"/>
        <v>0.54495675223214279</v>
      </c>
      <c r="T16" s="240">
        <f t="shared" si="10"/>
        <v>0.54013412610619471</v>
      </c>
      <c r="U16" s="240">
        <f t="shared" si="10"/>
        <v>0.5353961074561403</v>
      </c>
      <c r="V16" s="240">
        <f t="shared" si="10"/>
        <v>0.53074048913043481</v>
      </c>
      <c r="W16" s="240">
        <f t="shared" si="10"/>
        <v>0.52616514008620685</v>
      </c>
      <c r="X16" s="240">
        <f t="shared" si="10"/>
        <v>0.52166800213675224</v>
      </c>
      <c r="Y16" s="240">
        <f t="shared" si="10"/>
        <v>0.51724708686440679</v>
      </c>
      <c r="Z16" s="240">
        <f t="shared" si="10"/>
        <v>0.51290047268907557</v>
      </c>
      <c r="AA16" s="240">
        <f t="shared" si="10"/>
        <v>0.50862630208333337</v>
      </c>
      <c r="AB16" s="240">
        <f t="shared" si="10"/>
        <v>0.50442277892561982</v>
      </c>
      <c r="AC16" s="240">
        <f>AC13/(2^$C$2)</f>
        <v>0.50028816598360659</v>
      </c>
      <c r="AD16" s="311"/>
      <c r="AE16" s="240">
        <f t="shared" ref="AE16:AF17" si="11">AE13/(2^$C$2)</f>
        <v>0.4238552517361111</v>
      </c>
      <c r="AF16" s="240">
        <f t="shared" si="11"/>
        <v>0.3699100378787879</v>
      </c>
      <c r="AG16" s="236"/>
      <c r="AH16" s="240">
        <f>AH13/(2^$C$2/8)</f>
        <v>0.6103515625</v>
      </c>
      <c r="AI16" s="240">
        <f>AI13/(2^$C$2/8)</f>
        <v>0.50862630208333337</v>
      </c>
      <c r="AJ16" s="311"/>
      <c r="AK16" s="240">
        <f>AK13/(2^$C$2)</f>
        <v>1.220703125</v>
      </c>
      <c r="AL16" s="240">
        <f>AL13/(2^$C$2)</f>
        <v>1.0172526041666667</v>
      </c>
    </row>
    <row r="17" spans="1:38" x14ac:dyDescent="0.45">
      <c r="B17" s="236"/>
      <c r="C17" s="236" t="s">
        <v>2157</v>
      </c>
      <c r="D17" s="236" t="s">
        <v>1</v>
      </c>
      <c r="E17" s="240">
        <f t="shared" si="10"/>
        <v>0.58374521683673464</v>
      </c>
      <c r="F17" s="240">
        <f t="shared" si="10"/>
        <v>0.57745422979797989</v>
      </c>
      <c r="G17" s="240">
        <f t="shared" si="10"/>
        <v>0.5712890625</v>
      </c>
      <c r="H17" s="240">
        <f t="shared" si="10"/>
        <v>0.5652459777227723</v>
      </c>
      <c r="I17" s="240">
        <f t="shared" si="10"/>
        <v>0.55932138480392157</v>
      </c>
      <c r="J17" s="240">
        <f t="shared" si="10"/>
        <v>0.55351183252427183</v>
      </c>
      <c r="K17" s="240">
        <f t="shared" si="10"/>
        <v>0.54781400240384615</v>
      </c>
      <c r="L17" s="240">
        <f t="shared" si="10"/>
        <v>0.54222470238095244</v>
      </c>
      <c r="M17" s="240">
        <f t="shared" si="10"/>
        <v>0.53674086084905659</v>
      </c>
      <c r="N17" s="240">
        <f t="shared" si="10"/>
        <v>0.5313595210280373</v>
      </c>
      <c r="O17" s="240">
        <f t="shared" si="10"/>
        <v>0.52607783564814814</v>
      </c>
      <c r="P17" s="240">
        <f t="shared" si="10"/>
        <v>0.52089306192660556</v>
      </c>
      <c r="Q17" s="240">
        <f t="shared" si="10"/>
        <v>0.51580255681818177</v>
      </c>
      <c r="R17" s="240">
        <f t="shared" si="10"/>
        <v>0.51080377252252251</v>
      </c>
      <c r="S17" s="240">
        <f t="shared" si="10"/>
        <v>0.50589425223214279</v>
      </c>
      <c r="T17" s="240">
        <f t="shared" si="10"/>
        <v>0.50107162610619471</v>
      </c>
      <c r="U17" s="240">
        <f t="shared" si="10"/>
        <v>0.4963336074561403</v>
      </c>
      <c r="V17" s="240">
        <f t="shared" si="10"/>
        <v>0.49167798913043481</v>
      </c>
      <c r="W17" s="240">
        <f t="shared" si="10"/>
        <v>0.48710264008620685</v>
      </c>
      <c r="X17" s="240">
        <f t="shared" si="10"/>
        <v>0.48260550213675224</v>
      </c>
      <c r="Y17" s="240">
        <f t="shared" si="10"/>
        <v>0.47818458686440679</v>
      </c>
      <c r="Z17" s="240">
        <f t="shared" si="10"/>
        <v>0.47383797268907557</v>
      </c>
      <c r="AA17" s="240">
        <f t="shared" si="10"/>
        <v>0.46956380208333337</v>
      </c>
      <c r="AB17" s="240">
        <f t="shared" si="10"/>
        <v>0.46536027892561982</v>
      </c>
      <c r="AC17" s="240">
        <f>AC14/(2^$C$2)</f>
        <v>0.46122566598360659</v>
      </c>
      <c r="AD17" s="311"/>
      <c r="AE17" s="240">
        <f t="shared" si="11"/>
        <v>0.3847927517361111</v>
      </c>
      <c r="AF17" s="240">
        <f t="shared" si="11"/>
        <v>0.3308475378787879</v>
      </c>
      <c r="AG17" s="311"/>
      <c r="AH17" s="240">
        <f>AH14/(2^$C$2/8)</f>
        <v>0.6005859375</v>
      </c>
      <c r="AI17" s="240">
        <f>AI14/(2^$C$2/8)</f>
        <v>0.49886067708333337</v>
      </c>
      <c r="AJ17" s="311"/>
      <c r="AK17" s="240">
        <f>AK14/(2^$C$2)</f>
        <v>1.181640625</v>
      </c>
      <c r="AL17" s="240">
        <f>AL14/(2^$C$2)</f>
        <v>0.97819010416666674</v>
      </c>
    </row>
    <row r="18" spans="1:38" ht="15" thickBot="1" x14ac:dyDescent="0.5">
      <c r="B18" s="236"/>
      <c r="C18" s="236"/>
      <c r="D18" s="236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311"/>
      <c r="AE18" s="235"/>
      <c r="AF18" s="235"/>
      <c r="AG18" s="311"/>
      <c r="AH18" s="235"/>
      <c r="AI18" s="235"/>
      <c r="AJ18" s="311"/>
      <c r="AK18" s="235"/>
      <c r="AL18" s="235"/>
    </row>
    <row r="19" spans="1:38" ht="15" thickBot="1" x14ac:dyDescent="0.5">
      <c r="B19" s="307" t="s">
        <v>2622</v>
      </c>
      <c r="C19" s="1087">
        <v>26</v>
      </c>
      <c r="D19" s="236" t="s">
        <v>5</v>
      </c>
      <c r="E19" s="1118"/>
      <c r="F19" s="1118"/>
      <c r="G19" s="1118">
        <f t="shared" ref="G19" si="12">1/(G16/$C$19)</f>
        <v>42.598399999999998</v>
      </c>
      <c r="H19" s="1118"/>
      <c r="I19" s="1118"/>
      <c r="J19" s="1118"/>
      <c r="K19" s="1118"/>
      <c r="L19" s="1118"/>
      <c r="M19" s="1118"/>
      <c r="N19" s="1118"/>
      <c r="O19" s="1118"/>
      <c r="P19" s="1118"/>
      <c r="Q19" s="1118"/>
      <c r="R19" s="1118"/>
      <c r="S19" s="1118"/>
      <c r="T19" s="1118"/>
      <c r="U19" s="1118"/>
      <c r="V19" s="1118"/>
      <c r="W19" s="1118"/>
      <c r="X19" s="1118"/>
      <c r="Y19" s="1118"/>
      <c r="Z19" s="1118"/>
      <c r="AA19" s="1118">
        <f t="shared" ref="AA19" si="13">1/(AA16/$C$19)</f>
        <v>51.118079999999992</v>
      </c>
      <c r="AB19" s="1118"/>
      <c r="AC19" s="1118"/>
      <c r="AD19" s="311"/>
      <c r="AE19" s="1104">
        <v>20</v>
      </c>
      <c r="AF19" s="1104">
        <v>18</v>
      </c>
      <c r="AG19" s="311"/>
      <c r="AH19" s="1104">
        <v>26</v>
      </c>
      <c r="AI19" s="1104">
        <v>26</v>
      </c>
      <c r="AJ19" s="311"/>
      <c r="AK19" s="1104">
        <v>62</v>
      </c>
      <c r="AL19" s="1104">
        <v>52</v>
      </c>
    </row>
    <row r="20" spans="1:38" x14ac:dyDescent="0.45">
      <c r="B20" s="307"/>
      <c r="C20" s="307"/>
      <c r="D20" s="236" t="s">
        <v>0</v>
      </c>
      <c r="E20" s="1118"/>
      <c r="F20" s="1118"/>
      <c r="G20" s="1118"/>
      <c r="H20" s="1118"/>
      <c r="I20" s="1118"/>
      <c r="J20" s="1118"/>
      <c r="K20" s="1118"/>
      <c r="L20" s="1118"/>
      <c r="M20" s="1118"/>
      <c r="N20" s="1118"/>
      <c r="O20" s="1118"/>
      <c r="P20" s="1118"/>
      <c r="Q20" s="1118"/>
      <c r="R20" s="1118"/>
      <c r="S20" s="1118"/>
      <c r="T20" s="1118"/>
      <c r="U20" s="1118"/>
      <c r="V20" s="1118"/>
      <c r="W20" s="1118"/>
      <c r="X20" s="1118"/>
      <c r="Y20" s="1118"/>
      <c r="Z20" s="1118"/>
      <c r="AA20" s="1118"/>
      <c r="AB20" s="1118"/>
      <c r="AC20" s="1118"/>
      <c r="AD20" s="311"/>
      <c r="AE20" s="311">
        <f>1/(AE16/AE22)</f>
        <v>47.185919999999996</v>
      </c>
      <c r="AF20" s="311">
        <f t="shared" ref="AF20:AL20" si="14">1/(AF16/AF22)</f>
        <v>48.66048</v>
      </c>
      <c r="AG20" s="311"/>
      <c r="AH20" s="311">
        <f t="shared" si="14"/>
        <v>42.598399999999998</v>
      </c>
      <c r="AI20" s="311">
        <f t="shared" si="14"/>
        <v>51.118079999999992</v>
      </c>
      <c r="AJ20" s="311"/>
      <c r="AK20" s="311">
        <f t="shared" si="14"/>
        <v>50.790400000000005</v>
      </c>
      <c r="AL20" s="311">
        <f t="shared" si="14"/>
        <v>51.118079999999992</v>
      </c>
    </row>
    <row r="21" spans="1:38" x14ac:dyDescent="0.45">
      <c r="B21" s="307" t="s">
        <v>2158</v>
      </c>
      <c r="C21" s="307" t="s">
        <v>1268</v>
      </c>
      <c r="D21" s="236" t="s">
        <v>5</v>
      </c>
      <c r="E21" s="1116">
        <f>E16/(1/E25)</f>
        <v>26</v>
      </c>
      <c r="F21" s="1116">
        <f t="shared" ref="F21:AC21" si="15">F16/(1/F25)</f>
        <v>26</v>
      </c>
      <c r="G21" s="1116">
        <f t="shared" si="15"/>
        <v>26</v>
      </c>
      <c r="H21" s="1116">
        <f t="shared" si="15"/>
        <v>26</v>
      </c>
      <c r="I21" s="1116">
        <f t="shared" si="15"/>
        <v>26</v>
      </c>
      <c r="J21" s="1116">
        <f t="shared" si="15"/>
        <v>26</v>
      </c>
      <c r="K21" s="1116">
        <f t="shared" si="15"/>
        <v>25.999999999999996</v>
      </c>
      <c r="L21" s="1116">
        <f t="shared" si="15"/>
        <v>25.999999999999996</v>
      </c>
      <c r="M21" s="1116">
        <f t="shared" si="15"/>
        <v>26</v>
      </c>
      <c r="N21" s="1116">
        <f t="shared" si="15"/>
        <v>26</v>
      </c>
      <c r="O21" s="1116">
        <f t="shared" si="15"/>
        <v>26</v>
      </c>
      <c r="P21" s="1116">
        <f t="shared" si="15"/>
        <v>26</v>
      </c>
      <c r="Q21" s="1116">
        <f t="shared" si="15"/>
        <v>26</v>
      </c>
      <c r="R21" s="1116">
        <f t="shared" si="15"/>
        <v>26</v>
      </c>
      <c r="S21" s="1116">
        <f t="shared" si="15"/>
        <v>26</v>
      </c>
      <c r="T21" s="1116">
        <f t="shared" si="15"/>
        <v>26</v>
      </c>
      <c r="U21" s="1116">
        <f t="shared" si="15"/>
        <v>26</v>
      </c>
      <c r="V21" s="1116">
        <f t="shared" si="15"/>
        <v>26</v>
      </c>
      <c r="W21" s="1116">
        <f t="shared" si="15"/>
        <v>26</v>
      </c>
      <c r="X21" s="1116">
        <f t="shared" si="15"/>
        <v>26</v>
      </c>
      <c r="Y21" s="1116">
        <f t="shared" si="15"/>
        <v>26</v>
      </c>
      <c r="Z21" s="1116">
        <f t="shared" si="15"/>
        <v>25.999999999999996</v>
      </c>
      <c r="AA21" s="1116">
        <f t="shared" si="15"/>
        <v>26</v>
      </c>
      <c r="AB21" s="1116">
        <f t="shared" si="15"/>
        <v>26</v>
      </c>
      <c r="AC21" s="1116">
        <f t="shared" si="15"/>
        <v>26</v>
      </c>
      <c r="AD21" s="311"/>
      <c r="AE21" s="1116">
        <f>AE16/(1/AE25)</f>
        <v>20</v>
      </c>
      <c r="AF21" s="1116">
        <f t="shared" ref="AF21" si="16">AF16/(1/AF25)</f>
        <v>18</v>
      </c>
      <c r="AG21" s="311"/>
      <c r="AH21" s="1116">
        <f>AH16/(1/AH25)</f>
        <v>26</v>
      </c>
      <c r="AI21" s="1116">
        <f t="shared" ref="AI21:AL21" si="17">AI16/(1/AI25)</f>
        <v>26</v>
      </c>
      <c r="AJ21" s="311"/>
      <c r="AK21" s="1116">
        <f>AK16/(1/AK25)</f>
        <v>62</v>
      </c>
      <c r="AL21" s="1116">
        <f t="shared" si="17"/>
        <v>52</v>
      </c>
    </row>
    <row r="22" spans="1:38" s="1090" customFormat="1" x14ac:dyDescent="0.45">
      <c r="B22" s="1091"/>
      <c r="C22" s="1091" t="s">
        <v>1269</v>
      </c>
      <c r="D22" s="1089" t="s">
        <v>5</v>
      </c>
      <c r="E22" s="1090">
        <f>$C$19</f>
        <v>26</v>
      </c>
      <c r="F22" s="1090">
        <f t="shared" ref="F22:AC22" si="18">$C$19</f>
        <v>26</v>
      </c>
      <c r="G22" s="1090">
        <f t="shared" si="18"/>
        <v>26</v>
      </c>
      <c r="H22" s="1090">
        <f t="shared" si="18"/>
        <v>26</v>
      </c>
      <c r="I22" s="1090">
        <f t="shared" si="18"/>
        <v>26</v>
      </c>
      <c r="J22" s="1090">
        <f t="shared" si="18"/>
        <v>26</v>
      </c>
      <c r="K22" s="1090">
        <f t="shared" si="18"/>
        <v>26</v>
      </c>
      <c r="L22" s="1090">
        <f t="shared" si="18"/>
        <v>26</v>
      </c>
      <c r="M22" s="1090">
        <f t="shared" si="18"/>
        <v>26</v>
      </c>
      <c r="N22" s="1090">
        <f t="shared" si="18"/>
        <v>26</v>
      </c>
      <c r="O22" s="1090">
        <f t="shared" si="18"/>
        <v>26</v>
      </c>
      <c r="P22" s="1090">
        <f t="shared" si="18"/>
        <v>26</v>
      </c>
      <c r="Q22" s="1090">
        <f t="shared" si="18"/>
        <v>26</v>
      </c>
      <c r="R22" s="1090">
        <f t="shared" si="18"/>
        <v>26</v>
      </c>
      <c r="S22" s="1090">
        <f t="shared" si="18"/>
        <v>26</v>
      </c>
      <c r="T22" s="1090">
        <f t="shared" si="18"/>
        <v>26</v>
      </c>
      <c r="U22" s="1090">
        <f t="shared" si="18"/>
        <v>26</v>
      </c>
      <c r="V22" s="1090">
        <f t="shared" si="18"/>
        <v>26</v>
      </c>
      <c r="W22" s="1090">
        <f t="shared" si="18"/>
        <v>26</v>
      </c>
      <c r="X22" s="1090">
        <f t="shared" si="18"/>
        <v>26</v>
      </c>
      <c r="Y22" s="1090">
        <f t="shared" si="18"/>
        <v>26</v>
      </c>
      <c r="Z22" s="1090">
        <f t="shared" si="18"/>
        <v>26</v>
      </c>
      <c r="AA22" s="1090">
        <f t="shared" si="18"/>
        <v>26</v>
      </c>
      <c r="AB22" s="1090">
        <f>$C$19</f>
        <v>26</v>
      </c>
      <c r="AC22" s="1090">
        <f t="shared" si="18"/>
        <v>26</v>
      </c>
      <c r="AD22" s="311"/>
      <c r="AE22" s="1090">
        <f>AE19</f>
        <v>20</v>
      </c>
      <c r="AF22" s="1090">
        <f>AF19</f>
        <v>18</v>
      </c>
      <c r="AG22" s="311"/>
      <c r="AH22" s="1090">
        <f>AH19</f>
        <v>26</v>
      </c>
      <c r="AI22" s="1090">
        <f>AI19</f>
        <v>26</v>
      </c>
      <c r="AJ22" s="311"/>
      <c r="AK22" s="1090">
        <f>AK19</f>
        <v>62</v>
      </c>
      <c r="AL22" s="1090">
        <f>AL19</f>
        <v>52</v>
      </c>
    </row>
    <row r="23" spans="1:38" s="1090" customFormat="1" x14ac:dyDescent="0.45">
      <c r="B23" s="1091"/>
      <c r="C23" s="1091"/>
      <c r="D23" s="1089"/>
      <c r="AD23" s="311"/>
      <c r="AG23" s="311"/>
      <c r="AJ23" s="311"/>
    </row>
    <row r="24" spans="1:38" s="1090" customFormat="1" x14ac:dyDescent="0.45">
      <c r="B24" s="307" t="s">
        <v>2159</v>
      </c>
      <c r="C24" s="1120">
        <v>0</v>
      </c>
      <c r="D24" s="1089" t="s">
        <v>2616</v>
      </c>
      <c r="AD24" s="311"/>
      <c r="AE24" s="1121">
        <v>0</v>
      </c>
      <c r="AF24" s="1121">
        <v>0</v>
      </c>
      <c r="AG24" s="311"/>
      <c r="AH24" s="1121">
        <v>0</v>
      </c>
      <c r="AI24" s="1121">
        <v>0</v>
      </c>
      <c r="AJ24" s="311"/>
      <c r="AK24" s="1121">
        <v>0</v>
      </c>
      <c r="AL24" s="1121">
        <v>0</v>
      </c>
    </row>
    <row r="25" spans="1:38" x14ac:dyDescent="0.45">
      <c r="B25" s="917"/>
      <c r="C25" s="917"/>
      <c r="D25" s="236" t="s">
        <v>0</v>
      </c>
      <c r="E25" s="242">
        <f>1/(E16/E22) * (1+$C$24)</f>
        <v>41.746431999999999</v>
      </c>
      <c r="F25" s="242">
        <f>1/(F16/F22) * (1+$C$24)</f>
        <v>42.172415999999991</v>
      </c>
      <c r="G25" s="242">
        <f t="shared" ref="G25:AB25" si="19">1/(G16/G22) * (1+$C$24)</f>
        <v>42.598399999999998</v>
      </c>
      <c r="H25" s="242">
        <f t="shared" si="19"/>
        <v>43.024383999999998</v>
      </c>
      <c r="I25" s="242">
        <f t="shared" si="19"/>
        <v>43.450367999999997</v>
      </c>
      <c r="J25" s="242">
        <f t="shared" si="19"/>
        <v>43.876352000000004</v>
      </c>
      <c r="K25" s="242">
        <f t="shared" si="19"/>
        <v>44.302335999999997</v>
      </c>
      <c r="L25" s="242">
        <f t="shared" si="19"/>
        <v>44.728319999999989</v>
      </c>
      <c r="M25" s="242">
        <f t="shared" si="19"/>
        <v>45.154304000000003</v>
      </c>
      <c r="N25" s="242">
        <f t="shared" si="19"/>
        <v>45.58028800000001</v>
      </c>
      <c r="O25" s="242">
        <f t="shared" si="19"/>
        <v>46.006272000000003</v>
      </c>
      <c r="P25" s="242">
        <f t="shared" si="19"/>
        <v>46.432255999999995</v>
      </c>
      <c r="Q25" s="242">
        <f t="shared" si="19"/>
        <v>46.858240000000009</v>
      </c>
      <c r="R25" s="242">
        <f t="shared" si="19"/>
        <v>47.284224000000002</v>
      </c>
      <c r="S25" s="242">
        <f t="shared" si="19"/>
        <v>47.710208000000009</v>
      </c>
      <c r="T25" s="242">
        <f t="shared" si="19"/>
        <v>48.136191999999994</v>
      </c>
      <c r="U25" s="242">
        <f t="shared" si="19"/>
        <v>48.562176000000008</v>
      </c>
      <c r="V25" s="242">
        <f t="shared" si="19"/>
        <v>48.988159999999993</v>
      </c>
      <c r="W25" s="242">
        <f t="shared" si="19"/>
        <v>49.414144000000007</v>
      </c>
      <c r="X25" s="242">
        <f t="shared" si="19"/>
        <v>49.840127999999993</v>
      </c>
      <c r="Y25" s="242">
        <f t="shared" si="19"/>
        <v>50.266111999999993</v>
      </c>
      <c r="Z25" s="242">
        <f t="shared" si="19"/>
        <v>50.692095999999999</v>
      </c>
      <c r="AA25" s="242">
        <f t="shared" si="19"/>
        <v>51.118079999999992</v>
      </c>
      <c r="AB25" s="242">
        <f t="shared" si="19"/>
        <v>51.544064000000006</v>
      </c>
      <c r="AC25" s="242">
        <f>1/(AC16/AC22) * (1+$C$24)</f>
        <v>51.970047999999998</v>
      </c>
      <c r="AD25" s="311"/>
      <c r="AE25" s="242">
        <f>1/(AE16/AE19) * (1+AE24)</f>
        <v>47.185919999999996</v>
      </c>
      <c r="AF25" s="242">
        <f>1/(AF16/AF19) * (1+AF24)</f>
        <v>48.66048</v>
      </c>
      <c r="AG25" s="311"/>
      <c r="AH25" s="242">
        <f>1/(AH16/AH19) * (1+AH24)</f>
        <v>42.598399999999998</v>
      </c>
      <c r="AI25" s="242">
        <f>1/(AI16/AI19) * (1+AI24)</f>
        <v>51.118079999999992</v>
      </c>
      <c r="AJ25" s="311"/>
      <c r="AK25" s="242">
        <f>1/(AK16/AK19) * (1+AK24)</f>
        <v>50.790400000000005</v>
      </c>
      <c r="AL25" s="242">
        <f>1/(AL16/AL19) * (1+AL24)</f>
        <v>51.118079999999992</v>
      </c>
    </row>
    <row r="26" spans="1:38" x14ac:dyDescent="0.45">
      <c r="B26" s="307"/>
      <c r="C26" s="917"/>
      <c r="D26" s="236" t="s">
        <v>1</v>
      </c>
      <c r="E26" s="242">
        <f>1/E25</f>
        <v>2.3954142955259026E-2</v>
      </c>
      <c r="F26" s="242">
        <f t="shared" ref="F26:AC26" si="20">1/F25</f>
        <v>2.3712181915306919E-2</v>
      </c>
      <c r="G26" s="242">
        <f t="shared" si="20"/>
        <v>2.3475060096153848E-2</v>
      </c>
      <c r="H26" s="242">
        <f t="shared" si="20"/>
        <v>2.3242633758568165E-2</v>
      </c>
      <c r="I26" s="242">
        <f t="shared" si="20"/>
        <v>2.3014764800150831E-2</v>
      </c>
      <c r="J26" s="242">
        <f t="shared" si="20"/>
        <v>2.2791320481702761E-2</v>
      </c>
      <c r="K26" s="242">
        <f t="shared" si="20"/>
        <v>2.2572173169378699E-2</v>
      </c>
      <c r="L26" s="242">
        <f t="shared" si="20"/>
        <v>2.2357200091575095E-2</v>
      </c>
      <c r="M26" s="242">
        <f t="shared" si="20"/>
        <v>2.2146283109579099E-2</v>
      </c>
      <c r="N26" s="242">
        <f t="shared" si="20"/>
        <v>2.1939308501078357E-2</v>
      </c>
      <c r="O26" s="242">
        <f t="shared" si="20"/>
        <v>2.1736166755698005E-2</v>
      </c>
      <c r="P26" s="242">
        <f t="shared" si="20"/>
        <v>2.153675238179252E-2</v>
      </c>
      <c r="Q26" s="242">
        <f t="shared" si="20"/>
        <v>2.1340963723776221E-2</v>
      </c>
      <c r="R26" s="242">
        <f t="shared" si="20"/>
        <v>2.1148702789327789E-2</v>
      </c>
      <c r="S26" s="242">
        <f t="shared" si="20"/>
        <v>2.0959875085851645E-2</v>
      </c>
      <c r="T26" s="242">
        <f t="shared" si="20"/>
        <v>2.0774389465622874E-2</v>
      </c>
      <c r="U26" s="242">
        <f t="shared" si="20"/>
        <v>2.0592157979082319E-2</v>
      </c>
      <c r="V26" s="242">
        <f t="shared" si="20"/>
        <v>2.0413095735785956E-2</v>
      </c>
      <c r="W26" s="242">
        <f t="shared" si="20"/>
        <v>2.0237120772546417E-2</v>
      </c>
      <c r="X26" s="242">
        <f t="shared" si="20"/>
        <v>2.0064153928336624E-2</v>
      </c>
      <c r="Y26" s="242">
        <f t="shared" si="20"/>
        <v>1.9894118725554109E-2</v>
      </c>
      <c r="Z26" s="242">
        <f t="shared" si="20"/>
        <v>1.9726941257272139E-2</v>
      </c>
      <c r="AA26" s="242">
        <f t="shared" si="20"/>
        <v>1.9562550080128208E-2</v>
      </c>
      <c r="AB26" s="242">
        <f t="shared" si="20"/>
        <v>1.9400876112523838E-2</v>
      </c>
      <c r="AC26" s="242">
        <f t="shared" si="20"/>
        <v>1.9241852537831023E-2</v>
      </c>
      <c r="AD26" s="311"/>
      <c r="AE26" s="242">
        <f t="shared" ref="AE26:AF26" si="21">1/AE25</f>
        <v>2.1192762586805556E-2</v>
      </c>
      <c r="AF26" s="242">
        <f t="shared" si="21"/>
        <v>2.0550557659932661E-2</v>
      </c>
      <c r="AG26" s="311"/>
      <c r="AH26" s="242">
        <f t="shared" ref="AH26:AI26" si="22">1/AH25</f>
        <v>2.3475060096153848E-2</v>
      </c>
      <c r="AI26" s="242">
        <f t="shared" si="22"/>
        <v>1.9562550080128208E-2</v>
      </c>
      <c r="AJ26" s="311"/>
      <c r="AK26" s="242">
        <f t="shared" ref="AK26:AL26" si="23">1/AK25</f>
        <v>1.968876008064516E-2</v>
      </c>
      <c r="AL26" s="242">
        <f t="shared" si="23"/>
        <v>1.9562550080128208E-2</v>
      </c>
    </row>
    <row r="27" spans="1:38" s="1090" customFormat="1" x14ac:dyDescent="0.45">
      <c r="B27" s="307" t="s">
        <v>2629</v>
      </c>
      <c r="C27" s="1088" t="s">
        <v>1269</v>
      </c>
      <c r="D27" s="1089" t="s">
        <v>1</v>
      </c>
      <c r="E27" s="1097">
        <f>E26*E22*2^$C$2</f>
        <v>10204.08163265306</v>
      </c>
      <c r="F27" s="1097">
        <f t="shared" ref="F27:AC27" si="24">F26*F22*2^$C$2</f>
        <v>10101.010101010103</v>
      </c>
      <c r="G27" s="1097">
        <f t="shared" si="24"/>
        <v>10000</v>
      </c>
      <c r="H27" s="1097">
        <f t="shared" si="24"/>
        <v>9900.9900990099013</v>
      </c>
      <c r="I27" s="1097">
        <f t="shared" si="24"/>
        <v>9803.9215686274511</v>
      </c>
      <c r="J27" s="1097">
        <f t="shared" si="24"/>
        <v>9708.7378640776697</v>
      </c>
      <c r="K27" s="1097">
        <f t="shared" si="24"/>
        <v>9615.3846153846152</v>
      </c>
      <c r="L27" s="1097">
        <f t="shared" si="24"/>
        <v>9523.8095238095248</v>
      </c>
      <c r="M27" s="1097">
        <f t="shared" si="24"/>
        <v>9433.9622641509432</v>
      </c>
      <c r="N27" s="1097">
        <f t="shared" si="24"/>
        <v>9345.7943925233631</v>
      </c>
      <c r="O27" s="1097">
        <f t="shared" si="24"/>
        <v>9259.2592592592591</v>
      </c>
      <c r="P27" s="1097">
        <f t="shared" si="24"/>
        <v>9174.3119266055055</v>
      </c>
      <c r="Q27" s="1097">
        <f t="shared" si="24"/>
        <v>9090.9090909090901</v>
      </c>
      <c r="R27" s="1097">
        <f t="shared" si="24"/>
        <v>9009.0090090090089</v>
      </c>
      <c r="S27" s="1097">
        <f t="shared" si="24"/>
        <v>8928.5714285714275</v>
      </c>
      <c r="T27" s="1097">
        <f t="shared" si="24"/>
        <v>8849.5575221238942</v>
      </c>
      <c r="U27" s="1097">
        <f t="shared" si="24"/>
        <v>8771.9298245614027</v>
      </c>
      <c r="V27" s="1097">
        <f t="shared" si="24"/>
        <v>8695.652173913044</v>
      </c>
      <c r="W27" s="1097">
        <f t="shared" si="24"/>
        <v>8620.689655172413</v>
      </c>
      <c r="X27" s="1097">
        <f t="shared" si="24"/>
        <v>8547.0085470085487</v>
      </c>
      <c r="Y27" s="1097">
        <f t="shared" si="24"/>
        <v>8474.5762711864409</v>
      </c>
      <c r="Z27" s="1097">
        <f t="shared" si="24"/>
        <v>8403.3613445378141</v>
      </c>
      <c r="AA27" s="1097">
        <f t="shared" si="24"/>
        <v>8333.3333333333339</v>
      </c>
      <c r="AB27" s="1097">
        <f t="shared" si="24"/>
        <v>8264.4628099173551</v>
      </c>
      <c r="AC27" s="1097">
        <f t="shared" si="24"/>
        <v>8196.7213114754104</v>
      </c>
      <c r="AD27" s="311"/>
      <c r="AE27" s="1097">
        <f>AE26*AE19*2^$C$2</f>
        <v>6944.4444444444443</v>
      </c>
      <c r="AF27" s="1097">
        <f>AF26*AF19*2^$C$2</f>
        <v>6060.606060606061</v>
      </c>
      <c r="AG27" s="311"/>
      <c r="AH27" s="1097">
        <f>AH26*AH19*2^$C$2/8</f>
        <v>1250</v>
      </c>
      <c r="AI27" s="1097">
        <f>AI26*AI19*2^$C$2/8</f>
        <v>1041.6666666666667</v>
      </c>
      <c r="AJ27" s="311"/>
      <c r="AK27" s="1097">
        <f t="shared" ref="AK27:AL27" si="25">AK26*AK19*2^$C$2</f>
        <v>20000</v>
      </c>
      <c r="AL27" s="1097">
        <f t="shared" si="25"/>
        <v>16666.666666666668</v>
      </c>
    </row>
    <row r="28" spans="1:38" s="1090" customFormat="1" x14ac:dyDescent="0.45">
      <c r="B28" s="1091"/>
      <c r="C28" s="1088" t="s">
        <v>2609</v>
      </c>
      <c r="D28" s="1089" t="s">
        <v>1</v>
      </c>
      <c r="E28" s="1100">
        <f>E13-E27</f>
        <v>0</v>
      </c>
      <c r="F28" s="1100">
        <f t="shared" ref="F28:AC28" si="26">F13-F27</f>
        <v>0</v>
      </c>
      <c r="G28" s="1100">
        <f t="shared" si="26"/>
        <v>0</v>
      </c>
      <c r="H28" s="1100">
        <f t="shared" si="26"/>
        <v>0</v>
      </c>
      <c r="I28" s="1100">
        <f t="shared" si="26"/>
        <v>0</v>
      </c>
      <c r="J28" s="1100">
        <f t="shared" si="26"/>
        <v>0</v>
      </c>
      <c r="K28" s="1100">
        <f t="shared" si="26"/>
        <v>0</v>
      </c>
      <c r="L28" s="1100">
        <f t="shared" si="26"/>
        <v>0</v>
      </c>
      <c r="M28" s="1100">
        <f t="shared" si="26"/>
        <v>0</v>
      </c>
      <c r="N28" s="1100">
        <f t="shared" si="26"/>
        <v>0</v>
      </c>
      <c r="O28" s="1100">
        <f t="shared" si="26"/>
        <v>0</v>
      </c>
      <c r="P28" s="1100">
        <f t="shared" si="26"/>
        <v>0</v>
      </c>
      <c r="Q28" s="1100">
        <f t="shared" si="26"/>
        <v>0</v>
      </c>
      <c r="R28" s="1100">
        <f t="shared" si="26"/>
        <v>0</v>
      </c>
      <c r="S28" s="1100">
        <f t="shared" si="26"/>
        <v>0</v>
      </c>
      <c r="T28" s="1100">
        <f t="shared" si="26"/>
        <v>0</v>
      </c>
      <c r="U28" s="1100">
        <f t="shared" si="26"/>
        <v>0</v>
      </c>
      <c r="V28" s="1100">
        <f t="shared" si="26"/>
        <v>0</v>
      </c>
      <c r="W28" s="1100">
        <f t="shared" si="26"/>
        <v>0</v>
      </c>
      <c r="X28" s="1100">
        <f t="shared" si="26"/>
        <v>0</v>
      </c>
      <c r="Y28" s="1100">
        <f t="shared" si="26"/>
        <v>0</v>
      </c>
      <c r="Z28" s="1100">
        <f t="shared" si="26"/>
        <v>0</v>
      </c>
      <c r="AA28" s="1100">
        <f t="shared" si="26"/>
        <v>0</v>
      </c>
      <c r="AB28" s="1100">
        <f t="shared" si="26"/>
        <v>0</v>
      </c>
      <c r="AC28" s="1100">
        <f t="shared" si="26"/>
        <v>0</v>
      </c>
      <c r="AD28" s="311"/>
      <c r="AE28" s="1100">
        <f>AE13-AE27</f>
        <v>0</v>
      </c>
      <c r="AF28" s="1100">
        <f>AF13-AF27</f>
        <v>0</v>
      </c>
      <c r="AG28" s="236"/>
      <c r="AH28" s="1100">
        <f>AH13-AH27</f>
        <v>0</v>
      </c>
      <c r="AI28" s="1100">
        <f>AI13-AI27</f>
        <v>0</v>
      </c>
      <c r="AJ28" s="311"/>
      <c r="AK28" s="1100">
        <f>AK13-AK27</f>
        <v>0</v>
      </c>
      <c r="AL28" s="1100">
        <f>AL13-AL27</f>
        <v>0</v>
      </c>
    </row>
    <row r="29" spans="1:38" ht="15" thickBot="1" x14ac:dyDescent="0.5">
      <c r="B29" s="1091"/>
      <c r="C29" s="236"/>
      <c r="D29" s="236"/>
      <c r="AD29" s="311"/>
      <c r="AG29" s="236"/>
      <c r="AJ29" s="311"/>
    </row>
    <row r="30" spans="1:38" ht="15" thickBot="1" x14ac:dyDescent="0.5">
      <c r="B30" s="236" t="s">
        <v>2608</v>
      </c>
      <c r="C30" s="1087">
        <v>24</v>
      </c>
      <c r="D30" s="236" t="s">
        <v>5</v>
      </c>
      <c r="E30" s="1094"/>
      <c r="F30" s="1094"/>
      <c r="G30" s="1094"/>
      <c r="H30" s="1094"/>
      <c r="I30" s="1094"/>
      <c r="J30" s="1094"/>
      <c r="K30" s="1094"/>
      <c r="L30" s="1094"/>
      <c r="M30" s="1094"/>
      <c r="N30" s="1094"/>
      <c r="O30" s="1094"/>
      <c r="P30" s="1094"/>
      <c r="Q30" s="1094"/>
      <c r="R30" s="1094"/>
      <c r="S30" s="1094"/>
      <c r="T30" s="1094"/>
      <c r="U30" s="1094"/>
      <c r="V30" s="1094"/>
      <c r="W30" s="1094"/>
      <c r="X30" s="1094"/>
      <c r="Y30" s="1094"/>
      <c r="Z30" s="1094"/>
      <c r="AA30" s="1094"/>
      <c r="AB30" s="311"/>
      <c r="AC30" s="311"/>
      <c r="AD30" s="311"/>
      <c r="AE30" s="1104">
        <v>18</v>
      </c>
      <c r="AF30" s="1104">
        <v>16</v>
      </c>
      <c r="AG30" s="236"/>
      <c r="AH30" s="1104">
        <v>24</v>
      </c>
      <c r="AI30" s="1104">
        <v>24</v>
      </c>
      <c r="AJ30" s="311"/>
      <c r="AK30" s="1104">
        <v>60</v>
      </c>
      <c r="AL30" s="1104">
        <v>50</v>
      </c>
    </row>
    <row r="31" spans="1:38" x14ac:dyDescent="0.45">
      <c r="B31" s="307"/>
      <c r="C31" s="917"/>
      <c r="D31" s="236" t="s">
        <v>0</v>
      </c>
      <c r="E31" s="1094"/>
      <c r="F31" s="1094"/>
      <c r="G31" s="1094">
        <f>1/(G17/$C$30)</f>
        <v>42.01025641025641</v>
      </c>
      <c r="H31" s="1094"/>
      <c r="I31" s="1094"/>
      <c r="J31" s="1094"/>
      <c r="K31" s="1094"/>
      <c r="L31" s="1094"/>
      <c r="M31" s="1094"/>
      <c r="N31" s="1094"/>
      <c r="O31" s="1094"/>
      <c r="P31" s="1094"/>
      <c r="Q31" s="1094"/>
      <c r="R31" s="1094"/>
      <c r="S31" s="1094"/>
      <c r="T31" s="1094"/>
      <c r="U31" s="1094"/>
      <c r="V31" s="1094"/>
      <c r="W31" s="1094"/>
      <c r="X31" s="1094"/>
      <c r="Y31" s="1094"/>
      <c r="Z31" s="1094"/>
      <c r="AA31" s="1094">
        <f>1/(AA17/$C$30)</f>
        <v>51.111265164644706</v>
      </c>
      <c r="AB31" s="311"/>
      <c r="AC31" s="311"/>
      <c r="AD31" s="311"/>
      <c r="AE31" s="1094">
        <f>1/(AE17/AE30)</f>
        <v>46.778427916813541</v>
      </c>
      <c r="AF31" s="1094">
        <f>1/(AF17/AF30)</f>
        <v>48.360644007155635</v>
      </c>
      <c r="AG31" s="236"/>
      <c r="AH31" s="1094">
        <f>1/(AH17/AH30)</f>
        <v>39.960975609756098</v>
      </c>
      <c r="AI31" s="1094">
        <f>1/(AI17/AI30)</f>
        <v>48.109624796084823</v>
      </c>
      <c r="AJ31" s="311"/>
      <c r="AK31" s="1094">
        <f>1/(AK17/AK30)</f>
        <v>50.776859504132226</v>
      </c>
      <c r="AL31" s="1094">
        <f>1/(AL17/AL30)</f>
        <v>51.114808652246253</v>
      </c>
    </row>
    <row r="32" spans="1:38" s="235" customFormat="1" x14ac:dyDescent="0.45">
      <c r="A32" s="234"/>
      <c r="B32" s="307" t="s">
        <v>2162</v>
      </c>
      <c r="C32" s="236" t="s">
        <v>1268</v>
      </c>
      <c r="D32" s="236" t="s">
        <v>5</v>
      </c>
      <c r="E32" s="240">
        <f t="shared" ref="E32:AC32" si="27">E17/(1/E36)</f>
        <v>24.36928</v>
      </c>
      <c r="F32" s="240">
        <f t="shared" si="27"/>
        <v>24.352640000000001</v>
      </c>
      <c r="G32" s="240">
        <f t="shared" si="27"/>
        <v>24.335999999999999</v>
      </c>
      <c r="H32" s="240">
        <f t="shared" si="27"/>
        <v>24.31936</v>
      </c>
      <c r="I32" s="240">
        <f t="shared" si="27"/>
        <v>24.302719999999997</v>
      </c>
      <c r="J32" s="240">
        <f t="shared" si="27"/>
        <v>24.286080000000002</v>
      </c>
      <c r="K32" s="240">
        <f t="shared" si="27"/>
        <v>24.269439999999999</v>
      </c>
      <c r="L32" s="240">
        <f t="shared" si="27"/>
        <v>24.252799999999997</v>
      </c>
      <c r="M32" s="240">
        <f t="shared" si="27"/>
        <v>24.236160000000002</v>
      </c>
      <c r="N32" s="240">
        <f t="shared" si="27"/>
        <v>24.219519999999999</v>
      </c>
      <c r="O32" s="240">
        <f t="shared" si="27"/>
        <v>24.20288</v>
      </c>
      <c r="P32" s="240">
        <f t="shared" si="27"/>
        <v>24.186240000000002</v>
      </c>
      <c r="Q32" s="240">
        <f t="shared" si="27"/>
        <v>24.169600000000003</v>
      </c>
      <c r="R32" s="240">
        <f t="shared" si="27"/>
        <v>24.15296</v>
      </c>
      <c r="S32" s="240">
        <f t="shared" si="27"/>
        <v>24.136320000000001</v>
      </c>
      <c r="T32" s="240">
        <f t="shared" si="27"/>
        <v>24.119679999999999</v>
      </c>
      <c r="U32" s="240">
        <f t="shared" si="27"/>
        <v>24.10304</v>
      </c>
      <c r="V32" s="240">
        <f t="shared" si="27"/>
        <v>24.086399999999998</v>
      </c>
      <c r="W32" s="240">
        <f t="shared" si="27"/>
        <v>24.069760000000002</v>
      </c>
      <c r="X32" s="240">
        <f t="shared" si="27"/>
        <v>24.05312</v>
      </c>
      <c r="Y32" s="240">
        <f t="shared" si="27"/>
        <v>24.036479999999997</v>
      </c>
      <c r="Z32" s="240">
        <f t="shared" si="27"/>
        <v>24.019839999999999</v>
      </c>
      <c r="AA32" s="240">
        <f t="shared" si="27"/>
        <v>24.0032</v>
      </c>
      <c r="AB32" s="240">
        <f t="shared" si="27"/>
        <v>23.986560000000001</v>
      </c>
      <c r="AC32" s="240">
        <f t="shared" si="27"/>
        <v>23.969919999999998</v>
      </c>
      <c r="AD32" s="311"/>
      <c r="AE32" s="240">
        <f>AE17/(1/AE36)</f>
        <v>18.1568</v>
      </c>
      <c r="AF32" s="240">
        <f>AF17/(1/AF36)</f>
        <v>16.0992</v>
      </c>
      <c r="AG32" s="236"/>
      <c r="AH32" s="240">
        <f>AH17/(1/AH36)</f>
        <v>25.584</v>
      </c>
      <c r="AI32" s="240">
        <f>AI17/(1/AI36)</f>
        <v>25.500799999999998</v>
      </c>
      <c r="AJ32" s="311"/>
      <c r="AK32" s="240">
        <f>AK17/(1/AK36)</f>
        <v>60.016000000000005</v>
      </c>
      <c r="AL32" s="240">
        <f>AL17/(1/AL36)</f>
        <v>50.0032</v>
      </c>
    </row>
    <row r="33" spans="1:38" s="1093" customFormat="1" x14ac:dyDescent="0.45">
      <c r="A33" s="1090"/>
      <c r="B33" s="1089"/>
      <c r="C33" s="1089" t="s">
        <v>1269</v>
      </c>
      <c r="D33" s="1089" t="s">
        <v>5</v>
      </c>
      <c r="E33" s="1101">
        <f>$C$30</f>
        <v>24</v>
      </c>
      <c r="F33" s="1101">
        <f t="shared" ref="F33:AC33" si="28">$C$30</f>
        <v>24</v>
      </c>
      <c r="G33" s="1101">
        <f t="shared" si="28"/>
        <v>24</v>
      </c>
      <c r="H33" s="1101">
        <f t="shared" si="28"/>
        <v>24</v>
      </c>
      <c r="I33" s="1101">
        <f t="shared" si="28"/>
        <v>24</v>
      </c>
      <c r="J33" s="1101">
        <f t="shared" si="28"/>
        <v>24</v>
      </c>
      <c r="K33" s="1101">
        <f t="shared" si="28"/>
        <v>24</v>
      </c>
      <c r="L33" s="1101">
        <f t="shared" si="28"/>
        <v>24</v>
      </c>
      <c r="M33" s="1101">
        <f t="shared" si="28"/>
        <v>24</v>
      </c>
      <c r="N33" s="1101">
        <f t="shared" si="28"/>
        <v>24</v>
      </c>
      <c r="O33" s="1101">
        <f t="shared" si="28"/>
        <v>24</v>
      </c>
      <c r="P33" s="1101">
        <f t="shared" si="28"/>
        <v>24</v>
      </c>
      <c r="Q33" s="1101">
        <f t="shared" si="28"/>
        <v>24</v>
      </c>
      <c r="R33" s="1101">
        <f t="shared" si="28"/>
        <v>24</v>
      </c>
      <c r="S33" s="1101">
        <f t="shared" si="28"/>
        <v>24</v>
      </c>
      <c r="T33" s="1101">
        <f t="shared" si="28"/>
        <v>24</v>
      </c>
      <c r="U33" s="1101">
        <f t="shared" si="28"/>
        <v>24</v>
      </c>
      <c r="V33" s="1101">
        <f t="shared" si="28"/>
        <v>24</v>
      </c>
      <c r="W33" s="1101">
        <f t="shared" si="28"/>
        <v>24</v>
      </c>
      <c r="X33" s="1101">
        <f t="shared" si="28"/>
        <v>24</v>
      </c>
      <c r="Y33" s="1101">
        <f t="shared" si="28"/>
        <v>24</v>
      </c>
      <c r="Z33" s="1101">
        <f t="shared" si="28"/>
        <v>24</v>
      </c>
      <c r="AA33" s="1101">
        <f t="shared" si="28"/>
        <v>24</v>
      </c>
      <c r="AB33" s="1101">
        <f t="shared" si="28"/>
        <v>24</v>
      </c>
      <c r="AC33" s="1101">
        <f t="shared" si="28"/>
        <v>24</v>
      </c>
      <c r="AD33" s="1117"/>
      <c r="AE33" s="1090">
        <f>AE30</f>
        <v>18</v>
      </c>
      <c r="AF33" s="1090">
        <f t="shared" ref="AF33:AL33" si="29">AF30</f>
        <v>16</v>
      </c>
      <c r="AG33" s="1089"/>
      <c r="AH33" s="1090">
        <f t="shared" si="29"/>
        <v>24</v>
      </c>
      <c r="AI33" s="1090">
        <f t="shared" si="29"/>
        <v>24</v>
      </c>
      <c r="AJ33" s="1117"/>
      <c r="AK33" s="1090">
        <f t="shared" si="29"/>
        <v>60</v>
      </c>
      <c r="AL33" s="1090">
        <f t="shared" si="29"/>
        <v>50</v>
      </c>
    </row>
    <row r="34" spans="1:38" s="1093" customFormat="1" x14ac:dyDescent="0.45">
      <c r="A34" s="1090"/>
      <c r="B34" s="1089"/>
      <c r="C34" s="1089"/>
      <c r="D34" s="1089"/>
      <c r="E34" s="1101"/>
      <c r="F34" s="1101"/>
      <c r="G34" s="1101"/>
      <c r="H34" s="1101"/>
      <c r="I34" s="1101"/>
      <c r="J34" s="1101"/>
      <c r="K34" s="1101"/>
      <c r="L34" s="1101"/>
      <c r="M34" s="1101"/>
      <c r="N34" s="1101"/>
      <c r="O34" s="1101"/>
      <c r="P34" s="1101"/>
      <c r="Q34" s="1101"/>
      <c r="R34" s="1101"/>
      <c r="S34" s="1101"/>
      <c r="T34" s="1101"/>
      <c r="U34" s="1101"/>
      <c r="V34" s="1101"/>
      <c r="W34" s="1101"/>
      <c r="X34" s="1101"/>
      <c r="Y34" s="1101"/>
      <c r="Z34" s="1101"/>
      <c r="AA34" s="1101"/>
      <c r="AB34" s="1101"/>
      <c r="AC34" s="1101"/>
      <c r="AD34" s="1117"/>
      <c r="AE34" s="1090"/>
      <c r="AF34" s="1090"/>
      <c r="AG34" s="1089"/>
      <c r="AH34" s="1090"/>
      <c r="AI34" s="1090"/>
      <c r="AJ34" s="1117"/>
      <c r="AK34" s="1090"/>
      <c r="AL34" s="1090"/>
    </row>
    <row r="35" spans="1:38" s="1093" customFormat="1" x14ac:dyDescent="0.45">
      <c r="A35" s="1090"/>
      <c r="B35" s="236" t="s">
        <v>2161</v>
      </c>
      <c r="C35" s="1119">
        <f>C24</f>
        <v>0</v>
      </c>
      <c r="D35" s="1089" t="s">
        <v>2616</v>
      </c>
      <c r="E35" s="1101"/>
      <c r="F35" s="1101"/>
      <c r="G35" s="1101"/>
      <c r="H35" s="1101"/>
      <c r="I35" s="1101"/>
      <c r="J35" s="1101"/>
      <c r="K35" s="1101"/>
      <c r="L35" s="1101"/>
      <c r="M35" s="1101"/>
      <c r="N35" s="1101"/>
      <c r="O35" s="1101"/>
      <c r="P35" s="1101"/>
      <c r="Q35" s="1101"/>
      <c r="R35" s="1101"/>
      <c r="S35" s="1101"/>
      <c r="T35" s="1101"/>
      <c r="U35" s="1101"/>
      <c r="V35" s="1101"/>
      <c r="W35" s="1101"/>
      <c r="X35" s="1101"/>
      <c r="Y35" s="1101"/>
      <c r="Z35" s="1101"/>
      <c r="AA35" s="1101"/>
      <c r="AB35" s="1101"/>
      <c r="AC35" s="1101"/>
      <c r="AD35" s="1117"/>
      <c r="AE35" s="1122"/>
      <c r="AF35" s="1122"/>
      <c r="AG35" s="1089"/>
      <c r="AH35" s="1122"/>
      <c r="AI35" s="1122"/>
      <c r="AJ35" s="1117"/>
      <c r="AK35" s="1122">
        <v>0</v>
      </c>
      <c r="AL35" s="1122">
        <v>0</v>
      </c>
    </row>
    <row r="36" spans="1:38" s="235" customFormat="1" x14ac:dyDescent="0.45">
      <c r="A36" s="242"/>
      <c r="B36" s="236"/>
      <c r="C36" s="917"/>
      <c r="D36" s="236" t="s">
        <v>0</v>
      </c>
      <c r="E36" s="242">
        <f>E25</f>
        <v>41.746431999999999</v>
      </c>
      <c r="F36" s="242">
        <f t="shared" ref="F36:O36" si="30">F25</f>
        <v>42.172415999999991</v>
      </c>
      <c r="G36" s="242">
        <f t="shared" si="30"/>
        <v>42.598399999999998</v>
      </c>
      <c r="H36" s="242">
        <f t="shared" si="30"/>
        <v>43.024383999999998</v>
      </c>
      <c r="I36" s="242">
        <f t="shared" si="30"/>
        <v>43.450367999999997</v>
      </c>
      <c r="J36" s="242">
        <f t="shared" si="30"/>
        <v>43.876352000000004</v>
      </c>
      <c r="K36" s="242">
        <f t="shared" si="30"/>
        <v>44.302335999999997</v>
      </c>
      <c r="L36" s="242">
        <f t="shared" si="30"/>
        <v>44.728319999999989</v>
      </c>
      <c r="M36" s="242">
        <f t="shared" si="30"/>
        <v>45.154304000000003</v>
      </c>
      <c r="N36" s="242">
        <f t="shared" si="30"/>
        <v>45.58028800000001</v>
      </c>
      <c r="O36" s="242">
        <f t="shared" si="30"/>
        <v>46.006272000000003</v>
      </c>
      <c r="P36" s="242">
        <f t="shared" ref="P36:AC36" si="31">P25</f>
        <v>46.432255999999995</v>
      </c>
      <c r="Q36" s="242">
        <f t="shared" si="31"/>
        <v>46.858240000000009</v>
      </c>
      <c r="R36" s="242">
        <f t="shared" si="31"/>
        <v>47.284224000000002</v>
      </c>
      <c r="S36" s="242">
        <f t="shared" si="31"/>
        <v>47.710208000000009</v>
      </c>
      <c r="T36" s="242">
        <f t="shared" si="31"/>
        <v>48.136191999999994</v>
      </c>
      <c r="U36" s="242">
        <f t="shared" si="31"/>
        <v>48.562176000000008</v>
      </c>
      <c r="V36" s="242">
        <f t="shared" si="31"/>
        <v>48.988159999999993</v>
      </c>
      <c r="W36" s="242">
        <f t="shared" si="31"/>
        <v>49.414144000000007</v>
      </c>
      <c r="X36" s="242">
        <f t="shared" si="31"/>
        <v>49.840127999999993</v>
      </c>
      <c r="Y36" s="242">
        <f t="shared" si="31"/>
        <v>50.266111999999993</v>
      </c>
      <c r="Z36" s="242">
        <f t="shared" si="31"/>
        <v>50.692095999999999</v>
      </c>
      <c r="AA36" s="242">
        <f t="shared" si="31"/>
        <v>51.118079999999992</v>
      </c>
      <c r="AB36" s="242">
        <f t="shared" si="31"/>
        <v>51.544064000000006</v>
      </c>
      <c r="AC36" s="242">
        <f t="shared" si="31"/>
        <v>51.970047999999998</v>
      </c>
      <c r="AD36" s="311"/>
      <c r="AE36" s="242">
        <f>AE25</f>
        <v>47.185919999999996</v>
      </c>
      <c r="AF36" s="242">
        <f>AF25</f>
        <v>48.66048</v>
      </c>
      <c r="AG36" s="1089"/>
      <c r="AH36" s="242">
        <f>AH25</f>
        <v>42.598399999999998</v>
      </c>
      <c r="AI36" s="242">
        <f>AI25</f>
        <v>51.118079999999992</v>
      </c>
      <c r="AJ36" s="311"/>
      <c r="AK36" s="242">
        <f>AK25</f>
        <v>50.790400000000005</v>
      </c>
      <c r="AL36" s="242">
        <f>AL25</f>
        <v>51.118079999999992</v>
      </c>
    </row>
    <row r="37" spans="1:38" s="235" customFormat="1" x14ac:dyDescent="0.45">
      <c r="A37" s="242"/>
      <c r="B37" s="236"/>
      <c r="C37" s="917"/>
      <c r="D37" s="236" t="s">
        <v>1</v>
      </c>
      <c r="E37" s="242">
        <f>1/E36</f>
        <v>2.3954142955259026E-2</v>
      </c>
      <c r="F37" s="242">
        <f t="shared" ref="F37:AC37" si="32">1/F36</f>
        <v>2.3712181915306919E-2</v>
      </c>
      <c r="G37" s="242">
        <f t="shared" si="32"/>
        <v>2.3475060096153848E-2</v>
      </c>
      <c r="H37" s="242">
        <f t="shared" si="32"/>
        <v>2.3242633758568165E-2</v>
      </c>
      <c r="I37" s="242">
        <f t="shared" si="32"/>
        <v>2.3014764800150831E-2</v>
      </c>
      <c r="J37" s="242">
        <f t="shared" si="32"/>
        <v>2.2791320481702761E-2</v>
      </c>
      <c r="K37" s="242">
        <f t="shared" si="32"/>
        <v>2.2572173169378699E-2</v>
      </c>
      <c r="L37" s="242">
        <f t="shared" si="32"/>
        <v>2.2357200091575095E-2</v>
      </c>
      <c r="M37" s="242">
        <f t="shared" si="32"/>
        <v>2.2146283109579099E-2</v>
      </c>
      <c r="N37" s="242">
        <f t="shared" si="32"/>
        <v>2.1939308501078357E-2</v>
      </c>
      <c r="O37" s="242">
        <f t="shared" si="32"/>
        <v>2.1736166755698005E-2</v>
      </c>
      <c r="P37" s="242">
        <f t="shared" si="32"/>
        <v>2.153675238179252E-2</v>
      </c>
      <c r="Q37" s="242">
        <f t="shared" si="32"/>
        <v>2.1340963723776221E-2</v>
      </c>
      <c r="R37" s="242">
        <f t="shared" si="32"/>
        <v>2.1148702789327789E-2</v>
      </c>
      <c r="S37" s="242">
        <f t="shared" si="32"/>
        <v>2.0959875085851645E-2</v>
      </c>
      <c r="T37" s="242">
        <f t="shared" si="32"/>
        <v>2.0774389465622874E-2</v>
      </c>
      <c r="U37" s="242">
        <f t="shared" si="32"/>
        <v>2.0592157979082319E-2</v>
      </c>
      <c r="V37" s="242">
        <f t="shared" si="32"/>
        <v>2.0413095735785956E-2</v>
      </c>
      <c r="W37" s="242">
        <f t="shared" si="32"/>
        <v>2.0237120772546417E-2</v>
      </c>
      <c r="X37" s="242">
        <f t="shared" si="32"/>
        <v>2.0064153928336624E-2</v>
      </c>
      <c r="Y37" s="242">
        <f t="shared" si="32"/>
        <v>1.9894118725554109E-2</v>
      </c>
      <c r="Z37" s="242">
        <f t="shared" si="32"/>
        <v>1.9726941257272139E-2</v>
      </c>
      <c r="AA37" s="242">
        <f t="shared" si="32"/>
        <v>1.9562550080128208E-2</v>
      </c>
      <c r="AB37" s="242">
        <f t="shared" si="32"/>
        <v>1.9400876112523838E-2</v>
      </c>
      <c r="AC37" s="242">
        <f t="shared" si="32"/>
        <v>1.9241852537831023E-2</v>
      </c>
      <c r="AD37" s="311"/>
      <c r="AE37" s="242">
        <f>1/AE36</f>
        <v>2.1192762586805556E-2</v>
      </c>
      <c r="AF37" s="242">
        <f t="shared" ref="AF37" si="33">1/AF36</f>
        <v>2.0550557659932661E-2</v>
      </c>
      <c r="AG37" s="236"/>
      <c r="AH37" s="242">
        <f>1/AH36</f>
        <v>2.3475060096153848E-2</v>
      </c>
      <c r="AI37" s="242">
        <f>1/AI36</f>
        <v>1.9562550080128208E-2</v>
      </c>
      <c r="AJ37" s="311"/>
      <c r="AK37" s="242">
        <f t="shared" ref="AK37:AL37" si="34">1/AK36</f>
        <v>1.968876008064516E-2</v>
      </c>
      <c r="AL37" s="242">
        <f t="shared" si="34"/>
        <v>1.9562550080128208E-2</v>
      </c>
    </row>
    <row r="38" spans="1:38" s="1093" customFormat="1" x14ac:dyDescent="0.45">
      <c r="A38" s="1092"/>
      <c r="B38" s="236" t="s">
        <v>2630</v>
      </c>
      <c r="C38" s="1088" t="s">
        <v>1269</v>
      </c>
      <c r="D38" s="1089" t="s">
        <v>1</v>
      </c>
      <c r="E38" s="1097">
        <f>E37*E33*2^$C$2</f>
        <v>9419.1522762951336</v>
      </c>
      <c r="F38" s="1097">
        <f t="shared" ref="F38:AC38" si="35">F37*F33*2^$C$2</f>
        <v>9324.0093240093265</v>
      </c>
      <c r="G38" s="1097">
        <f t="shared" si="35"/>
        <v>9230.7692307692305</v>
      </c>
      <c r="H38" s="1097">
        <f t="shared" si="35"/>
        <v>9139.3754760091397</v>
      </c>
      <c r="I38" s="1097">
        <f t="shared" si="35"/>
        <v>9049.7737556561096</v>
      </c>
      <c r="J38" s="1097">
        <f t="shared" si="35"/>
        <v>8961.9118745332325</v>
      </c>
      <c r="K38" s="1097">
        <f t="shared" si="35"/>
        <v>8875.7396449704138</v>
      </c>
      <c r="L38" s="1097">
        <f t="shared" si="35"/>
        <v>8791.2087912087918</v>
      </c>
      <c r="M38" s="1097">
        <f t="shared" si="35"/>
        <v>8708.2728592162548</v>
      </c>
      <c r="N38" s="1097">
        <f t="shared" si="35"/>
        <v>8626.8871315600263</v>
      </c>
      <c r="O38" s="1097">
        <f t="shared" si="35"/>
        <v>8547.0085470085469</v>
      </c>
      <c r="P38" s="1097">
        <f t="shared" si="35"/>
        <v>8468.5956245589277</v>
      </c>
      <c r="Q38" s="1097">
        <f t="shared" si="35"/>
        <v>8391.6083916083899</v>
      </c>
      <c r="R38" s="1097">
        <f t="shared" si="35"/>
        <v>8316.0083160083159</v>
      </c>
      <c r="S38" s="1097">
        <f t="shared" si="35"/>
        <v>8241.7582417582398</v>
      </c>
      <c r="T38" s="1097">
        <f t="shared" si="35"/>
        <v>8168.8223281143637</v>
      </c>
      <c r="U38" s="1097">
        <f t="shared" si="35"/>
        <v>8097.1659919028334</v>
      </c>
      <c r="V38" s="1097">
        <f t="shared" si="35"/>
        <v>8026.7558528428108</v>
      </c>
      <c r="W38" s="1097">
        <f t="shared" si="35"/>
        <v>7957.5596816976122</v>
      </c>
      <c r="X38" s="1097">
        <f t="shared" si="35"/>
        <v>7889.546351084814</v>
      </c>
      <c r="Y38" s="1097">
        <f t="shared" si="35"/>
        <v>7822.6857887874849</v>
      </c>
      <c r="Z38" s="1097">
        <f t="shared" si="35"/>
        <v>7756.9489334195214</v>
      </c>
      <c r="AA38" s="1097">
        <f t="shared" si="35"/>
        <v>7692.3076923076933</v>
      </c>
      <c r="AB38" s="1097">
        <f t="shared" si="35"/>
        <v>7628.7349014621741</v>
      </c>
      <c r="AC38" s="1097">
        <f t="shared" si="35"/>
        <v>7566.204287515764</v>
      </c>
      <c r="AD38" s="1117"/>
      <c r="AE38" s="1097">
        <f>AE37*AE33*2^$C$2</f>
        <v>6250</v>
      </c>
      <c r="AF38" s="1097">
        <f t="shared" ref="AF38" si="36">AF37*AF33*2^$C$2</f>
        <v>5387.2053872053875</v>
      </c>
      <c r="AG38" s="1089"/>
      <c r="AH38" s="1097">
        <f>AH37*AH33*2^$C$2/8</f>
        <v>1153.8461538461538</v>
      </c>
      <c r="AI38" s="1097">
        <f>AI37*AI33*2^$C$2/8</f>
        <v>961.53846153846166</v>
      </c>
      <c r="AJ38" s="1117"/>
      <c r="AK38" s="1097">
        <f>AK37*AK33*2^$C$2</f>
        <v>19354.838709677417</v>
      </c>
      <c r="AL38" s="1097">
        <f>AL37*AL33*2^$C$2</f>
        <v>16025.641025641027</v>
      </c>
    </row>
    <row r="39" spans="1:38" s="1093" customFormat="1" x14ac:dyDescent="0.45">
      <c r="A39" s="1092"/>
      <c r="B39" s="1089"/>
      <c r="C39" s="1088" t="s">
        <v>2609</v>
      </c>
      <c r="D39" s="1089" t="s">
        <v>1</v>
      </c>
      <c r="E39" s="1100">
        <f t="shared" ref="E39:AC39" si="37">E14-E38</f>
        <v>144.92935635792674</v>
      </c>
      <c r="F39" s="1100">
        <f t="shared" si="37"/>
        <v>137.000777000776</v>
      </c>
      <c r="G39" s="1100">
        <f t="shared" si="37"/>
        <v>129.23076923076951</v>
      </c>
      <c r="H39" s="1100">
        <f t="shared" si="37"/>
        <v>121.61462300076164</v>
      </c>
      <c r="I39" s="1100">
        <f t="shared" si="37"/>
        <v>114.14781297134141</v>
      </c>
      <c r="J39" s="1100">
        <f t="shared" si="37"/>
        <v>106.82598954443711</v>
      </c>
      <c r="K39" s="1100">
        <f t="shared" si="37"/>
        <v>99.644970414201453</v>
      </c>
      <c r="L39" s="1100">
        <f t="shared" si="37"/>
        <v>92.600732600732954</v>
      </c>
      <c r="M39" s="1100">
        <f t="shared" si="37"/>
        <v>85.689404934688355</v>
      </c>
      <c r="N39" s="1100">
        <f t="shared" si="37"/>
        <v>78.907260963336739</v>
      </c>
      <c r="O39" s="1100">
        <f t="shared" si="37"/>
        <v>72.25071225071224</v>
      </c>
      <c r="P39" s="1100">
        <f t="shared" si="37"/>
        <v>65.716302046577766</v>
      </c>
      <c r="Q39" s="1100">
        <f t="shared" si="37"/>
        <v>59.300699300700217</v>
      </c>
      <c r="R39" s="1100">
        <f t="shared" si="37"/>
        <v>53.000693000692991</v>
      </c>
      <c r="S39" s="1100">
        <f t="shared" si="37"/>
        <v>46.813186813187713</v>
      </c>
      <c r="T39" s="1100">
        <f t="shared" si="37"/>
        <v>40.73519400953046</v>
      </c>
      <c r="U39" s="1100">
        <f t="shared" si="37"/>
        <v>34.763832658569299</v>
      </c>
      <c r="V39" s="1100">
        <f t="shared" si="37"/>
        <v>28.896321070233171</v>
      </c>
      <c r="W39" s="1100">
        <f t="shared" si="37"/>
        <v>23.129973474800863</v>
      </c>
      <c r="X39" s="1100">
        <f t="shared" si="37"/>
        <v>17.462195923734726</v>
      </c>
      <c r="Y39" s="1100">
        <f t="shared" si="37"/>
        <v>11.89048239895601</v>
      </c>
      <c r="Z39" s="1100">
        <f t="shared" si="37"/>
        <v>6.4124111182927663</v>
      </c>
      <c r="AA39" s="1100">
        <f t="shared" si="37"/>
        <v>1.0256410256406525</v>
      </c>
      <c r="AB39" s="1100">
        <f t="shared" si="37"/>
        <v>-4.2720915448189771</v>
      </c>
      <c r="AC39" s="1100">
        <f t="shared" si="37"/>
        <v>-9.4829760403536056</v>
      </c>
      <c r="AD39" s="1117"/>
      <c r="AE39" s="1100">
        <f>AE14-AE38</f>
        <v>54.444444444444343</v>
      </c>
      <c r="AF39" s="1100">
        <f>AF14-AF38</f>
        <v>33.40067340067344</v>
      </c>
      <c r="AG39" s="1089"/>
      <c r="AH39" s="1100">
        <f>AH14-AH38</f>
        <v>76.153846153846189</v>
      </c>
      <c r="AI39" s="1100">
        <f>AI14-AI38</f>
        <v>60.128205128205082</v>
      </c>
      <c r="AJ39" s="1117"/>
      <c r="AK39" s="1100">
        <f>AK14-AK38</f>
        <v>5.161290322583227</v>
      </c>
      <c r="AL39" s="1100">
        <f>AL14-AL38</f>
        <v>1.0256410256406525</v>
      </c>
    </row>
    <row r="40" spans="1:38" s="235" customFormat="1" x14ac:dyDescent="0.45">
      <c r="A40" s="234"/>
      <c r="B40" s="236"/>
      <c r="C40" s="917"/>
      <c r="D40" s="236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311"/>
      <c r="AE40" s="242"/>
      <c r="AF40" s="242"/>
      <c r="AG40" s="236"/>
      <c r="AH40" s="242"/>
      <c r="AI40" s="242"/>
      <c r="AJ40" s="311"/>
      <c r="AK40" s="242"/>
      <c r="AL40" s="242"/>
    </row>
    <row r="41" spans="1:38" s="235" customFormat="1" x14ac:dyDescent="0.45">
      <c r="A41" s="234"/>
      <c r="B41" s="236" t="s">
        <v>2610</v>
      </c>
      <c r="C41" s="255">
        <v>12</v>
      </c>
      <c r="D41" s="236" t="s">
        <v>5</v>
      </c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311"/>
      <c r="AE41" s="255">
        <f>AE30/2</f>
        <v>9</v>
      </c>
      <c r="AF41" s="255">
        <f>AF30/2</f>
        <v>8</v>
      </c>
      <c r="AG41" s="236"/>
      <c r="AH41" s="255">
        <f>AH30/2</f>
        <v>12</v>
      </c>
      <c r="AI41" s="255">
        <f>AI30/2</f>
        <v>12</v>
      </c>
      <c r="AJ41" s="311"/>
      <c r="AK41" s="255">
        <f>AK30/2</f>
        <v>30</v>
      </c>
      <c r="AL41" s="255">
        <f>AL30/2</f>
        <v>25</v>
      </c>
    </row>
    <row r="42" spans="1:38" s="235" customFormat="1" x14ac:dyDescent="0.45">
      <c r="A42" s="234"/>
      <c r="B42" s="236" t="s">
        <v>2611</v>
      </c>
      <c r="C42" s="236">
        <f>$C$30-C41</f>
        <v>12</v>
      </c>
      <c r="D42" s="236" t="s">
        <v>5</v>
      </c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  <c r="AC42" s="236"/>
      <c r="AD42" s="311"/>
      <c r="AE42" s="236">
        <f>AE30-AE41</f>
        <v>9</v>
      </c>
      <c r="AF42" s="236">
        <f>AF30-AF41</f>
        <v>8</v>
      </c>
      <c r="AG42" s="236"/>
      <c r="AH42" s="236">
        <f>AH30-AH41</f>
        <v>12</v>
      </c>
      <c r="AI42" s="236">
        <f>AI30-AI41</f>
        <v>12</v>
      </c>
      <c r="AJ42" s="311"/>
      <c r="AK42" s="236">
        <f>AK30-AK41</f>
        <v>30</v>
      </c>
      <c r="AL42" s="236">
        <f>AL30-AL41</f>
        <v>25</v>
      </c>
    </row>
    <row r="43" spans="1:38" s="235" customFormat="1" x14ac:dyDescent="0.45">
      <c r="A43" s="234"/>
      <c r="B43" s="236" t="s">
        <v>2617</v>
      </c>
      <c r="C43" s="236" t="s">
        <v>1268</v>
      </c>
      <c r="D43" s="236" t="s">
        <v>1</v>
      </c>
      <c r="E43" s="1095">
        <f>$C$8</f>
        <v>10</v>
      </c>
      <c r="F43" s="1095">
        <f t="shared" ref="F43:AL43" si="38">$C$8</f>
        <v>10</v>
      </c>
      <c r="G43" s="1095">
        <f t="shared" si="38"/>
        <v>10</v>
      </c>
      <c r="H43" s="1095">
        <f t="shared" si="38"/>
        <v>10</v>
      </c>
      <c r="I43" s="1095">
        <f t="shared" si="38"/>
        <v>10</v>
      </c>
      <c r="J43" s="1095">
        <f t="shared" si="38"/>
        <v>10</v>
      </c>
      <c r="K43" s="1095">
        <f t="shared" si="38"/>
        <v>10</v>
      </c>
      <c r="L43" s="1095">
        <f t="shared" si="38"/>
        <v>10</v>
      </c>
      <c r="M43" s="1095">
        <f t="shared" si="38"/>
        <v>10</v>
      </c>
      <c r="N43" s="1095">
        <f t="shared" si="38"/>
        <v>10</v>
      </c>
      <c r="O43" s="1095">
        <f t="shared" si="38"/>
        <v>10</v>
      </c>
      <c r="P43" s="1095">
        <f t="shared" si="38"/>
        <v>10</v>
      </c>
      <c r="Q43" s="1095">
        <f t="shared" si="38"/>
        <v>10</v>
      </c>
      <c r="R43" s="1095">
        <f t="shared" si="38"/>
        <v>10</v>
      </c>
      <c r="S43" s="1095">
        <f t="shared" si="38"/>
        <v>10</v>
      </c>
      <c r="T43" s="1095">
        <f t="shared" si="38"/>
        <v>10</v>
      </c>
      <c r="U43" s="1095">
        <f t="shared" si="38"/>
        <v>10</v>
      </c>
      <c r="V43" s="1095">
        <f t="shared" si="38"/>
        <v>10</v>
      </c>
      <c r="W43" s="1095">
        <f t="shared" si="38"/>
        <v>10</v>
      </c>
      <c r="X43" s="1095">
        <f t="shared" si="38"/>
        <v>10</v>
      </c>
      <c r="Y43" s="1095">
        <f t="shared" si="38"/>
        <v>10</v>
      </c>
      <c r="Z43" s="1095">
        <f t="shared" si="38"/>
        <v>10</v>
      </c>
      <c r="AA43" s="1095">
        <f t="shared" si="38"/>
        <v>10</v>
      </c>
      <c r="AB43" s="1095">
        <f t="shared" si="38"/>
        <v>10</v>
      </c>
      <c r="AC43" s="1095">
        <f t="shared" si="38"/>
        <v>10</v>
      </c>
      <c r="AD43" s="311"/>
      <c r="AE43" s="1095">
        <f t="shared" si="38"/>
        <v>10</v>
      </c>
      <c r="AF43" s="1095">
        <f t="shared" si="38"/>
        <v>10</v>
      </c>
      <c r="AG43" s="236"/>
      <c r="AH43" s="1095">
        <f t="shared" si="38"/>
        <v>10</v>
      </c>
      <c r="AI43" s="1095">
        <f t="shared" si="38"/>
        <v>10</v>
      </c>
      <c r="AJ43" s="311"/>
      <c r="AK43" s="1095">
        <f t="shared" si="38"/>
        <v>10</v>
      </c>
      <c r="AL43" s="1095">
        <f t="shared" si="38"/>
        <v>10</v>
      </c>
    </row>
    <row r="44" spans="1:38" s="1093" customFormat="1" x14ac:dyDescent="0.45">
      <c r="A44" s="1090"/>
      <c r="B44" s="1089"/>
      <c r="C44" s="236"/>
      <c r="D44" s="236" t="s">
        <v>5</v>
      </c>
      <c r="E44" s="352">
        <f t="shared" ref="E44:AC44" si="39">E43/(1/$C$4)</f>
        <v>350</v>
      </c>
      <c r="F44" s="352">
        <f t="shared" si="39"/>
        <v>350</v>
      </c>
      <c r="G44" s="352">
        <f t="shared" si="39"/>
        <v>350</v>
      </c>
      <c r="H44" s="352">
        <f t="shared" si="39"/>
        <v>350</v>
      </c>
      <c r="I44" s="352">
        <f t="shared" si="39"/>
        <v>350</v>
      </c>
      <c r="J44" s="352">
        <f t="shared" si="39"/>
        <v>350</v>
      </c>
      <c r="K44" s="352">
        <f t="shared" si="39"/>
        <v>350</v>
      </c>
      <c r="L44" s="352">
        <f t="shared" si="39"/>
        <v>350</v>
      </c>
      <c r="M44" s="352">
        <f t="shared" si="39"/>
        <v>350</v>
      </c>
      <c r="N44" s="352">
        <f t="shared" si="39"/>
        <v>350</v>
      </c>
      <c r="O44" s="352">
        <f t="shared" si="39"/>
        <v>350</v>
      </c>
      <c r="P44" s="352">
        <f t="shared" si="39"/>
        <v>350</v>
      </c>
      <c r="Q44" s="352">
        <f t="shared" si="39"/>
        <v>350</v>
      </c>
      <c r="R44" s="352">
        <f t="shared" si="39"/>
        <v>350</v>
      </c>
      <c r="S44" s="352">
        <f t="shared" si="39"/>
        <v>350</v>
      </c>
      <c r="T44" s="352">
        <f t="shared" si="39"/>
        <v>350</v>
      </c>
      <c r="U44" s="352">
        <f t="shared" si="39"/>
        <v>350</v>
      </c>
      <c r="V44" s="352">
        <f t="shared" si="39"/>
        <v>350</v>
      </c>
      <c r="W44" s="352">
        <f t="shared" si="39"/>
        <v>350</v>
      </c>
      <c r="X44" s="352">
        <f t="shared" si="39"/>
        <v>350</v>
      </c>
      <c r="Y44" s="352">
        <f t="shared" si="39"/>
        <v>350</v>
      </c>
      <c r="Z44" s="352">
        <f t="shared" si="39"/>
        <v>350</v>
      </c>
      <c r="AA44" s="352">
        <f t="shared" si="39"/>
        <v>350</v>
      </c>
      <c r="AB44" s="352">
        <f t="shared" si="39"/>
        <v>350</v>
      </c>
      <c r="AC44" s="352">
        <f t="shared" si="39"/>
        <v>350</v>
      </c>
      <c r="AD44" s="311"/>
      <c r="AE44" s="352">
        <f>AE43/(1/$C$4)</f>
        <v>350</v>
      </c>
      <c r="AF44" s="352">
        <f t="shared" ref="AF44" si="40">AF43/(1/$C$4)</f>
        <v>350</v>
      </c>
      <c r="AG44" s="236"/>
      <c r="AH44" s="352">
        <f t="shared" ref="AH44" si="41">AH43/(1/$C$4)</f>
        <v>350</v>
      </c>
      <c r="AI44" s="352">
        <f>AI43/(1/$C$4)</f>
        <v>350</v>
      </c>
      <c r="AJ44" s="311"/>
      <c r="AK44" s="352">
        <f t="shared" ref="AK44:AL44" si="42">AK43/(1/$C$4)</f>
        <v>350</v>
      </c>
      <c r="AL44" s="352">
        <f t="shared" si="42"/>
        <v>350</v>
      </c>
    </row>
    <row r="45" spans="1:38" s="1093" customFormat="1" x14ac:dyDescent="0.45">
      <c r="A45" s="1090"/>
      <c r="B45" s="1089"/>
      <c r="C45" s="1089" t="s">
        <v>1269</v>
      </c>
      <c r="D45" s="1089" t="s">
        <v>5</v>
      </c>
      <c r="E45" s="1102">
        <f>ROUNDUP(E44,0)</f>
        <v>350</v>
      </c>
      <c r="F45" s="1102">
        <f t="shared" ref="F45:AC45" si="43">ROUNDUP(F44,0)</f>
        <v>350</v>
      </c>
      <c r="G45" s="1102">
        <f t="shared" si="43"/>
        <v>350</v>
      </c>
      <c r="H45" s="1102">
        <f t="shared" si="43"/>
        <v>350</v>
      </c>
      <c r="I45" s="1102">
        <f t="shared" si="43"/>
        <v>350</v>
      </c>
      <c r="J45" s="1102">
        <f t="shared" si="43"/>
        <v>350</v>
      </c>
      <c r="K45" s="1102">
        <f t="shared" si="43"/>
        <v>350</v>
      </c>
      <c r="L45" s="1102">
        <f t="shared" si="43"/>
        <v>350</v>
      </c>
      <c r="M45" s="1102">
        <f t="shared" si="43"/>
        <v>350</v>
      </c>
      <c r="N45" s="1102">
        <f t="shared" si="43"/>
        <v>350</v>
      </c>
      <c r="O45" s="1102">
        <f t="shared" si="43"/>
        <v>350</v>
      </c>
      <c r="P45" s="1102">
        <f t="shared" si="43"/>
        <v>350</v>
      </c>
      <c r="Q45" s="1102">
        <f t="shared" si="43"/>
        <v>350</v>
      </c>
      <c r="R45" s="1102">
        <f t="shared" si="43"/>
        <v>350</v>
      </c>
      <c r="S45" s="1102">
        <f t="shared" si="43"/>
        <v>350</v>
      </c>
      <c r="T45" s="1102">
        <f t="shared" si="43"/>
        <v>350</v>
      </c>
      <c r="U45" s="1102">
        <f t="shared" si="43"/>
        <v>350</v>
      </c>
      <c r="V45" s="1102">
        <f t="shared" si="43"/>
        <v>350</v>
      </c>
      <c r="W45" s="1102">
        <f t="shared" si="43"/>
        <v>350</v>
      </c>
      <c r="X45" s="1102">
        <f t="shared" si="43"/>
        <v>350</v>
      </c>
      <c r="Y45" s="1102">
        <f t="shared" si="43"/>
        <v>350</v>
      </c>
      <c r="Z45" s="1102">
        <f t="shared" si="43"/>
        <v>350</v>
      </c>
      <c r="AA45" s="1102">
        <f t="shared" si="43"/>
        <v>350</v>
      </c>
      <c r="AB45" s="1102">
        <f t="shared" si="43"/>
        <v>350</v>
      </c>
      <c r="AC45" s="1102">
        <f t="shared" si="43"/>
        <v>350</v>
      </c>
      <c r="AD45" s="311"/>
      <c r="AE45" s="1102">
        <f t="shared" ref="AE45:AF45" si="44">ROUNDUP(AE44,0)</f>
        <v>350</v>
      </c>
      <c r="AF45" s="1102">
        <f t="shared" si="44"/>
        <v>350</v>
      </c>
      <c r="AG45" s="236"/>
      <c r="AH45" s="1102">
        <f t="shared" ref="AH45:AI45" si="45">ROUNDUP(AH44,0)</f>
        <v>350</v>
      </c>
      <c r="AI45" s="1102">
        <f t="shared" si="45"/>
        <v>350</v>
      </c>
      <c r="AJ45" s="311"/>
      <c r="AK45" s="1102">
        <f t="shared" ref="AK45:AL45" si="46">ROUNDUP(AK44,0)</f>
        <v>350</v>
      </c>
      <c r="AL45" s="1102">
        <f t="shared" si="46"/>
        <v>350</v>
      </c>
    </row>
    <row r="46" spans="1:38" s="1093" customFormat="1" x14ac:dyDescent="0.45">
      <c r="A46" s="1090"/>
      <c r="B46" s="1089"/>
      <c r="C46" s="1089"/>
      <c r="D46" s="1089" t="s">
        <v>1</v>
      </c>
      <c r="E46" s="1112">
        <f>E45*(1/$C$4)</f>
        <v>10</v>
      </c>
      <c r="F46" s="1112">
        <f t="shared" ref="F46:AC46" si="47">F45*(1/$C$4)</f>
        <v>10</v>
      </c>
      <c r="G46" s="1112">
        <f t="shared" si="47"/>
        <v>10</v>
      </c>
      <c r="H46" s="1112">
        <f t="shared" si="47"/>
        <v>10</v>
      </c>
      <c r="I46" s="1112">
        <f t="shared" si="47"/>
        <v>10</v>
      </c>
      <c r="J46" s="1112">
        <f t="shared" si="47"/>
        <v>10</v>
      </c>
      <c r="K46" s="1112">
        <f t="shared" si="47"/>
        <v>10</v>
      </c>
      <c r="L46" s="1112">
        <f t="shared" si="47"/>
        <v>10</v>
      </c>
      <c r="M46" s="1112">
        <f t="shared" si="47"/>
        <v>10</v>
      </c>
      <c r="N46" s="1112">
        <f t="shared" si="47"/>
        <v>10</v>
      </c>
      <c r="O46" s="1112">
        <f t="shared" si="47"/>
        <v>10</v>
      </c>
      <c r="P46" s="1112">
        <f t="shared" si="47"/>
        <v>10</v>
      </c>
      <c r="Q46" s="1112">
        <f t="shared" si="47"/>
        <v>10</v>
      </c>
      <c r="R46" s="1112">
        <f t="shared" si="47"/>
        <v>10</v>
      </c>
      <c r="S46" s="1112">
        <f t="shared" si="47"/>
        <v>10</v>
      </c>
      <c r="T46" s="1112">
        <f t="shared" si="47"/>
        <v>10</v>
      </c>
      <c r="U46" s="1112">
        <f t="shared" si="47"/>
        <v>10</v>
      </c>
      <c r="V46" s="1112">
        <f t="shared" si="47"/>
        <v>10</v>
      </c>
      <c r="W46" s="1112">
        <f t="shared" si="47"/>
        <v>10</v>
      </c>
      <c r="X46" s="1112">
        <f t="shared" si="47"/>
        <v>10</v>
      </c>
      <c r="Y46" s="1112">
        <f t="shared" si="47"/>
        <v>10</v>
      </c>
      <c r="Z46" s="1112">
        <f t="shared" si="47"/>
        <v>10</v>
      </c>
      <c r="AA46" s="1112">
        <f t="shared" si="47"/>
        <v>10</v>
      </c>
      <c r="AB46" s="1112">
        <f t="shared" si="47"/>
        <v>10</v>
      </c>
      <c r="AC46" s="1112">
        <f t="shared" si="47"/>
        <v>10</v>
      </c>
      <c r="AD46" s="311"/>
      <c r="AE46" s="1112">
        <f t="shared" ref="AE46:AF46" si="48">AE45*(1/$C$4)</f>
        <v>10</v>
      </c>
      <c r="AF46" s="1112">
        <f t="shared" si="48"/>
        <v>10</v>
      </c>
      <c r="AG46" s="236"/>
      <c r="AH46" s="1112">
        <f t="shared" ref="AH46:AI46" si="49">AH45*(1/$C$4)</f>
        <v>10</v>
      </c>
      <c r="AI46" s="1112">
        <f t="shared" si="49"/>
        <v>10</v>
      </c>
      <c r="AJ46" s="311"/>
      <c r="AK46" s="1112">
        <f t="shared" ref="AK46:AL46" si="50">AK45*(1/$C$4)</f>
        <v>10</v>
      </c>
      <c r="AL46" s="1112">
        <f t="shared" si="50"/>
        <v>10</v>
      </c>
    </row>
    <row r="47" spans="1:38" s="1093" customFormat="1" x14ac:dyDescent="0.45">
      <c r="A47" s="1090"/>
      <c r="B47" s="1089"/>
      <c r="C47" s="1089" t="s">
        <v>2609</v>
      </c>
      <c r="D47" s="1089" t="s">
        <v>1</v>
      </c>
      <c r="E47" s="1112">
        <f>E43-E46</f>
        <v>0</v>
      </c>
      <c r="F47" s="1112">
        <f t="shared" ref="F47:AC47" si="51">F43-F46</f>
        <v>0</v>
      </c>
      <c r="G47" s="1112">
        <f t="shared" si="51"/>
        <v>0</v>
      </c>
      <c r="H47" s="1112">
        <f t="shared" si="51"/>
        <v>0</v>
      </c>
      <c r="I47" s="1112">
        <f t="shared" si="51"/>
        <v>0</v>
      </c>
      <c r="J47" s="1112">
        <f t="shared" si="51"/>
        <v>0</v>
      </c>
      <c r="K47" s="1112">
        <f t="shared" si="51"/>
        <v>0</v>
      </c>
      <c r="L47" s="1112">
        <f t="shared" si="51"/>
        <v>0</v>
      </c>
      <c r="M47" s="1112">
        <f t="shared" si="51"/>
        <v>0</v>
      </c>
      <c r="N47" s="1112">
        <f t="shared" si="51"/>
        <v>0</v>
      </c>
      <c r="O47" s="1112">
        <f t="shared" si="51"/>
        <v>0</v>
      </c>
      <c r="P47" s="1112">
        <f t="shared" si="51"/>
        <v>0</v>
      </c>
      <c r="Q47" s="1112">
        <f t="shared" si="51"/>
        <v>0</v>
      </c>
      <c r="R47" s="1112">
        <f t="shared" si="51"/>
        <v>0</v>
      </c>
      <c r="S47" s="1112">
        <f t="shared" si="51"/>
        <v>0</v>
      </c>
      <c r="T47" s="1112">
        <f t="shared" si="51"/>
        <v>0</v>
      </c>
      <c r="U47" s="1112">
        <f t="shared" si="51"/>
        <v>0</v>
      </c>
      <c r="V47" s="1112">
        <f t="shared" si="51"/>
        <v>0</v>
      </c>
      <c r="W47" s="1112">
        <f t="shared" si="51"/>
        <v>0</v>
      </c>
      <c r="X47" s="1112">
        <f t="shared" si="51"/>
        <v>0</v>
      </c>
      <c r="Y47" s="1112">
        <f t="shared" si="51"/>
        <v>0</v>
      </c>
      <c r="Z47" s="1112">
        <f t="shared" si="51"/>
        <v>0</v>
      </c>
      <c r="AA47" s="1112">
        <f t="shared" si="51"/>
        <v>0</v>
      </c>
      <c r="AB47" s="1112">
        <f t="shared" si="51"/>
        <v>0</v>
      </c>
      <c r="AC47" s="1112">
        <f t="shared" si="51"/>
        <v>0</v>
      </c>
      <c r="AD47" s="311"/>
      <c r="AE47" s="1112">
        <f>AE43-AE46</f>
        <v>0</v>
      </c>
      <c r="AF47" s="1112">
        <f t="shared" ref="AF47" si="52">AF43-AF46</f>
        <v>0</v>
      </c>
      <c r="AG47" s="236"/>
      <c r="AH47" s="1112">
        <f t="shared" ref="AH47:AI47" si="53">AH43-AH46</f>
        <v>0</v>
      </c>
      <c r="AI47" s="1112">
        <f t="shared" si="53"/>
        <v>0</v>
      </c>
      <c r="AJ47" s="311"/>
      <c r="AK47" s="1112">
        <f t="shared" ref="AK47:AL47" si="54">AK43-AK46</f>
        <v>0</v>
      </c>
      <c r="AL47" s="1112">
        <f t="shared" si="54"/>
        <v>0</v>
      </c>
    </row>
    <row r="48" spans="1:38" s="1093" customFormat="1" x14ac:dyDescent="0.45">
      <c r="A48" s="1090"/>
      <c r="B48" s="1089"/>
      <c r="C48" s="1089"/>
      <c r="D48" s="1089"/>
      <c r="E48" s="1099"/>
      <c r="F48" s="1099"/>
      <c r="G48" s="1099"/>
      <c r="H48" s="1099"/>
      <c r="I48" s="1099"/>
      <c r="J48" s="1099"/>
      <c r="K48" s="1099"/>
      <c r="L48" s="1099"/>
      <c r="M48" s="1099"/>
      <c r="N48" s="1099"/>
      <c r="O48" s="1099"/>
      <c r="P48" s="1099"/>
      <c r="Q48" s="1099"/>
      <c r="R48" s="1099"/>
      <c r="S48" s="1099"/>
      <c r="T48" s="1099"/>
      <c r="U48" s="1099"/>
      <c r="V48" s="1099"/>
      <c r="W48" s="1099"/>
      <c r="X48" s="1099"/>
      <c r="Y48" s="1099"/>
      <c r="Z48" s="1099"/>
      <c r="AA48" s="1099"/>
      <c r="AB48" s="1099"/>
      <c r="AC48" s="1099"/>
      <c r="AD48" s="311"/>
      <c r="AE48" s="1099"/>
      <c r="AF48" s="1099"/>
      <c r="AG48" s="236"/>
      <c r="AH48" s="1099"/>
      <c r="AI48" s="1099"/>
      <c r="AJ48" s="311"/>
      <c r="AK48" s="1099"/>
      <c r="AL48" s="1099"/>
    </row>
    <row r="49" spans="1:38" s="235" customFormat="1" x14ac:dyDescent="0.45">
      <c r="A49" s="234"/>
      <c r="B49" s="236" t="s">
        <v>2619</v>
      </c>
      <c r="C49" s="236" t="s">
        <v>1297</v>
      </c>
      <c r="D49" s="236" t="s">
        <v>1</v>
      </c>
      <c r="E49" s="240">
        <f t="shared" ref="E49:AC49" si="55">$E$3*$C$41*(1/E36)</f>
        <v>147.17425431711146</v>
      </c>
      <c r="F49" s="240">
        <f t="shared" si="55"/>
        <v>145.68764568764573</v>
      </c>
      <c r="G49" s="240">
        <f t="shared" si="55"/>
        <v>144.23076923076923</v>
      </c>
      <c r="H49" s="240">
        <f t="shared" si="55"/>
        <v>142.80274181264281</v>
      </c>
      <c r="I49" s="240">
        <f t="shared" si="55"/>
        <v>141.40271493212671</v>
      </c>
      <c r="J49" s="240">
        <f t="shared" si="55"/>
        <v>140.02987303958176</v>
      </c>
      <c r="K49" s="240">
        <f t="shared" si="55"/>
        <v>138.68343195266272</v>
      </c>
      <c r="L49" s="240">
        <f t="shared" si="55"/>
        <v>137.36263736263737</v>
      </c>
      <c r="M49" s="240">
        <f t="shared" si="55"/>
        <v>136.06676342525398</v>
      </c>
      <c r="N49" s="240">
        <f t="shared" si="55"/>
        <v>134.79511143062541</v>
      </c>
      <c r="O49" s="240">
        <f t="shared" si="55"/>
        <v>133.54700854700855</v>
      </c>
      <c r="P49" s="240">
        <f t="shared" si="55"/>
        <v>132.32180663373325</v>
      </c>
      <c r="Q49" s="240">
        <f t="shared" si="55"/>
        <v>131.11888111888109</v>
      </c>
      <c r="R49" s="240">
        <f t="shared" si="55"/>
        <v>129.93762993762994</v>
      </c>
      <c r="S49" s="240">
        <f t="shared" si="55"/>
        <v>128.7774725274725</v>
      </c>
      <c r="T49" s="240">
        <f t="shared" si="55"/>
        <v>127.63784887678693</v>
      </c>
      <c r="U49" s="240">
        <f t="shared" si="55"/>
        <v>126.51821862348177</v>
      </c>
      <c r="V49" s="240">
        <f t="shared" si="55"/>
        <v>125.41806020066892</v>
      </c>
      <c r="W49" s="240">
        <f t="shared" si="55"/>
        <v>124.33687002652519</v>
      </c>
      <c r="X49" s="240">
        <f t="shared" si="55"/>
        <v>123.27416173570022</v>
      </c>
      <c r="Y49" s="240">
        <f t="shared" si="55"/>
        <v>122.22946544980445</v>
      </c>
      <c r="Z49" s="240">
        <f t="shared" si="55"/>
        <v>121.20232708468002</v>
      </c>
      <c r="AA49" s="240">
        <f t="shared" si="55"/>
        <v>120.19230769230771</v>
      </c>
      <c r="AB49" s="240">
        <f t="shared" si="55"/>
        <v>119.19898283534647</v>
      </c>
      <c r="AC49" s="240">
        <f t="shared" si="55"/>
        <v>118.22194199243381</v>
      </c>
      <c r="AD49" s="311"/>
      <c r="AE49" s="240">
        <f>$E$3*AE41*(1/AE36)</f>
        <v>97.65625</v>
      </c>
      <c r="AF49" s="240">
        <f>$E$3*AF41*(1/AF36)</f>
        <v>84.17508417508418</v>
      </c>
      <c r="AG49" s="236"/>
      <c r="AH49" s="240">
        <f>(2^$C$2/8)*(AH41)*(1/AH36)</f>
        <v>576.92307692307691</v>
      </c>
      <c r="AI49" s="240">
        <f>(2^$C$2/8)*(AI41)*(1/AI36)</f>
        <v>480.76923076923083</v>
      </c>
      <c r="AJ49" s="311"/>
      <c r="AK49" s="240">
        <f>$E$3*(AK41)*(1/AK36)</f>
        <v>302.41935483870964</v>
      </c>
      <c r="AL49" s="240">
        <f>$E$3*(AL41)*(1/AL36)</f>
        <v>250.40064102564105</v>
      </c>
    </row>
    <row r="50" spans="1:38" s="1093" customFormat="1" x14ac:dyDescent="0.45">
      <c r="A50" s="1090"/>
      <c r="B50" s="1089"/>
      <c r="C50" s="236"/>
      <c r="D50" s="236" t="s">
        <v>5</v>
      </c>
      <c r="E50" s="253">
        <f>E49/(1/$C$4)</f>
        <v>5151.0989010989015</v>
      </c>
      <c r="F50" s="253">
        <f t="shared" ref="F50:AC50" si="56">F49/(1/$C$4)</f>
        <v>5099.0675990676009</v>
      </c>
      <c r="G50" s="253">
        <f t="shared" si="56"/>
        <v>5048.0769230769229</v>
      </c>
      <c r="H50" s="253">
        <f t="shared" si="56"/>
        <v>4998.095963442498</v>
      </c>
      <c r="I50" s="253">
        <f t="shared" si="56"/>
        <v>4949.0950226244349</v>
      </c>
      <c r="J50" s="253">
        <f t="shared" si="56"/>
        <v>4901.045556385362</v>
      </c>
      <c r="K50" s="253">
        <f t="shared" si="56"/>
        <v>4853.9201183431951</v>
      </c>
      <c r="L50" s="253">
        <f t="shared" si="56"/>
        <v>4807.6923076923085</v>
      </c>
      <c r="M50" s="253">
        <f t="shared" si="56"/>
        <v>4762.3367198838896</v>
      </c>
      <c r="N50" s="253">
        <f t="shared" si="56"/>
        <v>4717.8289000718896</v>
      </c>
      <c r="O50" s="253">
        <f t="shared" si="56"/>
        <v>4674.1452991452988</v>
      </c>
      <c r="P50" s="253">
        <f t="shared" si="56"/>
        <v>4631.2632321806641</v>
      </c>
      <c r="Q50" s="253">
        <f t="shared" si="56"/>
        <v>4589.1608391608388</v>
      </c>
      <c r="R50" s="253">
        <f t="shared" si="56"/>
        <v>4547.8170478170478</v>
      </c>
      <c r="S50" s="253">
        <f t="shared" si="56"/>
        <v>4507.2115384615372</v>
      </c>
      <c r="T50" s="253">
        <f t="shared" si="56"/>
        <v>4467.3247106875424</v>
      </c>
      <c r="U50" s="253">
        <f t="shared" si="56"/>
        <v>4428.1376518218622</v>
      </c>
      <c r="V50" s="253">
        <f t="shared" si="56"/>
        <v>4389.6321070234126</v>
      </c>
      <c r="W50" s="253">
        <f t="shared" si="56"/>
        <v>4351.7904509283817</v>
      </c>
      <c r="X50" s="253">
        <f t="shared" si="56"/>
        <v>4314.5956607495082</v>
      </c>
      <c r="Y50" s="253">
        <f t="shared" si="56"/>
        <v>4278.0312907431562</v>
      </c>
      <c r="Z50" s="253">
        <f t="shared" si="56"/>
        <v>4242.0814479638011</v>
      </c>
      <c r="AA50" s="253">
        <f t="shared" si="56"/>
        <v>4206.7307692307695</v>
      </c>
      <c r="AB50" s="253">
        <f t="shared" si="56"/>
        <v>4171.9643992371266</v>
      </c>
      <c r="AC50" s="253">
        <f t="shared" si="56"/>
        <v>4137.7679697351832</v>
      </c>
      <c r="AD50" s="311"/>
      <c r="AE50" s="253">
        <f t="shared" ref="AE50:AF50" si="57">AE49/(1/$C$4)</f>
        <v>3417.96875</v>
      </c>
      <c r="AF50" s="253">
        <f t="shared" si="57"/>
        <v>2946.1279461279464</v>
      </c>
      <c r="AG50" s="236"/>
      <c r="AH50" s="253">
        <f t="shared" ref="AH50" si="58">AH49/(1/$C$4)</f>
        <v>20192.307692307691</v>
      </c>
      <c r="AI50" s="253">
        <f>AI49/(1/$C$4)</f>
        <v>16826.923076923078</v>
      </c>
      <c r="AJ50" s="311"/>
      <c r="AK50" s="253">
        <f t="shared" ref="AK50" si="59">AK49/(1/$C$4)</f>
        <v>10584.677419354837</v>
      </c>
      <c r="AL50" s="253">
        <f>AL49/(1/$C$4)</f>
        <v>8764.0224358974374</v>
      </c>
    </row>
    <row r="51" spans="1:38" s="1093" customFormat="1" x14ac:dyDescent="0.45">
      <c r="A51" s="1090"/>
      <c r="B51" s="1089"/>
      <c r="C51" s="1089" t="s">
        <v>1269</v>
      </c>
      <c r="D51" s="1089" t="s">
        <v>5</v>
      </c>
      <c r="E51" s="1101">
        <f>ROUNDUP(E50,0)</f>
        <v>5152</v>
      </c>
      <c r="F51" s="1101">
        <f t="shared" ref="F51:AC51" si="60">ROUNDUP(F50,0)</f>
        <v>5100</v>
      </c>
      <c r="G51" s="1101">
        <f t="shared" si="60"/>
        <v>5049</v>
      </c>
      <c r="H51" s="1101">
        <f t="shared" si="60"/>
        <v>4999</v>
      </c>
      <c r="I51" s="1101">
        <f t="shared" si="60"/>
        <v>4950</v>
      </c>
      <c r="J51" s="1101">
        <f t="shared" si="60"/>
        <v>4902</v>
      </c>
      <c r="K51" s="1101">
        <f t="shared" si="60"/>
        <v>4854</v>
      </c>
      <c r="L51" s="1101">
        <f t="shared" si="60"/>
        <v>4808</v>
      </c>
      <c r="M51" s="1101">
        <f t="shared" si="60"/>
        <v>4763</v>
      </c>
      <c r="N51" s="1101">
        <f t="shared" si="60"/>
        <v>4718</v>
      </c>
      <c r="O51" s="1101">
        <f t="shared" si="60"/>
        <v>4675</v>
      </c>
      <c r="P51" s="1101">
        <f t="shared" si="60"/>
        <v>4632</v>
      </c>
      <c r="Q51" s="1101">
        <f t="shared" si="60"/>
        <v>4590</v>
      </c>
      <c r="R51" s="1101">
        <f t="shared" si="60"/>
        <v>4548</v>
      </c>
      <c r="S51" s="1101">
        <f t="shared" si="60"/>
        <v>4508</v>
      </c>
      <c r="T51" s="1101">
        <f t="shared" si="60"/>
        <v>4468</v>
      </c>
      <c r="U51" s="1101">
        <f t="shared" si="60"/>
        <v>4429</v>
      </c>
      <c r="V51" s="1101">
        <f t="shared" si="60"/>
        <v>4390</v>
      </c>
      <c r="W51" s="1101">
        <f t="shared" si="60"/>
        <v>4352</v>
      </c>
      <c r="X51" s="1101">
        <f t="shared" si="60"/>
        <v>4315</v>
      </c>
      <c r="Y51" s="1101">
        <f t="shared" si="60"/>
        <v>4279</v>
      </c>
      <c r="Z51" s="1101">
        <f t="shared" si="60"/>
        <v>4243</v>
      </c>
      <c r="AA51" s="1101">
        <f t="shared" si="60"/>
        <v>4207</v>
      </c>
      <c r="AB51" s="1101">
        <f t="shared" si="60"/>
        <v>4172</v>
      </c>
      <c r="AC51" s="1101">
        <f t="shared" si="60"/>
        <v>4138</v>
      </c>
      <c r="AD51" s="311"/>
      <c r="AE51" s="1101">
        <f t="shared" ref="AE51:AF51" si="61">ROUNDUP(AE50,0)</f>
        <v>3418</v>
      </c>
      <c r="AF51" s="1101">
        <f t="shared" si="61"/>
        <v>2947</v>
      </c>
      <c r="AG51" s="236"/>
      <c r="AH51" s="1101">
        <f t="shared" ref="AH51:AI51" si="62">ROUNDUP(AH50,0)</f>
        <v>20193</v>
      </c>
      <c r="AI51" s="1101">
        <f t="shared" si="62"/>
        <v>16827</v>
      </c>
      <c r="AJ51" s="311"/>
      <c r="AK51" s="1101">
        <f t="shared" ref="AK51:AL51" si="63">ROUNDUP(AK50,0)</f>
        <v>10585</v>
      </c>
      <c r="AL51" s="1101">
        <f t="shared" si="63"/>
        <v>8765</v>
      </c>
    </row>
    <row r="52" spans="1:38" s="1093" customFormat="1" x14ac:dyDescent="0.45">
      <c r="A52" s="1090"/>
      <c r="B52" s="1089"/>
      <c r="C52" s="1089"/>
      <c r="D52" s="1089" t="s">
        <v>1</v>
      </c>
      <c r="E52" s="1113">
        <f>E51*(1/$C$4)</f>
        <v>147.19999999999999</v>
      </c>
      <c r="F52" s="1113">
        <f>F51*(1/$C$4)</f>
        <v>145.71428571428572</v>
      </c>
      <c r="G52" s="1113">
        <f t="shared" ref="G52:AC52" si="64">G51*(1/$C$4)</f>
        <v>144.25714285714284</v>
      </c>
      <c r="H52" s="1113">
        <f t="shared" si="64"/>
        <v>142.82857142857142</v>
      </c>
      <c r="I52" s="1113">
        <f t="shared" si="64"/>
        <v>141.42857142857142</v>
      </c>
      <c r="J52" s="1113">
        <f t="shared" si="64"/>
        <v>140.05714285714285</v>
      </c>
      <c r="K52" s="1113">
        <f t="shared" si="64"/>
        <v>138.68571428571428</v>
      </c>
      <c r="L52" s="1113">
        <f t="shared" si="64"/>
        <v>137.37142857142857</v>
      </c>
      <c r="M52" s="1113">
        <f t="shared" si="64"/>
        <v>136.08571428571429</v>
      </c>
      <c r="N52" s="1113">
        <f t="shared" si="64"/>
        <v>134.79999999999998</v>
      </c>
      <c r="O52" s="1113">
        <f t="shared" si="64"/>
        <v>133.57142857142856</v>
      </c>
      <c r="P52" s="1113">
        <f t="shared" si="64"/>
        <v>132.34285714285713</v>
      </c>
      <c r="Q52" s="1113">
        <f t="shared" si="64"/>
        <v>131.14285714285714</v>
      </c>
      <c r="R52" s="1113">
        <f t="shared" si="64"/>
        <v>129.94285714285715</v>
      </c>
      <c r="S52" s="1113">
        <f t="shared" si="64"/>
        <v>128.79999999999998</v>
      </c>
      <c r="T52" s="1113">
        <f t="shared" si="64"/>
        <v>127.65714285714286</v>
      </c>
      <c r="U52" s="1113">
        <f t="shared" si="64"/>
        <v>126.54285714285714</v>
      </c>
      <c r="V52" s="1113">
        <f t="shared" si="64"/>
        <v>125.42857142857143</v>
      </c>
      <c r="W52" s="1113">
        <f t="shared" si="64"/>
        <v>124.34285714285714</v>
      </c>
      <c r="X52" s="1113">
        <f t="shared" si="64"/>
        <v>123.28571428571428</v>
      </c>
      <c r="Y52" s="1113">
        <f t="shared" si="64"/>
        <v>122.25714285714285</v>
      </c>
      <c r="Z52" s="1113">
        <f t="shared" si="64"/>
        <v>121.22857142857143</v>
      </c>
      <c r="AA52" s="1113">
        <f t="shared" si="64"/>
        <v>120.2</v>
      </c>
      <c r="AB52" s="1113">
        <f t="shared" si="64"/>
        <v>119.2</v>
      </c>
      <c r="AC52" s="1113">
        <f t="shared" si="64"/>
        <v>118.22857142857143</v>
      </c>
      <c r="AD52" s="311"/>
      <c r="AE52" s="1113">
        <f t="shared" ref="AE52:AF52" si="65">AE51*(1/$C$4)</f>
        <v>97.657142857142858</v>
      </c>
      <c r="AF52" s="1113">
        <f t="shared" si="65"/>
        <v>84.2</v>
      </c>
      <c r="AG52" s="236"/>
      <c r="AH52" s="1113">
        <f t="shared" ref="AH52" si="66">AH51*(1/$C$4)</f>
        <v>576.94285714285718</v>
      </c>
      <c r="AI52" s="1113">
        <f>AI51*(1/$C$4)</f>
        <v>480.77142857142854</v>
      </c>
      <c r="AJ52" s="311"/>
      <c r="AK52" s="1113">
        <f t="shared" ref="AK52:AL52" si="67">AK51*(1/$C$4)</f>
        <v>302.42857142857144</v>
      </c>
      <c r="AL52" s="1113">
        <f t="shared" si="67"/>
        <v>250.42857142857142</v>
      </c>
    </row>
    <row r="53" spans="1:38" s="1093" customFormat="1" x14ac:dyDescent="0.45">
      <c r="A53" s="1090"/>
      <c r="B53" s="1089"/>
      <c r="C53" s="1089" t="s">
        <v>2609</v>
      </c>
      <c r="D53" s="1089" t="s">
        <v>1</v>
      </c>
      <c r="E53" s="1111">
        <f>E52-E49</f>
        <v>2.5745682888526744E-2</v>
      </c>
      <c r="F53" s="1111">
        <f t="shared" ref="F53:AC53" si="68">F52-F49</f>
        <v>2.664002663999554E-2</v>
      </c>
      <c r="G53" s="1111">
        <f t="shared" si="68"/>
        <v>2.6373626373612069E-2</v>
      </c>
      <c r="H53" s="1111">
        <f t="shared" si="68"/>
        <v>2.5829615928614658E-2</v>
      </c>
      <c r="I53" s="1111">
        <f t="shared" si="68"/>
        <v>2.5856496444703225E-2</v>
      </c>
      <c r="J53" s="1111">
        <f t="shared" si="68"/>
        <v>2.7269817561091259E-2</v>
      </c>
      <c r="K53" s="1111">
        <f t="shared" si="68"/>
        <v>2.2823330515677753E-3</v>
      </c>
      <c r="L53" s="1111">
        <f t="shared" si="68"/>
        <v>8.7912087911945491E-3</v>
      </c>
      <c r="M53" s="1111">
        <f t="shared" si="68"/>
        <v>1.8950860460307695E-2</v>
      </c>
      <c r="N53" s="1111">
        <f t="shared" si="68"/>
        <v>4.8885693745717163E-3</v>
      </c>
      <c r="O53" s="1111">
        <f t="shared" si="68"/>
        <v>2.4420024420010122E-2</v>
      </c>
      <c r="P53" s="1111">
        <f t="shared" si="68"/>
        <v>2.1050509123881511E-2</v>
      </c>
      <c r="Q53" s="1111">
        <f t="shared" si="68"/>
        <v>2.3976023976047145E-2</v>
      </c>
      <c r="R53" s="1111">
        <f t="shared" si="68"/>
        <v>5.2272052272144265E-3</v>
      </c>
      <c r="S53" s="1111">
        <f t="shared" si="68"/>
        <v>2.252747252748577E-2</v>
      </c>
      <c r="T53" s="1111">
        <f t="shared" si="68"/>
        <v>1.9293980355925555E-2</v>
      </c>
      <c r="U53" s="1111">
        <f t="shared" si="68"/>
        <v>2.4638519375372425E-2</v>
      </c>
      <c r="V53" s="1111">
        <f t="shared" si="68"/>
        <v>1.0511227902512132E-2</v>
      </c>
      <c r="W53" s="1111">
        <f t="shared" si="68"/>
        <v>5.9871163319513698E-3</v>
      </c>
      <c r="X53" s="1111">
        <f t="shared" si="68"/>
        <v>1.1552550014059193E-2</v>
      </c>
      <c r="Y53" s="1111">
        <f t="shared" si="68"/>
        <v>2.7677407338401849E-2</v>
      </c>
      <c r="Z53" s="1111">
        <f t="shared" si="68"/>
        <v>2.6244343891406174E-2</v>
      </c>
      <c r="AA53" s="1111">
        <f t="shared" si="68"/>
        <v>7.6923076922952305E-3</v>
      </c>
      <c r="AB53" s="1111">
        <f t="shared" si="68"/>
        <v>1.0171646535326317E-3</v>
      </c>
      <c r="AC53" s="1111">
        <f t="shared" si="68"/>
        <v>6.6294361376151301E-3</v>
      </c>
      <c r="AD53" s="311"/>
      <c r="AE53" s="1111">
        <f t="shared" ref="AE53:AF53" si="69">AE52-AE49</f>
        <v>8.9285714285836093E-4</v>
      </c>
      <c r="AF53" s="1111">
        <f t="shared" si="69"/>
        <v>2.4915824915822782E-2</v>
      </c>
      <c r="AG53" s="236"/>
      <c r="AH53" s="1111">
        <f t="shared" ref="AH53:AI53" si="70">AH52-AH49</f>
        <v>1.9780219780273001E-2</v>
      </c>
      <c r="AI53" s="1111">
        <f t="shared" si="70"/>
        <v>2.1978021977133722E-3</v>
      </c>
      <c r="AJ53" s="311"/>
      <c r="AK53" s="1111">
        <f t="shared" ref="AK53:AL53" si="71">AK52-AK49</f>
        <v>9.2165898618077335E-3</v>
      </c>
      <c r="AL53" s="1111">
        <f t="shared" si="71"/>
        <v>2.7930402930365972E-2</v>
      </c>
    </row>
    <row r="54" spans="1:38" s="1093" customFormat="1" x14ac:dyDescent="0.45">
      <c r="A54" s="1090"/>
      <c r="B54" s="1089"/>
      <c r="C54" s="1089"/>
      <c r="D54" s="1089"/>
      <c r="E54" s="1099"/>
      <c r="F54" s="1097"/>
      <c r="G54" s="1097"/>
      <c r="H54" s="1097"/>
      <c r="I54" s="1097"/>
      <c r="J54" s="1097"/>
      <c r="K54" s="1097"/>
      <c r="L54" s="1097"/>
      <c r="M54" s="1097"/>
      <c r="N54" s="1097"/>
      <c r="O54" s="1097"/>
      <c r="P54" s="1097"/>
      <c r="Q54" s="1097"/>
      <c r="R54" s="1097"/>
      <c r="S54" s="1097"/>
      <c r="T54" s="1097"/>
      <c r="U54" s="1097"/>
      <c r="V54" s="1097"/>
      <c r="W54" s="1097"/>
      <c r="X54" s="1097"/>
      <c r="Y54" s="1097"/>
      <c r="Z54" s="1097"/>
      <c r="AA54" s="1097"/>
      <c r="AB54" s="1097"/>
      <c r="AC54" s="1097"/>
      <c r="AD54" s="311"/>
      <c r="AE54" s="1097"/>
      <c r="AF54" s="1097"/>
      <c r="AG54" s="236"/>
      <c r="AH54" s="1097"/>
      <c r="AI54" s="1097"/>
      <c r="AJ54" s="311"/>
      <c r="AK54" s="1097"/>
      <c r="AL54" s="1097"/>
    </row>
    <row r="55" spans="1:38" s="235" customFormat="1" x14ac:dyDescent="0.45">
      <c r="A55" s="234"/>
      <c r="B55" s="236" t="s">
        <v>2618</v>
      </c>
      <c r="C55" s="236" t="s">
        <v>1297</v>
      </c>
      <c r="D55" s="236" t="s">
        <v>1</v>
      </c>
      <c r="E55" s="240">
        <f t="shared" ref="E55:AC55" si="72">$E$3*$C$42*(1/E36)</f>
        <v>147.17425431711146</v>
      </c>
      <c r="F55" s="240">
        <f t="shared" si="72"/>
        <v>145.68764568764573</v>
      </c>
      <c r="G55" s="240">
        <f t="shared" si="72"/>
        <v>144.23076923076923</v>
      </c>
      <c r="H55" s="240">
        <f t="shared" si="72"/>
        <v>142.80274181264281</v>
      </c>
      <c r="I55" s="240">
        <f t="shared" si="72"/>
        <v>141.40271493212671</v>
      </c>
      <c r="J55" s="240">
        <f t="shared" si="72"/>
        <v>140.02987303958176</v>
      </c>
      <c r="K55" s="240">
        <f t="shared" si="72"/>
        <v>138.68343195266272</v>
      </c>
      <c r="L55" s="240">
        <f t="shared" si="72"/>
        <v>137.36263736263737</v>
      </c>
      <c r="M55" s="240">
        <f t="shared" si="72"/>
        <v>136.06676342525398</v>
      </c>
      <c r="N55" s="240">
        <f t="shared" si="72"/>
        <v>134.79511143062541</v>
      </c>
      <c r="O55" s="240">
        <f t="shared" si="72"/>
        <v>133.54700854700855</v>
      </c>
      <c r="P55" s="240">
        <f t="shared" si="72"/>
        <v>132.32180663373325</v>
      </c>
      <c r="Q55" s="240">
        <f t="shared" si="72"/>
        <v>131.11888111888109</v>
      </c>
      <c r="R55" s="240">
        <f t="shared" si="72"/>
        <v>129.93762993762994</v>
      </c>
      <c r="S55" s="240">
        <f t="shared" si="72"/>
        <v>128.7774725274725</v>
      </c>
      <c r="T55" s="240">
        <f t="shared" si="72"/>
        <v>127.63784887678693</v>
      </c>
      <c r="U55" s="240">
        <f t="shared" si="72"/>
        <v>126.51821862348177</v>
      </c>
      <c r="V55" s="240">
        <f t="shared" si="72"/>
        <v>125.41806020066892</v>
      </c>
      <c r="W55" s="240">
        <f t="shared" si="72"/>
        <v>124.33687002652519</v>
      </c>
      <c r="X55" s="240">
        <f t="shared" si="72"/>
        <v>123.27416173570022</v>
      </c>
      <c r="Y55" s="240">
        <f t="shared" si="72"/>
        <v>122.22946544980445</v>
      </c>
      <c r="Z55" s="240">
        <f t="shared" si="72"/>
        <v>121.20232708468002</v>
      </c>
      <c r="AA55" s="240">
        <f t="shared" si="72"/>
        <v>120.19230769230771</v>
      </c>
      <c r="AB55" s="240">
        <f t="shared" si="72"/>
        <v>119.19898283534647</v>
      </c>
      <c r="AC55" s="240">
        <f t="shared" si="72"/>
        <v>118.22194199243381</v>
      </c>
      <c r="AD55" s="311"/>
      <c r="AE55" s="240">
        <f>$E$3*AE42*(1/AE36)</f>
        <v>97.65625</v>
      </c>
      <c r="AF55" s="240">
        <f>$E$3*AF42*(1/AF36)</f>
        <v>84.17508417508418</v>
      </c>
      <c r="AG55" s="236"/>
      <c r="AH55" s="240">
        <f>(2^$C$2/8)*(AH42)*(1/AH36)</f>
        <v>576.92307692307691</v>
      </c>
      <c r="AI55" s="240">
        <f>(2^$C$2/8)*(AI42)*(1/AI36)</f>
        <v>480.76923076923083</v>
      </c>
      <c r="AJ55" s="311"/>
      <c r="AK55" s="240">
        <f>$E$3*(AK42)*(1/AK36)</f>
        <v>302.41935483870964</v>
      </c>
      <c r="AL55" s="240">
        <f>$E$3*(AL42)*(1/AL36)</f>
        <v>250.40064102564105</v>
      </c>
    </row>
    <row r="56" spans="1:38" s="1093" customFormat="1" x14ac:dyDescent="0.45">
      <c r="A56" s="1090"/>
      <c r="B56" s="1089"/>
      <c r="C56" s="236"/>
      <c r="D56" s="236" t="s">
        <v>5</v>
      </c>
      <c r="E56" s="253">
        <f>E55/(1/$C$4)</f>
        <v>5151.0989010989015</v>
      </c>
      <c r="F56" s="253">
        <f t="shared" ref="F56:AC56" si="73">F55/(1/$C$4)</f>
        <v>5099.0675990676009</v>
      </c>
      <c r="G56" s="253">
        <f t="shared" si="73"/>
        <v>5048.0769230769229</v>
      </c>
      <c r="H56" s="253">
        <f t="shared" si="73"/>
        <v>4998.095963442498</v>
      </c>
      <c r="I56" s="253">
        <f t="shared" si="73"/>
        <v>4949.0950226244349</v>
      </c>
      <c r="J56" s="253">
        <f t="shared" si="73"/>
        <v>4901.045556385362</v>
      </c>
      <c r="K56" s="253">
        <f t="shared" si="73"/>
        <v>4853.9201183431951</v>
      </c>
      <c r="L56" s="253">
        <f t="shared" si="73"/>
        <v>4807.6923076923085</v>
      </c>
      <c r="M56" s="253">
        <f t="shared" si="73"/>
        <v>4762.3367198838896</v>
      </c>
      <c r="N56" s="253">
        <f t="shared" si="73"/>
        <v>4717.8289000718896</v>
      </c>
      <c r="O56" s="253">
        <f t="shared" si="73"/>
        <v>4674.1452991452988</v>
      </c>
      <c r="P56" s="253">
        <f t="shared" si="73"/>
        <v>4631.2632321806641</v>
      </c>
      <c r="Q56" s="253">
        <f t="shared" si="73"/>
        <v>4589.1608391608388</v>
      </c>
      <c r="R56" s="253">
        <f t="shared" si="73"/>
        <v>4547.8170478170478</v>
      </c>
      <c r="S56" s="253">
        <f t="shared" si="73"/>
        <v>4507.2115384615372</v>
      </c>
      <c r="T56" s="253">
        <f t="shared" si="73"/>
        <v>4467.3247106875424</v>
      </c>
      <c r="U56" s="253">
        <f t="shared" si="73"/>
        <v>4428.1376518218622</v>
      </c>
      <c r="V56" s="253">
        <f t="shared" si="73"/>
        <v>4389.6321070234126</v>
      </c>
      <c r="W56" s="253">
        <f t="shared" si="73"/>
        <v>4351.7904509283817</v>
      </c>
      <c r="X56" s="253">
        <f t="shared" si="73"/>
        <v>4314.5956607495082</v>
      </c>
      <c r="Y56" s="253">
        <f t="shared" si="73"/>
        <v>4278.0312907431562</v>
      </c>
      <c r="Z56" s="253">
        <f t="shared" si="73"/>
        <v>4242.0814479638011</v>
      </c>
      <c r="AA56" s="253">
        <f t="shared" si="73"/>
        <v>4206.7307692307695</v>
      </c>
      <c r="AB56" s="253">
        <f t="shared" si="73"/>
        <v>4171.9643992371266</v>
      </c>
      <c r="AC56" s="253">
        <f t="shared" si="73"/>
        <v>4137.7679697351832</v>
      </c>
      <c r="AD56" s="311"/>
      <c r="AE56" s="253">
        <f t="shared" ref="AE56" si="74">AE55/(1/$C$4)</f>
        <v>3417.96875</v>
      </c>
      <c r="AF56" s="253">
        <f>AF55/(1/$C$4)</f>
        <v>2946.1279461279464</v>
      </c>
      <c r="AG56" s="236"/>
      <c r="AH56" s="253">
        <f t="shared" ref="AH56:AI56" si="75">AH55/(1/$C$4)</f>
        <v>20192.307692307691</v>
      </c>
      <c r="AI56" s="253">
        <f t="shared" si="75"/>
        <v>16826.923076923078</v>
      </c>
      <c r="AJ56" s="311"/>
      <c r="AK56" s="253">
        <f t="shared" ref="AK56:AL56" si="76">AK55/(1/$C$4)</f>
        <v>10584.677419354837</v>
      </c>
      <c r="AL56" s="253">
        <f t="shared" si="76"/>
        <v>8764.0224358974374</v>
      </c>
    </row>
    <row r="57" spans="1:38" s="1093" customFormat="1" x14ac:dyDescent="0.45">
      <c r="A57" s="1090"/>
      <c r="B57" s="1089"/>
      <c r="C57" s="1089" t="s">
        <v>1269</v>
      </c>
      <c r="D57" s="1089" t="s">
        <v>5</v>
      </c>
      <c r="E57" s="1101">
        <f>ROUNDUP(E56,0)</f>
        <v>5152</v>
      </c>
      <c r="F57" s="1101">
        <f t="shared" ref="F57:AC57" si="77">ROUNDUP(F56,0)</f>
        <v>5100</v>
      </c>
      <c r="G57" s="1101">
        <f t="shared" si="77"/>
        <v>5049</v>
      </c>
      <c r="H57" s="1101">
        <f t="shared" si="77"/>
        <v>4999</v>
      </c>
      <c r="I57" s="1101">
        <f t="shared" si="77"/>
        <v>4950</v>
      </c>
      <c r="J57" s="1101">
        <f t="shared" si="77"/>
        <v>4902</v>
      </c>
      <c r="K57" s="1101">
        <f t="shared" si="77"/>
        <v>4854</v>
      </c>
      <c r="L57" s="1101">
        <f t="shared" si="77"/>
        <v>4808</v>
      </c>
      <c r="M57" s="1101">
        <f t="shared" si="77"/>
        <v>4763</v>
      </c>
      <c r="N57" s="1101">
        <f t="shared" si="77"/>
        <v>4718</v>
      </c>
      <c r="O57" s="1101">
        <f t="shared" si="77"/>
        <v>4675</v>
      </c>
      <c r="P57" s="1101">
        <f t="shared" si="77"/>
        <v>4632</v>
      </c>
      <c r="Q57" s="1101">
        <f t="shared" si="77"/>
        <v>4590</v>
      </c>
      <c r="R57" s="1101">
        <f t="shared" si="77"/>
        <v>4548</v>
      </c>
      <c r="S57" s="1101">
        <f t="shared" si="77"/>
        <v>4508</v>
      </c>
      <c r="T57" s="1101">
        <f t="shared" si="77"/>
        <v>4468</v>
      </c>
      <c r="U57" s="1101">
        <f t="shared" si="77"/>
        <v>4429</v>
      </c>
      <c r="V57" s="1101">
        <f t="shared" si="77"/>
        <v>4390</v>
      </c>
      <c r="W57" s="1101">
        <f t="shared" si="77"/>
        <v>4352</v>
      </c>
      <c r="X57" s="1101">
        <f t="shared" si="77"/>
        <v>4315</v>
      </c>
      <c r="Y57" s="1101">
        <f t="shared" si="77"/>
        <v>4279</v>
      </c>
      <c r="Z57" s="1101">
        <f t="shared" si="77"/>
        <v>4243</v>
      </c>
      <c r="AA57" s="1101">
        <f t="shared" si="77"/>
        <v>4207</v>
      </c>
      <c r="AB57" s="1101">
        <f t="shared" si="77"/>
        <v>4172</v>
      </c>
      <c r="AC57" s="1101">
        <f t="shared" si="77"/>
        <v>4138</v>
      </c>
      <c r="AD57" s="311"/>
      <c r="AE57" s="1101">
        <f t="shared" ref="AE57:AF57" si="78">ROUNDUP(AE56,0)</f>
        <v>3418</v>
      </c>
      <c r="AF57" s="1101">
        <f t="shared" si="78"/>
        <v>2947</v>
      </c>
      <c r="AG57" s="236"/>
      <c r="AH57" s="1101">
        <f t="shared" ref="AH57:AI57" si="79">ROUNDUP(AH56,0)</f>
        <v>20193</v>
      </c>
      <c r="AI57" s="1101">
        <f t="shared" si="79"/>
        <v>16827</v>
      </c>
      <c r="AJ57" s="311"/>
      <c r="AK57" s="1101">
        <f t="shared" ref="AK57:AL57" si="80">ROUNDUP(AK56,0)</f>
        <v>10585</v>
      </c>
      <c r="AL57" s="1101">
        <f t="shared" si="80"/>
        <v>8765</v>
      </c>
    </row>
    <row r="58" spans="1:38" s="1093" customFormat="1" x14ac:dyDescent="0.45">
      <c r="A58" s="1090"/>
      <c r="B58" s="1089"/>
      <c r="C58" s="1089"/>
      <c r="D58" s="1089" t="s">
        <v>1</v>
      </c>
      <c r="E58" s="1113">
        <f>E57*(1/$C$4)</f>
        <v>147.19999999999999</v>
      </c>
      <c r="F58" s="1113">
        <f t="shared" ref="F58:AC58" si="81">F57*(1/$C$4)</f>
        <v>145.71428571428572</v>
      </c>
      <c r="G58" s="1113">
        <f t="shared" si="81"/>
        <v>144.25714285714284</v>
      </c>
      <c r="H58" s="1113">
        <f t="shared" si="81"/>
        <v>142.82857142857142</v>
      </c>
      <c r="I58" s="1113">
        <f t="shared" si="81"/>
        <v>141.42857142857142</v>
      </c>
      <c r="J58" s="1113">
        <f t="shared" si="81"/>
        <v>140.05714285714285</v>
      </c>
      <c r="K58" s="1113">
        <f t="shared" si="81"/>
        <v>138.68571428571428</v>
      </c>
      <c r="L58" s="1113">
        <f t="shared" si="81"/>
        <v>137.37142857142857</v>
      </c>
      <c r="M58" s="1113">
        <f t="shared" si="81"/>
        <v>136.08571428571429</v>
      </c>
      <c r="N58" s="1113">
        <f t="shared" si="81"/>
        <v>134.79999999999998</v>
      </c>
      <c r="O58" s="1113">
        <f t="shared" si="81"/>
        <v>133.57142857142856</v>
      </c>
      <c r="P58" s="1113">
        <f t="shared" si="81"/>
        <v>132.34285714285713</v>
      </c>
      <c r="Q58" s="1113">
        <f t="shared" si="81"/>
        <v>131.14285714285714</v>
      </c>
      <c r="R58" s="1113">
        <f t="shared" si="81"/>
        <v>129.94285714285715</v>
      </c>
      <c r="S58" s="1113">
        <f t="shared" si="81"/>
        <v>128.79999999999998</v>
      </c>
      <c r="T58" s="1113">
        <f t="shared" si="81"/>
        <v>127.65714285714286</v>
      </c>
      <c r="U58" s="1113">
        <f t="shared" si="81"/>
        <v>126.54285714285714</v>
      </c>
      <c r="V58" s="1113">
        <f t="shared" si="81"/>
        <v>125.42857142857143</v>
      </c>
      <c r="W58" s="1113">
        <f t="shared" si="81"/>
        <v>124.34285714285714</v>
      </c>
      <c r="X58" s="1113">
        <f t="shared" si="81"/>
        <v>123.28571428571428</v>
      </c>
      <c r="Y58" s="1113">
        <f t="shared" si="81"/>
        <v>122.25714285714285</v>
      </c>
      <c r="Z58" s="1113">
        <f t="shared" si="81"/>
        <v>121.22857142857143</v>
      </c>
      <c r="AA58" s="1113">
        <f t="shared" si="81"/>
        <v>120.2</v>
      </c>
      <c r="AB58" s="1113">
        <f t="shared" si="81"/>
        <v>119.2</v>
      </c>
      <c r="AC58" s="1113">
        <f t="shared" si="81"/>
        <v>118.22857142857143</v>
      </c>
      <c r="AD58" s="311"/>
      <c r="AE58" s="1113">
        <f t="shared" ref="AE58:AF58" si="82">AE57*(1/$C$4)</f>
        <v>97.657142857142858</v>
      </c>
      <c r="AF58" s="1113">
        <f t="shared" si="82"/>
        <v>84.2</v>
      </c>
      <c r="AG58" s="236"/>
      <c r="AH58" s="1113">
        <f t="shared" ref="AH58:AI58" si="83">AH57*(1/$C$4)</f>
        <v>576.94285714285718</v>
      </c>
      <c r="AI58" s="1113">
        <f t="shared" si="83"/>
        <v>480.77142857142854</v>
      </c>
      <c r="AJ58" s="311"/>
      <c r="AK58" s="1113">
        <f t="shared" ref="AK58:AL58" si="84">AK57*(1/$C$4)</f>
        <v>302.42857142857144</v>
      </c>
      <c r="AL58" s="1113">
        <f t="shared" si="84"/>
        <v>250.42857142857142</v>
      </c>
    </row>
    <row r="59" spans="1:38" s="1093" customFormat="1" x14ac:dyDescent="0.45">
      <c r="A59" s="1090"/>
      <c r="B59" s="1089"/>
      <c r="C59" s="1089" t="s">
        <v>2609</v>
      </c>
      <c r="D59" s="1089" t="s">
        <v>1</v>
      </c>
      <c r="E59" s="1111">
        <f>E58-E55</f>
        <v>2.5745682888526744E-2</v>
      </c>
      <c r="F59" s="1111">
        <f t="shared" ref="F59:AC59" si="85">F58-F55</f>
        <v>2.664002663999554E-2</v>
      </c>
      <c r="G59" s="1111">
        <f t="shared" si="85"/>
        <v>2.6373626373612069E-2</v>
      </c>
      <c r="H59" s="1111">
        <f t="shared" si="85"/>
        <v>2.5829615928614658E-2</v>
      </c>
      <c r="I59" s="1111">
        <f t="shared" si="85"/>
        <v>2.5856496444703225E-2</v>
      </c>
      <c r="J59" s="1111">
        <f t="shared" si="85"/>
        <v>2.7269817561091259E-2</v>
      </c>
      <c r="K59" s="1111">
        <f t="shared" si="85"/>
        <v>2.2823330515677753E-3</v>
      </c>
      <c r="L59" s="1111">
        <f t="shared" si="85"/>
        <v>8.7912087911945491E-3</v>
      </c>
      <c r="M59" s="1111">
        <f t="shared" si="85"/>
        <v>1.8950860460307695E-2</v>
      </c>
      <c r="N59" s="1111">
        <f t="shared" si="85"/>
        <v>4.8885693745717163E-3</v>
      </c>
      <c r="O59" s="1111">
        <f t="shared" si="85"/>
        <v>2.4420024420010122E-2</v>
      </c>
      <c r="P59" s="1111">
        <f t="shared" si="85"/>
        <v>2.1050509123881511E-2</v>
      </c>
      <c r="Q59" s="1111">
        <f t="shared" si="85"/>
        <v>2.3976023976047145E-2</v>
      </c>
      <c r="R59" s="1111">
        <f t="shared" si="85"/>
        <v>5.2272052272144265E-3</v>
      </c>
      <c r="S59" s="1111">
        <f t="shared" si="85"/>
        <v>2.252747252748577E-2</v>
      </c>
      <c r="T59" s="1111">
        <f t="shared" si="85"/>
        <v>1.9293980355925555E-2</v>
      </c>
      <c r="U59" s="1111">
        <f t="shared" si="85"/>
        <v>2.4638519375372425E-2</v>
      </c>
      <c r="V59" s="1111">
        <f t="shared" si="85"/>
        <v>1.0511227902512132E-2</v>
      </c>
      <c r="W59" s="1111">
        <f t="shared" si="85"/>
        <v>5.9871163319513698E-3</v>
      </c>
      <c r="X59" s="1111">
        <f t="shared" si="85"/>
        <v>1.1552550014059193E-2</v>
      </c>
      <c r="Y59" s="1111">
        <f t="shared" si="85"/>
        <v>2.7677407338401849E-2</v>
      </c>
      <c r="Z59" s="1111">
        <f t="shared" si="85"/>
        <v>2.6244343891406174E-2</v>
      </c>
      <c r="AA59" s="1111">
        <f t="shared" si="85"/>
        <v>7.6923076922952305E-3</v>
      </c>
      <c r="AB59" s="1111">
        <f t="shared" si="85"/>
        <v>1.0171646535326317E-3</v>
      </c>
      <c r="AC59" s="1111">
        <f t="shared" si="85"/>
        <v>6.6294361376151301E-3</v>
      </c>
      <c r="AD59" s="311"/>
      <c r="AE59" s="1111">
        <f>AE58-AE55</f>
        <v>8.9285714285836093E-4</v>
      </c>
      <c r="AF59" s="1111">
        <f t="shared" ref="AF59" si="86">AF58-AF55</f>
        <v>2.4915824915822782E-2</v>
      </c>
      <c r="AG59" s="236"/>
      <c r="AH59" s="1111">
        <f t="shared" ref="AH59:AI59" si="87">AH58-AH55</f>
        <v>1.9780219780273001E-2</v>
      </c>
      <c r="AI59" s="1111">
        <f t="shared" si="87"/>
        <v>2.1978021977133722E-3</v>
      </c>
      <c r="AJ59" s="311"/>
      <c r="AK59" s="1111">
        <f t="shared" ref="AK59:AL59" si="88">AK58-AK55</f>
        <v>9.2165898618077335E-3</v>
      </c>
      <c r="AL59" s="1111">
        <f t="shared" si="88"/>
        <v>2.7930402930365972E-2</v>
      </c>
    </row>
    <row r="60" spans="1:38" s="1093" customFormat="1" x14ac:dyDescent="0.45">
      <c r="A60" s="1090"/>
      <c r="B60" s="1089"/>
      <c r="C60" s="1089"/>
      <c r="D60" s="1089"/>
      <c r="E60" s="1097"/>
      <c r="F60" s="1097"/>
      <c r="G60" s="1097"/>
      <c r="H60" s="1097"/>
      <c r="I60" s="1097"/>
      <c r="J60" s="1097"/>
      <c r="K60" s="1097"/>
      <c r="L60" s="1097"/>
      <c r="M60" s="1097"/>
      <c r="N60" s="1097"/>
      <c r="O60" s="1097"/>
      <c r="P60" s="1097"/>
      <c r="Q60" s="1097"/>
      <c r="R60" s="1097"/>
      <c r="S60" s="1097"/>
      <c r="T60" s="1097"/>
      <c r="U60" s="1097"/>
      <c r="V60" s="1097"/>
      <c r="W60" s="1097"/>
      <c r="X60" s="1097"/>
      <c r="Y60" s="1097"/>
      <c r="Z60" s="1097"/>
      <c r="AA60" s="1097"/>
      <c r="AB60" s="1097"/>
      <c r="AC60" s="1097"/>
      <c r="AD60" s="311"/>
      <c r="AE60" s="1097"/>
      <c r="AF60" s="1097"/>
      <c r="AG60" s="236"/>
      <c r="AH60" s="1097"/>
      <c r="AI60" s="1097"/>
      <c r="AJ60" s="311"/>
      <c r="AK60" s="1097"/>
      <c r="AL60" s="1097"/>
    </row>
    <row r="61" spans="1:38" s="1093" customFormat="1" x14ac:dyDescent="0.45">
      <c r="A61" s="1090"/>
      <c r="B61" s="236" t="s">
        <v>2612</v>
      </c>
      <c r="C61" s="236" t="s">
        <v>1268</v>
      </c>
      <c r="D61" s="236" t="s">
        <v>1</v>
      </c>
      <c r="E61" s="253">
        <f t="shared" ref="E61:AC61" si="89">(E13/$C$3)*($C$41/($C$41+$C$42))</f>
        <v>159.43877551020407</v>
      </c>
      <c r="F61" s="253">
        <f t="shared" si="89"/>
        <v>157.82828282828285</v>
      </c>
      <c r="G61" s="253">
        <f t="shared" si="89"/>
        <v>156.25</v>
      </c>
      <c r="H61" s="253">
        <f t="shared" si="89"/>
        <v>154.70297029702971</v>
      </c>
      <c r="I61" s="253">
        <f t="shared" si="89"/>
        <v>153.18627450980392</v>
      </c>
      <c r="J61" s="253">
        <f t="shared" si="89"/>
        <v>151.69902912621359</v>
      </c>
      <c r="K61" s="253">
        <f t="shared" si="89"/>
        <v>150.24038461538461</v>
      </c>
      <c r="L61" s="253">
        <f t="shared" si="89"/>
        <v>148.80952380952382</v>
      </c>
      <c r="M61" s="253">
        <f t="shared" si="89"/>
        <v>147.40566037735849</v>
      </c>
      <c r="N61" s="253">
        <f t="shared" si="89"/>
        <v>146.02803738317755</v>
      </c>
      <c r="O61" s="253">
        <f t="shared" si="89"/>
        <v>144.67592592592592</v>
      </c>
      <c r="P61" s="253">
        <f t="shared" si="89"/>
        <v>143.34862385321102</v>
      </c>
      <c r="Q61" s="253">
        <f t="shared" si="89"/>
        <v>142.04545454545453</v>
      </c>
      <c r="R61" s="253">
        <f t="shared" si="89"/>
        <v>140.76576576576576</v>
      </c>
      <c r="S61" s="253">
        <f t="shared" si="89"/>
        <v>139.50892857142856</v>
      </c>
      <c r="T61" s="253">
        <f t="shared" si="89"/>
        <v>138.27433628318585</v>
      </c>
      <c r="U61" s="253">
        <f t="shared" si="89"/>
        <v>137.06140350877192</v>
      </c>
      <c r="V61" s="253">
        <f t="shared" si="89"/>
        <v>135.86956521739131</v>
      </c>
      <c r="W61" s="253">
        <f t="shared" si="89"/>
        <v>134.69827586206895</v>
      </c>
      <c r="X61" s="253">
        <f t="shared" si="89"/>
        <v>133.54700854700857</v>
      </c>
      <c r="Y61" s="253">
        <f t="shared" si="89"/>
        <v>132.41525423728814</v>
      </c>
      <c r="Z61" s="253">
        <f t="shared" si="89"/>
        <v>131.30252100840335</v>
      </c>
      <c r="AA61" s="253">
        <f t="shared" si="89"/>
        <v>130.20833333333334</v>
      </c>
      <c r="AB61" s="253">
        <f t="shared" si="89"/>
        <v>129.13223140495867</v>
      </c>
      <c r="AC61" s="253">
        <f t="shared" si="89"/>
        <v>128.07377049180329</v>
      </c>
      <c r="AD61" s="311"/>
      <c r="AE61" s="253">
        <f>(AE13/$C$3)*(AE41/(AE41+AE42))</f>
        <v>108.50694444444444</v>
      </c>
      <c r="AF61" s="253">
        <f>(AF13/$C$3)*(AF41/(AF41+AF42))</f>
        <v>94.696969696969703</v>
      </c>
      <c r="AG61" s="236"/>
      <c r="AH61" s="253">
        <f>(AH13/1)*(AH41/(AH41+AH42))</f>
        <v>625</v>
      </c>
      <c r="AI61" s="253">
        <f>(AI13/1)*(AI41/(AI41+AI42))</f>
        <v>520.83333333333337</v>
      </c>
      <c r="AJ61" s="311"/>
      <c r="AK61" s="253">
        <f>(AK13/$C$3)*(AK41/(AK41+AK42))</f>
        <v>312.5</v>
      </c>
      <c r="AL61" s="253">
        <f>(AL13/$C$3)*(AL41/(AL41+AL42))</f>
        <v>260.41666666666669</v>
      </c>
    </row>
    <row r="62" spans="1:38" s="235" customFormat="1" x14ac:dyDescent="0.45">
      <c r="A62" s="234"/>
      <c r="B62" s="1089"/>
      <c r="C62" s="236" t="s">
        <v>1297</v>
      </c>
      <c r="D62" s="236" t="s">
        <v>1</v>
      </c>
      <c r="E62" s="1095">
        <f t="shared" ref="E62:Y62" si="90">E46+E49</f>
        <v>157.17425431711146</v>
      </c>
      <c r="F62" s="1095">
        <f t="shared" si="90"/>
        <v>155.68764568764573</v>
      </c>
      <c r="G62" s="1095">
        <f t="shared" si="90"/>
        <v>154.23076923076923</v>
      </c>
      <c r="H62" s="1095">
        <f t="shared" si="90"/>
        <v>152.80274181264281</v>
      </c>
      <c r="I62" s="1095">
        <f t="shared" si="90"/>
        <v>151.40271493212671</v>
      </c>
      <c r="J62" s="1095">
        <f t="shared" si="90"/>
        <v>150.02987303958176</v>
      </c>
      <c r="K62" s="1095">
        <f t="shared" si="90"/>
        <v>148.68343195266272</v>
      </c>
      <c r="L62" s="1095">
        <f t="shared" si="90"/>
        <v>147.36263736263737</v>
      </c>
      <c r="M62" s="1095">
        <f t="shared" si="90"/>
        <v>146.06676342525398</v>
      </c>
      <c r="N62" s="1095">
        <f t="shared" si="90"/>
        <v>144.79511143062541</v>
      </c>
      <c r="O62" s="1095">
        <f t="shared" si="90"/>
        <v>143.54700854700855</v>
      </c>
      <c r="P62" s="1095">
        <f t="shared" si="90"/>
        <v>142.32180663373325</v>
      </c>
      <c r="Q62" s="1095">
        <f t="shared" si="90"/>
        <v>141.11888111888109</v>
      </c>
      <c r="R62" s="1095">
        <f t="shared" si="90"/>
        <v>139.93762993762994</v>
      </c>
      <c r="S62" s="1095">
        <f t="shared" si="90"/>
        <v>138.7774725274725</v>
      </c>
      <c r="T62" s="1095">
        <f t="shared" si="90"/>
        <v>137.63784887678693</v>
      </c>
      <c r="U62" s="1095">
        <f t="shared" si="90"/>
        <v>136.51821862348177</v>
      </c>
      <c r="V62" s="1095">
        <f t="shared" si="90"/>
        <v>135.41806020066892</v>
      </c>
      <c r="W62" s="1095">
        <f t="shared" si="90"/>
        <v>134.33687002652519</v>
      </c>
      <c r="X62" s="1095">
        <f t="shared" si="90"/>
        <v>133.2741617357002</v>
      </c>
      <c r="Y62" s="1095">
        <f t="shared" si="90"/>
        <v>132.22946544980445</v>
      </c>
      <c r="Z62" s="1095">
        <f>Z46+Z49</f>
        <v>131.20232708468001</v>
      </c>
      <c r="AA62" s="1095">
        <f t="shared" ref="AA62:AC62" si="91">AA46+AA49</f>
        <v>130.19230769230771</v>
      </c>
      <c r="AB62" s="1095">
        <f t="shared" si="91"/>
        <v>129.19898283534647</v>
      </c>
      <c r="AC62" s="1095">
        <f t="shared" si="91"/>
        <v>128.22194199243381</v>
      </c>
      <c r="AD62" s="311"/>
      <c r="AE62" s="1095">
        <f t="shared" ref="AE62:AF62" si="92">AE46+AE49</f>
        <v>107.65625</v>
      </c>
      <c r="AF62" s="1095">
        <f t="shared" si="92"/>
        <v>94.17508417508418</v>
      </c>
      <c r="AG62" s="236"/>
      <c r="AH62" s="1095">
        <f>AH46+AH49</f>
        <v>586.92307692307691</v>
      </c>
      <c r="AI62" s="1095">
        <f>AI46+AI49</f>
        <v>490.76923076923083</v>
      </c>
      <c r="AJ62" s="311"/>
      <c r="AK62" s="1095">
        <f t="shared" ref="AK62:AL62" si="93">AK46+AK49</f>
        <v>312.41935483870964</v>
      </c>
      <c r="AL62" s="1095">
        <f t="shared" si="93"/>
        <v>260.40064102564105</v>
      </c>
    </row>
    <row r="63" spans="1:38" s="235" customFormat="1" x14ac:dyDescent="0.45">
      <c r="A63" s="234"/>
      <c r="B63" s="236"/>
      <c r="C63" s="1089" t="s">
        <v>1269</v>
      </c>
      <c r="D63" s="1089" t="s">
        <v>1</v>
      </c>
      <c r="E63" s="1098">
        <f t="shared" ref="E63:Y63" si="94">E46+E52</f>
        <v>157.19999999999999</v>
      </c>
      <c r="F63" s="1098">
        <f t="shared" si="94"/>
        <v>155.71428571428572</v>
      </c>
      <c r="G63" s="1098">
        <f t="shared" si="94"/>
        <v>154.25714285714284</v>
      </c>
      <c r="H63" s="1098">
        <f t="shared" si="94"/>
        <v>152.82857142857142</v>
      </c>
      <c r="I63" s="1098">
        <f t="shared" si="94"/>
        <v>151.42857142857142</v>
      </c>
      <c r="J63" s="1098">
        <f t="shared" si="94"/>
        <v>150.05714285714285</v>
      </c>
      <c r="K63" s="1098">
        <f t="shared" si="94"/>
        <v>148.68571428571428</v>
      </c>
      <c r="L63" s="1098">
        <f t="shared" si="94"/>
        <v>147.37142857142857</v>
      </c>
      <c r="M63" s="1098">
        <f t="shared" si="94"/>
        <v>146.08571428571429</v>
      </c>
      <c r="N63" s="1098">
        <f t="shared" si="94"/>
        <v>144.79999999999998</v>
      </c>
      <c r="O63" s="1098">
        <f t="shared" si="94"/>
        <v>143.57142857142856</v>
      </c>
      <c r="P63" s="1098">
        <f t="shared" si="94"/>
        <v>142.34285714285713</v>
      </c>
      <c r="Q63" s="1098">
        <f t="shared" si="94"/>
        <v>141.14285714285714</v>
      </c>
      <c r="R63" s="1098">
        <f t="shared" si="94"/>
        <v>139.94285714285715</v>
      </c>
      <c r="S63" s="1098">
        <f t="shared" si="94"/>
        <v>138.79999999999998</v>
      </c>
      <c r="T63" s="1098">
        <f t="shared" si="94"/>
        <v>137.65714285714284</v>
      </c>
      <c r="U63" s="1098">
        <f t="shared" si="94"/>
        <v>136.54285714285714</v>
      </c>
      <c r="V63" s="1098">
        <f t="shared" si="94"/>
        <v>135.42857142857144</v>
      </c>
      <c r="W63" s="1098">
        <f t="shared" si="94"/>
        <v>134.34285714285716</v>
      </c>
      <c r="X63" s="1098">
        <f t="shared" si="94"/>
        <v>133.28571428571428</v>
      </c>
      <c r="Y63" s="1098">
        <f t="shared" si="94"/>
        <v>132.25714285714287</v>
      </c>
      <c r="Z63" s="1098">
        <f>Z46+Z52</f>
        <v>131.22857142857143</v>
      </c>
      <c r="AA63" s="1098">
        <f t="shared" ref="AA63:AC63" si="95">AA46+AA52</f>
        <v>130.19999999999999</v>
      </c>
      <c r="AB63" s="1098">
        <f t="shared" si="95"/>
        <v>129.19999999999999</v>
      </c>
      <c r="AC63" s="1098">
        <f t="shared" si="95"/>
        <v>128.22857142857143</v>
      </c>
      <c r="AD63" s="311"/>
      <c r="AE63" s="1098">
        <f t="shared" ref="AE63:AF63" si="96">AE46+AE52</f>
        <v>107.65714285714286</v>
      </c>
      <c r="AF63" s="1098">
        <f t="shared" si="96"/>
        <v>94.2</v>
      </c>
      <c r="AG63" s="236"/>
      <c r="AH63" s="1098">
        <f t="shared" ref="AH63:AL63" si="97">AH46+AH52</f>
        <v>586.94285714285718</v>
      </c>
      <c r="AI63" s="1098">
        <f t="shared" si="97"/>
        <v>490.77142857142854</v>
      </c>
      <c r="AJ63" s="311"/>
      <c r="AK63" s="1098">
        <f t="shared" si="97"/>
        <v>312.42857142857144</v>
      </c>
      <c r="AL63" s="1098">
        <f t="shared" si="97"/>
        <v>260.42857142857144</v>
      </c>
    </row>
    <row r="64" spans="1:38" s="235" customFormat="1" x14ac:dyDescent="0.45">
      <c r="A64" s="234"/>
      <c r="B64" s="236"/>
      <c r="C64" s="1089" t="s">
        <v>2609</v>
      </c>
      <c r="D64" s="1089" t="s">
        <v>1</v>
      </c>
      <c r="E64" s="1106">
        <f>E61-E63</f>
        <v>2.2387755102040785</v>
      </c>
      <c r="F64" s="1106">
        <f t="shared" ref="F64:AC64" si="98">F61-F63</f>
        <v>2.1139971139971294</v>
      </c>
      <c r="G64" s="1106">
        <f t="shared" si="98"/>
        <v>1.9928571428571615</v>
      </c>
      <c r="H64" s="1106">
        <f t="shared" si="98"/>
        <v>1.874398868458286</v>
      </c>
      <c r="I64" s="1106">
        <f t="shared" si="98"/>
        <v>1.7577030812325063</v>
      </c>
      <c r="J64" s="1106">
        <f t="shared" si="98"/>
        <v>1.6418862690707385</v>
      </c>
      <c r="K64" s="1106">
        <f t="shared" si="98"/>
        <v>1.5546703296703299</v>
      </c>
      <c r="L64" s="1106">
        <f t="shared" si="98"/>
        <v>1.4380952380952579</v>
      </c>
      <c r="M64" s="1106">
        <f t="shared" si="98"/>
        <v>1.3199460916441978</v>
      </c>
      <c r="N64" s="1106">
        <f t="shared" si="98"/>
        <v>1.2280373831775648</v>
      </c>
      <c r="O64" s="1106">
        <f t="shared" si="98"/>
        <v>1.1044973544973686</v>
      </c>
      <c r="P64" s="1106">
        <f t="shared" si="98"/>
        <v>1.0057667103538961</v>
      </c>
      <c r="Q64" s="1106">
        <f t="shared" si="98"/>
        <v>0.90259740259739374</v>
      </c>
      <c r="R64" s="1106">
        <f t="shared" si="98"/>
        <v>0.82290862290861355</v>
      </c>
      <c r="S64" s="1106">
        <f t="shared" si="98"/>
        <v>0.70892857142857224</v>
      </c>
      <c r="T64" s="1106">
        <f t="shared" si="98"/>
        <v>0.61719342604300209</v>
      </c>
      <c r="U64" s="1106">
        <f t="shared" si="98"/>
        <v>0.51854636591477288</v>
      </c>
      <c r="V64" s="1106">
        <f t="shared" si="98"/>
        <v>0.44099378881986695</v>
      </c>
      <c r="W64" s="1106">
        <f t="shared" si="98"/>
        <v>0.35541871921179791</v>
      </c>
      <c r="X64" s="1106">
        <f t="shared" si="98"/>
        <v>0.26129426129429589</v>
      </c>
      <c r="Y64" s="1106">
        <f t="shared" si="98"/>
        <v>0.1581113801452716</v>
      </c>
      <c r="Z64" s="1106">
        <f t="shared" si="98"/>
        <v>7.39495798319183E-2</v>
      </c>
      <c r="AA64" s="1106">
        <f t="shared" si="98"/>
        <v>8.3333333333541759E-3</v>
      </c>
      <c r="AB64" s="1106">
        <f t="shared" si="98"/>
        <v>-6.7768595041314938E-2</v>
      </c>
      <c r="AC64" s="1106">
        <f t="shared" si="98"/>
        <v>-0.15480093676814022</v>
      </c>
      <c r="AD64" s="311"/>
      <c r="AE64" s="1106">
        <f>AE61-AE63</f>
        <v>0.8498015873015845</v>
      </c>
      <c r="AF64" s="1106">
        <f t="shared" ref="AF64" si="99">AF61-AF63</f>
        <v>0.49696969696969973</v>
      </c>
      <c r="AG64" s="236"/>
      <c r="AH64" s="1106">
        <f t="shared" ref="AH64:AI64" si="100">AH61-AH63</f>
        <v>38.057142857142821</v>
      </c>
      <c r="AI64" s="1106">
        <f t="shared" si="100"/>
        <v>30.061904761904827</v>
      </c>
      <c r="AJ64" s="311"/>
      <c r="AK64" s="1106">
        <f t="shared" ref="AK64:AL64" si="101">AK61-AK63</f>
        <v>7.1428571428555188E-2</v>
      </c>
      <c r="AL64" s="1106">
        <f t="shared" si="101"/>
        <v>-1.1904761904759198E-2</v>
      </c>
    </row>
    <row r="65" spans="1:38" s="235" customFormat="1" x14ac:dyDescent="0.45">
      <c r="A65" s="234"/>
      <c r="B65" s="236"/>
      <c r="C65" s="1089" t="s">
        <v>2607</v>
      </c>
      <c r="D65" s="1089" t="s">
        <v>903</v>
      </c>
      <c r="E65" s="1099">
        <f>(E63-E61)/E61</f>
        <v>-1.4041599999999982E-2</v>
      </c>
      <c r="F65" s="1099">
        <f t="shared" ref="F65:AC65" si="102">(F63-F61)/F61</f>
        <v>-1.339428571428581E-2</v>
      </c>
      <c r="G65" s="1099">
        <f t="shared" si="102"/>
        <v>-1.2754285714285834E-2</v>
      </c>
      <c r="H65" s="1099">
        <f t="shared" si="102"/>
        <v>-1.2116114285714361E-2</v>
      </c>
      <c r="I65" s="1099">
        <f t="shared" si="102"/>
        <v>-1.1474285714285801E-2</v>
      </c>
      <c r="J65" s="1099">
        <f t="shared" si="102"/>
        <v>-1.0823314285714309E-2</v>
      </c>
      <c r="K65" s="1099">
        <f t="shared" si="102"/>
        <v>-1.0347885714285717E-2</v>
      </c>
      <c r="L65" s="1099">
        <f t="shared" si="102"/>
        <v>-9.6640000000001326E-3</v>
      </c>
      <c r="M65" s="1099">
        <f t="shared" si="102"/>
        <v>-8.9545142857142389E-3</v>
      </c>
      <c r="N65" s="1099">
        <f t="shared" si="102"/>
        <v>-8.409599999999965E-3</v>
      </c>
      <c r="O65" s="1099">
        <f t="shared" si="102"/>
        <v>-7.6342857142858121E-3</v>
      </c>
      <c r="P65" s="1099">
        <f t="shared" si="102"/>
        <v>-7.0162285714287786E-3</v>
      </c>
      <c r="Q65" s="1099">
        <f t="shared" si="102"/>
        <v>-6.3542857142856526E-3</v>
      </c>
      <c r="R65" s="1099">
        <f t="shared" si="102"/>
        <v>-5.8459428571427906E-3</v>
      </c>
      <c r="S65" s="1099">
        <f t="shared" si="102"/>
        <v>-5.0816000000000064E-3</v>
      </c>
      <c r="T65" s="1099">
        <f t="shared" si="102"/>
        <v>-4.4635428571429912E-3</v>
      </c>
      <c r="U65" s="1099">
        <f t="shared" si="102"/>
        <v>-3.7833142857141831E-3</v>
      </c>
      <c r="V65" s="1099">
        <f t="shared" si="102"/>
        <v>-3.2457142857142207E-3</v>
      </c>
      <c r="W65" s="1099">
        <f t="shared" si="102"/>
        <v>-2.6386285714283877E-3</v>
      </c>
      <c r="X65" s="1099">
        <f t="shared" si="102"/>
        <v>-1.9565714285716871E-3</v>
      </c>
      <c r="Y65" s="1099">
        <f t="shared" si="102"/>
        <v>-1.1940571428570911E-3</v>
      </c>
      <c r="Z65" s="1099">
        <f t="shared" si="102"/>
        <v>-5.6319999999988987E-4</v>
      </c>
      <c r="AA65" s="1099">
        <f t="shared" si="102"/>
        <v>-6.4000000000160066E-5</v>
      </c>
      <c r="AB65" s="1099">
        <f t="shared" si="102"/>
        <v>5.2479999999994293E-4</v>
      </c>
      <c r="AC65" s="1099">
        <f t="shared" si="102"/>
        <v>1.2086857142856388E-3</v>
      </c>
      <c r="AD65" s="311"/>
      <c r="AE65" s="1099">
        <f t="shared" ref="AE65:AF65" si="103">(AE63-AE61)/AE61</f>
        <v>-7.8317714285714036E-3</v>
      </c>
      <c r="AF65" s="1099">
        <f t="shared" si="103"/>
        <v>-5.2480000000000287E-3</v>
      </c>
      <c r="AG65" s="236"/>
      <c r="AH65" s="1099">
        <f t="shared" ref="AH65:AL65" si="104">(AH63-AH61)/AH61</f>
        <v>-6.0891428571428513E-2</v>
      </c>
      <c r="AI65" s="1099">
        <f t="shared" si="104"/>
        <v>-5.7718857142857266E-2</v>
      </c>
      <c r="AJ65" s="311"/>
      <c r="AK65" s="1099">
        <f t="shared" si="104"/>
        <v>-2.2857142857137661E-4</v>
      </c>
      <c r="AL65" s="1099">
        <f t="shared" si="104"/>
        <v>4.5714285714275315E-5</v>
      </c>
    </row>
    <row r="66" spans="1:38" s="235" customFormat="1" x14ac:dyDescent="0.45">
      <c r="A66" s="234"/>
      <c r="B66" s="236"/>
      <c r="C66" s="1089"/>
      <c r="D66" s="1089"/>
      <c r="E66" s="1093"/>
      <c r="F66" s="1093"/>
      <c r="G66" s="1093"/>
      <c r="H66" s="1093"/>
      <c r="I66" s="1093"/>
      <c r="J66" s="1093"/>
      <c r="K66" s="1093"/>
      <c r="L66" s="1093"/>
      <c r="M66" s="1093"/>
      <c r="N66" s="1093"/>
      <c r="O66" s="1093"/>
      <c r="P66" s="1093"/>
      <c r="Q66" s="1093"/>
      <c r="R66" s="1093"/>
      <c r="S66" s="1093"/>
      <c r="T66" s="1093"/>
      <c r="U66" s="1093"/>
      <c r="V66" s="1093"/>
      <c r="W66" s="1093"/>
      <c r="X66" s="1093"/>
      <c r="Y66" s="1093"/>
      <c r="Z66" s="1093"/>
      <c r="AA66" s="1093"/>
      <c r="AB66" s="1093"/>
      <c r="AC66" s="1093"/>
      <c r="AD66" s="311"/>
      <c r="AE66" s="1093"/>
      <c r="AF66" s="1093"/>
      <c r="AG66" s="236"/>
      <c r="AH66" s="1093"/>
      <c r="AI66" s="1093"/>
      <c r="AJ66" s="311"/>
      <c r="AK66" s="1093"/>
      <c r="AL66" s="1093"/>
    </row>
    <row r="67" spans="1:38" s="235" customFormat="1" x14ac:dyDescent="0.45">
      <c r="A67" s="234"/>
      <c r="B67" s="236" t="s">
        <v>2613</v>
      </c>
      <c r="C67" s="236" t="s">
        <v>1268</v>
      </c>
      <c r="D67" s="236" t="s">
        <v>1</v>
      </c>
      <c r="E67" s="253">
        <f t="shared" ref="E67:AC67" si="105">(E13/$C$3)*($C$42/($C$41+$C$42))</f>
        <v>159.43877551020407</v>
      </c>
      <c r="F67" s="253">
        <f t="shared" si="105"/>
        <v>157.82828282828285</v>
      </c>
      <c r="G67" s="253">
        <f t="shared" si="105"/>
        <v>156.25</v>
      </c>
      <c r="H67" s="253">
        <f t="shared" si="105"/>
        <v>154.70297029702971</v>
      </c>
      <c r="I67" s="253">
        <f t="shared" si="105"/>
        <v>153.18627450980392</v>
      </c>
      <c r="J67" s="253">
        <f t="shared" si="105"/>
        <v>151.69902912621359</v>
      </c>
      <c r="K67" s="253">
        <f t="shared" si="105"/>
        <v>150.24038461538461</v>
      </c>
      <c r="L67" s="253">
        <f t="shared" si="105"/>
        <v>148.80952380952382</v>
      </c>
      <c r="M67" s="253">
        <f t="shared" si="105"/>
        <v>147.40566037735849</v>
      </c>
      <c r="N67" s="253">
        <f t="shared" si="105"/>
        <v>146.02803738317755</v>
      </c>
      <c r="O67" s="253">
        <f t="shared" si="105"/>
        <v>144.67592592592592</v>
      </c>
      <c r="P67" s="253">
        <f t="shared" si="105"/>
        <v>143.34862385321102</v>
      </c>
      <c r="Q67" s="253">
        <f t="shared" si="105"/>
        <v>142.04545454545453</v>
      </c>
      <c r="R67" s="253">
        <f t="shared" si="105"/>
        <v>140.76576576576576</v>
      </c>
      <c r="S67" s="253">
        <f t="shared" si="105"/>
        <v>139.50892857142856</v>
      </c>
      <c r="T67" s="253">
        <f t="shared" si="105"/>
        <v>138.27433628318585</v>
      </c>
      <c r="U67" s="253">
        <f t="shared" si="105"/>
        <v>137.06140350877192</v>
      </c>
      <c r="V67" s="253">
        <f t="shared" si="105"/>
        <v>135.86956521739131</v>
      </c>
      <c r="W67" s="253">
        <f t="shared" si="105"/>
        <v>134.69827586206895</v>
      </c>
      <c r="X67" s="253">
        <f t="shared" si="105"/>
        <v>133.54700854700857</v>
      </c>
      <c r="Y67" s="253">
        <f t="shared" si="105"/>
        <v>132.41525423728814</v>
      </c>
      <c r="Z67" s="253">
        <f t="shared" si="105"/>
        <v>131.30252100840335</v>
      </c>
      <c r="AA67" s="253">
        <f t="shared" si="105"/>
        <v>130.20833333333334</v>
      </c>
      <c r="AB67" s="253">
        <f t="shared" si="105"/>
        <v>129.13223140495867</v>
      </c>
      <c r="AC67" s="253">
        <f t="shared" si="105"/>
        <v>128.07377049180329</v>
      </c>
      <c r="AD67" s="311"/>
      <c r="AE67" s="253">
        <f>(AE13/$C$3)*(AE42/(AE41+AE42))</f>
        <v>108.50694444444444</v>
      </c>
      <c r="AF67" s="253">
        <f>(AF13/$C$3)*(AF42/(AF41+AF42))</f>
        <v>94.696969696969703</v>
      </c>
      <c r="AG67" s="236"/>
      <c r="AH67" s="253">
        <f>(AH13/1)*(AH42/(AH41+AH42))</f>
        <v>625</v>
      </c>
      <c r="AI67" s="253">
        <f>(AI13/1)*(AI42/(AI41+AI42))</f>
        <v>520.83333333333337</v>
      </c>
      <c r="AJ67" s="311"/>
      <c r="AK67" s="253">
        <f>(AK13/$C$3)*(AK42/(AK41+AK42))</f>
        <v>312.5</v>
      </c>
      <c r="AL67" s="253">
        <f>(AL13/$C$3)*(AL42/(AL41+AL42))</f>
        <v>260.41666666666669</v>
      </c>
    </row>
    <row r="68" spans="1:38" s="235" customFormat="1" x14ac:dyDescent="0.45">
      <c r="A68" s="234"/>
      <c r="B68" s="236"/>
      <c r="C68" s="236" t="s">
        <v>1297</v>
      </c>
      <c r="D68" s="236" t="s">
        <v>1</v>
      </c>
      <c r="E68" s="1095">
        <f>E46+E55</f>
        <v>157.17425431711146</v>
      </c>
      <c r="F68" s="1095">
        <f t="shared" ref="F68:AC68" si="106">F46+F55</f>
        <v>155.68764568764573</v>
      </c>
      <c r="G68" s="1095">
        <f t="shared" si="106"/>
        <v>154.23076923076923</v>
      </c>
      <c r="H68" s="1095">
        <f t="shared" si="106"/>
        <v>152.80274181264281</v>
      </c>
      <c r="I68" s="1095">
        <f t="shared" si="106"/>
        <v>151.40271493212671</v>
      </c>
      <c r="J68" s="1095">
        <f t="shared" si="106"/>
        <v>150.02987303958176</v>
      </c>
      <c r="K68" s="1095">
        <f t="shared" si="106"/>
        <v>148.68343195266272</v>
      </c>
      <c r="L68" s="1095">
        <f t="shared" si="106"/>
        <v>147.36263736263737</v>
      </c>
      <c r="M68" s="1095">
        <f t="shared" si="106"/>
        <v>146.06676342525398</v>
      </c>
      <c r="N68" s="1095">
        <f t="shared" si="106"/>
        <v>144.79511143062541</v>
      </c>
      <c r="O68" s="1095">
        <f t="shared" si="106"/>
        <v>143.54700854700855</v>
      </c>
      <c r="P68" s="1095">
        <f t="shared" si="106"/>
        <v>142.32180663373325</v>
      </c>
      <c r="Q68" s="1095">
        <f t="shared" si="106"/>
        <v>141.11888111888109</v>
      </c>
      <c r="R68" s="1095">
        <f t="shared" si="106"/>
        <v>139.93762993762994</v>
      </c>
      <c r="S68" s="1095">
        <f t="shared" si="106"/>
        <v>138.7774725274725</v>
      </c>
      <c r="T68" s="1095">
        <f t="shared" si="106"/>
        <v>137.63784887678693</v>
      </c>
      <c r="U68" s="1095">
        <f t="shared" si="106"/>
        <v>136.51821862348177</v>
      </c>
      <c r="V68" s="1095">
        <f t="shared" si="106"/>
        <v>135.41806020066892</v>
      </c>
      <c r="W68" s="1095">
        <f t="shared" si="106"/>
        <v>134.33687002652519</v>
      </c>
      <c r="X68" s="1095">
        <f t="shared" si="106"/>
        <v>133.2741617357002</v>
      </c>
      <c r="Y68" s="1095">
        <f t="shared" si="106"/>
        <v>132.22946544980445</v>
      </c>
      <c r="Z68" s="1095">
        <f t="shared" si="106"/>
        <v>131.20232708468001</v>
      </c>
      <c r="AA68" s="1095">
        <f t="shared" si="106"/>
        <v>130.19230769230771</v>
      </c>
      <c r="AB68" s="1095">
        <f t="shared" si="106"/>
        <v>129.19898283534647</v>
      </c>
      <c r="AC68" s="1095">
        <f t="shared" si="106"/>
        <v>128.22194199243381</v>
      </c>
      <c r="AD68" s="311"/>
      <c r="AE68" s="1095">
        <f t="shared" ref="AE68:AF68" si="107">AE46+AE55</f>
        <v>107.65625</v>
      </c>
      <c r="AF68" s="1095">
        <f t="shared" si="107"/>
        <v>94.17508417508418</v>
      </c>
      <c r="AG68" s="236"/>
      <c r="AH68" s="1095">
        <f t="shared" ref="AH68:AL68" si="108">AH46+AH55</f>
        <v>586.92307692307691</v>
      </c>
      <c r="AI68" s="1095">
        <f t="shared" si="108"/>
        <v>490.76923076923083</v>
      </c>
      <c r="AJ68" s="311"/>
      <c r="AK68" s="1095">
        <f t="shared" si="108"/>
        <v>312.41935483870964</v>
      </c>
      <c r="AL68" s="1095">
        <f t="shared" si="108"/>
        <v>260.40064102564105</v>
      </c>
    </row>
    <row r="69" spans="1:38" s="235" customFormat="1" x14ac:dyDescent="0.45">
      <c r="A69" s="234"/>
      <c r="B69" s="236"/>
      <c r="C69" s="1089" t="s">
        <v>1269</v>
      </c>
      <c r="D69" s="1089" t="s">
        <v>1</v>
      </c>
      <c r="E69" s="1098">
        <f>E46+E58</f>
        <v>157.19999999999999</v>
      </c>
      <c r="F69" s="1098">
        <f t="shared" ref="F69:AC69" si="109">F46+F58</f>
        <v>155.71428571428572</v>
      </c>
      <c r="G69" s="1098">
        <f t="shared" si="109"/>
        <v>154.25714285714284</v>
      </c>
      <c r="H69" s="1098">
        <f t="shared" si="109"/>
        <v>152.82857142857142</v>
      </c>
      <c r="I69" s="1098">
        <f t="shared" si="109"/>
        <v>151.42857142857142</v>
      </c>
      <c r="J69" s="1098">
        <f t="shared" si="109"/>
        <v>150.05714285714285</v>
      </c>
      <c r="K69" s="1098">
        <f t="shared" si="109"/>
        <v>148.68571428571428</v>
      </c>
      <c r="L69" s="1098">
        <f t="shared" si="109"/>
        <v>147.37142857142857</v>
      </c>
      <c r="M69" s="1098">
        <f t="shared" si="109"/>
        <v>146.08571428571429</v>
      </c>
      <c r="N69" s="1098">
        <f t="shared" si="109"/>
        <v>144.79999999999998</v>
      </c>
      <c r="O69" s="1098">
        <f t="shared" si="109"/>
        <v>143.57142857142856</v>
      </c>
      <c r="P69" s="1098">
        <f t="shared" si="109"/>
        <v>142.34285714285713</v>
      </c>
      <c r="Q69" s="1098">
        <f t="shared" si="109"/>
        <v>141.14285714285714</v>
      </c>
      <c r="R69" s="1098">
        <f t="shared" si="109"/>
        <v>139.94285714285715</v>
      </c>
      <c r="S69" s="1098">
        <f t="shared" si="109"/>
        <v>138.79999999999998</v>
      </c>
      <c r="T69" s="1098">
        <f t="shared" si="109"/>
        <v>137.65714285714284</v>
      </c>
      <c r="U69" s="1098">
        <f t="shared" si="109"/>
        <v>136.54285714285714</v>
      </c>
      <c r="V69" s="1098">
        <f t="shared" si="109"/>
        <v>135.42857142857144</v>
      </c>
      <c r="W69" s="1098">
        <f t="shared" si="109"/>
        <v>134.34285714285716</v>
      </c>
      <c r="X69" s="1098">
        <f t="shared" si="109"/>
        <v>133.28571428571428</v>
      </c>
      <c r="Y69" s="1098">
        <f t="shared" si="109"/>
        <v>132.25714285714287</v>
      </c>
      <c r="Z69" s="1098">
        <f t="shared" si="109"/>
        <v>131.22857142857143</v>
      </c>
      <c r="AA69" s="1098">
        <f t="shared" si="109"/>
        <v>130.19999999999999</v>
      </c>
      <c r="AB69" s="1098">
        <f t="shared" si="109"/>
        <v>129.19999999999999</v>
      </c>
      <c r="AC69" s="1098">
        <f t="shared" si="109"/>
        <v>128.22857142857143</v>
      </c>
      <c r="AD69" s="311"/>
      <c r="AE69" s="1098">
        <f t="shared" ref="AE69:AF69" si="110">AE46+AE58</f>
        <v>107.65714285714286</v>
      </c>
      <c r="AF69" s="1098">
        <f t="shared" si="110"/>
        <v>94.2</v>
      </c>
      <c r="AG69" s="236"/>
      <c r="AH69" s="1098">
        <f t="shared" ref="AH69:AL69" si="111">AH46+AH58</f>
        <v>586.94285714285718</v>
      </c>
      <c r="AI69" s="1098">
        <f t="shared" si="111"/>
        <v>490.77142857142854</v>
      </c>
      <c r="AJ69" s="311"/>
      <c r="AK69" s="1098">
        <f t="shared" si="111"/>
        <v>312.42857142857144</v>
      </c>
      <c r="AL69" s="1098">
        <f t="shared" si="111"/>
        <v>260.42857142857144</v>
      </c>
    </row>
    <row r="70" spans="1:38" s="235" customFormat="1" x14ac:dyDescent="0.45">
      <c r="A70" s="234"/>
      <c r="B70" s="236"/>
      <c r="C70" s="1089" t="s">
        <v>2609</v>
      </c>
      <c r="D70" s="1089" t="s">
        <v>1</v>
      </c>
      <c r="E70" s="1106">
        <f>E67-E69</f>
        <v>2.2387755102040785</v>
      </c>
      <c r="F70" s="1106">
        <f t="shared" ref="F70:AC70" si="112">F67-F69</f>
        <v>2.1139971139971294</v>
      </c>
      <c r="G70" s="1106">
        <f t="shared" si="112"/>
        <v>1.9928571428571615</v>
      </c>
      <c r="H70" s="1106">
        <f t="shared" si="112"/>
        <v>1.874398868458286</v>
      </c>
      <c r="I70" s="1106">
        <f t="shared" si="112"/>
        <v>1.7577030812325063</v>
      </c>
      <c r="J70" s="1106">
        <f t="shared" si="112"/>
        <v>1.6418862690707385</v>
      </c>
      <c r="K70" s="1106">
        <f t="shared" si="112"/>
        <v>1.5546703296703299</v>
      </c>
      <c r="L70" s="1106">
        <f t="shared" si="112"/>
        <v>1.4380952380952579</v>
      </c>
      <c r="M70" s="1106">
        <f t="shared" si="112"/>
        <v>1.3199460916441978</v>
      </c>
      <c r="N70" s="1106">
        <f t="shared" si="112"/>
        <v>1.2280373831775648</v>
      </c>
      <c r="O70" s="1106">
        <f t="shared" si="112"/>
        <v>1.1044973544973686</v>
      </c>
      <c r="P70" s="1106">
        <f t="shared" si="112"/>
        <v>1.0057667103538961</v>
      </c>
      <c r="Q70" s="1106">
        <f t="shared" si="112"/>
        <v>0.90259740259739374</v>
      </c>
      <c r="R70" s="1106">
        <f t="shared" si="112"/>
        <v>0.82290862290861355</v>
      </c>
      <c r="S70" s="1106">
        <f t="shared" si="112"/>
        <v>0.70892857142857224</v>
      </c>
      <c r="T70" s="1106">
        <f t="shared" si="112"/>
        <v>0.61719342604300209</v>
      </c>
      <c r="U70" s="1106">
        <f t="shared" si="112"/>
        <v>0.51854636591477288</v>
      </c>
      <c r="V70" s="1106">
        <f t="shared" si="112"/>
        <v>0.44099378881986695</v>
      </c>
      <c r="W70" s="1106">
        <f t="shared" si="112"/>
        <v>0.35541871921179791</v>
      </c>
      <c r="X70" s="1106">
        <f t="shared" si="112"/>
        <v>0.26129426129429589</v>
      </c>
      <c r="Y70" s="1106">
        <f t="shared" si="112"/>
        <v>0.1581113801452716</v>
      </c>
      <c r="Z70" s="1106">
        <f t="shared" si="112"/>
        <v>7.39495798319183E-2</v>
      </c>
      <c r="AA70" s="1106">
        <f t="shared" si="112"/>
        <v>8.3333333333541759E-3</v>
      </c>
      <c r="AB70" s="1106">
        <f t="shared" si="112"/>
        <v>-6.7768595041314938E-2</v>
      </c>
      <c r="AC70" s="1106">
        <f t="shared" si="112"/>
        <v>-0.15480093676814022</v>
      </c>
      <c r="AD70" s="311"/>
      <c r="AE70" s="1106">
        <f t="shared" ref="AE70:AF70" si="113">AE67-AE69</f>
        <v>0.8498015873015845</v>
      </c>
      <c r="AF70" s="1106">
        <f t="shared" si="113"/>
        <v>0.49696969696969973</v>
      </c>
      <c r="AG70" s="236"/>
      <c r="AH70" s="1106">
        <f t="shared" ref="AH70:AI70" si="114">AH67-AH69</f>
        <v>38.057142857142821</v>
      </c>
      <c r="AI70" s="1106">
        <f t="shared" si="114"/>
        <v>30.061904761904827</v>
      </c>
      <c r="AJ70" s="311"/>
      <c r="AK70" s="1106">
        <f t="shared" ref="AK70:AL70" si="115">AK67-AK69</f>
        <v>7.1428571428555188E-2</v>
      </c>
      <c r="AL70" s="1106">
        <f t="shared" si="115"/>
        <v>-1.1904761904759198E-2</v>
      </c>
    </row>
    <row r="71" spans="1:38" s="235" customFormat="1" x14ac:dyDescent="0.45">
      <c r="A71" s="234"/>
      <c r="B71" s="236"/>
      <c r="C71" s="1089" t="s">
        <v>2607</v>
      </c>
      <c r="D71" s="1089" t="s">
        <v>903</v>
      </c>
      <c r="E71" s="1099">
        <f>(E69-E67)/E67</f>
        <v>-1.4041599999999982E-2</v>
      </c>
      <c r="F71" s="1099">
        <f t="shared" ref="F71:AC71" si="116">(F69-F67)/F67</f>
        <v>-1.339428571428581E-2</v>
      </c>
      <c r="G71" s="1099">
        <f t="shared" si="116"/>
        <v>-1.2754285714285834E-2</v>
      </c>
      <c r="H71" s="1099">
        <f t="shared" si="116"/>
        <v>-1.2116114285714361E-2</v>
      </c>
      <c r="I71" s="1099">
        <f t="shared" si="116"/>
        <v>-1.1474285714285801E-2</v>
      </c>
      <c r="J71" s="1099">
        <f t="shared" si="116"/>
        <v>-1.0823314285714309E-2</v>
      </c>
      <c r="K71" s="1099">
        <f t="shared" si="116"/>
        <v>-1.0347885714285717E-2</v>
      </c>
      <c r="L71" s="1099">
        <f t="shared" si="116"/>
        <v>-9.6640000000001326E-3</v>
      </c>
      <c r="M71" s="1099">
        <f t="shared" si="116"/>
        <v>-8.9545142857142389E-3</v>
      </c>
      <c r="N71" s="1099">
        <f t="shared" si="116"/>
        <v>-8.409599999999965E-3</v>
      </c>
      <c r="O71" s="1099">
        <f t="shared" si="116"/>
        <v>-7.6342857142858121E-3</v>
      </c>
      <c r="P71" s="1099">
        <f t="shared" si="116"/>
        <v>-7.0162285714287786E-3</v>
      </c>
      <c r="Q71" s="1099">
        <f t="shared" si="116"/>
        <v>-6.3542857142856526E-3</v>
      </c>
      <c r="R71" s="1099">
        <f t="shared" si="116"/>
        <v>-5.8459428571427906E-3</v>
      </c>
      <c r="S71" s="1099">
        <f t="shared" si="116"/>
        <v>-5.0816000000000064E-3</v>
      </c>
      <c r="T71" s="1099">
        <f t="shared" si="116"/>
        <v>-4.4635428571429912E-3</v>
      </c>
      <c r="U71" s="1099">
        <f t="shared" si="116"/>
        <v>-3.7833142857141831E-3</v>
      </c>
      <c r="V71" s="1099">
        <f t="shared" si="116"/>
        <v>-3.2457142857142207E-3</v>
      </c>
      <c r="W71" s="1099">
        <f t="shared" si="116"/>
        <v>-2.6386285714283877E-3</v>
      </c>
      <c r="X71" s="1099">
        <f t="shared" si="116"/>
        <v>-1.9565714285716871E-3</v>
      </c>
      <c r="Y71" s="1099">
        <f t="shared" si="116"/>
        <v>-1.1940571428570911E-3</v>
      </c>
      <c r="Z71" s="1099">
        <f t="shared" si="116"/>
        <v>-5.6319999999988987E-4</v>
      </c>
      <c r="AA71" s="1099">
        <f t="shared" si="116"/>
        <v>-6.4000000000160066E-5</v>
      </c>
      <c r="AB71" s="1099">
        <f t="shared" si="116"/>
        <v>5.2479999999994293E-4</v>
      </c>
      <c r="AC71" s="1099">
        <f t="shared" si="116"/>
        <v>1.2086857142856388E-3</v>
      </c>
      <c r="AD71" s="311"/>
      <c r="AE71" s="1099">
        <f t="shared" ref="AE71:AF71" si="117">(AE69-AE67)/AE67</f>
        <v>-7.8317714285714036E-3</v>
      </c>
      <c r="AF71" s="1099">
        <f t="shared" si="117"/>
        <v>-5.2480000000000287E-3</v>
      </c>
      <c r="AG71" s="236"/>
      <c r="AH71" s="1099">
        <f t="shared" ref="AH71:AL71" si="118">(AH69-AH67)/AH67</f>
        <v>-6.0891428571428513E-2</v>
      </c>
      <c r="AI71" s="1099">
        <f t="shared" si="118"/>
        <v>-5.7718857142857266E-2</v>
      </c>
      <c r="AJ71" s="311"/>
      <c r="AK71" s="1099">
        <f t="shared" si="118"/>
        <v>-2.2857142857137661E-4</v>
      </c>
      <c r="AL71" s="1099">
        <f t="shared" si="118"/>
        <v>4.5714285714275315E-5</v>
      </c>
    </row>
    <row r="72" spans="1:38" s="235" customFormat="1" x14ac:dyDescent="0.45">
      <c r="A72" s="234"/>
      <c r="B72" s="236"/>
      <c r="C72" s="1089"/>
      <c r="D72" s="1089"/>
      <c r="AD72" s="311"/>
      <c r="AG72" s="236"/>
      <c r="AJ72" s="311"/>
    </row>
    <row r="73" spans="1:38" s="235" customFormat="1" x14ac:dyDescent="0.45">
      <c r="A73" s="234"/>
      <c r="B73" s="236" t="s">
        <v>2631</v>
      </c>
      <c r="C73" s="236" t="s">
        <v>1268</v>
      </c>
      <c r="D73" s="236" t="s">
        <v>1</v>
      </c>
      <c r="E73" s="1096">
        <f t="shared" ref="E73:AC73" si="119">E13/$C$3</f>
        <v>318.87755102040813</v>
      </c>
      <c r="F73" s="1096">
        <f t="shared" si="119"/>
        <v>315.6565656565657</v>
      </c>
      <c r="G73" s="1096">
        <f t="shared" si="119"/>
        <v>312.5</v>
      </c>
      <c r="H73" s="1096">
        <f t="shared" si="119"/>
        <v>309.40594059405942</v>
      </c>
      <c r="I73" s="1096">
        <f t="shared" si="119"/>
        <v>306.37254901960785</v>
      </c>
      <c r="J73" s="1096">
        <f t="shared" si="119"/>
        <v>303.39805825242718</v>
      </c>
      <c r="K73" s="1096">
        <f t="shared" si="119"/>
        <v>300.48076923076923</v>
      </c>
      <c r="L73" s="1096">
        <f t="shared" si="119"/>
        <v>297.61904761904765</v>
      </c>
      <c r="M73" s="1096">
        <f t="shared" si="119"/>
        <v>294.81132075471697</v>
      </c>
      <c r="N73" s="1096">
        <f t="shared" si="119"/>
        <v>292.0560747663551</v>
      </c>
      <c r="O73" s="1096">
        <f t="shared" si="119"/>
        <v>289.35185185185185</v>
      </c>
      <c r="P73" s="1096">
        <f t="shared" si="119"/>
        <v>286.69724770642205</v>
      </c>
      <c r="Q73" s="1096">
        <f t="shared" si="119"/>
        <v>284.09090909090907</v>
      </c>
      <c r="R73" s="1096">
        <f t="shared" si="119"/>
        <v>281.53153153153153</v>
      </c>
      <c r="S73" s="1096">
        <f t="shared" si="119"/>
        <v>279.01785714285711</v>
      </c>
      <c r="T73" s="1096">
        <f t="shared" si="119"/>
        <v>276.54867256637169</v>
      </c>
      <c r="U73" s="1096">
        <f t="shared" si="119"/>
        <v>274.12280701754383</v>
      </c>
      <c r="V73" s="1096">
        <f t="shared" si="119"/>
        <v>271.73913043478262</v>
      </c>
      <c r="W73" s="1096">
        <f t="shared" si="119"/>
        <v>269.39655172413791</v>
      </c>
      <c r="X73" s="1096">
        <f t="shared" si="119"/>
        <v>267.09401709401715</v>
      </c>
      <c r="Y73" s="1096">
        <f t="shared" si="119"/>
        <v>264.83050847457628</v>
      </c>
      <c r="Z73" s="1096">
        <f t="shared" si="119"/>
        <v>262.60504201680669</v>
      </c>
      <c r="AA73" s="1096">
        <f t="shared" si="119"/>
        <v>260.41666666666669</v>
      </c>
      <c r="AB73" s="1096">
        <f t="shared" si="119"/>
        <v>258.26446280991735</v>
      </c>
      <c r="AC73" s="1096">
        <f t="shared" si="119"/>
        <v>256.14754098360658</v>
      </c>
      <c r="AD73" s="311"/>
      <c r="AE73" s="1096">
        <f>AE13/$C$3</f>
        <v>217.01388888888889</v>
      </c>
      <c r="AF73" s="1096">
        <f>AF13/$C$3</f>
        <v>189.39393939393941</v>
      </c>
      <c r="AG73" s="236"/>
      <c r="AH73" s="1096">
        <f>AH13/1</f>
        <v>1250</v>
      </c>
      <c r="AI73" s="1096">
        <f>AI13/1</f>
        <v>1041.6666666666667</v>
      </c>
      <c r="AJ73" s="311"/>
      <c r="AK73" s="1096">
        <f>AK13/$C$3</f>
        <v>625</v>
      </c>
      <c r="AL73" s="1096">
        <f>AL13/$C$3</f>
        <v>520.83333333333337</v>
      </c>
    </row>
    <row r="74" spans="1:38" s="235" customFormat="1" x14ac:dyDescent="0.45">
      <c r="A74" s="234"/>
      <c r="B74" s="236"/>
      <c r="C74" s="236" t="s">
        <v>1297</v>
      </c>
      <c r="D74" s="236" t="s">
        <v>1</v>
      </c>
      <c r="E74" s="1095">
        <f t="shared" ref="E74:Y74" si="120">E46*2+E49+E55</f>
        <v>314.34850863422292</v>
      </c>
      <c r="F74" s="1095">
        <f t="shared" si="120"/>
        <v>311.37529137529145</v>
      </c>
      <c r="G74" s="1095">
        <f t="shared" si="120"/>
        <v>308.46153846153845</v>
      </c>
      <c r="H74" s="1095">
        <f t="shared" si="120"/>
        <v>305.60548362528561</v>
      </c>
      <c r="I74" s="1095">
        <f t="shared" si="120"/>
        <v>302.80542986425343</v>
      </c>
      <c r="J74" s="1095">
        <f t="shared" si="120"/>
        <v>300.05974607916352</v>
      </c>
      <c r="K74" s="1095">
        <f t="shared" si="120"/>
        <v>297.36686390532543</v>
      </c>
      <c r="L74" s="1095">
        <f t="shared" si="120"/>
        <v>294.72527472527474</v>
      </c>
      <c r="M74" s="1095">
        <f t="shared" si="120"/>
        <v>292.13352685050796</v>
      </c>
      <c r="N74" s="1095">
        <f t="shared" si="120"/>
        <v>289.59022286125082</v>
      </c>
      <c r="O74" s="1095">
        <f t="shared" si="120"/>
        <v>287.09401709401709</v>
      </c>
      <c r="P74" s="1095">
        <f t="shared" si="120"/>
        <v>284.64361326746649</v>
      </c>
      <c r="Q74" s="1095">
        <f t="shared" si="120"/>
        <v>282.23776223776218</v>
      </c>
      <c r="R74" s="1095">
        <f t="shared" si="120"/>
        <v>279.87525987525987</v>
      </c>
      <c r="S74" s="1095">
        <f t="shared" si="120"/>
        <v>277.55494505494499</v>
      </c>
      <c r="T74" s="1095">
        <f t="shared" si="120"/>
        <v>275.27569775357387</v>
      </c>
      <c r="U74" s="1095">
        <f t="shared" si="120"/>
        <v>273.03643724696354</v>
      </c>
      <c r="V74" s="1095">
        <f t="shared" si="120"/>
        <v>270.83612040133784</v>
      </c>
      <c r="W74" s="1095">
        <f t="shared" si="120"/>
        <v>268.67374005305038</v>
      </c>
      <c r="X74" s="1095">
        <f t="shared" si="120"/>
        <v>266.54832347140041</v>
      </c>
      <c r="Y74" s="1095">
        <f t="shared" si="120"/>
        <v>264.4589308996089</v>
      </c>
      <c r="Z74" s="1095">
        <f>Z46*2+Z49+Z55</f>
        <v>262.40465416936001</v>
      </c>
      <c r="AA74" s="1095">
        <f t="shared" ref="AA74:AC74" si="121">AA46*2+AA49+AA55</f>
        <v>260.38461538461542</v>
      </c>
      <c r="AB74" s="1095">
        <f t="shared" si="121"/>
        <v>258.39796567069294</v>
      </c>
      <c r="AC74" s="1095">
        <f t="shared" si="121"/>
        <v>256.44388398486763</v>
      </c>
      <c r="AD74" s="311"/>
      <c r="AE74" s="1095">
        <f>AE46*2+AE49+AE55</f>
        <v>215.3125</v>
      </c>
      <c r="AF74" s="1095">
        <f t="shared" ref="AF74" si="122">AF46*2+AF49+AF55</f>
        <v>188.35016835016836</v>
      </c>
      <c r="AG74" s="236"/>
      <c r="AH74" s="1095">
        <f>AH46*2+AH49+AH55</f>
        <v>1173.8461538461538</v>
      </c>
      <c r="AI74" s="1095">
        <f>AI46*2+AI49+AI55</f>
        <v>981.53846153846166</v>
      </c>
      <c r="AJ74" s="311"/>
      <c r="AK74" s="1095">
        <f>AK46*2+AK49+AK55</f>
        <v>624.83870967741927</v>
      </c>
      <c r="AL74" s="1095">
        <f t="shared" ref="AL74" si="123">AL46*2+AL49+AL55</f>
        <v>520.8012820512821</v>
      </c>
    </row>
    <row r="75" spans="1:38" s="1093" customFormat="1" x14ac:dyDescent="0.45">
      <c r="A75" s="1090"/>
      <c r="B75" s="1089"/>
      <c r="C75" s="1089" t="s">
        <v>1269</v>
      </c>
      <c r="D75" s="1089" t="s">
        <v>1</v>
      </c>
      <c r="E75" s="1098">
        <f t="shared" ref="E75:Y75" si="124">E46*2+E52+E58</f>
        <v>314.39999999999998</v>
      </c>
      <c r="F75" s="1098">
        <f t="shared" si="124"/>
        <v>311.42857142857144</v>
      </c>
      <c r="G75" s="1098">
        <f t="shared" si="124"/>
        <v>308.51428571428568</v>
      </c>
      <c r="H75" s="1098">
        <f t="shared" si="124"/>
        <v>305.65714285714284</v>
      </c>
      <c r="I75" s="1098">
        <f t="shared" si="124"/>
        <v>302.85714285714283</v>
      </c>
      <c r="J75" s="1098">
        <f t="shared" si="124"/>
        <v>300.1142857142857</v>
      </c>
      <c r="K75" s="1098">
        <f t="shared" si="124"/>
        <v>297.37142857142857</v>
      </c>
      <c r="L75" s="1098">
        <f t="shared" si="124"/>
        <v>294.74285714285713</v>
      </c>
      <c r="M75" s="1098">
        <f t="shared" si="124"/>
        <v>292.17142857142858</v>
      </c>
      <c r="N75" s="1098">
        <f t="shared" si="124"/>
        <v>289.59999999999997</v>
      </c>
      <c r="O75" s="1098">
        <f t="shared" si="124"/>
        <v>287.14285714285711</v>
      </c>
      <c r="P75" s="1098">
        <f t="shared" si="124"/>
        <v>284.68571428571425</v>
      </c>
      <c r="Q75" s="1098">
        <f t="shared" si="124"/>
        <v>282.28571428571428</v>
      </c>
      <c r="R75" s="1098">
        <f t="shared" si="124"/>
        <v>279.8857142857143</v>
      </c>
      <c r="S75" s="1098">
        <f t="shared" si="124"/>
        <v>277.59999999999997</v>
      </c>
      <c r="T75" s="1098">
        <f t="shared" si="124"/>
        <v>275.31428571428569</v>
      </c>
      <c r="U75" s="1098">
        <f t="shared" si="124"/>
        <v>273.08571428571429</v>
      </c>
      <c r="V75" s="1098">
        <f t="shared" si="124"/>
        <v>270.85714285714289</v>
      </c>
      <c r="W75" s="1098">
        <f t="shared" si="124"/>
        <v>268.68571428571431</v>
      </c>
      <c r="X75" s="1098">
        <f t="shared" si="124"/>
        <v>266.57142857142856</v>
      </c>
      <c r="Y75" s="1098">
        <f t="shared" si="124"/>
        <v>264.51428571428573</v>
      </c>
      <c r="Z75" s="1098">
        <f>Z46*2+Z52+Z58</f>
        <v>262.45714285714286</v>
      </c>
      <c r="AA75" s="1098">
        <f t="shared" ref="AA75:AC75" si="125">AA46*2+AA52+AA58</f>
        <v>260.39999999999998</v>
      </c>
      <c r="AB75" s="1098">
        <f t="shared" si="125"/>
        <v>258.39999999999998</v>
      </c>
      <c r="AC75" s="1098">
        <f t="shared" si="125"/>
        <v>256.45714285714286</v>
      </c>
      <c r="AD75" s="311"/>
      <c r="AE75" s="1098">
        <f>AE46*2+AE52+AE58</f>
        <v>215.31428571428572</v>
      </c>
      <c r="AF75" s="1098">
        <f t="shared" ref="AF75" si="126">AF46*2+AF52+AF58</f>
        <v>188.4</v>
      </c>
      <c r="AG75" s="236"/>
      <c r="AH75" s="1098">
        <f t="shared" ref="AH75:AI75" si="127">AH46*2+AH52+AH58</f>
        <v>1173.8857142857144</v>
      </c>
      <c r="AI75" s="1098">
        <f t="shared" si="127"/>
        <v>981.54285714285709</v>
      </c>
      <c r="AJ75" s="311"/>
      <c r="AK75" s="1098">
        <f>AK46*2+AK52+AK58</f>
        <v>624.85714285714289</v>
      </c>
      <c r="AL75" s="1098">
        <f>AL46*2+AL52+AL58</f>
        <v>520.85714285714289</v>
      </c>
    </row>
    <row r="76" spans="1:38" s="235" customFormat="1" x14ac:dyDescent="0.45">
      <c r="A76" s="234"/>
      <c r="B76" s="236"/>
      <c r="C76" s="1089" t="s">
        <v>2609</v>
      </c>
      <c r="D76" s="1089" t="s">
        <v>1</v>
      </c>
      <c r="E76" s="1111">
        <f>E73-E75</f>
        <v>4.477551020408157</v>
      </c>
      <c r="F76" s="1111">
        <f t="shared" ref="F76:AC76" si="128">F73-F75</f>
        <v>4.2279942279942588</v>
      </c>
      <c r="G76" s="1111">
        <f t="shared" si="128"/>
        <v>3.9857142857143231</v>
      </c>
      <c r="H76" s="1111">
        <f t="shared" si="128"/>
        <v>3.7487977369165719</v>
      </c>
      <c r="I76" s="1111">
        <f t="shared" si="128"/>
        <v>3.5154061624650126</v>
      </c>
      <c r="J76" s="1111">
        <f t="shared" si="128"/>
        <v>3.2837725381414771</v>
      </c>
      <c r="K76" s="1111">
        <f t="shared" si="128"/>
        <v>3.1093406593406598</v>
      </c>
      <c r="L76" s="1111">
        <f t="shared" si="128"/>
        <v>2.8761904761905157</v>
      </c>
      <c r="M76" s="1111">
        <f t="shared" si="128"/>
        <v>2.6398921832883957</v>
      </c>
      <c r="N76" s="1111">
        <f t="shared" si="128"/>
        <v>2.4560747663551297</v>
      </c>
      <c r="O76" s="1111">
        <f t="shared" si="128"/>
        <v>2.2089947089947373</v>
      </c>
      <c r="P76" s="1111">
        <f t="shared" si="128"/>
        <v>2.0115334207077922</v>
      </c>
      <c r="Q76" s="1111">
        <f t="shared" si="128"/>
        <v>1.8051948051947875</v>
      </c>
      <c r="R76" s="1111">
        <f t="shared" si="128"/>
        <v>1.6458172458172271</v>
      </c>
      <c r="S76" s="1111">
        <f t="shared" si="128"/>
        <v>1.4178571428571445</v>
      </c>
      <c r="T76" s="1111">
        <f t="shared" si="128"/>
        <v>1.2343868520860042</v>
      </c>
      <c r="U76" s="1111">
        <f t="shared" si="128"/>
        <v>1.0370927318295458</v>
      </c>
      <c r="V76" s="1111">
        <f t="shared" si="128"/>
        <v>0.8819875776397339</v>
      </c>
      <c r="W76" s="1111">
        <f t="shared" si="128"/>
        <v>0.71083743842359581</v>
      </c>
      <c r="X76" s="1111">
        <f t="shared" si="128"/>
        <v>0.52258852258859179</v>
      </c>
      <c r="Y76" s="1111">
        <f t="shared" si="128"/>
        <v>0.31622276029054319</v>
      </c>
      <c r="Z76" s="1111">
        <f t="shared" si="128"/>
        <v>0.1478991596638366</v>
      </c>
      <c r="AA76" s="1111">
        <f t="shared" si="128"/>
        <v>1.6666666666708352E-2</v>
      </c>
      <c r="AB76" s="1111">
        <f t="shared" si="128"/>
        <v>-0.13553719008262988</v>
      </c>
      <c r="AC76" s="1111">
        <f t="shared" si="128"/>
        <v>-0.30960187353628044</v>
      </c>
      <c r="AD76" s="311"/>
      <c r="AE76" s="1111">
        <f t="shared" ref="AE76:AF76" si="129">AE73-AE75</f>
        <v>1.699603174603169</v>
      </c>
      <c r="AF76" s="1111">
        <f t="shared" si="129"/>
        <v>0.99393939393939945</v>
      </c>
      <c r="AG76" s="236"/>
      <c r="AH76" s="1111">
        <f t="shared" ref="AH76:AI76" si="130">AH73-AH75</f>
        <v>76.114285714285643</v>
      </c>
      <c r="AI76" s="1111">
        <f t="shared" si="130"/>
        <v>60.123809523809655</v>
      </c>
      <c r="AJ76" s="311"/>
      <c r="AK76" s="1111">
        <f>AK73-AK75</f>
        <v>0.14285714285711038</v>
      </c>
      <c r="AL76" s="1111">
        <f t="shared" ref="AL76" si="131">AL73-AL75</f>
        <v>-2.3809523809518396E-2</v>
      </c>
    </row>
    <row r="77" spans="1:38" s="235" customFormat="1" x14ac:dyDescent="0.45">
      <c r="A77" s="234"/>
      <c r="B77" s="236"/>
      <c r="C77" s="1089"/>
      <c r="D77" s="1089"/>
      <c r="AD77" s="311"/>
      <c r="AG77" s="236"/>
      <c r="AJ77" s="311"/>
    </row>
    <row r="78" spans="1:38" s="235" customFormat="1" x14ac:dyDescent="0.45">
      <c r="A78" s="234"/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A78" s="236"/>
      <c r="AB78" s="236"/>
      <c r="AC78" s="236"/>
      <c r="AD78" s="311"/>
      <c r="AE78" s="236"/>
      <c r="AF78" s="236"/>
      <c r="AG78" s="236"/>
      <c r="AH78" s="236"/>
      <c r="AI78" s="236"/>
      <c r="AJ78" s="311"/>
      <c r="AK78" s="236"/>
      <c r="AL78" s="236"/>
    </row>
    <row r="79" spans="1:38" s="235" customFormat="1" x14ac:dyDescent="0.45">
      <c r="A79" s="234"/>
      <c r="B79" s="236" t="s">
        <v>2620</v>
      </c>
      <c r="C79" s="236" t="s">
        <v>1289</v>
      </c>
      <c r="D79" s="1089" t="s">
        <v>903</v>
      </c>
      <c r="E79" s="1105">
        <f>E63/E73</f>
        <v>0.49297920000000001</v>
      </c>
      <c r="F79" s="918">
        <f t="shared" ref="F79:Z79" si="132">F63/F73</f>
        <v>0.4933028571428571</v>
      </c>
      <c r="G79" s="918">
        <f t="shared" si="132"/>
        <v>0.49362285714285709</v>
      </c>
      <c r="H79" s="918">
        <f t="shared" si="132"/>
        <v>0.49394194285714282</v>
      </c>
      <c r="I79" s="918">
        <f t="shared" si="132"/>
        <v>0.49426285714285711</v>
      </c>
      <c r="J79" s="918">
        <f t="shared" si="132"/>
        <v>0.49458834285714287</v>
      </c>
      <c r="K79" s="918">
        <f t="shared" si="132"/>
        <v>0.49482605714285716</v>
      </c>
      <c r="L79" s="918">
        <f t="shared" si="132"/>
        <v>0.49516799999999994</v>
      </c>
      <c r="M79" s="918">
        <f t="shared" si="132"/>
        <v>0.49552274285714287</v>
      </c>
      <c r="N79" s="918">
        <f t="shared" si="132"/>
        <v>0.49579519999999999</v>
      </c>
      <c r="O79" s="918">
        <f t="shared" si="132"/>
        <v>0.49618285714285709</v>
      </c>
      <c r="P79" s="918">
        <f t="shared" si="132"/>
        <v>0.4964918857142856</v>
      </c>
      <c r="Q79" s="918">
        <f t="shared" si="132"/>
        <v>0.49682285714285718</v>
      </c>
      <c r="R79" s="918">
        <f t="shared" si="132"/>
        <v>0.4970770285714286</v>
      </c>
      <c r="S79" s="918">
        <f t="shared" si="132"/>
        <v>0.49745919999999999</v>
      </c>
      <c r="T79" s="918">
        <f t="shared" si="132"/>
        <v>0.49776822857142849</v>
      </c>
      <c r="U79" s="918">
        <f t="shared" si="132"/>
        <v>0.49810834285714289</v>
      </c>
      <c r="V79" s="918">
        <f t="shared" si="132"/>
        <v>0.49837714285714291</v>
      </c>
      <c r="W79" s="918">
        <f t="shared" si="132"/>
        <v>0.49868068571428581</v>
      </c>
      <c r="X79" s="918">
        <f t="shared" si="132"/>
        <v>0.49902171428571418</v>
      </c>
      <c r="Y79" s="918">
        <f t="shared" si="132"/>
        <v>0.49940297142857143</v>
      </c>
      <c r="Z79" s="918">
        <f t="shared" si="132"/>
        <v>0.49971840000000006</v>
      </c>
      <c r="AA79" s="1105">
        <f>AA63/AA73</f>
        <v>0.49996799999999991</v>
      </c>
      <c r="AB79" s="918">
        <f t="shared" ref="AB79:AC79" si="133">AB63/AB73</f>
        <v>0.5002624</v>
      </c>
      <c r="AC79" s="918">
        <f t="shared" si="133"/>
        <v>0.50060434285714284</v>
      </c>
      <c r="AD79" s="311"/>
      <c r="AE79" s="918">
        <f>AE63/AE73</f>
        <v>0.49608411428571431</v>
      </c>
      <c r="AF79" s="918">
        <f t="shared" ref="AF79" si="134">AF63/AF73</f>
        <v>0.49737599999999998</v>
      </c>
      <c r="AG79" s="236"/>
      <c r="AH79" s="918">
        <f t="shared" ref="AH79:AL79" si="135">AH63/AH73</f>
        <v>0.46955428571428576</v>
      </c>
      <c r="AI79" s="918">
        <f>AI63/AI73</f>
        <v>0.47114057142857135</v>
      </c>
      <c r="AJ79" s="311"/>
      <c r="AK79" s="918">
        <f t="shared" si="135"/>
        <v>0.49988571428571432</v>
      </c>
      <c r="AL79" s="918">
        <f t="shared" si="135"/>
        <v>0.5000228571428571</v>
      </c>
    </row>
    <row r="80" spans="1:38" s="235" customFormat="1" x14ac:dyDescent="0.45">
      <c r="A80" s="234"/>
      <c r="B80" s="236"/>
      <c r="C80" s="1089" t="s">
        <v>2616</v>
      </c>
      <c r="D80" s="1089" t="s">
        <v>903</v>
      </c>
      <c r="E80" s="1107">
        <f>1/E79</f>
        <v>2.0284831489847845</v>
      </c>
      <c r="F80" s="1108">
        <f t="shared" ref="F80:O80" si="136">1/F79</f>
        <v>2.027152256510055</v>
      </c>
      <c r="G80" s="1108">
        <f t="shared" si="136"/>
        <v>2.0258381181700318</v>
      </c>
      <c r="H80" s="1108">
        <f t="shared" si="136"/>
        <v>2.0245294299480427</v>
      </c>
      <c r="I80" s="1108">
        <f t="shared" si="136"/>
        <v>2.023214946355901</v>
      </c>
      <c r="J80" s="1108">
        <f t="shared" si="136"/>
        <v>2.0218834803569976</v>
      </c>
      <c r="K80" s="1108">
        <f t="shared" si="136"/>
        <v>2.0209121681546738</v>
      </c>
      <c r="L80" s="1108">
        <f t="shared" si="136"/>
        <v>2.0195166085045884</v>
      </c>
      <c r="M80" s="1108">
        <f t="shared" si="136"/>
        <v>2.0180708442040083</v>
      </c>
      <c r="N80" s="1108">
        <f t="shared" si="136"/>
        <v>2.0169618423090827</v>
      </c>
      <c r="O80" s="1108">
        <f t="shared" si="136"/>
        <v>2.0153860327989683</v>
      </c>
      <c r="P80" s="1108">
        <f>1/P79</f>
        <v>2.0141316077327929</v>
      </c>
      <c r="Q80" s="1108">
        <f t="shared" ref="Q80:AA80" si="137">1/Q79</f>
        <v>2.0127898417372099</v>
      </c>
      <c r="R80" s="1108">
        <f t="shared" si="137"/>
        <v>2.0117606377304211</v>
      </c>
      <c r="S80" s="1108">
        <f t="shared" si="137"/>
        <v>2.0102151090983944</v>
      </c>
      <c r="T80" s="1108">
        <f t="shared" si="137"/>
        <v>2.0089671107976361</v>
      </c>
      <c r="U80" s="1108">
        <f t="shared" si="137"/>
        <v>2.0075953642213924</v>
      </c>
      <c r="V80" s="1108">
        <f t="shared" si="137"/>
        <v>2.0065125665015593</v>
      </c>
      <c r="W80" s="1108">
        <f t="shared" si="137"/>
        <v>2.005291218703706</v>
      </c>
      <c r="X80" s="1108">
        <f t="shared" si="137"/>
        <v>2.0039208142102036</v>
      </c>
      <c r="Y80" s="1108">
        <f t="shared" si="137"/>
        <v>2.0023909692396131</v>
      </c>
      <c r="Z80" s="1108">
        <f t="shared" si="137"/>
        <v>2.0011270347459686</v>
      </c>
      <c r="AA80" s="1107">
        <f t="shared" si="137"/>
        <v>2.0001280081925246</v>
      </c>
      <c r="AB80" s="1108">
        <f>1/AB79</f>
        <v>1.998950950541156</v>
      </c>
      <c r="AC80" s="1108">
        <f t="shared" ref="AC80" si="138">1/AC79</f>
        <v>1.9975855468864148</v>
      </c>
      <c r="AD80" s="311"/>
      <c r="AE80" s="1108">
        <f>1/AE79</f>
        <v>2.0157871844774711</v>
      </c>
      <c r="AF80" s="1108">
        <f t="shared" ref="AF80" si="139">1/AF79</f>
        <v>2.0105513736086986</v>
      </c>
      <c r="AG80" s="236"/>
      <c r="AH80" s="1108">
        <f t="shared" ref="AH80:AI80" si="140">1/AH79</f>
        <v>2.1296792094630774</v>
      </c>
      <c r="AI80" s="1108">
        <f t="shared" si="140"/>
        <v>2.1225087811220433</v>
      </c>
      <c r="AJ80" s="311"/>
      <c r="AK80" s="1108">
        <f t="shared" ref="AK80:AL80" si="141">1/AK79</f>
        <v>2.0004572473708273</v>
      </c>
      <c r="AL80" s="1108">
        <f t="shared" si="141"/>
        <v>1.9999085756079724</v>
      </c>
    </row>
    <row r="81" spans="1:38" s="235" customFormat="1" x14ac:dyDescent="0.45">
      <c r="A81" s="234"/>
      <c r="B81" s="236"/>
      <c r="C81" s="1089" t="s">
        <v>2607</v>
      </c>
      <c r="D81" s="1089" t="s">
        <v>903</v>
      </c>
      <c r="E81" s="1109">
        <f>($E$80-E80)/$E$80</f>
        <v>0</v>
      </c>
      <c r="F81" s="1110">
        <f>($E$80-F80)/$E$80</f>
        <v>6.5610230747817214E-4</v>
      </c>
      <c r="G81" s="1110">
        <f t="shared" ref="G81:Z81" si="142">($E$80-G80)/$E$80</f>
        <v>1.303945175032163E-3</v>
      </c>
      <c r="H81" s="1110">
        <f t="shared" si="142"/>
        <v>1.9491012477577427E-3</v>
      </c>
      <c r="I81" s="1110">
        <f t="shared" si="142"/>
        <v>2.5971143174248852E-3</v>
      </c>
      <c r="J81" s="1110">
        <f t="shared" si="142"/>
        <v>3.2534993603915022E-3</v>
      </c>
      <c r="K81" s="1110">
        <f t="shared" si="142"/>
        <v>3.73233607284334E-3</v>
      </c>
      <c r="L81" s="1110">
        <f t="shared" si="142"/>
        <v>4.4203179526947304E-3</v>
      </c>
      <c r="M81" s="1110">
        <f t="shared" si="142"/>
        <v>5.1330496809832565E-3</v>
      </c>
      <c r="N81" s="1110">
        <f t="shared" si="142"/>
        <v>5.6797645479421512E-3</v>
      </c>
      <c r="O81" s="1110">
        <f t="shared" si="142"/>
        <v>6.45660585959073E-3</v>
      </c>
      <c r="P81" s="1110">
        <f t="shared" si="142"/>
        <v>7.075011325173854E-3</v>
      </c>
      <c r="Q81" s="1110">
        <f t="shared" si="142"/>
        <v>7.7364740522635651E-3</v>
      </c>
      <c r="R81" s="1110">
        <f t="shared" si="142"/>
        <v>8.2438502201670743E-3</v>
      </c>
      <c r="S81" s="1110">
        <f t="shared" si="142"/>
        <v>9.0057636887607047E-3</v>
      </c>
      <c r="T81" s="1110">
        <f t="shared" si="142"/>
        <v>9.6210008926698801E-3</v>
      </c>
      <c r="U81" s="1110">
        <f t="shared" si="142"/>
        <v>1.0297243422429251E-2</v>
      </c>
      <c r="V81" s="1110">
        <f t="shared" si="142"/>
        <v>1.0831040176114401E-2</v>
      </c>
      <c r="W81" s="1110">
        <f t="shared" si="142"/>
        <v>1.1433139236421893E-2</v>
      </c>
      <c r="X81" s="1110">
        <f t="shared" si="142"/>
        <v>1.2108720147305083E-2</v>
      </c>
      <c r="Y81" s="1110">
        <f t="shared" si="142"/>
        <v>1.286290189703081E-2</v>
      </c>
      <c r="Z81" s="1110">
        <f t="shared" si="142"/>
        <v>1.3485995312560072E-2</v>
      </c>
      <c r="AA81" s="1109">
        <f>($E$80-AA80)/$E$80</f>
        <v>1.3978494623655692E-2</v>
      </c>
      <c r="AB81" s="1110">
        <f t="shared" ref="AB81:AC81" si="143">($E$80-AB80)/$E$80</f>
        <v>1.4558759562981241E-2</v>
      </c>
      <c r="AC81" s="1110">
        <f t="shared" si="143"/>
        <v>1.5231875164372657E-2</v>
      </c>
      <c r="AD81" s="311"/>
      <c r="AE81" s="1110"/>
      <c r="AF81" s="1110"/>
      <c r="AG81" s="236"/>
      <c r="AH81" s="1110"/>
      <c r="AI81" s="1110"/>
      <c r="AJ81" s="311"/>
      <c r="AK81" s="1110"/>
      <c r="AL81" s="1110"/>
    </row>
    <row r="82" spans="1:38" s="235" customFormat="1" x14ac:dyDescent="0.45">
      <c r="A82" s="234"/>
      <c r="B82" s="236"/>
      <c r="C82" s="1089"/>
      <c r="D82" s="1089"/>
      <c r="E82" s="1099"/>
      <c r="F82" s="1099"/>
      <c r="G82" s="1099"/>
      <c r="H82" s="1099"/>
      <c r="I82" s="1099"/>
      <c r="J82" s="1099"/>
      <c r="K82" s="1099"/>
      <c r="L82" s="1099"/>
      <c r="M82" s="1099"/>
      <c r="N82" s="1099"/>
      <c r="O82" s="1099"/>
      <c r="P82" s="1099"/>
      <c r="Q82" s="1099"/>
      <c r="R82" s="1099"/>
      <c r="S82" s="1099"/>
      <c r="T82" s="1099"/>
      <c r="U82" s="1099"/>
      <c r="V82" s="1099"/>
      <c r="W82" s="1099"/>
      <c r="X82" s="1099"/>
      <c r="Y82" s="1099"/>
      <c r="Z82" s="1099"/>
      <c r="AA82" s="1099"/>
      <c r="AB82" s="1099"/>
      <c r="AC82" s="1099"/>
      <c r="AD82" s="311"/>
      <c r="AE82" s="1099"/>
      <c r="AF82" s="1099"/>
      <c r="AG82" s="236"/>
      <c r="AH82" s="1099"/>
      <c r="AI82" s="1099"/>
      <c r="AJ82" s="311"/>
      <c r="AK82" s="1099"/>
      <c r="AL82" s="1099"/>
    </row>
    <row r="83" spans="1:38" s="235" customFormat="1" x14ac:dyDescent="0.45">
      <c r="A83" s="234"/>
      <c r="B83" s="236" t="s">
        <v>2621</v>
      </c>
      <c r="C83" s="236" t="s">
        <v>1289</v>
      </c>
      <c r="D83" s="1089" t="s">
        <v>903</v>
      </c>
      <c r="E83" s="918">
        <f t="shared" ref="E83:Y83" si="144">E69/E73</f>
        <v>0.49297920000000001</v>
      </c>
      <c r="F83" s="918">
        <f t="shared" si="144"/>
        <v>0.4933028571428571</v>
      </c>
      <c r="G83" s="918">
        <f t="shared" si="144"/>
        <v>0.49362285714285709</v>
      </c>
      <c r="H83" s="918">
        <f t="shared" si="144"/>
        <v>0.49394194285714282</v>
      </c>
      <c r="I83" s="918">
        <f t="shared" si="144"/>
        <v>0.49426285714285711</v>
      </c>
      <c r="J83" s="918">
        <f t="shared" si="144"/>
        <v>0.49458834285714287</v>
      </c>
      <c r="K83" s="918">
        <f t="shared" si="144"/>
        <v>0.49482605714285716</v>
      </c>
      <c r="L83" s="918">
        <f t="shared" si="144"/>
        <v>0.49516799999999994</v>
      </c>
      <c r="M83" s="918">
        <f t="shared" si="144"/>
        <v>0.49552274285714287</v>
      </c>
      <c r="N83" s="918">
        <f t="shared" si="144"/>
        <v>0.49579519999999999</v>
      </c>
      <c r="O83" s="918">
        <f t="shared" si="144"/>
        <v>0.49618285714285709</v>
      </c>
      <c r="P83" s="918">
        <f t="shared" si="144"/>
        <v>0.4964918857142856</v>
      </c>
      <c r="Q83" s="918">
        <f t="shared" si="144"/>
        <v>0.49682285714285718</v>
      </c>
      <c r="R83" s="918">
        <f t="shared" si="144"/>
        <v>0.4970770285714286</v>
      </c>
      <c r="S83" s="918">
        <f t="shared" si="144"/>
        <v>0.49745919999999999</v>
      </c>
      <c r="T83" s="918">
        <f t="shared" si="144"/>
        <v>0.49776822857142849</v>
      </c>
      <c r="U83" s="918">
        <f t="shared" si="144"/>
        <v>0.49810834285714289</v>
      </c>
      <c r="V83" s="918">
        <f t="shared" si="144"/>
        <v>0.49837714285714291</v>
      </c>
      <c r="W83" s="918">
        <f t="shared" si="144"/>
        <v>0.49868068571428581</v>
      </c>
      <c r="X83" s="918">
        <f t="shared" si="144"/>
        <v>0.49902171428571418</v>
      </c>
      <c r="Y83" s="918">
        <f t="shared" si="144"/>
        <v>0.49940297142857143</v>
      </c>
      <c r="Z83" s="918">
        <f>Z69/Z73</f>
        <v>0.49971840000000006</v>
      </c>
      <c r="AA83" s="918">
        <f>AA69/AA73</f>
        <v>0.49996799999999991</v>
      </c>
      <c r="AB83" s="918">
        <f t="shared" ref="AB83:AC83" si="145">AB69/AB73</f>
        <v>0.5002624</v>
      </c>
      <c r="AC83" s="918">
        <f t="shared" si="145"/>
        <v>0.50060434285714284</v>
      </c>
      <c r="AD83" s="311"/>
      <c r="AE83" s="918">
        <f>AE69/AE73</f>
        <v>0.49608411428571431</v>
      </c>
      <c r="AF83" s="918">
        <f t="shared" ref="AF83" si="146">AF69/AF73</f>
        <v>0.49737599999999998</v>
      </c>
      <c r="AG83" s="236"/>
      <c r="AH83" s="918">
        <f t="shared" ref="AH83:AL83" si="147">AH69/AH73</f>
        <v>0.46955428571428576</v>
      </c>
      <c r="AI83" s="918">
        <f t="shared" si="147"/>
        <v>0.47114057142857135</v>
      </c>
      <c r="AJ83" s="311"/>
      <c r="AK83" s="918">
        <f t="shared" si="147"/>
        <v>0.49988571428571432</v>
      </c>
      <c r="AL83" s="918">
        <f t="shared" si="147"/>
        <v>0.5000228571428571</v>
      </c>
    </row>
    <row r="84" spans="1:38" s="235" customFormat="1" x14ac:dyDescent="0.45">
      <c r="A84" s="234"/>
      <c r="B84" s="236"/>
      <c r="C84" s="1089" t="s">
        <v>2616</v>
      </c>
      <c r="D84" s="1089" t="s">
        <v>903</v>
      </c>
      <c r="E84" s="1108">
        <f>1/E83</f>
        <v>2.0284831489847845</v>
      </c>
      <c r="F84" s="1108">
        <f t="shared" ref="F84:AC84" si="148">1/F83</f>
        <v>2.027152256510055</v>
      </c>
      <c r="G84" s="1108">
        <f t="shared" si="148"/>
        <v>2.0258381181700318</v>
      </c>
      <c r="H84" s="1108">
        <f t="shared" si="148"/>
        <v>2.0245294299480427</v>
      </c>
      <c r="I84" s="1108">
        <f t="shared" si="148"/>
        <v>2.023214946355901</v>
      </c>
      <c r="J84" s="1108">
        <f t="shared" si="148"/>
        <v>2.0218834803569976</v>
      </c>
      <c r="K84" s="1108">
        <f t="shared" si="148"/>
        <v>2.0209121681546738</v>
      </c>
      <c r="L84" s="1108">
        <f t="shared" si="148"/>
        <v>2.0195166085045884</v>
      </c>
      <c r="M84" s="1108">
        <f t="shared" si="148"/>
        <v>2.0180708442040083</v>
      </c>
      <c r="N84" s="1108">
        <f t="shared" si="148"/>
        <v>2.0169618423090827</v>
      </c>
      <c r="O84" s="1108">
        <f t="shared" si="148"/>
        <v>2.0153860327989683</v>
      </c>
      <c r="P84" s="1108">
        <f t="shared" si="148"/>
        <v>2.0141316077327929</v>
      </c>
      <c r="Q84" s="1108">
        <f t="shared" si="148"/>
        <v>2.0127898417372099</v>
      </c>
      <c r="R84" s="1108">
        <f t="shared" si="148"/>
        <v>2.0117606377304211</v>
      </c>
      <c r="S84" s="1108">
        <f t="shared" si="148"/>
        <v>2.0102151090983944</v>
      </c>
      <c r="T84" s="1108">
        <f t="shared" si="148"/>
        <v>2.0089671107976361</v>
      </c>
      <c r="U84" s="1108">
        <f t="shared" si="148"/>
        <v>2.0075953642213924</v>
      </c>
      <c r="V84" s="1108">
        <f t="shared" si="148"/>
        <v>2.0065125665015593</v>
      </c>
      <c r="W84" s="1108">
        <f t="shared" si="148"/>
        <v>2.005291218703706</v>
      </c>
      <c r="X84" s="1108">
        <f t="shared" si="148"/>
        <v>2.0039208142102036</v>
      </c>
      <c r="Y84" s="1108">
        <f t="shared" si="148"/>
        <v>2.0023909692396131</v>
      </c>
      <c r="Z84" s="1108">
        <f t="shared" si="148"/>
        <v>2.0011270347459686</v>
      </c>
      <c r="AA84" s="1108">
        <f t="shared" si="148"/>
        <v>2.0001280081925246</v>
      </c>
      <c r="AB84" s="1108">
        <f t="shared" si="148"/>
        <v>1.998950950541156</v>
      </c>
      <c r="AC84" s="1108">
        <f t="shared" si="148"/>
        <v>1.9975855468864148</v>
      </c>
      <c r="AD84" s="311"/>
      <c r="AE84" s="1108">
        <f t="shared" ref="AE84:AF84" si="149">1/AE83</f>
        <v>2.0157871844774711</v>
      </c>
      <c r="AF84" s="1108">
        <f t="shared" si="149"/>
        <v>2.0105513736086986</v>
      </c>
      <c r="AG84" s="236"/>
      <c r="AH84" s="1108">
        <f t="shared" ref="AH84:AI84" si="150">1/AH83</f>
        <v>2.1296792094630774</v>
      </c>
      <c r="AI84" s="1108">
        <f t="shared" si="150"/>
        <v>2.1225087811220433</v>
      </c>
      <c r="AJ84" s="311"/>
      <c r="AK84" s="1108">
        <f t="shared" ref="AK84:AL84" si="151">1/AK83</f>
        <v>2.0004572473708273</v>
      </c>
      <c r="AL84" s="1108">
        <f t="shared" si="151"/>
        <v>1.9999085756079724</v>
      </c>
    </row>
    <row r="85" spans="1:38" s="235" customFormat="1" x14ac:dyDescent="0.45">
      <c r="A85" s="234"/>
      <c r="B85" s="236"/>
      <c r="C85" s="1089" t="s">
        <v>2607</v>
      </c>
      <c r="D85" s="1089" t="s">
        <v>903</v>
      </c>
      <c r="E85" s="1110">
        <f>($E$84-E84)/$E$84</f>
        <v>0</v>
      </c>
      <c r="F85" s="1110">
        <f t="shared" ref="F85:AC85" si="152">($E$84-F84)/$E$84</f>
        <v>6.5610230747817214E-4</v>
      </c>
      <c r="G85" s="1110">
        <f t="shared" si="152"/>
        <v>1.303945175032163E-3</v>
      </c>
      <c r="H85" s="1110">
        <f t="shared" si="152"/>
        <v>1.9491012477577427E-3</v>
      </c>
      <c r="I85" s="1110">
        <f t="shared" si="152"/>
        <v>2.5971143174248852E-3</v>
      </c>
      <c r="J85" s="1110">
        <f t="shared" si="152"/>
        <v>3.2534993603915022E-3</v>
      </c>
      <c r="K85" s="1110">
        <f t="shared" si="152"/>
        <v>3.73233607284334E-3</v>
      </c>
      <c r="L85" s="1110">
        <f t="shared" si="152"/>
        <v>4.4203179526947304E-3</v>
      </c>
      <c r="M85" s="1110">
        <f t="shared" si="152"/>
        <v>5.1330496809832565E-3</v>
      </c>
      <c r="N85" s="1110">
        <f t="shared" si="152"/>
        <v>5.6797645479421512E-3</v>
      </c>
      <c r="O85" s="1110">
        <f t="shared" si="152"/>
        <v>6.45660585959073E-3</v>
      </c>
      <c r="P85" s="1110">
        <f t="shared" si="152"/>
        <v>7.075011325173854E-3</v>
      </c>
      <c r="Q85" s="1110">
        <f t="shared" si="152"/>
        <v>7.7364740522635651E-3</v>
      </c>
      <c r="R85" s="1110">
        <f t="shared" si="152"/>
        <v>8.2438502201670743E-3</v>
      </c>
      <c r="S85" s="1110">
        <f t="shared" si="152"/>
        <v>9.0057636887607047E-3</v>
      </c>
      <c r="T85" s="1110">
        <f t="shared" si="152"/>
        <v>9.6210008926698801E-3</v>
      </c>
      <c r="U85" s="1110">
        <f t="shared" si="152"/>
        <v>1.0297243422429251E-2</v>
      </c>
      <c r="V85" s="1110">
        <f t="shared" si="152"/>
        <v>1.0831040176114401E-2</v>
      </c>
      <c r="W85" s="1110">
        <f t="shared" si="152"/>
        <v>1.1433139236421893E-2</v>
      </c>
      <c r="X85" s="1110">
        <f t="shared" si="152"/>
        <v>1.2108720147305083E-2</v>
      </c>
      <c r="Y85" s="1110">
        <f t="shared" si="152"/>
        <v>1.286290189703081E-2</v>
      </c>
      <c r="Z85" s="1110">
        <f t="shared" si="152"/>
        <v>1.3485995312560072E-2</v>
      </c>
      <c r="AA85" s="1110">
        <f t="shared" si="152"/>
        <v>1.3978494623655692E-2</v>
      </c>
      <c r="AB85" s="1110">
        <f t="shared" si="152"/>
        <v>1.4558759562981241E-2</v>
      </c>
      <c r="AC85" s="1110">
        <f t="shared" si="152"/>
        <v>1.5231875164372657E-2</v>
      </c>
      <c r="AD85" s="311"/>
      <c r="AE85" s="1110"/>
      <c r="AF85" s="1110"/>
      <c r="AG85" s="236"/>
      <c r="AH85" s="1110"/>
      <c r="AI85" s="1110"/>
      <c r="AJ85" s="311"/>
      <c r="AK85" s="1110"/>
      <c r="AL85" s="1110"/>
    </row>
    <row r="86" spans="1:38" x14ac:dyDescent="0.45">
      <c r="B86" s="236"/>
      <c r="C86" s="1089"/>
      <c r="D86" s="1089"/>
      <c r="AD86" s="311"/>
      <c r="AG86" s="236"/>
      <c r="AJ86" s="311"/>
    </row>
    <row r="87" spans="1:38" x14ac:dyDescent="0.45">
      <c r="B87" s="236"/>
      <c r="C87" s="236"/>
      <c r="D87" s="236"/>
      <c r="E87" s="236"/>
      <c r="F87" s="236"/>
      <c r="G87" s="236"/>
      <c r="H87" s="236"/>
      <c r="I87" s="236"/>
      <c r="J87" s="236"/>
      <c r="K87" s="236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236"/>
      <c r="W87" s="236"/>
      <c r="X87" s="236"/>
      <c r="Y87" s="236"/>
      <c r="Z87" s="236"/>
      <c r="AA87" s="236"/>
      <c r="AB87" s="236"/>
      <c r="AC87" s="236"/>
      <c r="AD87" s="311"/>
      <c r="AE87" s="236"/>
      <c r="AF87" s="236"/>
      <c r="AG87" s="236"/>
      <c r="AH87" s="236"/>
      <c r="AI87" s="236"/>
      <c r="AJ87" s="311"/>
      <c r="AK87" s="236"/>
      <c r="AL87" s="236"/>
    </row>
    <row r="88" spans="1:38" x14ac:dyDescent="0.45">
      <c r="B88" s="236" t="s">
        <v>2633</v>
      </c>
      <c r="C88" s="236" t="s">
        <v>2634</v>
      </c>
      <c r="D88" s="236" t="s">
        <v>5</v>
      </c>
      <c r="E88" s="1123">
        <f>E13/(1/E25)</f>
        <v>425984</v>
      </c>
      <c r="F88" s="1123">
        <f>F13/(1/F25)</f>
        <v>425984</v>
      </c>
      <c r="G88" s="1123">
        <f t="shared" ref="G88:H88" si="153">G13/(1/G25)</f>
        <v>425984</v>
      </c>
      <c r="H88" s="1123">
        <f t="shared" si="153"/>
        <v>425984</v>
      </c>
      <c r="I88" s="1123">
        <f t="shared" ref="I88:AC88" si="154">I13/(1/I25)</f>
        <v>425984</v>
      </c>
      <c r="J88" s="1123">
        <f t="shared" si="154"/>
        <v>425984</v>
      </c>
      <c r="K88" s="1123">
        <f t="shared" si="154"/>
        <v>425983.99999999994</v>
      </c>
      <c r="L88" s="1123">
        <f t="shared" si="154"/>
        <v>425983.99999999994</v>
      </c>
      <c r="M88" s="1123">
        <f t="shared" si="154"/>
        <v>425984</v>
      </c>
      <c r="N88" s="1123">
        <f t="shared" si="154"/>
        <v>425984</v>
      </c>
      <c r="O88" s="1123">
        <f t="shared" si="154"/>
        <v>425984</v>
      </c>
      <c r="P88" s="1123">
        <f t="shared" si="154"/>
        <v>425984</v>
      </c>
      <c r="Q88" s="1123">
        <f t="shared" si="154"/>
        <v>425984</v>
      </c>
      <c r="R88" s="1123">
        <f t="shared" si="154"/>
        <v>425984</v>
      </c>
      <c r="S88" s="1123">
        <f t="shared" si="154"/>
        <v>425984</v>
      </c>
      <c r="T88" s="1123">
        <f t="shared" si="154"/>
        <v>425984</v>
      </c>
      <c r="U88" s="1123">
        <f t="shared" si="154"/>
        <v>425984</v>
      </c>
      <c r="V88" s="1123">
        <f t="shared" si="154"/>
        <v>425984</v>
      </c>
      <c r="W88" s="1123">
        <f t="shared" si="154"/>
        <v>425984</v>
      </c>
      <c r="X88" s="1123">
        <f t="shared" si="154"/>
        <v>425984</v>
      </c>
      <c r="Y88" s="1123">
        <f t="shared" si="154"/>
        <v>425984</v>
      </c>
      <c r="Z88" s="1123">
        <f t="shared" si="154"/>
        <v>425983.99999999994</v>
      </c>
      <c r="AA88" s="1123">
        <f t="shared" si="154"/>
        <v>425984</v>
      </c>
      <c r="AB88" s="1123">
        <f t="shared" si="154"/>
        <v>425984</v>
      </c>
      <c r="AC88" s="1123">
        <f t="shared" si="154"/>
        <v>425984</v>
      </c>
      <c r="AD88" s="311"/>
      <c r="AE88" s="1123">
        <f t="shared" ref="AE88:AL88" si="155">AE13/(1/AE25)</f>
        <v>327680</v>
      </c>
      <c r="AF88" s="1123">
        <f t="shared" si="155"/>
        <v>294912</v>
      </c>
      <c r="AG88" s="236"/>
      <c r="AH88" s="1123">
        <f t="shared" si="155"/>
        <v>53248</v>
      </c>
      <c r="AI88" s="1123">
        <f t="shared" si="155"/>
        <v>53248</v>
      </c>
      <c r="AJ88" s="311"/>
      <c r="AK88" s="1123">
        <f t="shared" si="155"/>
        <v>1015808</v>
      </c>
      <c r="AL88" s="1123">
        <f t="shared" si="155"/>
        <v>851968</v>
      </c>
    </row>
    <row r="89" spans="1:38" x14ac:dyDescent="0.45">
      <c r="B89" s="236"/>
      <c r="C89" s="236" t="s">
        <v>8</v>
      </c>
      <c r="D89" s="236"/>
      <c r="E89" s="235" t="str">
        <f>DEC2HEX(E88)</f>
        <v>68000</v>
      </c>
      <c r="F89" s="235" t="str">
        <f t="shared" ref="F89:H89" si="156">DEC2HEX(F88)</f>
        <v>68000</v>
      </c>
      <c r="G89" s="235" t="str">
        <f t="shared" si="156"/>
        <v>68000</v>
      </c>
      <c r="H89" s="235" t="str">
        <f t="shared" si="156"/>
        <v>68000</v>
      </c>
      <c r="I89" s="235" t="str">
        <f t="shared" ref="I89" si="157">DEC2HEX(I88)</f>
        <v>68000</v>
      </c>
      <c r="J89" s="235" t="str">
        <f t="shared" ref="J89" si="158">DEC2HEX(J88)</f>
        <v>68000</v>
      </c>
      <c r="K89" s="235" t="str">
        <f t="shared" ref="K89" si="159">DEC2HEX(K88)</f>
        <v>67FFF</v>
      </c>
      <c r="L89" s="235" t="str">
        <f t="shared" ref="L89" si="160">DEC2HEX(L88)</f>
        <v>67FFF</v>
      </c>
      <c r="M89" s="235" t="str">
        <f t="shared" ref="M89" si="161">DEC2HEX(M88)</f>
        <v>68000</v>
      </c>
      <c r="N89" s="235" t="str">
        <f t="shared" ref="N89" si="162">DEC2HEX(N88)</f>
        <v>68000</v>
      </c>
      <c r="O89" s="235" t="str">
        <f t="shared" ref="O89" si="163">DEC2HEX(O88)</f>
        <v>68000</v>
      </c>
      <c r="P89" s="235" t="str">
        <f t="shared" ref="P89" si="164">DEC2HEX(P88)</f>
        <v>68000</v>
      </c>
      <c r="Q89" s="235" t="str">
        <f t="shared" ref="Q89" si="165">DEC2HEX(Q88)</f>
        <v>68000</v>
      </c>
      <c r="R89" s="235" t="str">
        <f t="shared" ref="R89" si="166">DEC2HEX(R88)</f>
        <v>68000</v>
      </c>
      <c r="S89" s="235" t="str">
        <f t="shared" ref="S89" si="167">DEC2HEX(S88)</f>
        <v>68000</v>
      </c>
      <c r="T89" s="235" t="str">
        <f t="shared" ref="T89" si="168">DEC2HEX(T88)</f>
        <v>68000</v>
      </c>
      <c r="U89" s="235" t="str">
        <f t="shared" ref="U89" si="169">DEC2HEX(U88)</f>
        <v>68000</v>
      </c>
      <c r="V89" s="235" t="str">
        <f t="shared" ref="V89" si="170">DEC2HEX(V88)</f>
        <v>68000</v>
      </c>
      <c r="W89" s="235" t="str">
        <f t="shared" ref="W89" si="171">DEC2HEX(W88)</f>
        <v>68000</v>
      </c>
      <c r="X89" s="235" t="str">
        <f t="shared" ref="X89" si="172">DEC2HEX(X88)</f>
        <v>68000</v>
      </c>
      <c r="Y89" s="235" t="str">
        <f t="shared" ref="Y89" si="173">DEC2HEX(Y88)</f>
        <v>68000</v>
      </c>
      <c r="Z89" s="235" t="str">
        <f t="shared" ref="Z89" si="174">DEC2HEX(Z88)</f>
        <v>67FFF</v>
      </c>
      <c r="AA89" s="235" t="str">
        <f t="shared" ref="AA89" si="175">DEC2HEX(AA88)</f>
        <v>68000</v>
      </c>
      <c r="AB89" s="235" t="str">
        <f t="shared" ref="AB89" si="176">DEC2HEX(AB88)</f>
        <v>68000</v>
      </c>
      <c r="AC89" s="235" t="str">
        <f t="shared" ref="AC89" si="177">DEC2HEX(AC88)</f>
        <v>68000</v>
      </c>
      <c r="AD89" s="311"/>
      <c r="AE89" s="235" t="str">
        <f t="shared" ref="AE89" si="178">DEC2HEX(AE88)</f>
        <v>50000</v>
      </c>
      <c r="AF89" s="235" t="str">
        <f t="shared" ref="AF89" si="179">DEC2HEX(AF88)</f>
        <v>48000</v>
      </c>
      <c r="AG89" s="236"/>
      <c r="AH89" s="235" t="str">
        <f t="shared" ref="AH89" si="180">DEC2HEX(AH88)</f>
        <v>D000</v>
      </c>
      <c r="AI89" s="235" t="str">
        <f t="shared" ref="AI89" si="181">DEC2HEX(AI88)</f>
        <v>D000</v>
      </c>
      <c r="AJ89" s="311"/>
      <c r="AK89" s="235" t="str">
        <f t="shared" ref="AK89" si="182">DEC2HEX(AK88)</f>
        <v>F8000</v>
      </c>
      <c r="AL89" s="235" t="str">
        <f t="shared" ref="AL89" si="183">DEC2HEX(AL88)</f>
        <v>D0000</v>
      </c>
    </row>
    <row r="90" spans="1:38" x14ac:dyDescent="0.45">
      <c r="B90" s="236"/>
      <c r="C90" s="236"/>
      <c r="D90" s="236"/>
      <c r="AD90" s="311"/>
      <c r="AG90" s="236"/>
      <c r="AJ90" s="311"/>
    </row>
    <row r="91" spans="1:38" x14ac:dyDescent="0.45">
      <c r="B91" s="236"/>
      <c r="C91" s="236"/>
      <c r="D91" s="236"/>
      <c r="E91" s="236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  <c r="AA91" s="236"/>
      <c r="AB91" s="236"/>
      <c r="AC91" s="236"/>
      <c r="AD91" s="236"/>
      <c r="AE91" s="236"/>
      <c r="AF91" s="236"/>
      <c r="AG91" s="236"/>
      <c r="AH91" s="236"/>
      <c r="AI91" s="236"/>
      <c r="AJ91" s="236"/>
      <c r="AK91" s="236"/>
      <c r="AL91" s="236"/>
    </row>
    <row r="92" spans="1:38" x14ac:dyDescent="0.45">
      <c r="B92" s="232" t="s">
        <v>2639</v>
      </c>
      <c r="C92" s="236"/>
      <c r="D92" s="236"/>
      <c r="E92" s="236"/>
      <c r="F92" s="236"/>
      <c r="G92" s="236"/>
      <c r="H92" s="236"/>
      <c r="I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6"/>
      <c r="AC92" s="236"/>
      <c r="AD92" s="236"/>
      <c r="AE92" s="236"/>
      <c r="AF92" s="236"/>
      <c r="AG92" s="236"/>
      <c r="AH92" s="236"/>
      <c r="AI92" s="236"/>
      <c r="AJ92" s="236"/>
      <c r="AK92" s="236"/>
      <c r="AL92" s="236"/>
    </row>
    <row r="93" spans="1:38" x14ac:dyDescent="0.45">
      <c r="B93" s="236" t="s">
        <v>2637</v>
      </c>
      <c r="C93" s="236" t="s">
        <v>2164</v>
      </c>
      <c r="D93" s="255">
        <v>12</v>
      </c>
      <c r="E93" s="1124">
        <f>$D$93*(1/$C$4)</f>
        <v>0.34285714285714286</v>
      </c>
      <c r="F93" s="234" t="s">
        <v>1</v>
      </c>
      <c r="AD93" s="236"/>
      <c r="AG93" s="236"/>
      <c r="AJ93" s="236"/>
    </row>
    <row r="94" spans="1:38" x14ac:dyDescent="0.45">
      <c r="B94" s="236"/>
      <c r="C94" s="236" t="s">
        <v>2165</v>
      </c>
      <c r="D94" s="255">
        <f>D93/2</f>
        <v>6</v>
      </c>
      <c r="E94" s="1124">
        <f>$D$94*(1/$C$4)</f>
        <v>0.17142857142857143</v>
      </c>
      <c r="F94" s="234" t="s">
        <v>1</v>
      </c>
      <c r="AD94" s="236"/>
      <c r="AG94" s="236"/>
      <c r="AJ94" s="236"/>
    </row>
    <row r="95" spans="1:38" x14ac:dyDescent="0.45">
      <c r="B95" s="236"/>
      <c r="C95" s="236" t="s">
        <v>2635</v>
      </c>
      <c r="D95" s="236" t="s">
        <v>1</v>
      </c>
      <c r="E95" s="1128">
        <f>E93+E94</f>
        <v>0.51428571428571423</v>
      </c>
      <c r="F95" s="234" t="s">
        <v>1</v>
      </c>
      <c r="AD95" s="236"/>
      <c r="AG95" s="236"/>
      <c r="AJ95" s="236"/>
    </row>
    <row r="96" spans="1:38" x14ac:dyDescent="0.45">
      <c r="B96" s="236"/>
      <c r="C96" s="236"/>
      <c r="D96" s="236" t="s">
        <v>6</v>
      </c>
      <c r="E96" s="1116">
        <f>1/E95</f>
        <v>1.9444444444444446</v>
      </c>
      <c r="AD96" s="236"/>
      <c r="AG96" s="236"/>
      <c r="AJ96" s="236"/>
    </row>
    <row r="97" spans="2:38" x14ac:dyDescent="0.45">
      <c r="B97" s="236" t="s">
        <v>2642</v>
      </c>
      <c r="C97" s="255">
        <v>4</v>
      </c>
      <c r="D97" s="236" t="s">
        <v>1940</v>
      </c>
      <c r="E97" s="1116"/>
      <c r="AD97" s="236"/>
      <c r="AG97" s="236"/>
      <c r="AJ97" s="236"/>
    </row>
    <row r="98" spans="2:38" x14ac:dyDescent="0.45">
      <c r="B98" s="236"/>
      <c r="C98" s="1131">
        <f>$E$95*$C$97</f>
        <v>2.0571428571428569</v>
      </c>
      <c r="D98" s="236" t="s">
        <v>1</v>
      </c>
      <c r="E98" s="1116"/>
      <c r="AD98" s="236"/>
      <c r="AG98" s="236"/>
      <c r="AJ98" s="236"/>
    </row>
    <row r="99" spans="2:38" x14ac:dyDescent="0.45">
      <c r="B99" s="236"/>
      <c r="C99" s="1126">
        <f>MROUND($C$98/(1/$C$4),1)</f>
        <v>72</v>
      </c>
      <c r="D99" s="236" t="s">
        <v>5</v>
      </c>
      <c r="E99" s="1116"/>
      <c r="AD99" s="236"/>
      <c r="AG99" s="236"/>
      <c r="AJ99" s="236"/>
    </row>
    <row r="100" spans="2:38" x14ac:dyDescent="0.45">
      <c r="B100" s="236" t="s">
        <v>2638</v>
      </c>
      <c r="C100" s="255" t="s">
        <v>2159</v>
      </c>
      <c r="D100" s="236" t="s">
        <v>0</v>
      </c>
      <c r="E100" s="1116">
        <f>E25</f>
        <v>41.746431999999999</v>
      </c>
      <c r="F100" s="1116">
        <f t="shared" ref="F100:AL100" si="184">F25</f>
        <v>42.172415999999991</v>
      </c>
      <c r="G100" s="1116">
        <f t="shared" si="184"/>
        <v>42.598399999999998</v>
      </c>
      <c r="H100" s="1116">
        <f t="shared" si="184"/>
        <v>43.024383999999998</v>
      </c>
      <c r="I100" s="1116">
        <f t="shared" si="184"/>
        <v>43.450367999999997</v>
      </c>
      <c r="J100" s="1116">
        <f t="shared" si="184"/>
        <v>43.876352000000004</v>
      </c>
      <c r="K100" s="1116">
        <f t="shared" si="184"/>
        <v>44.302335999999997</v>
      </c>
      <c r="L100" s="1116">
        <f t="shared" si="184"/>
        <v>44.728319999999989</v>
      </c>
      <c r="M100" s="1116">
        <f t="shared" si="184"/>
        <v>45.154304000000003</v>
      </c>
      <c r="N100" s="1116">
        <f t="shared" si="184"/>
        <v>45.58028800000001</v>
      </c>
      <c r="O100" s="1116">
        <f t="shared" si="184"/>
        <v>46.006272000000003</v>
      </c>
      <c r="P100" s="1116">
        <f t="shared" si="184"/>
        <v>46.432255999999995</v>
      </c>
      <c r="Q100" s="1116">
        <f t="shared" si="184"/>
        <v>46.858240000000009</v>
      </c>
      <c r="R100" s="1116">
        <f t="shared" si="184"/>
        <v>47.284224000000002</v>
      </c>
      <c r="S100" s="1116">
        <f t="shared" si="184"/>
        <v>47.710208000000009</v>
      </c>
      <c r="T100" s="1116">
        <f t="shared" si="184"/>
        <v>48.136191999999994</v>
      </c>
      <c r="U100" s="1116">
        <f t="shared" si="184"/>
        <v>48.562176000000008</v>
      </c>
      <c r="V100" s="1116">
        <f t="shared" si="184"/>
        <v>48.988159999999993</v>
      </c>
      <c r="W100" s="1116">
        <f t="shared" si="184"/>
        <v>49.414144000000007</v>
      </c>
      <c r="X100" s="1116">
        <f t="shared" si="184"/>
        <v>49.840127999999993</v>
      </c>
      <c r="Y100" s="1116">
        <f t="shared" si="184"/>
        <v>50.266111999999993</v>
      </c>
      <c r="Z100" s="1116">
        <f t="shared" si="184"/>
        <v>50.692095999999999</v>
      </c>
      <c r="AA100" s="1116">
        <f t="shared" si="184"/>
        <v>51.118079999999992</v>
      </c>
      <c r="AB100" s="1116">
        <f t="shared" si="184"/>
        <v>51.544064000000006</v>
      </c>
      <c r="AC100" s="1116">
        <f t="shared" si="184"/>
        <v>51.970047999999998</v>
      </c>
      <c r="AD100" s="236"/>
      <c r="AE100" s="1116">
        <f t="shared" si="184"/>
        <v>47.185919999999996</v>
      </c>
      <c r="AF100" s="1116">
        <f t="shared" si="184"/>
        <v>48.66048</v>
      </c>
      <c r="AG100" s="236"/>
      <c r="AH100" s="1116">
        <f t="shared" si="184"/>
        <v>42.598399999999998</v>
      </c>
      <c r="AI100" s="1116">
        <f t="shared" si="184"/>
        <v>51.118079999999992</v>
      </c>
      <c r="AJ100" s="236"/>
      <c r="AK100" s="1116">
        <f t="shared" si="184"/>
        <v>50.790400000000005</v>
      </c>
      <c r="AL100" s="1116">
        <f t="shared" si="184"/>
        <v>51.118079999999992</v>
      </c>
    </row>
    <row r="101" spans="2:38" x14ac:dyDescent="0.45">
      <c r="B101" s="236"/>
      <c r="C101" s="236" t="s">
        <v>2164</v>
      </c>
      <c r="D101" s="236" t="s">
        <v>5</v>
      </c>
      <c r="E101" s="1125">
        <f>$E$93/(1/E100)</f>
        <v>14.313062400000002</v>
      </c>
      <c r="F101" s="1125">
        <f>$E$93/(1/F100)</f>
        <v>14.459114057142855</v>
      </c>
      <c r="G101" s="1125">
        <f t="shared" ref="G101:AL101" si="185">$E$93/(1/G100)</f>
        <v>14.605165714285713</v>
      </c>
      <c r="H101" s="1125">
        <f t="shared" si="185"/>
        <v>14.751217371428572</v>
      </c>
      <c r="I101" s="1125">
        <f t="shared" si="185"/>
        <v>14.897269028571428</v>
      </c>
      <c r="J101" s="1125">
        <f t="shared" si="185"/>
        <v>15.043320685714287</v>
      </c>
      <c r="K101" s="1125">
        <f t="shared" si="185"/>
        <v>15.189372342857142</v>
      </c>
      <c r="L101" s="1125">
        <f t="shared" si="185"/>
        <v>15.335423999999998</v>
      </c>
      <c r="M101" s="1125">
        <f t="shared" si="185"/>
        <v>15.481475657142859</v>
      </c>
      <c r="N101" s="1125">
        <f t="shared" si="185"/>
        <v>15.627527314285718</v>
      </c>
      <c r="O101" s="1125">
        <f t="shared" si="185"/>
        <v>15.773578971428572</v>
      </c>
      <c r="P101" s="1125">
        <f t="shared" si="185"/>
        <v>15.919630628571428</v>
      </c>
      <c r="Q101" s="1125">
        <f t="shared" si="185"/>
        <v>16.065682285714288</v>
      </c>
      <c r="R101" s="1125">
        <f t="shared" si="185"/>
        <v>16.211733942857144</v>
      </c>
      <c r="S101" s="1125">
        <f t="shared" si="185"/>
        <v>16.357785600000003</v>
      </c>
      <c r="T101" s="1125">
        <f t="shared" si="185"/>
        <v>16.503837257142855</v>
      </c>
      <c r="U101" s="1125">
        <f t="shared" si="185"/>
        <v>16.649888914285718</v>
      </c>
      <c r="V101" s="1125">
        <f t="shared" si="185"/>
        <v>16.79594057142857</v>
      </c>
      <c r="W101" s="1125">
        <f t="shared" si="185"/>
        <v>16.941992228571429</v>
      </c>
      <c r="X101" s="1125">
        <f t="shared" si="185"/>
        <v>17.088043885714281</v>
      </c>
      <c r="Y101" s="1125">
        <f t="shared" si="185"/>
        <v>17.234095542857141</v>
      </c>
      <c r="Z101" s="1125">
        <f t="shared" si="185"/>
        <v>17.3801472</v>
      </c>
      <c r="AA101" s="1125">
        <f t="shared" si="185"/>
        <v>17.526198857142855</v>
      </c>
      <c r="AB101" s="1125">
        <f t="shared" si="185"/>
        <v>17.672250514285714</v>
      </c>
      <c r="AC101" s="1125">
        <f t="shared" si="185"/>
        <v>17.81830217142857</v>
      </c>
      <c r="AD101" s="236"/>
      <c r="AE101" s="1125">
        <f t="shared" si="185"/>
        <v>16.178029714285714</v>
      </c>
      <c r="AF101" s="1125">
        <f t="shared" si="185"/>
        <v>16.683593142857141</v>
      </c>
      <c r="AG101" s="236"/>
      <c r="AH101" s="1125">
        <f t="shared" si="185"/>
        <v>14.605165714285713</v>
      </c>
      <c r="AI101" s="1125">
        <f t="shared" si="185"/>
        <v>17.526198857142855</v>
      </c>
      <c r="AJ101" s="236"/>
      <c r="AK101" s="1125">
        <f t="shared" si="185"/>
        <v>17.41385142857143</v>
      </c>
      <c r="AL101" s="1125">
        <f t="shared" si="185"/>
        <v>17.526198857142855</v>
      </c>
    </row>
    <row r="102" spans="2:38" x14ac:dyDescent="0.45">
      <c r="B102" s="236"/>
      <c r="C102" s="236" t="s">
        <v>2165</v>
      </c>
      <c r="D102" s="236" t="s">
        <v>5</v>
      </c>
      <c r="E102" s="1125">
        <f>$E$94/(1/E100)</f>
        <v>7.1565312000000008</v>
      </c>
      <c r="F102" s="1125">
        <f>$E$94/(1/F100)</f>
        <v>7.2295570285714277</v>
      </c>
      <c r="G102" s="1125">
        <f t="shared" ref="G102:AL102" si="186">$E$94/(1/G100)</f>
        <v>7.3025828571428564</v>
      </c>
      <c r="H102" s="1125">
        <f t="shared" si="186"/>
        <v>7.375608685714286</v>
      </c>
      <c r="I102" s="1125">
        <f t="shared" si="186"/>
        <v>7.4486345142857138</v>
      </c>
      <c r="J102" s="1125">
        <f t="shared" si="186"/>
        <v>7.5216603428571434</v>
      </c>
      <c r="K102" s="1125">
        <f t="shared" si="186"/>
        <v>7.5946861714285712</v>
      </c>
      <c r="L102" s="1125">
        <f t="shared" si="186"/>
        <v>7.667711999999999</v>
      </c>
      <c r="M102" s="1125">
        <f t="shared" si="186"/>
        <v>7.7407378285714294</v>
      </c>
      <c r="N102" s="1125">
        <f t="shared" si="186"/>
        <v>7.813763657142859</v>
      </c>
      <c r="O102" s="1125">
        <f t="shared" si="186"/>
        <v>7.886789485714286</v>
      </c>
      <c r="P102" s="1125">
        <f t="shared" si="186"/>
        <v>7.9598153142857138</v>
      </c>
      <c r="Q102" s="1125">
        <f t="shared" si="186"/>
        <v>8.0328411428571442</v>
      </c>
      <c r="R102" s="1125">
        <f t="shared" si="186"/>
        <v>8.105866971428572</v>
      </c>
      <c r="S102" s="1125">
        <f t="shared" si="186"/>
        <v>8.1788928000000016</v>
      </c>
      <c r="T102" s="1125">
        <f t="shared" si="186"/>
        <v>8.2519186285714277</v>
      </c>
      <c r="U102" s="1125">
        <f t="shared" si="186"/>
        <v>8.324944457142859</v>
      </c>
      <c r="V102" s="1125">
        <f t="shared" si="186"/>
        <v>8.3979702857142851</v>
      </c>
      <c r="W102" s="1125">
        <f t="shared" si="186"/>
        <v>8.4709961142857146</v>
      </c>
      <c r="X102" s="1125">
        <f t="shared" si="186"/>
        <v>8.5440219428571407</v>
      </c>
      <c r="Y102" s="1125">
        <f t="shared" si="186"/>
        <v>8.6170477714285703</v>
      </c>
      <c r="Z102" s="1125">
        <f t="shared" si="186"/>
        <v>8.6900735999999998</v>
      </c>
      <c r="AA102" s="1125">
        <f t="shared" si="186"/>
        <v>8.7630994285714277</v>
      </c>
      <c r="AB102" s="1125">
        <f t="shared" si="186"/>
        <v>8.8361252571428572</v>
      </c>
      <c r="AC102" s="1125">
        <f t="shared" si="186"/>
        <v>8.909151085714285</v>
      </c>
      <c r="AD102" s="236"/>
      <c r="AE102" s="1125">
        <f t="shared" si="186"/>
        <v>8.0890148571428568</v>
      </c>
      <c r="AF102" s="1125">
        <f t="shared" si="186"/>
        <v>8.3417965714285707</v>
      </c>
      <c r="AG102" s="236"/>
      <c r="AH102" s="1125">
        <f t="shared" si="186"/>
        <v>7.3025828571428564</v>
      </c>
      <c r="AI102" s="1125">
        <f t="shared" si="186"/>
        <v>8.7630994285714277</v>
      </c>
      <c r="AJ102" s="236"/>
      <c r="AK102" s="1125">
        <f t="shared" si="186"/>
        <v>8.706925714285715</v>
      </c>
      <c r="AL102" s="1125">
        <f t="shared" si="186"/>
        <v>8.7630994285714277</v>
      </c>
    </row>
    <row r="103" spans="2:38" x14ac:dyDescent="0.45">
      <c r="B103" s="236"/>
      <c r="C103" s="236" t="s">
        <v>2635</v>
      </c>
      <c r="D103" s="236" t="s">
        <v>5</v>
      </c>
      <c r="E103" s="1125">
        <f>E101+E102</f>
        <v>21.469593600000003</v>
      </c>
      <c r="F103" s="1125">
        <f t="shared" ref="F103:AL103" si="187">F101+F102</f>
        <v>21.688671085714283</v>
      </c>
      <c r="G103" s="1125">
        <f t="shared" si="187"/>
        <v>21.90774857142857</v>
      </c>
      <c r="H103" s="1125">
        <f t="shared" si="187"/>
        <v>22.126826057142857</v>
      </c>
      <c r="I103" s="1125">
        <f t="shared" si="187"/>
        <v>22.34590354285714</v>
      </c>
      <c r="J103" s="1125">
        <f t="shared" si="187"/>
        <v>22.564981028571431</v>
      </c>
      <c r="K103" s="1125">
        <f t="shared" si="187"/>
        <v>22.784058514285714</v>
      </c>
      <c r="L103" s="1125">
        <f t="shared" si="187"/>
        <v>23.003135999999998</v>
      </c>
      <c r="M103" s="1125">
        <f t="shared" si="187"/>
        <v>23.222213485714288</v>
      </c>
      <c r="N103" s="1125">
        <f t="shared" si="187"/>
        <v>23.441290971428579</v>
      </c>
      <c r="O103" s="1125">
        <f t="shared" si="187"/>
        <v>23.660368457142859</v>
      </c>
      <c r="P103" s="1125">
        <f t="shared" si="187"/>
        <v>23.879445942857142</v>
      </c>
      <c r="Q103" s="1125">
        <f t="shared" si="187"/>
        <v>24.098523428571433</v>
      </c>
      <c r="R103" s="1125">
        <f t="shared" si="187"/>
        <v>24.317600914285716</v>
      </c>
      <c r="S103" s="1125">
        <f t="shared" si="187"/>
        <v>24.536678400000007</v>
      </c>
      <c r="T103" s="1125">
        <f t="shared" si="187"/>
        <v>24.755755885714283</v>
      </c>
      <c r="U103" s="1125">
        <f t="shared" si="187"/>
        <v>24.974833371428577</v>
      </c>
      <c r="V103" s="1125">
        <f t="shared" si="187"/>
        <v>25.193910857142853</v>
      </c>
      <c r="W103" s="1125">
        <f t="shared" si="187"/>
        <v>25.412988342857144</v>
      </c>
      <c r="X103" s="1125">
        <f t="shared" si="187"/>
        <v>25.63206582857142</v>
      </c>
      <c r="Y103" s="1125">
        <f t="shared" si="187"/>
        <v>25.851143314285711</v>
      </c>
      <c r="Z103" s="1125">
        <f t="shared" si="187"/>
        <v>26.070220800000001</v>
      </c>
      <c r="AA103" s="1125">
        <f t="shared" si="187"/>
        <v>26.289298285714281</v>
      </c>
      <c r="AB103" s="1125">
        <f t="shared" si="187"/>
        <v>26.508375771428572</v>
      </c>
      <c r="AC103" s="1125">
        <f t="shared" si="187"/>
        <v>26.727453257142855</v>
      </c>
      <c r="AD103" s="236"/>
      <c r="AE103" s="1125">
        <f t="shared" si="187"/>
        <v>24.267044571428571</v>
      </c>
      <c r="AF103" s="1125">
        <f t="shared" si="187"/>
        <v>25.025389714285712</v>
      </c>
      <c r="AG103" s="236"/>
      <c r="AH103" s="1125">
        <f t="shared" si="187"/>
        <v>21.90774857142857</v>
      </c>
      <c r="AI103" s="1125">
        <f t="shared" si="187"/>
        <v>26.289298285714281</v>
      </c>
      <c r="AJ103" s="236"/>
      <c r="AK103" s="1125">
        <f t="shared" si="187"/>
        <v>26.120777142857143</v>
      </c>
      <c r="AL103" s="1125">
        <f t="shared" si="187"/>
        <v>26.289298285714281</v>
      </c>
    </row>
    <row r="104" spans="2:38" x14ac:dyDescent="0.45">
      <c r="B104" s="236" t="s">
        <v>2636</v>
      </c>
      <c r="C104" s="255">
        <v>1.5</v>
      </c>
      <c r="D104" s="236" t="s">
        <v>1940</v>
      </c>
      <c r="AD104" s="236"/>
      <c r="AG104" s="236"/>
      <c r="AJ104" s="236"/>
    </row>
    <row r="105" spans="2:38" x14ac:dyDescent="0.45">
      <c r="B105" s="236"/>
      <c r="C105" s="1127">
        <f>$E$95*$C$104</f>
        <v>0.77142857142857135</v>
      </c>
      <c r="D105" s="236" t="s">
        <v>1</v>
      </c>
      <c r="AD105" s="236"/>
      <c r="AG105" s="236"/>
      <c r="AJ105" s="236"/>
    </row>
    <row r="106" spans="2:38" x14ac:dyDescent="0.45">
      <c r="B106" s="236"/>
      <c r="C106" s="1126">
        <f>MROUND($C$105/(1/AA25),1)</f>
        <v>39</v>
      </c>
      <c r="D106" s="236" t="s">
        <v>5</v>
      </c>
      <c r="E106" s="1116">
        <f t="shared" ref="E106:AC106" si="188">$C$106*(1/E25)</f>
        <v>0.93421157525510201</v>
      </c>
      <c r="F106" s="1116">
        <f t="shared" si="188"/>
        <v>0.92477509469696983</v>
      </c>
      <c r="G106" s="1116">
        <f t="shared" si="188"/>
        <v>0.91552734375000011</v>
      </c>
      <c r="H106" s="1116">
        <f t="shared" si="188"/>
        <v>0.90646271658415845</v>
      </c>
      <c r="I106" s="1116">
        <f t="shared" si="188"/>
        <v>0.89757582720588236</v>
      </c>
      <c r="J106" s="1116">
        <f t="shared" si="188"/>
        <v>0.88886149878640774</v>
      </c>
      <c r="K106" s="1116">
        <f t="shared" si="188"/>
        <v>0.88031475360576927</v>
      </c>
      <c r="L106" s="1116">
        <f t="shared" si="188"/>
        <v>0.87193080357142871</v>
      </c>
      <c r="M106" s="1116">
        <f t="shared" si="188"/>
        <v>0.86370504127358483</v>
      </c>
      <c r="N106" s="1116">
        <f t="shared" si="188"/>
        <v>0.85563303154205594</v>
      </c>
      <c r="O106" s="1116">
        <f t="shared" si="188"/>
        <v>0.84771050347222221</v>
      </c>
      <c r="P106" s="1116">
        <f t="shared" si="188"/>
        <v>0.83993334288990829</v>
      </c>
      <c r="Q106" s="1116">
        <f t="shared" si="188"/>
        <v>0.8322975852272726</v>
      </c>
      <c r="R106" s="1116">
        <f t="shared" si="188"/>
        <v>0.82479940878378377</v>
      </c>
      <c r="S106" s="1116">
        <f t="shared" si="188"/>
        <v>0.81743512834821419</v>
      </c>
      <c r="T106" s="1116">
        <f t="shared" si="188"/>
        <v>0.81020118915929207</v>
      </c>
      <c r="U106" s="1116">
        <f t="shared" si="188"/>
        <v>0.8030941611842104</v>
      </c>
      <c r="V106" s="1116">
        <f t="shared" si="188"/>
        <v>0.79611073369565222</v>
      </c>
      <c r="W106" s="1116">
        <f t="shared" si="188"/>
        <v>0.78924771012931028</v>
      </c>
      <c r="X106" s="1116">
        <f t="shared" si="188"/>
        <v>0.7825020032051283</v>
      </c>
      <c r="Y106" s="1116">
        <f t="shared" si="188"/>
        <v>0.77587063029661019</v>
      </c>
      <c r="Z106" s="1116">
        <f t="shared" si="188"/>
        <v>0.76935070903361347</v>
      </c>
      <c r="AA106" s="1116">
        <f t="shared" si="188"/>
        <v>0.76293945312500011</v>
      </c>
      <c r="AB106" s="1116">
        <f t="shared" si="188"/>
        <v>0.75663416838842967</v>
      </c>
      <c r="AC106" s="1116">
        <f t="shared" si="188"/>
        <v>0.75043224897540994</v>
      </c>
      <c r="AD106" s="236"/>
      <c r="AE106" s="1116">
        <f>$C$106*(1/AE25)</f>
        <v>0.82651774088541663</v>
      </c>
      <c r="AF106" s="1116">
        <f>$C$106*(1/AF25)</f>
        <v>0.80147174873737381</v>
      </c>
      <c r="AG106" s="236"/>
      <c r="AH106" s="1116">
        <f>$C$106*(1/AH25)</f>
        <v>0.91552734375000011</v>
      </c>
      <c r="AI106" s="1116">
        <f>$C$106*(1/AI25)</f>
        <v>0.76293945312500011</v>
      </c>
      <c r="AJ106" s="236"/>
      <c r="AK106" s="1116">
        <f>$C$106*(1/AK25)</f>
        <v>0.76786164314516125</v>
      </c>
      <c r="AL106" s="1116">
        <f>$C$106*(1/AL25)</f>
        <v>0.76293945312500011</v>
      </c>
    </row>
    <row r="107" spans="2:38" x14ac:dyDescent="0.45">
      <c r="B107" s="236"/>
      <c r="C107" s="236" t="s">
        <v>2644</v>
      </c>
      <c r="D107" s="236" t="s">
        <v>1940</v>
      </c>
      <c r="E107" s="1130">
        <f>E106/$E$95</f>
        <v>1.8165225074404763</v>
      </c>
      <c r="F107" s="1130">
        <f t="shared" ref="F107:AB107" si="189">F106/$E$95</f>
        <v>1.7981737952441081</v>
      </c>
      <c r="G107" s="1130">
        <f t="shared" si="189"/>
        <v>1.780192057291667</v>
      </c>
      <c r="H107" s="1130">
        <f t="shared" si="189"/>
        <v>1.762566393358086</v>
      </c>
      <c r="I107" s="1130">
        <f t="shared" si="189"/>
        <v>1.7452863306781048</v>
      </c>
      <c r="J107" s="1130">
        <f t="shared" si="189"/>
        <v>1.7283418031957931</v>
      </c>
      <c r="K107" s="1130">
        <f t="shared" si="189"/>
        <v>1.7117231320112183</v>
      </c>
      <c r="L107" s="1130">
        <f t="shared" si="189"/>
        <v>1.6954210069444449</v>
      </c>
      <c r="M107" s="1130">
        <f t="shared" si="189"/>
        <v>1.6794264691430818</v>
      </c>
      <c r="N107" s="1130">
        <f t="shared" si="189"/>
        <v>1.663730894665109</v>
      </c>
      <c r="O107" s="1130">
        <f t="shared" si="189"/>
        <v>1.6483259789737656</v>
      </c>
      <c r="P107" s="1130">
        <f t="shared" si="189"/>
        <v>1.633203722285933</v>
      </c>
      <c r="Q107" s="1130">
        <f t="shared" si="189"/>
        <v>1.6183564157196968</v>
      </c>
      <c r="R107" s="1130">
        <f t="shared" si="189"/>
        <v>1.6037766281906909</v>
      </c>
      <c r="S107" s="1130">
        <f t="shared" si="189"/>
        <v>1.5894571940104167</v>
      </c>
      <c r="T107" s="1130">
        <f t="shared" si="189"/>
        <v>1.575391201143068</v>
      </c>
      <c r="U107" s="1130">
        <f t="shared" si="189"/>
        <v>1.5615719800804093</v>
      </c>
      <c r="V107" s="1130">
        <f t="shared" si="189"/>
        <v>1.5479930932971018</v>
      </c>
      <c r="W107" s="1130">
        <f t="shared" si="189"/>
        <v>1.5346483252514369</v>
      </c>
      <c r="X107" s="1130">
        <f t="shared" si="189"/>
        <v>1.5215316728988608</v>
      </c>
      <c r="Y107" s="1130">
        <f t="shared" si="189"/>
        <v>1.5086373366878534</v>
      </c>
      <c r="Z107" s="1130">
        <f t="shared" si="189"/>
        <v>1.495959712009804</v>
      </c>
      <c r="AA107" s="1130">
        <f t="shared" si="189"/>
        <v>1.4834933810763893</v>
      </c>
      <c r="AB107" s="1130">
        <f t="shared" si="189"/>
        <v>1.4712331051997245</v>
      </c>
      <c r="AC107" s="1130">
        <f>AC106/$E$95</f>
        <v>1.4591738174521862</v>
      </c>
      <c r="AD107" s="929"/>
      <c r="AE107" s="1130">
        <f t="shared" ref="AE107" si="190">AE106/$E$95</f>
        <v>1.6071178294994213</v>
      </c>
      <c r="AF107" s="1130">
        <f t="shared" ref="AF107" si="191">AF106/$E$95</f>
        <v>1.5584172892115604</v>
      </c>
      <c r="AG107" s="929"/>
      <c r="AH107" s="1130">
        <f t="shared" ref="AH107" si="192">AH106/$E$95</f>
        <v>1.780192057291667</v>
      </c>
      <c r="AI107" s="1130">
        <f t="shared" ref="AI107" si="193">AI106/$E$95</f>
        <v>1.4834933810763893</v>
      </c>
      <c r="AJ107" s="929"/>
      <c r="AK107" s="1130">
        <f t="shared" ref="AK107" si="194">AK106/$E$95</f>
        <v>1.4930643061155915</v>
      </c>
      <c r="AL107" s="1130">
        <f t="shared" ref="AL107" si="195">AL106/$E$95</f>
        <v>1.4834933810763893</v>
      </c>
    </row>
    <row r="108" spans="2:38" x14ac:dyDescent="0.45">
      <c r="B108" s="236"/>
      <c r="C108" s="236"/>
      <c r="D108" s="236"/>
      <c r="E108" s="236"/>
      <c r="F108" s="236"/>
      <c r="G108" s="236"/>
      <c r="H108" s="236"/>
      <c r="I108" s="236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  <c r="W108" s="236"/>
      <c r="X108" s="236"/>
      <c r="Y108" s="236"/>
      <c r="Z108" s="236"/>
      <c r="AA108" s="236"/>
      <c r="AB108" s="236"/>
      <c r="AC108" s="236"/>
      <c r="AD108" s="236"/>
      <c r="AE108" s="236"/>
      <c r="AF108" s="236"/>
      <c r="AG108" s="236"/>
      <c r="AH108" s="236"/>
      <c r="AI108" s="236"/>
      <c r="AJ108" s="236"/>
      <c r="AK108" s="236"/>
      <c r="AL108" s="236"/>
    </row>
    <row r="109" spans="2:38" x14ac:dyDescent="0.45">
      <c r="B109" s="232" t="s">
        <v>2640</v>
      </c>
      <c r="C109" s="236"/>
      <c r="D109" s="236"/>
      <c r="AD109" s="236"/>
      <c r="AG109" s="236"/>
      <c r="AJ109" s="236"/>
    </row>
    <row r="110" spans="2:38" x14ac:dyDescent="0.45">
      <c r="B110" s="236" t="s">
        <v>2641</v>
      </c>
      <c r="C110" s="236" t="s">
        <v>2164</v>
      </c>
      <c r="D110" s="255">
        <v>20</v>
      </c>
      <c r="E110" s="1116">
        <f>$D$110*(1/E100)</f>
        <v>0.4790828591051805</v>
      </c>
      <c r="F110" s="1116">
        <f t="shared" ref="F110:AL110" si="196">$D$110*(1/F100)</f>
        <v>0.47424363830613836</v>
      </c>
      <c r="G110" s="1116">
        <f t="shared" si="196"/>
        <v>0.46950120192307698</v>
      </c>
      <c r="H110" s="1116">
        <f t="shared" si="196"/>
        <v>0.46485267517136331</v>
      </c>
      <c r="I110" s="1116">
        <f t="shared" si="196"/>
        <v>0.46029529600301661</v>
      </c>
      <c r="J110" s="1116">
        <f t="shared" si="196"/>
        <v>0.45582640963405524</v>
      </c>
      <c r="K110" s="1116">
        <f t="shared" si="196"/>
        <v>0.45144346338757402</v>
      </c>
      <c r="L110" s="1116">
        <f t="shared" si="196"/>
        <v>0.44714400183150194</v>
      </c>
      <c r="M110" s="1116">
        <f t="shared" si="196"/>
        <v>0.44292566219158197</v>
      </c>
      <c r="N110" s="1116">
        <f t="shared" si="196"/>
        <v>0.43878617002156717</v>
      </c>
      <c r="O110" s="1116">
        <f t="shared" si="196"/>
        <v>0.43472333511396011</v>
      </c>
      <c r="P110" s="1116">
        <f t="shared" si="196"/>
        <v>0.43073504763585041</v>
      </c>
      <c r="Q110" s="1116">
        <f t="shared" si="196"/>
        <v>0.42681927447552442</v>
      </c>
      <c r="R110" s="1116">
        <f t="shared" si="196"/>
        <v>0.42297405578655578</v>
      </c>
      <c r="S110" s="1116">
        <f t="shared" si="196"/>
        <v>0.41919750171703291</v>
      </c>
      <c r="T110" s="1116">
        <f t="shared" si="196"/>
        <v>0.4154877893124575</v>
      </c>
      <c r="U110" s="1116">
        <f t="shared" si="196"/>
        <v>0.41184315958164636</v>
      </c>
      <c r="V110" s="1116">
        <f t="shared" si="196"/>
        <v>0.4082619147157191</v>
      </c>
      <c r="W110" s="1116">
        <f t="shared" si="196"/>
        <v>0.40474241545092832</v>
      </c>
      <c r="X110" s="1116">
        <f t="shared" si="196"/>
        <v>0.40128307856673251</v>
      </c>
      <c r="Y110" s="1116">
        <f t="shared" si="196"/>
        <v>0.39788237451108216</v>
      </c>
      <c r="Z110" s="1116">
        <f t="shared" si="196"/>
        <v>0.39453882514544281</v>
      </c>
      <c r="AA110" s="1116">
        <f t="shared" si="196"/>
        <v>0.39125100160256415</v>
      </c>
      <c r="AB110" s="1116">
        <f t="shared" si="196"/>
        <v>0.38801752225047675</v>
      </c>
      <c r="AC110" s="1116">
        <f t="shared" si="196"/>
        <v>0.38483705075662045</v>
      </c>
      <c r="AD110" s="236"/>
      <c r="AE110" s="1116">
        <f t="shared" si="196"/>
        <v>0.4238552517361111</v>
      </c>
      <c r="AF110" s="1116">
        <f t="shared" si="196"/>
        <v>0.41101115319865322</v>
      </c>
      <c r="AG110" s="236"/>
      <c r="AH110" s="1116">
        <f t="shared" si="196"/>
        <v>0.46950120192307698</v>
      </c>
      <c r="AI110" s="1116">
        <f t="shared" si="196"/>
        <v>0.39125100160256415</v>
      </c>
      <c r="AJ110" s="236"/>
      <c r="AK110" s="1116">
        <f t="shared" si="196"/>
        <v>0.39377520161290319</v>
      </c>
      <c r="AL110" s="1116">
        <f t="shared" si="196"/>
        <v>0.39125100160256415</v>
      </c>
    </row>
    <row r="111" spans="2:38" x14ac:dyDescent="0.45">
      <c r="B111" s="236"/>
      <c r="C111" s="236" t="s">
        <v>2165</v>
      </c>
      <c r="D111" s="255">
        <f>D110/2</f>
        <v>10</v>
      </c>
      <c r="E111" s="1116">
        <f>$D$111*(1/E100)</f>
        <v>0.23954142955259025</v>
      </c>
      <c r="F111" s="1116">
        <f t="shared" ref="F111:AL111" si="197">$D$111*(1/F100)</f>
        <v>0.23712181915306918</v>
      </c>
      <c r="G111" s="1116">
        <f t="shared" si="197"/>
        <v>0.23475060096153849</v>
      </c>
      <c r="H111" s="1116">
        <f t="shared" si="197"/>
        <v>0.23242633758568165</v>
      </c>
      <c r="I111" s="1116">
        <f t="shared" si="197"/>
        <v>0.2301476480015083</v>
      </c>
      <c r="J111" s="1116">
        <f t="shared" si="197"/>
        <v>0.22791320481702762</v>
      </c>
      <c r="K111" s="1116">
        <f t="shared" si="197"/>
        <v>0.22572173169378701</v>
      </c>
      <c r="L111" s="1116">
        <f t="shared" si="197"/>
        <v>0.22357200091575097</v>
      </c>
      <c r="M111" s="1116">
        <f t="shared" si="197"/>
        <v>0.22146283109579099</v>
      </c>
      <c r="N111" s="1116">
        <f t="shared" si="197"/>
        <v>0.21939308501078358</v>
      </c>
      <c r="O111" s="1116">
        <f t="shared" si="197"/>
        <v>0.21736166755698005</v>
      </c>
      <c r="P111" s="1116">
        <f t="shared" si="197"/>
        <v>0.2153675238179252</v>
      </c>
      <c r="Q111" s="1116">
        <f t="shared" si="197"/>
        <v>0.21340963723776221</v>
      </c>
      <c r="R111" s="1116">
        <f t="shared" si="197"/>
        <v>0.21148702789327789</v>
      </c>
      <c r="S111" s="1116">
        <f t="shared" si="197"/>
        <v>0.20959875085851645</v>
      </c>
      <c r="T111" s="1116">
        <f t="shared" si="197"/>
        <v>0.20774389465622875</v>
      </c>
      <c r="U111" s="1116">
        <f t="shared" si="197"/>
        <v>0.20592157979082318</v>
      </c>
      <c r="V111" s="1116">
        <f t="shared" si="197"/>
        <v>0.20413095735785955</v>
      </c>
      <c r="W111" s="1116">
        <f t="shared" si="197"/>
        <v>0.20237120772546416</v>
      </c>
      <c r="X111" s="1116">
        <f t="shared" si="197"/>
        <v>0.20064153928336625</v>
      </c>
      <c r="Y111" s="1116">
        <f t="shared" si="197"/>
        <v>0.19894118725554108</v>
      </c>
      <c r="Z111" s="1116">
        <f t="shared" si="197"/>
        <v>0.1972694125727214</v>
      </c>
      <c r="AA111" s="1116">
        <f t="shared" si="197"/>
        <v>0.19562550080128208</v>
      </c>
      <c r="AB111" s="1116">
        <f t="shared" si="197"/>
        <v>0.19400876112523838</v>
      </c>
      <c r="AC111" s="1116">
        <f t="shared" si="197"/>
        <v>0.19241852537831022</v>
      </c>
      <c r="AD111" s="236"/>
      <c r="AE111" s="1116">
        <f t="shared" si="197"/>
        <v>0.21192762586805555</v>
      </c>
      <c r="AF111" s="1116">
        <f t="shared" si="197"/>
        <v>0.20550557659932661</v>
      </c>
      <c r="AG111" s="236"/>
      <c r="AH111" s="1116">
        <f t="shared" si="197"/>
        <v>0.23475060096153849</v>
      </c>
      <c r="AI111" s="1116">
        <f t="shared" si="197"/>
        <v>0.19562550080128208</v>
      </c>
      <c r="AJ111" s="236"/>
      <c r="AK111" s="1116">
        <f t="shared" si="197"/>
        <v>0.1968876008064516</v>
      </c>
      <c r="AL111" s="1116">
        <f t="shared" si="197"/>
        <v>0.19562550080128208</v>
      </c>
    </row>
    <row r="112" spans="2:38" x14ac:dyDescent="0.45">
      <c r="B112" s="236"/>
      <c r="C112" s="236" t="s">
        <v>2635</v>
      </c>
      <c r="D112" s="236" t="s">
        <v>1</v>
      </c>
      <c r="E112" s="1128">
        <f>E110+E111</f>
        <v>0.71862428865777073</v>
      </c>
      <c r="F112" s="1128">
        <f t="shared" ref="F112:AL112" si="198">F110+F111</f>
        <v>0.71136545745920754</v>
      </c>
      <c r="G112" s="1128">
        <f t="shared" si="198"/>
        <v>0.70425180288461542</v>
      </c>
      <c r="H112" s="1128">
        <f t="shared" si="198"/>
        <v>0.69727901275704496</v>
      </c>
      <c r="I112" s="1128">
        <f t="shared" si="198"/>
        <v>0.69044294400452488</v>
      </c>
      <c r="J112" s="1128">
        <f t="shared" si="198"/>
        <v>0.68373961445108289</v>
      </c>
      <c r="K112" s="1128">
        <f t="shared" si="198"/>
        <v>0.67716519508136108</v>
      </c>
      <c r="L112" s="1128">
        <f t="shared" si="198"/>
        <v>0.67071600274725296</v>
      </c>
      <c r="M112" s="1128">
        <f t="shared" si="198"/>
        <v>0.66438849328737293</v>
      </c>
      <c r="N112" s="1128">
        <f t="shared" si="198"/>
        <v>0.65817925503235075</v>
      </c>
      <c r="O112" s="1128">
        <f t="shared" si="198"/>
        <v>0.65208500267094016</v>
      </c>
      <c r="P112" s="1128">
        <f t="shared" si="198"/>
        <v>0.64610257145377559</v>
      </c>
      <c r="Q112" s="1128">
        <f t="shared" si="198"/>
        <v>0.64022891171328666</v>
      </c>
      <c r="R112" s="1128">
        <f t="shared" si="198"/>
        <v>0.63446108367983367</v>
      </c>
      <c r="S112" s="1128">
        <f t="shared" si="198"/>
        <v>0.62879625257554939</v>
      </c>
      <c r="T112" s="1128">
        <f t="shared" si="198"/>
        <v>0.62323168396868622</v>
      </c>
      <c r="U112" s="1128">
        <f t="shared" si="198"/>
        <v>0.61776473937246956</v>
      </c>
      <c r="V112" s="1128">
        <f t="shared" si="198"/>
        <v>0.61239287207357862</v>
      </c>
      <c r="W112" s="1128">
        <f t="shared" si="198"/>
        <v>0.6071136231763925</v>
      </c>
      <c r="X112" s="1128">
        <f t="shared" si="198"/>
        <v>0.60192461785009876</v>
      </c>
      <c r="Y112" s="1128">
        <f t="shared" si="198"/>
        <v>0.59682356176662321</v>
      </c>
      <c r="Z112" s="1128">
        <f t="shared" si="198"/>
        <v>0.59180823771816415</v>
      </c>
      <c r="AA112" s="1128">
        <f t="shared" si="198"/>
        <v>0.58687650240384626</v>
      </c>
      <c r="AB112" s="1128">
        <f t="shared" si="198"/>
        <v>0.58202628337571516</v>
      </c>
      <c r="AC112" s="1128">
        <f t="shared" si="198"/>
        <v>0.57725557613493073</v>
      </c>
      <c r="AD112" s="236"/>
      <c r="AE112" s="1128">
        <f t="shared" si="198"/>
        <v>0.63578287760416663</v>
      </c>
      <c r="AF112" s="1128">
        <f t="shared" si="198"/>
        <v>0.61651672979797989</v>
      </c>
      <c r="AG112" s="236"/>
      <c r="AH112" s="1128">
        <f t="shared" si="198"/>
        <v>0.70425180288461542</v>
      </c>
      <c r="AI112" s="1128">
        <f t="shared" si="198"/>
        <v>0.58687650240384626</v>
      </c>
      <c r="AJ112" s="236"/>
      <c r="AK112" s="1128">
        <f t="shared" si="198"/>
        <v>0.59066280241935476</v>
      </c>
      <c r="AL112" s="1128">
        <f t="shared" si="198"/>
        <v>0.58687650240384626</v>
      </c>
    </row>
    <row r="113" spans="2:38" x14ac:dyDescent="0.45">
      <c r="B113" s="236"/>
      <c r="C113" s="236"/>
      <c r="D113" s="236" t="s">
        <v>6</v>
      </c>
      <c r="E113" s="1129">
        <f>1/E112</f>
        <v>1.3915477333333335</v>
      </c>
      <c r="F113" s="1129">
        <f t="shared" ref="F113:AL113" si="199">1/F112</f>
        <v>1.4057471999999998</v>
      </c>
      <c r="G113" s="1129">
        <f t="shared" si="199"/>
        <v>1.4199466666666667</v>
      </c>
      <c r="H113" s="1129">
        <f t="shared" si="199"/>
        <v>1.4341461333333332</v>
      </c>
      <c r="I113" s="1129">
        <f t="shared" si="199"/>
        <v>1.4483455999999999</v>
      </c>
      <c r="J113" s="1129">
        <f t="shared" si="199"/>
        <v>1.4625450666666666</v>
      </c>
      <c r="K113" s="1129">
        <f t="shared" si="199"/>
        <v>1.4767445333333331</v>
      </c>
      <c r="L113" s="1129">
        <f t="shared" si="199"/>
        <v>1.4909439999999996</v>
      </c>
      <c r="M113" s="1129">
        <f t="shared" si="199"/>
        <v>1.5051434666666668</v>
      </c>
      <c r="N113" s="1129">
        <f t="shared" si="199"/>
        <v>1.5193429333333335</v>
      </c>
      <c r="O113" s="1129">
        <f t="shared" si="199"/>
        <v>1.5335424</v>
      </c>
      <c r="P113" s="1129">
        <f t="shared" si="199"/>
        <v>1.5477418666666667</v>
      </c>
      <c r="Q113" s="1129">
        <f t="shared" si="199"/>
        <v>1.5619413333333334</v>
      </c>
      <c r="R113" s="1129">
        <f t="shared" si="199"/>
        <v>1.5761408000000001</v>
      </c>
      <c r="S113" s="1129">
        <f t="shared" si="199"/>
        <v>1.5903402666666668</v>
      </c>
      <c r="T113" s="1129">
        <f t="shared" si="199"/>
        <v>1.6045397333333333</v>
      </c>
      <c r="U113" s="1129">
        <f t="shared" si="199"/>
        <v>1.6187392000000003</v>
      </c>
      <c r="V113" s="1129">
        <f t="shared" si="199"/>
        <v>1.6329386666666665</v>
      </c>
      <c r="W113" s="1129">
        <f t="shared" si="199"/>
        <v>1.6471381333333335</v>
      </c>
      <c r="X113" s="1129">
        <f t="shared" si="199"/>
        <v>1.6613375999999995</v>
      </c>
      <c r="Y113" s="1129">
        <f t="shared" si="199"/>
        <v>1.6755370666666667</v>
      </c>
      <c r="Z113" s="1129">
        <f t="shared" si="199"/>
        <v>1.6897365333333334</v>
      </c>
      <c r="AA113" s="1129">
        <f t="shared" si="199"/>
        <v>1.7039359999999997</v>
      </c>
      <c r="AB113" s="1129">
        <f t="shared" si="199"/>
        <v>1.7181354666666668</v>
      </c>
      <c r="AC113" s="1129">
        <f t="shared" si="199"/>
        <v>1.7323349333333331</v>
      </c>
      <c r="AD113" s="236"/>
      <c r="AE113" s="1129">
        <f t="shared" si="199"/>
        <v>1.572864</v>
      </c>
      <c r="AF113" s="1129">
        <f t="shared" si="199"/>
        <v>1.6220159999999997</v>
      </c>
      <c r="AG113" s="236"/>
      <c r="AH113" s="1129">
        <f t="shared" si="199"/>
        <v>1.4199466666666667</v>
      </c>
      <c r="AI113" s="1129">
        <f t="shared" si="199"/>
        <v>1.7039359999999997</v>
      </c>
      <c r="AJ113" s="236"/>
      <c r="AK113" s="1129">
        <f t="shared" si="199"/>
        <v>1.6930133333333335</v>
      </c>
      <c r="AL113" s="1129">
        <f t="shared" si="199"/>
        <v>1.7039359999999997</v>
      </c>
    </row>
    <row r="114" spans="2:38" x14ac:dyDescent="0.45">
      <c r="B114" s="236"/>
      <c r="C114" s="236"/>
      <c r="D114" s="236"/>
      <c r="AD114" s="236"/>
      <c r="AG114" s="236"/>
      <c r="AJ114" s="236"/>
    </row>
    <row r="115" spans="2:38" x14ac:dyDescent="0.45">
      <c r="B115" s="236" t="s">
        <v>2643</v>
      </c>
      <c r="C115" s="236">
        <f>$C$4</f>
        <v>35</v>
      </c>
      <c r="D115" s="236" t="s">
        <v>0</v>
      </c>
      <c r="AD115" s="236"/>
      <c r="AG115" s="236"/>
      <c r="AJ115" s="236"/>
    </row>
    <row r="116" spans="2:38" x14ac:dyDescent="0.45">
      <c r="B116" s="236"/>
      <c r="C116" s="236" t="s">
        <v>2164</v>
      </c>
      <c r="D116" s="236" t="s">
        <v>5</v>
      </c>
      <c r="E116" s="1116">
        <f>E110/(1/$C$115)</f>
        <v>16.767900068681318</v>
      </c>
      <c r="F116" s="1116">
        <f t="shared" ref="F116:AL116" si="200">F110/(1/$C$115)</f>
        <v>16.598527340714842</v>
      </c>
      <c r="G116" s="1116">
        <f t="shared" si="200"/>
        <v>16.432542067307693</v>
      </c>
      <c r="H116" s="1116">
        <f t="shared" si="200"/>
        <v>16.269843630997716</v>
      </c>
      <c r="I116" s="1116">
        <f t="shared" si="200"/>
        <v>16.11033536010558</v>
      </c>
      <c r="J116" s="1116">
        <f t="shared" si="200"/>
        <v>15.953924337191934</v>
      </c>
      <c r="K116" s="1116">
        <f t="shared" si="200"/>
        <v>15.800521218565091</v>
      </c>
      <c r="L116" s="1116">
        <f t="shared" si="200"/>
        <v>15.650040064102567</v>
      </c>
      <c r="M116" s="1116">
        <f t="shared" si="200"/>
        <v>15.50239817670537</v>
      </c>
      <c r="N116" s="1116">
        <f t="shared" si="200"/>
        <v>15.357515950754852</v>
      </c>
      <c r="O116" s="1116">
        <f t="shared" si="200"/>
        <v>15.215316728988604</v>
      </c>
      <c r="P116" s="1116">
        <f t="shared" si="200"/>
        <v>15.075726667254765</v>
      </c>
      <c r="Q116" s="1116">
        <f t="shared" si="200"/>
        <v>14.938674606643355</v>
      </c>
      <c r="R116" s="1116">
        <f t="shared" si="200"/>
        <v>14.804091952529452</v>
      </c>
      <c r="S116" s="1116">
        <f t="shared" si="200"/>
        <v>14.671912560096152</v>
      </c>
      <c r="T116" s="1116">
        <f t="shared" si="200"/>
        <v>14.542072625936013</v>
      </c>
      <c r="U116" s="1116">
        <f t="shared" si="200"/>
        <v>14.414510585357624</v>
      </c>
      <c r="V116" s="1116">
        <f t="shared" si="200"/>
        <v>14.289167015050168</v>
      </c>
      <c r="W116" s="1116">
        <f t="shared" si="200"/>
        <v>14.165984540782491</v>
      </c>
      <c r="X116" s="1116">
        <f t="shared" si="200"/>
        <v>14.044907749835637</v>
      </c>
      <c r="Y116" s="1116">
        <f t="shared" si="200"/>
        <v>13.925883107887875</v>
      </c>
      <c r="Z116" s="1116">
        <f t="shared" si="200"/>
        <v>13.808858880090499</v>
      </c>
      <c r="AA116" s="1116">
        <f t="shared" si="200"/>
        <v>13.693785056089746</v>
      </c>
      <c r="AB116" s="1116">
        <f t="shared" si="200"/>
        <v>13.580613278766688</v>
      </c>
      <c r="AC116" s="1116">
        <f t="shared" si="200"/>
        <v>13.469296776481716</v>
      </c>
      <c r="AD116" s="236"/>
      <c r="AE116" s="1116">
        <f t="shared" si="200"/>
        <v>14.834933810763889</v>
      </c>
      <c r="AF116" s="1116">
        <f t="shared" si="200"/>
        <v>14.385390361952863</v>
      </c>
      <c r="AG116" s="236"/>
      <c r="AH116" s="1116">
        <f t="shared" si="200"/>
        <v>16.432542067307693</v>
      </c>
      <c r="AI116" s="1116">
        <f t="shared" si="200"/>
        <v>13.693785056089746</v>
      </c>
      <c r="AJ116" s="236"/>
      <c r="AK116" s="1116">
        <f t="shared" si="200"/>
        <v>13.782132056451612</v>
      </c>
      <c r="AL116" s="1116">
        <f t="shared" si="200"/>
        <v>13.693785056089746</v>
      </c>
    </row>
    <row r="117" spans="2:38" x14ac:dyDescent="0.45">
      <c r="B117" s="236"/>
      <c r="C117" s="236" t="s">
        <v>2165</v>
      </c>
      <c r="D117" s="236" t="s">
        <v>5</v>
      </c>
      <c r="E117" s="1116">
        <f>E111/(1/$C$115)</f>
        <v>8.3839500343406588</v>
      </c>
      <c r="F117" s="1116">
        <f t="shared" ref="F117:AL117" si="201">F111/(1/$C$115)</f>
        <v>8.299263670357421</v>
      </c>
      <c r="G117" s="1116">
        <f t="shared" si="201"/>
        <v>8.2162710336538467</v>
      </c>
      <c r="H117" s="1116">
        <f t="shared" si="201"/>
        <v>8.1349218154988581</v>
      </c>
      <c r="I117" s="1116">
        <f t="shared" si="201"/>
        <v>8.05516768005279</v>
      </c>
      <c r="J117" s="1116">
        <f t="shared" si="201"/>
        <v>7.9769621685959669</v>
      </c>
      <c r="K117" s="1116">
        <f t="shared" si="201"/>
        <v>7.9002606092825456</v>
      </c>
      <c r="L117" s="1116">
        <f t="shared" si="201"/>
        <v>7.8250200320512837</v>
      </c>
      <c r="M117" s="1116">
        <f t="shared" si="201"/>
        <v>7.7511990883526849</v>
      </c>
      <c r="N117" s="1116">
        <f t="shared" si="201"/>
        <v>7.678757975377426</v>
      </c>
      <c r="O117" s="1116">
        <f t="shared" si="201"/>
        <v>7.6076583644943021</v>
      </c>
      <c r="P117" s="1116">
        <f t="shared" si="201"/>
        <v>7.5378633336273824</v>
      </c>
      <c r="Q117" s="1116">
        <f t="shared" si="201"/>
        <v>7.4693373033216774</v>
      </c>
      <c r="R117" s="1116">
        <f t="shared" si="201"/>
        <v>7.4020459762647262</v>
      </c>
      <c r="S117" s="1116">
        <f t="shared" si="201"/>
        <v>7.3359562800480758</v>
      </c>
      <c r="T117" s="1116">
        <f t="shared" si="201"/>
        <v>7.2710363129680067</v>
      </c>
      <c r="U117" s="1116">
        <f t="shared" si="201"/>
        <v>7.2072552926788118</v>
      </c>
      <c r="V117" s="1116">
        <f t="shared" si="201"/>
        <v>7.1445835075250841</v>
      </c>
      <c r="W117" s="1116">
        <f t="shared" si="201"/>
        <v>7.0829922703912453</v>
      </c>
      <c r="X117" s="1116">
        <f t="shared" si="201"/>
        <v>7.0224538749178187</v>
      </c>
      <c r="Y117" s="1116">
        <f t="shared" si="201"/>
        <v>6.9629415539439377</v>
      </c>
      <c r="Z117" s="1116">
        <f t="shared" si="201"/>
        <v>6.9044294400452495</v>
      </c>
      <c r="AA117" s="1116">
        <f t="shared" si="201"/>
        <v>6.8468925280448731</v>
      </c>
      <c r="AB117" s="1116">
        <f t="shared" si="201"/>
        <v>6.7903066393833438</v>
      </c>
      <c r="AC117" s="1116">
        <f t="shared" si="201"/>
        <v>6.7346483882408581</v>
      </c>
      <c r="AD117" s="236"/>
      <c r="AE117" s="1116">
        <f t="shared" si="201"/>
        <v>7.4174669053819446</v>
      </c>
      <c r="AF117" s="1116">
        <f t="shared" si="201"/>
        <v>7.1926951809764317</v>
      </c>
      <c r="AG117" s="236"/>
      <c r="AH117" s="1116">
        <f t="shared" si="201"/>
        <v>8.2162710336538467</v>
      </c>
      <c r="AI117" s="1116">
        <f t="shared" si="201"/>
        <v>6.8468925280448731</v>
      </c>
      <c r="AJ117" s="236"/>
      <c r="AK117" s="1116">
        <f t="shared" si="201"/>
        <v>6.8910660282258061</v>
      </c>
      <c r="AL117" s="1116">
        <f t="shared" si="201"/>
        <v>6.8468925280448731</v>
      </c>
    </row>
    <row r="118" spans="2:38" x14ac:dyDescent="0.45">
      <c r="B118" s="236"/>
      <c r="C118" s="236" t="s">
        <v>2635</v>
      </c>
      <c r="D118" s="236" t="s">
        <v>5</v>
      </c>
      <c r="E118" s="1116">
        <f>E116+E117</f>
        <v>25.151850103021978</v>
      </c>
      <c r="F118" s="1116">
        <f t="shared" ref="F118:AL118" si="202">F116+F117</f>
        <v>24.897791011072265</v>
      </c>
      <c r="G118" s="1116">
        <f t="shared" si="202"/>
        <v>24.64881310096154</v>
      </c>
      <c r="H118" s="1116">
        <f t="shared" si="202"/>
        <v>24.404765446496576</v>
      </c>
      <c r="I118" s="1116">
        <f t="shared" si="202"/>
        <v>24.16550304015837</v>
      </c>
      <c r="J118" s="1116">
        <f t="shared" si="202"/>
        <v>23.9308865057879</v>
      </c>
      <c r="K118" s="1116">
        <f t="shared" si="202"/>
        <v>23.700781827847635</v>
      </c>
      <c r="L118" s="1116">
        <f t="shared" si="202"/>
        <v>23.47506009615385</v>
      </c>
      <c r="M118" s="1116">
        <f t="shared" si="202"/>
        <v>23.253597265058055</v>
      </c>
      <c r="N118" s="1116">
        <f t="shared" si="202"/>
        <v>23.036273926132278</v>
      </c>
      <c r="O118" s="1116">
        <f t="shared" si="202"/>
        <v>22.822975093482906</v>
      </c>
      <c r="P118" s="1116">
        <f t="shared" si="202"/>
        <v>22.613590000882148</v>
      </c>
      <c r="Q118" s="1116">
        <f t="shared" si="202"/>
        <v>22.408011909965033</v>
      </c>
      <c r="R118" s="1116">
        <f t="shared" si="202"/>
        <v>22.206137928794178</v>
      </c>
      <c r="S118" s="1116">
        <f t="shared" si="202"/>
        <v>22.007868840144226</v>
      </c>
      <c r="T118" s="1116">
        <f t="shared" si="202"/>
        <v>21.813108938904019</v>
      </c>
      <c r="U118" s="1116">
        <f t="shared" si="202"/>
        <v>21.621765878036435</v>
      </c>
      <c r="V118" s="1116">
        <f t="shared" si="202"/>
        <v>21.433750522575252</v>
      </c>
      <c r="W118" s="1116">
        <f t="shared" si="202"/>
        <v>21.248976811173737</v>
      </c>
      <c r="X118" s="1116">
        <f t="shared" si="202"/>
        <v>21.067361624753456</v>
      </c>
      <c r="Y118" s="1116">
        <f t="shared" si="202"/>
        <v>20.888824661831812</v>
      </c>
      <c r="Z118" s="1116">
        <f t="shared" si="202"/>
        <v>20.713288320135749</v>
      </c>
      <c r="AA118" s="1116">
        <f t="shared" si="202"/>
        <v>20.54067758413462</v>
      </c>
      <c r="AB118" s="1116">
        <f t="shared" si="202"/>
        <v>20.37091991815003</v>
      </c>
      <c r="AC118" s="1116">
        <f t="shared" si="202"/>
        <v>20.203945164722576</v>
      </c>
      <c r="AD118" s="236"/>
      <c r="AE118" s="1116">
        <f t="shared" si="202"/>
        <v>22.252400716145836</v>
      </c>
      <c r="AF118" s="1116">
        <f t="shared" si="202"/>
        <v>21.578085542929294</v>
      </c>
      <c r="AG118" s="236"/>
      <c r="AH118" s="1116">
        <f t="shared" si="202"/>
        <v>24.64881310096154</v>
      </c>
      <c r="AI118" s="1116">
        <f t="shared" si="202"/>
        <v>20.54067758413462</v>
      </c>
      <c r="AJ118" s="236"/>
      <c r="AK118" s="1116">
        <f t="shared" si="202"/>
        <v>20.673198084677416</v>
      </c>
      <c r="AL118" s="1116">
        <f t="shared" si="202"/>
        <v>20.54067758413462</v>
      </c>
    </row>
    <row r="119" spans="2:38" x14ac:dyDescent="0.45">
      <c r="B119" s="236" t="s">
        <v>2636</v>
      </c>
      <c r="C119" s="255">
        <v>1.5</v>
      </c>
      <c r="D119" s="236" t="s">
        <v>1940</v>
      </c>
      <c r="AD119" s="236"/>
      <c r="AG119" s="236"/>
      <c r="AJ119" s="236"/>
    </row>
    <row r="120" spans="2:38" x14ac:dyDescent="0.45">
      <c r="B120" s="236"/>
      <c r="C120" s="1127">
        <f>$C$119*$E$112</f>
        <v>1.0779364329866561</v>
      </c>
      <c r="D120" s="236" t="s">
        <v>1</v>
      </c>
      <c r="AD120" s="236"/>
      <c r="AG120" s="236"/>
      <c r="AJ120" s="236"/>
    </row>
    <row r="121" spans="2:38" x14ac:dyDescent="0.45">
      <c r="B121" s="236"/>
      <c r="C121" s="1126">
        <f>MROUND($C$120/(1/$C$115),1)</f>
        <v>38</v>
      </c>
      <c r="D121" s="236" t="s">
        <v>5</v>
      </c>
      <c r="AD121" s="236"/>
      <c r="AG121" s="236"/>
      <c r="AJ121" s="236"/>
    </row>
    <row r="122" spans="2:38" x14ac:dyDescent="0.45">
      <c r="B122" s="236"/>
      <c r="C122" s="236" t="s">
        <v>2644</v>
      </c>
      <c r="D122" s="236" t="s">
        <v>1940</v>
      </c>
      <c r="E122" s="1130">
        <f>$C$120/E112</f>
        <v>1.5</v>
      </c>
      <c r="F122" s="1130">
        <f t="shared" ref="F122:AL122" si="203">$C$120/F112</f>
        <v>1.5153061224489792</v>
      </c>
      <c r="G122" s="1130">
        <f t="shared" si="203"/>
        <v>1.5306122448979589</v>
      </c>
      <c r="H122" s="1130">
        <f t="shared" si="203"/>
        <v>1.5459183673469385</v>
      </c>
      <c r="I122" s="1130">
        <f t="shared" si="203"/>
        <v>1.5612244897959182</v>
      </c>
      <c r="J122" s="1130">
        <f t="shared" si="203"/>
        <v>1.5765306122448979</v>
      </c>
      <c r="K122" s="1130">
        <f t="shared" si="203"/>
        <v>1.5918367346938771</v>
      </c>
      <c r="L122" s="1130">
        <f t="shared" si="203"/>
        <v>1.6071428571428565</v>
      </c>
      <c r="M122" s="1130">
        <f t="shared" si="203"/>
        <v>1.6224489795918366</v>
      </c>
      <c r="N122" s="1130">
        <f t="shared" si="203"/>
        <v>1.6377551020408163</v>
      </c>
      <c r="O122" s="1130">
        <f t="shared" si="203"/>
        <v>1.6530612244897958</v>
      </c>
      <c r="P122" s="1130">
        <f t="shared" si="203"/>
        <v>1.6683673469387754</v>
      </c>
      <c r="Q122" s="1130">
        <f t="shared" si="203"/>
        <v>1.6836734693877551</v>
      </c>
      <c r="R122" s="1130">
        <f t="shared" si="203"/>
        <v>1.6989795918367345</v>
      </c>
      <c r="S122" s="1130">
        <f t="shared" si="203"/>
        <v>1.7142857142857142</v>
      </c>
      <c r="T122" s="1130">
        <f t="shared" si="203"/>
        <v>1.7295918367346936</v>
      </c>
      <c r="U122" s="1130">
        <f t="shared" si="203"/>
        <v>1.7448979591836735</v>
      </c>
      <c r="V122" s="1130">
        <f t="shared" si="203"/>
        <v>1.7602040816326527</v>
      </c>
      <c r="W122" s="1130">
        <f t="shared" si="203"/>
        <v>1.7755102040816326</v>
      </c>
      <c r="X122" s="1130">
        <f t="shared" si="203"/>
        <v>1.7908163265306116</v>
      </c>
      <c r="Y122" s="1130">
        <f t="shared" si="203"/>
        <v>1.8061224489795917</v>
      </c>
      <c r="Z122" s="1130">
        <f t="shared" si="203"/>
        <v>1.8214285714285714</v>
      </c>
      <c r="AA122" s="1130">
        <f t="shared" si="203"/>
        <v>1.8367346938775506</v>
      </c>
      <c r="AB122" s="1130">
        <f t="shared" si="203"/>
        <v>1.8520408163265305</v>
      </c>
      <c r="AC122" s="1130">
        <f t="shared" si="203"/>
        <v>1.8673469387755097</v>
      </c>
      <c r="AD122" s="929"/>
      <c r="AE122" s="1130">
        <f t="shared" si="203"/>
        <v>1.695447409733124</v>
      </c>
      <c r="AF122" s="1130">
        <f t="shared" si="203"/>
        <v>1.7484301412872838</v>
      </c>
      <c r="AG122" s="929"/>
      <c r="AH122" s="1130">
        <f t="shared" si="203"/>
        <v>1.5306122448979589</v>
      </c>
      <c r="AI122" s="1130">
        <f t="shared" si="203"/>
        <v>1.8367346938775506</v>
      </c>
      <c r="AJ122" s="929"/>
      <c r="AK122" s="1130">
        <f t="shared" si="203"/>
        <v>1.8249607535321821</v>
      </c>
      <c r="AL122" s="1130">
        <f t="shared" si="203"/>
        <v>1.8367346938775506</v>
      </c>
    </row>
    <row r="123" spans="2:38" x14ac:dyDescent="0.45">
      <c r="B123" s="236"/>
      <c r="C123" s="236"/>
      <c r="D123" s="236"/>
      <c r="AD123" s="236"/>
      <c r="AG123" s="236"/>
      <c r="AJ123" s="236"/>
    </row>
    <row r="124" spans="2:38" x14ac:dyDescent="0.45">
      <c r="B124" s="236"/>
      <c r="C124" s="236"/>
      <c r="D124" s="236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  <c r="AA124" s="236"/>
      <c r="AB124" s="236"/>
      <c r="AC124" s="236"/>
      <c r="AD124" s="236"/>
      <c r="AE124" s="236"/>
      <c r="AF124" s="236"/>
      <c r="AG124" s="236"/>
      <c r="AH124" s="236"/>
      <c r="AI124" s="236"/>
      <c r="AJ124" s="236"/>
      <c r="AK124" s="236"/>
      <c r="AL124" s="236"/>
    </row>
  </sheetData>
  <phoneticPr fontId="2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CE19-D276-4119-8940-B17B15864733}">
  <sheetPr>
    <tabColor rgb="FFFFFF00"/>
  </sheetPr>
  <dimension ref="A1:AL123"/>
  <sheetViews>
    <sheetView showGridLines="0" zoomScale="120" zoomScaleNormal="120" workbookViewId="0">
      <pane xSplit="4" topLeftCell="E1" activePane="topRight" state="frozen"/>
      <selection activeCell="A13" sqref="A13"/>
      <selection pane="topRight"/>
    </sheetView>
  </sheetViews>
  <sheetFormatPr defaultColWidth="8.58203125" defaultRowHeight="14.5" x14ac:dyDescent="0.45"/>
  <cols>
    <col min="1" max="1" width="8.58203125" style="234"/>
    <col min="2" max="2" width="15.5" style="235" bestFit="1" customWidth="1"/>
    <col min="3" max="3" width="8.1640625" style="235" bestFit="1" customWidth="1"/>
    <col min="4" max="4" width="6" style="235" bestFit="1" customWidth="1"/>
    <col min="5" max="7" width="9.5" style="234" bestFit="1" customWidth="1"/>
    <col min="8" max="26" width="8.58203125" style="234" bestFit="1" customWidth="1"/>
    <col min="27" max="29" width="8.58203125" style="234" customWidth="1"/>
    <col min="30" max="30" width="1.58203125" style="234" customWidth="1"/>
    <col min="31" max="32" width="8.58203125" style="234" customWidth="1"/>
    <col min="33" max="33" width="1.58203125" style="234" customWidth="1"/>
    <col min="34" max="35" width="9.08203125" style="234" bestFit="1" customWidth="1"/>
    <col min="36" max="36" width="1.58203125" style="234" customWidth="1"/>
    <col min="37" max="38" width="9.5" style="234" bestFit="1" customWidth="1"/>
    <col min="39" max="16384" width="8.58203125" style="234"/>
  </cols>
  <sheetData>
    <row r="1" spans="2:38" x14ac:dyDescent="0.45">
      <c r="B1" s="234"/>
      <c r="C1" s="234"/>
      <c r="D1" s="234"/>
    </row>
    <row r="2" spans="2:38" x14ac:dyDescent="0.45">
      <c r="B2" s="236" t="s">
        <v>1290</v>
      </c>
      <c r="C2" s="255">
        <v>14</v>
      </c>
      <c r="D2" s="236" t="s">
        <v>18</v>
      </c>
      <c r="E2" s="236" t="s">
        <v>2160</v>
      </c>
    </row>
    <row r="3" spans="2:38" x14ac:dyDescent="0.45">
      <c r="B3" s="236" t="s">
        <v>1314</v>
      </c>
      <c r="C3" s="255">
        <v>32</v>
      </c>
      <c r="D3" s="236" t="s">
        <v>5</v>
      </c>
      <c r="E3" s="236">
        <f>2^C2/C3</f>
        <v>512</v>
      </c>
    </row>
    <row r="4" spans="2:38" x14ac:dyDescent="0.45">
      <c r="B4" s="236" t="s">
        <v>2166</v>
      </c>
      <c r="C4" s="255">
        <v>35</v>
      </c>
      <c r="D4" s="236" t="s">
        <v>0</v>
      </c>
    </row>
    <row r="5" spans="2:38" x14ac:dyDescent="0.45">
      <c r="B5" s="236" t="s">
        <v>1263</v>
      </c>
      <c r="C5" s="236"/>
      <c r="D5" s="236"/>
    </row>
    <row r="6" spans="2:38" x14ac:dyDescent="0.45">
      <c r="B6" s="236" t="s">
        <v>2155</v>
      </c>
      <c r="C6" s="255">
        <v>2</v>
      </c>
      <c r="D6" s="236" t="s">
        <v>5</v>
      </c>
    </row>
    <row r="7" spans="2:38" x14ac:dyDescent="0.45">
      <c r="B7" s="236"/>
      <c r="C7" s="255">
        <v>350</v>
      </c>
      <c r="D7" s="236" t="s">
        <v>5</v>
      </c>
    </row>
    <row r="8" spans="2:38" x14ac:dyDescent="0.45">
      <c r="B8" s="236"/>
      <c r="C8" s="915">
        <f>C7*(1/C4)</f>
        <v>10</v>
      </c>
      <c r="D8" s="236" t="s">
        <v>1</v>
      </c>
    </row>
    <row r="9" spans="2:38" x14ac:dyDescent="0.45">
      <c r="B9" s="236" t="s">
        <v>1318</v>
      </c>
      <c r="C9" s="236">
        <f>C8*C6</f>
        <v>20</v>
      </c>
      <c r="D9" s="236" t="s">
        <v>1</v>
      </c>
    </row>
    <row r="10" spans="2:38" x14ac:dyDescent="0.45">
      <c r="B10" s="236" t="s">
        <v>1319</v>
      </c>
      <c r="C10" s="236">
        <f>C9*C3</f>
        <v>640</v>
      </c>
      <c r="D10" s="236" t="s">
        <v>1</v>
      </c>
    </row>
    <row r="11" spans="2:38" x14ac:dyDescent="0.45">
      <c r="B11" s="236"/>
      <c r="C11" s="236"/>
      <c r="D11" s="236"/>
      <c r="E11" s="255">
        <v>1</v>
      </c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  <c r="AC11" s="311"/>
      <c r="AD11" s="311"/>
      <c r="AE11" s="311"/>
      <c r="AF11" s="311"/>
      <c r="AG11" s="236"/>
      <c r="AH11" s="311"/>
      <c r="AI11" s="311"/>
      <c r="AJ11" s="311"/>
      <c r="AK11" s="916"/>
      <c r="AL11" s="916"/>
    </row>
    <row r="12" spans="2:38" x14ac:dyDescent="0.45">
      <c r="B12" s="236" t="s">
        <v>1156</v>
      </c>
      <c r="C12" s="236"/>
      <c r="D12" s="236" t="s">
        <v>4</v>
      </c>
      <c r="E12" s="1103">
        <v>98</v>
      </c>
      <c r="F12" s="311">
        <f>E12+$E$11</f>
        <v>99</v>
      </c>
      <c r="G12" s="311">
        <f t="shared" ref="G12:J12" si="0">F12+$E$11</f>
        <v>100</v>
      </c>
      <c r="H12" s="311">
        <f t="shared" si="0"/>
        <v>101</v>
      </c>
      <c r="I12" s="311">
        <f t="shared" si="0"/>
        <v>102</v>
      </c>
      <c r="J12" s="311">
        <f t="shared" si="0"/>
        <v>103</v>
      </c>
      <c r="K12" s="311">
        <f>J12+$E$11</f>
        <v>104</v>
      </c>
      <c r="L12" s="311">
        <f>K12+$E$11</f>
        <v>105</v>
      </c>
      <c r="M12" s="311">
        <f>L12+$E$11</f>
        <v>106</v>
      </c>
      <c r="N12" s="311">
        <f t="shared" ref="N12:P12" si="1">M12+$E$11</f>
        <v>107</v>
      </c>
      <c r="O12" s="311">
        <f t="shared" si="1"/>
        <v>108</v>
      </c>
      <c r="P12" s="311">
        <f t="shared" si="1"/>
        <v>109</v>
      </c>
      <c r="Q12" s="311">
        <f>P12+$E$11</f>
        <v>110</v>
      </c>
      <c r="R12" s="311">
        <f t="shared" ref="R12:U12" si="2">Q12+$E$11</f>
        <v>111</v>
      </c>
      <c r="S12" s="311">
        <f t="shared" si="2"/>
        <v>112</v>
      </c>
      <c r="T12" s="311">
        <f t="shared" si="2"/>
        <v>113</v>
      </c>
      <c r="U12" s="311">
        <f t="shared" si="2"/>
        <v>114</v>
      </c>
      <c r="V12" s="311">
        <f>U12+$E$11</f>
        <v>115</v>
      </c>
      <c r="W12" s="311">
        <f>V12+$E$11</f>
        <v>116</v>
      </c>
      <c r="X12" s="311">
        <f>W12+$E$11</f>
        <v>117</v>
      </c>
      <c r="Y12" s="311">
        <f t="shared" ref="Y12:AB12" si="3">X12+$E$11</f>
        <v>118</v>
      </c>
      <c r="Z12" s="311">
        <f t="shared" si="3"/>
        <v>119</v>
      </c>
      <c r="AA12" s="311">
        <f t="shared" si="3"/>
        <v>120</v>
      </c>
      <c r="AB12" s="311">
        <f t="shared" si="3"/>
        <v>121</v>
      </c>
      <c r="AC12" s="311">
        <f>AB12+$E$11</f>
        <v>122</v>
      </c>
      <c r="AD12" s="311"/>
      <c r="AE12" s="357">
        <v>144</v>
      </c>
      <c r="AF12" s="357">
        <v>165</v>
      </c>
      <c r="AG12" s="236"/>
      <c r="AH12" s="357">
        <v>800</v>
      </c>
      <c r="AI12" s="357">
        <v>960</v>
      </c>
      <c r="AJ12" s="311"/>
      <c r="AK12" s="357">
        <v>50</v>
      </c>
      <c r="AL12" s="357">
        <v>60</v>
      </c>
    </row>
    <row r="13" spans="2:38" x14ac:dyDescent="0.45">
      <c r="B13" s="236" t="s">
        <v>1249</v>
      </c>
      <c r="C13" s="914" t="s">
        <v>2156</v>
      </c>
      <c r="D13" s="236" t="s">
        <v>1</v>
      </c>
      <c r="E13" s="253">
        <f>1/E12*1000000</f>
        <v>10204.08163265306</v>
      </c>
      <c r="F13" s="253">
        <f>1/F12*1000000</f>
        <v>10101.010101010103</v>
      </c>
      <c r="G13" s="253">
        <f t="shared" ref="G13:J13" si="4">1/G12*1000000</f>
        <v>10000</v>
      </c>
      <c r="H13" s="253">
        <f t="shared" si="4"/>
        <v>9900.9900990099013</v>
      </c>
      <c r="I13" s="253">
        <f t="shared" si="4"/>
        <v>9803.9215686274511</v>
      </c>
      <c r="J13" s="253">
        <f t="shared" si="4"/>
        <v>9708.7378640776697</v>
      </c>
      <c r="K13" s="253">
        <f>1/K12*1000000</f>
        <v>9615.3846153846152</v>
      </c>
      <c r="L13" s="253">
        <f t="shared" ref="L13:N13" si="5">1/L12*1000000</f>
        <v>9523.8095238095248</v>
      </c>
      <c r="M13" s="253">
        <f t="shared" si="5"/>
        <v>9433.9622641509432</v>
      </c>
      <c r="N13" s="253">
        <f t="shared" si="5"/>
        <v>9345.7943925233631</v>
      </c>
      <c r="O13" s="253">
        <f>1/O12*1000000</f>
        <v>9259.2592592592591</v>
      </c>
      <c r="P13" s="253">
        <f t="shared" ref="P13:AC13" si="6">1/P12*1000000</f>
        <v>9174.3119266055055</v>
      </c>
      <c r="Q13" s="253">
        <f t="shared" si="6"/>
        <v>9090.9090909090901</v>
      </c>
      <c r="R13" s="253">
        <f t="shared" si="6"/>
        <v>9009.0090090090089</v>
      </c>
      <c r="S13" s="253">
        <f t="shared" si="6"/>
        <v>8928.5714285714275</v>
      </c>
      <c r="T13" s="253">
        <f t="shared" si="6"/>
        <v>8849.5575221238942</v>
      </c>
      <c r="U13" s="253">
        <f t="shared" si="6"/>
        <v>8771.9298245614027</v>
      </c>
      <c r="V13" s="253">
        <f t="shared" si="6"/>
        <v>8695.652173913044</v>
      </c>
      <c r="W13" s="253">
        <f t="shared" si="6"/>
        <v>8620.689655172413</v>
      </c>
      <c r="X13" s="253">
        <f t="shared" si="6"/>
        <v>8547.0085470085487</v>
      </c>
      <c r="Y13" s="253">
        <f t="shared" si="6"/>
        <v>8474.5762711864409</v>
      </c>
      <c r="Z13" s="253">
        <f t="shared" si="6"/>
        <v>8403.3613445378141</v>
      </c>
      <c r="AA13" s="253">
        <f t="shared" si="6"/>
        <v>8333.3333333333339</v>
      </c>
      <c r="AB13" s="253">
        <f t="shared" si="6"/>
        <v>8264.4628099173551</v>
      </c>
      <c r="AC13" s="253">
        <f t="shared" si="6"/>
        <v>8196.7213114754104</v>
      </c>
      <c r="AD13" s="311"/>
      <c r="AE13" s="253">
        <f t="shared" ref="AE13" si="7">1/AE12*1000000</f>
        <v>6944.4444444444443</v>
      </c>
      <c r="AF13" s="253">
        <f>1/AF12*1000000</f>
        <v>6060.606060606061</v>
      </c>
      <c r="AG13" s="236"/>
      <c r="AH13" s="253">
        <f>1/AH12*1000000</f>
        <v>1250</v>
      </c>
      <c r="AI13" s="253">
        <f>1/AI12*1000000</f>
        <v>1041.6666666666667</v>
      </c>
      <c r="AJ13" s="311"/>
      <c r="AK13" s="253">
        <f t="shared" ref="AK13:AL13" si="8">1/AK12*1000000</f>
        <v>20000</v>
      </c>
      <c r="AL13" s="253">
        <f t="shared" si="8"/>
        <v>16666.666666666668</v>
      </c>
    </row>
    <row r="14" spans="2:38" x14ac:dyDescent="0.45">
      <c r="B14" s="236" t="s">
        <v>2157</v>
      </c>
      <c r="C14" s="914" t="s">
        <v>1274</v>
      </c>
      <c r="D14" s="236" t="s">
        <v>1</v>
      </c>
      <c r="E14" s="253">
        <f>E13-$C$10</f>
        <v>9564.0816326530603</v>
      </c>
      <c r="F14" s="253">
        <f t="shared" ref="F14:AC14" si="9">F13-$C$10</f>
        <v>9461.0101010101025</v>
      </c>
      <c r="G14" s="253">
        <f t="shared" si="9"/>
        <v>9360</v>
      </c>
      <c r="H14" s="253">
        <f t="shared" si="9"/>
        <v>9260.9900990099013</v>
      </c>
      <c r="I14" s="253">
        <f t="shared" si="9"/>
        <v>9163.9215686274511</v>
      </c>
      <c r="J14" s="253">
        <f t="shared" si="9"/>
        <v>9068.7378640776697</v>
      </c>
      <c r="K14" s="253">
        <f t="shared" si="9"/>
        <v>8975.3846153846152</v>
      </c>
      <c r="L14" s="253">
        <f t="shared" si="9"/>
        <v>8883.8095238095248</v>
      </c>
      <c r="M14" s="253">
        <f t="shared" si="9"/>
        <v>8793.9622641509432</v>
      </c>
      <c r="N14" s="253">
        <f t="shared" si="9"/>
        <v>8705.7943925233631</v>
      </c>
      <c r="O14" s="253">
        <f t="shared" si="9"/>
        <v>8619.2592592592591</v>
      </c>
      <c r="P14" s="253">
        <f t="shared" si="9"/>
        <v>8534.3119266055055</v>
      </c>
      <c r="Q14" s="253">
        <f t="shared" si="9"/>
        <v>8450.9090909090901</v>
      </c>
      <c r="R14" s="253">
        <f t="shared" si="9"/>
        <v>8369.0090090090089</v>
      </c>
      <c r="S14" s="253">
        <f t="shared" si="9"/>
        <v>8288.5714285714275</v>
      </c>
      <c r="T14" s="253">
        <f t="shared" si="9"/>
        <v>8209.5575221238942</v>
      </c>
      <c r="U14" s="253">
        <f t="shared" si="9"/>
        <v>8131.9298245614027</v>
      </c>
      <c r="V14" s="253">
        <f t="shared" si="9"/>
        <v>8055.652173913044</v>
      </c>
      <c r="W14" s="253">
        <f t="shared" si="9"/>
        <v>7980.689655172413</v>
      </c>
      <c r="X14" s="253">
        <f t="shared" si="9"/>
        <v>7907.0085470085487</v>
      </c>
      <c r="Y14" s="253">
        <f t="shared" si="9"/>
        <v>7834.5762711864409</v>
      </c>
      <c r="Z14" s="253">
        <f t="shared" si="9"/>
        <v>7763.3613445378141</v>
      </c>
      <c r="AA14" s="253">
        <f t="shared" si="9"/>
        <v>7693.3333333333339</v>
      </c>
      <c r="AB14" s="253">
        <f t="shared" si="9"/>
        <v>7624.4628099173551</v>
      </c>
      <c r="AC14" s="253">
        <f t="shared" si="9"/>
        <v>7556.7213114754104</v>
      </c>
      <c r="AD14" s="311"/>
      <c r="AE14" s="253">
        <f>AE13-$C$10</f>
        <v>6304.4444444444443</v>
      </c>
      <c r="AF14" s="253">
        <f>AF13-$C$10</f>
        <v>5420.606060606061</v>
      </c>
      <c r="AG14" s="236"/>
      <c r="AH14" s="253">
        <f>AH13-$C$9</f>
        <v>1230</v>
      </c>
      <c r="AI14" s="253">
        <f>AI13-$C$9</f>
        <v>1021.6666666666667</v>
      </c>
      <c r="AJ14" s="311"/>
      <c r="AK14" s="253">
        <f>AK13-$C$10</f>
        <v>19360</v>
      </c>
      <c r="AL14" s="253">
        <f>AL13-$C$10</f>
        <v>16026.666666666668</v>
      </c>
    </row>
    <row r="15" spans="2:38" x14ac:dyDescent="0.45">
      <c r="B15" s="236"/>
      <c r="C15" s="236"/>
      <c r="D15" s="236"/>
      <c r="AD15" s="311"/>
      <c r="AG15" s="236"/>
      <c r="AJ15" s="311"/>
    </row>
    <row r="16" spans="2:38" x14ac:dyDescent="0.45">
      <c r="B16" s="236" t="s">
        <v>2606</v>
      </c>
      <c r="C16" s="236" t="s">
        <v>1249</v>
      </c>
      <c r="D16" s="236" t="s">
        <v>1</v>
      </c>
      <c r="E16" s="240">
        <f t="shared" ref="E16:AB17" si="10">E13/(2^$C$2)</f>
        <v>0.62280771683673464</v>
      </c>
      <c r="F16" s="240">
        <f t="shared" si="10"/>
        <v>0.61651672979797989</v>
      </c>
      <c r="G16" s="240">
        <f t="shared" si="10"/>
        <v>0.6103515625</v>
      </c>
      <c r="H16" s="240">
        <f t="shared" si="10"/>
        <v>0.6043084777227723</v>
      </c>
      <c r="I16" s="240">
        <f t="shared" si="10"/>
        <v>0.59838388480392157</v>
      </c>
      <c r="J16" s="240">
        <f t="shared" si="10"/>
        <v>0.59257433252427183</v>
      </c>
      <c r="K16" s="240">
        <f t="shared" si="10"/>
        <v>0.58687650240384615</v>
      </c>
      <c r="L16" s="240">
        <f t="shared" si="10"/>
        <v>0.58128720238095244</v>
      </c>
      <c r="M16" s="240">
        <f t="shared" si="10"/>
        <v>0.57580336084905659</v>
      </c>
      <c r="N16" s="240">
        <f t="shared" si="10"/>
        <v>0.5704220210280373</v>
      </c>
      <c r="O16" s="240">
        <f t="shared" si="10"/>
        <v>0.56514033564814814</v>
      </c>
      <c r="P16" s="240">
        <f t="shared" si="10"/>
        <v>0.55995556192660556</v>
      </c>
      <c r="Q16" s="240">
        <f t="shared" si="10"/>
        <v>0.55486505681818177</v>
      </c>
      <c r="R16" s="240">
        <f t="shared" si="10"/>
        <v>0.54986627252252251</v>
      </c>
      <c r="S16" s="240">
        <f t="shared" si="10"/>
        <v>0.54495675223214279</v>
      </c>
      <c r="T16" s="240">
        <f t="shared" si="10"/>
        <v>0.54013412610619471</v>
      </c>
      <c r="U16" s="240">
        <f t="shared" si="10"/>
        <v>0.5353961074561403</v>
      </c>
      <c r="V16" s="240">
        <f t="shared" si="10"/>
        <v>0.53074048913043481</v>
      </c>
      <c r="W16" s="240">
        <f t="shared" si="10"/>
        <v>0.52616514008620685</v>
      </c>
      <c r="X16" s="240">
        <f t="shared" si="10"/>
        <v>0.52166800213675224</v>
      </c>
      <c r="Y16" s="240">
        <f t="shared" si="10"/>
        <v>0.51724708686440679</v>
      </c>
      <c r="Z16" s="240">
        <f t="shared" si="10"/>
        <v>0.51290047268907557</v>
      </c>
      <c r="AA16" s="240">
        <f t="shared" si="10"/>
        <v>0.50862630208333337</v>
      </c>
      <c r="AB16" s="240">
        <f t="shared" si="10"/>
        <v>0.50442277892561982</v>
      </c>
      <c r="AC16" s="240">
        <f>AC13/(2^$C$2)</f>
        <v>0.50028816598360659</v>
      </c>
      <c r="AD16" s="311"/>
      <c r="AE16" s="240">
        <f t="shared" ref="AE16:AF17" si="11">AE13/(2^$C$2)</f>
        <v>0.4238552517361111</v>
      </c>
      <c r="AF16" s="240">
        <f t="shared" si="11"/>
        <v>0.3699100378787879</v>
      </c>
      <c r="AG16" s="236"/>
      <c r="AH16" s="240">
        <f>AH13/(2^$C$2/8)</f>
        <v>0.6103515625</v>
      </c>
      <c r="AI16" s="240">
        <f>AI13/(2^$C$2/8)</f>
        <v>0.50862630208333337</v>
      </c>
      <c r="AJ16" s="311"/>
      <c r="AK16" s="240">
        <f>AK13/(2^$C$2)</f>
        <v>1.220703125</v>
      </c>
      <c r="AL16" s="240">
        <f>AL13/(2^$C$2)</f>
        <v>1.0172526041666667</v>
      </c>
    </row>
    <row r="17" spans="1:38" x14ac:dyDescent="0.45">
      <c r="B17" s="236"/>
      <c r="C17" s="236" t="s">
        <v>2157</v>
      </c>
      <c r="D17" s="236" t="s">
        <v>1</v>
      </c>
      <c r="E17" s="240">
        <f t="shared" si="10"/>
        <v>0.58374521683673464</v>
      </c>
      <c r="F17" s="240">
        <f t="shared" si="10"/>
        <v>0.57745422979797989</v>
      </c>
      <c r="G17" s="240">
        <f t="shared" si="10"/>
        <v>0.5712890625</v>
      </c>
      <c r="H17" s="240">
        <f t="shared" si="10"/>
        <v>0.5652459777227723</v>
      </c>
      <c r="I17" s="240">
        <f t="shared" si="10"/>
        <v>0.55932138480392157</v>
      </c>
      <c r="J17" s="240">
        <f t="shared" si="10"/>
        <v>0.55351183252427183</v>
      </c>
      <c r="K17" s="240">
        <f t="shared" si="10"/>
        <v>0.54781400240384615</v>
      </c>
      <c r="L17" s="240">
        <f t="shared" si="10"/>
        <v>0.54222470238095244</v>
      </c>
      <c r="M17" s="240">
        <f t="shared" si="10"/>
        <v>0.53674086084905659</v>
      </c>
      <c r="N17" s="240">
        <f t="shared" si="10"/>
        <v>0.5313595210280373</v>
      </c>
      <c r="O17" s="240">
        <f t="shared" si="10"/>
        <v>0.52607783564814814</v>
      </c>
      <c r="P17" s="240">
        <f t="shared" si="10"/>
        <v>0.52089306192660556</v>
      </c>
      <c r="Q17" s="240">
        <f t="shared" si="10"/>
        <v>0.51580255681818177</v>
      </c>
      <c r="R17" s="240">
        <f t="shared" si="10"/>
        <v>0.51080377252252251</v>
      </c>
      <c r="S17" s="240">
        <f t="shared" si="10"/>
        <v>0.50589425223214279</v>
      </c>
      <c r="T17" s="240">
        <f t="shared" si="10"/>
        <v>0.50107162610619471</v>
      </c>
      <c r="U17" s="240">
        <f t="shared" si="10"/>
        <v>0.4963336074561403</v>
      </c>
      <c r="V17" s="240">
        <f t="shared" si="10"/>
        <v>0.49167798913043481</v>
      </c>
      <c r="W17" s="240">
        <f t="shared" si="10"/>
        <v>0.48710264008620685</v>
      </c>
      <c r="X17" s="240">
        <f t="shared" si="10"/>
        <v>0.48260550213675224</v>
      </c>
      <c r="Y17" s="240">
        <f t="shared" si="10"/>
        <v>0.47818458686440679</v>
      </c>
      <c r="Z17" s="240">
        <f t="shared" si="10"/>
        <v>0.47383797268907557</v>
      </c>
      <c r="AA17" s="240">
        <f t="shared" si="10"/>
        <v>0.46956380208333337</v>
      </c>
      <c r="AB17" s="240">
        <f t="shared" si="10"/>
        <v>0.46536027892561982</v>
      </c>
      <c r="AC17" s="240">
        <f>AC14/(2^$C$2)</f>
        <v>0.46122566598360659</v>
      </c>
      <c r="AD17" s="311"/>
      <c r="AE17" s="240">
        <f t="shared" si="11"/>
        <v>0.3847927517361111</v>
      </c>
      <c r="AF17" s="240">
        <f t="shared" si="11"/>
        <v>0.3308475378787879</v>
      </c>
      <c r="AG17" s="311"/>
      <c r="AH17" s="240">
        <f>AH14/(2^$C$2/8)</f>
        <v>0.6005859375</v>
      </c>
      <c r="AI17" s="240">
        <f>AI14/(2^$C$2/8)</f>
        <v>0.49886067708333337</v>
      </c>
      <c r="AJ17" s="311"/>
      <c r="AK17" s="240">
        <f>AK14/(2^$C$2)</f>
        <v>1.181640625</v>
      </c>
      <c r="AL17" s="240">
        <f>AL14/(2^$C$2)</f>
        <v>0.97819010416666674</v>
      </c>
    </row>
    <row r="18" spans="1:38" ht="15" thickBot="1" x14ac:dyDescent="0.5">
      <c r="B18" s="236"/>
      <c r="C18" s="236"/>
      <c r="D18" s="236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311"/>
      <c r="AE18" s="235"/>
      <c r="AF18" s="235"/>
      <c r="AG18" s="311"/>
      <c r="AH18" s="235"/>
      <c r="AI18" s="235"/>
      <c r="AJ18" s="311"/>
      <c r="AK18" s="235"/>
      <c r="AL18" s="235"/>
    </row>
    <row r="19" spans="1:38" ht="15" thickBot="1" x14ac:dyDescent="0.5">
      <c r="B19" s="307" t="s">
        <v>2622</v>
      </c>
      <c r="C19" s="1087">
        <v>26</v>
      </c>
      <c r="D19" s="236" t="s">
        <v>5</v>
      </c>
      <c r="E19" s="1118"/>
      <c r="F19" s="1118"/>
      <c r="G19" s="1118">
        <f t="shared" ref="G19" si="12">1/(G16/$C$19)</f>
        <v>42.598399999999998</v>
      </c>
      <c r="H19" s="1118"/>
      <c r="I19" s="1118"/>
      <c r="J19" s="1118"/>
      <c r="K19" s="1118"/>
      <c r="L19" s="1118"/>
      <c r="M19" s="1118"/>
      <c r="N19" s="1118"/>
      <c r="O19" s="1118"/>
      <c r="P19" s="1118"/>
      <c r="Q19" s="1118"/>
      <c r="R19" s="1118"/>
      <c r="S19" s="1118"/>
      <c r="T19" s="1118"/>
      <c r="U19" s="1118"/>
      <c r="V19" s="1118"/>
      <c r="W19" s="1118"/>
      <c r="X19" s="1118"/>
      <c r="Y19" s="1118"/>
      <c r="Z19" s="1118"/>
      <c r="AA19" s="1118">
        <f t="shared" ref="AA19" si="13">1/(AA16/$C$19)</f>
        <v>51.118079999999992</v>
      </c>
      <c r="AB19" s="1118"/>
      <c r="AC19" s="1118"/>
      <c r="AD19" s="311"/>
      <c r="AE19" s="1104">
        <v>20</v>
      </c>
      <c r="AF19" s="1104">
        <v>18</v>
      </c>
      <c r="AG19" s="311"/>
      <c r="AH19" s="1104">
        <v>26</v>
      </c>
      <c r="AI19" s="1104">
        <v>26</v>
      </c>
      <c r="AJ19" s="311"/>
      <c r="AK19" s="1104">
        <v>62</v>
      </c>
      <c r="AL19" s="1104">
        <v>52</v>
      </c>
    </row>
    <row r="20" spans="1:38" x14ac:dyDescent="0.45">
      <c r="B20" s="307"/>
      <c r="C20" s="307"/>
      <c r="D20" s="236" t="s">
        <v>0</v>
      </c>
      <c r="E20" s="1118"/>
      <c r="F20" s="1118"/>
      <c r="G20" s="1118"/>
      <c r="H20" s="1118"/>
      <c r="I20" s="1118"/>
      <c r="J20" s="1118"/>
      <c r="K20" s="1118"/>
      <c r="L20" s="1118"/>
      <c r="M20" s="1118"/>
      <c r="N20" s="1118"/>
      <c r="O20" s="1118"/>
      <c r="P20" s="1118"/>
      <c r="Q20" s="1118"/>
      <c r="R20" s="1118"/>
      <c r="S20" s="1118"/>
      <c r="T20" s="1118"/>
      <c r="U20" s="1118"/>
      <c r="V20" s="1118"/>
      <c r="W20" s="1118"/>
      <c r="X20" s="1118"/>
      <c r="Y20" s="1118"/>
      <c r="Z20" s="1118"/>
      <c r="AA20" s="1118"/>
      <c r="AB20" s="1118"/>
      <c r="AC20" s="1118"/>
      <c r="AD20" s="311"/>
      <c r="AE20" s="311">
        <f>1/(AE16/AE22)</f>
        <v>47.185919999999996</v>
      </c>
      <c r="AF20" s="311">
        <f t="shared" ref="AF20:AL20" si="14">1/(AF16/AF22)</f>
        <v>48.66048</v>
      </c>
      <c r="AG20" s="311"/>
      <c r="AH20" s="311">
        <f t="shared" si="14"/>
        <v>42.598399999999998</v>
      </c>
      <c r="AI20" s="311">
        <f t="shared" si="14"/>
        <v>51.118079999999992</v>
      </c>
      <c r="AJ20" s="311"/>
      <c r="AK20" s="311">
        <f t="shared" si="14"/>
        <v>50.790400000000005</v>
      </c>
      <c r="AL20" s="311">
        <f t="shared" si="14"/>
        <v>51.118079999999992</v>
      </c>
    </row>
    <row r="21" spans="1:38" x14ac:dyDescent="0.45">
      <c r="B21" s="307" t="s">
        <v>2158</v>
      </c>
      <c r="C21" s="307" t="s">
        <v>1268</v>
      </c>
      <c r="D21" s="236" t="s">
        <v>5</v>
      </c>
      <c r="E21" s="1116">
        <f>E16/(1/E25)</f>
        <v>26</v>
      </c>
      <c r="F21" s="1116">
        <f t="shared" ref="F21:AC21" si="15">F16/(1/F25)</f>
        <v>26</v>
      </c>
      <c r="G21" s="1116">
        <f t="shared" si="15"/>
        <v>26</v>
      </c>
      <c r="H21" s="1116">
        <f t="shared" si="15"/>
        <v>26</v>
      </c>
      <c r="I21" s="1116">
        <f t="shared" si="15"/>
        <v>26</v>
      </c>
      <c r="J21" s="1116">
        <f t="shared" si="15"/>
        <v>26</v>
      </c>
      <c r="K21" s="1116">
        <f t="shared" si="15"/>
        <v>25.999999999999996</v>
      </c>
      <c r="L21" s="1116">
        <f t="shared" si="15"/>
        <v>25.999999999999996</v>
      </c>
      <c r="M21" s="1116">
        <f t="shared" si="15"/>
        <v>26</v>
      </c>
      <c r="N21" s="1116">
        <f t="shared" si="15"/>
        <v>26</v>
      </c>
      <c r="O21" s="1116">
        <f t="shared" si="15"/>
        <v>26</v>
      </c>
      <c r="P21" s="1116">
        <f t="shared" si="15"/>
        <v>26</v>
      </c>
      <c r="Q21" s="1116">
        <f t="shared" si="15"/>
        <v>26</v>
      </c>
      <c r="R21" s="1116">
        <f t="shared" si="15"/>
        <v>26</v>
      </c>
      <c r="S21" s="1116">
        <f t="shared" si="15"/>
        <v>26</v>
      </c>
      <c r="T21" s="1116">
        <f t="shared" si="15"/>
        <v>26</v>
      </c>
      <c r="U21" s="1116">
        <f t="shared" si="15"/>
        <v>26</v>
      </c>
      <c r="V21" s="1116">
        <f t="shared" si="15"/>
        <v>26</v>
      </c>
      <c r="W21" s="1116">
        <f t="shared" si="15"/>
        <v>26</v>
      </c>
      <c r="X21" s="1116">
        <f t="shared" si="15"/>
        <v>26</v>
      </c>
      <c r="Y21" s="1116">
        <f t="shared" si="15"/>
        <v>26</v>
      </c>
      <c r="Z21" s="1116">
        <f t="shared" si="15"/>
        <v>25.999999999999996</v>
      </c>
      <c r="AA21" s="1116">
        <f t="shared" si="15"/>
        <v>26</v>
      </c>
      <c r="AB21" s="1116">
        <f t="shared" si="15"/>
        <v>26</v>
      </c>
      <c r="AC21" s="1116">
        <f t="shared" si="15"/>
        <v>26</v>
      </c>
      <c r="AD21" s="311"/>
      <c r="AE21" s="1116">
        <f>AE16/(1/AE25)</f>
        <v>20</v>
      </c>
      <c r="AF21" s="1116">
        <f t="shared" ref="AF21" si="16">AF16/(1/AF25)</f>
        <v>18</v>
      </c>
      <c r="AG21" s="311"/>
      <c r="AH21" s="1116">
        <f>AH16/(1/AH25)</f>
        <v>26</v>
      </c>
      <c r="AI21" s="1116">
        <f t="shared" ref="AI21:AL21" si="17">AI16/(1/AI25)</f>
        <v>26</v>
      </c>
      <c r="AJ21" s="311"/>
      <c r="AK21" s="1116">
        <f>AK16/(1/AK25)</f>
        <v>62</v>
      </c>
      <c r="AL21" s="1116">
        <f t="shared" si="17"/>
        <v>52</v>
      </c>
    </row>
    <row r="22" spans="1:38" s="1090" customFormat="1" x14ac:dyDescent="0.45">
      <c r="B22" s="1091"/>
      <c r="C22" s="1091" t="s">
        <v>1269</v>
      </c>
      <c r="D22" s="1089" t="s">
        <v>5</v>
      </c>
      <c r="E22" s="1090">
        <f>$C$19</f>
        <v>26</v>
      </c>
      <c r="F22" s="1090">
        <f t="shared" ref="F22:AC22" si="18">$C$19</f>
        <v>26</v>
      </c>
      <c r="G22" s="1090">
        <f t="shared" si="18"/>
        <v>26</v>
      </c>
      <c r="H22" s="1090">
        <f t="shared" si="18"/>
        <v>26</v>
      </c>
      <c r="I22" s="1090">
        <f t="shared" si="18"/>
        <v>26</v>
      </c>
      <c r="J22" s="1090">
        <f t="shared" si="18"/>
        <v>26</v>
      </c>
      <c r="K22" s="1090">
        <f t="shared" si="18"/>
        <v>26</v>
      </c>
      <c r="L22" s="1090">
        <f t="shared" si="18"/>
        <v>26</v>
      </c>
      <c r="M22" s="1090">
        <f t="shared" si="18"/>
        <v>26</v>
      </c>
      <c r="N22" s="1090">
        <f t="shared" si="18"/>
        <v>26</v>
      </c>
      <c r="O22" s="1090">
        <f t="shared" si="18"/>
        <v>26</v>
      </c>
      <c r="P22" s="1090">
        <f t="shared" si="18"/>
        <v>26</v>
      </c>
      <c r="Q22" s="1090">
        <f t="shared" si="18"/>
        <v>26</v>
      </c>
      <c r="R22" s="1090">
        <f t="shared" si="18"/>
        <v>26</v>
      </c>
      <c r="S22" s="1090">
        <f t="shared" si="18"/>
        <v>26</v>
      </c>
      <c r="T22" s="1090">
        <f t="shared" si="18"/>
        <v>26</v>
      </c>
      <c r="U22" s="1090">
        <f t="shared" si="18"/>
        <v>26</v>
      </c>
      <c r="V22" s="1090">
        <f t="shared" si="18"/>
        <v>26</v>
      </c>
      <c r="W22" s="1090">
        <f t="shared" si="18"/>
        <v>26</v>
      </c>
      <c r="X22" s="1090">
        <f t="shared" si="18"/>
        <v>26</v>
      </c>
      <c r="Y22" s="1090">
        <f t="shared" si="18"/>
        <v>26</v>
      </c>
      <c r="Z22" s="1090">
        <f t="shared" si="18"/>
        <v>26</v>
      </c>
      <c r="AA22" s="1090">
        <f t="shared" si="18"/>
        <v>26</v>
      </c>
      <c r="AB22" s="1090">
        <f>$C$19</f>
        <v>26</v>
      </c>
      <c r="AC22" s="1090">
        <f t="shared" si="18"/>
        <v>26</v>
      </c>
      <c r="AD22" s="311"/>
      <c r="AE22" s="1090">
        <f>AE19</f>
        <v>20</v>
      </c>
      <c r="AF22" s="1090">
        <f>AF19</f>
        <v>18</v>
      </c>
      <c r="AG22" s="311"/>
      <c r="AH22" s="1090">
        <f>AH19</f>
        <v>26</v>
      </c>
      <c r="AI22" s="1090">
        <f>AI19</f>
        <v>26</v>
      </c>
      <c r="AJ22" s="311"/>
      <c r="AK22" s="1090">
        <f>AK19</f>
        <v>62</v>
      </c>
      <c r="AL22" s="1090">
        <f>AL19</f>
        <v>52</v>
      </c>
    </row>
    <row r="23" spans="1:38" s="1090" customFormat="1" x14ac:dyDescent="0.45">
      <c r="B23" s="1091"/>
      <c r="C23" s="1091"/>
      <c r="D23" s="1089"/>
      <c r="AD23" s="311"/>
      <c r="AG23" s="311"/>
      <c r="AJ23" s="311"/>
    </row>
    <row r="24" spans="1:38" s="1090" customFormat="1" x14ac:dyDescent="0.45">
      <c r="B24" s="307" t="s">
        <v>2159</v>
      </c>
      <c r="C24" s="1120">
        <v>0</v>
      </c>
      <c r="D24" s="1089" t="s">
        <v>2616</v>
      </c>
      <c r="AD24" s="311"/>
      <c r="AE24" s="1121">
        <v>0</v>
      </c>
      <c r="AF24" s="1121">
        <v>0</v>
      </c>
      <c r="AG24" s="311"/>
      <c r="AH24" s="1121">
        <v>0</v>
      </c>
      <c r="AI24" s="1121">
        <v>0</v>
      </c>
      <c r="AJ24" s="311"/>
      <c r="AK24" s="1121">
        <v>0</v>
      </c>
      <c r="AL24" s="1121">
        <v>0</v>
      </c>
    </row>
    <row r="25" spans="1:38" x14ac:dyDescent="0.45">
      <c r="B25" s="917"/>
      <c r="C25" s="917"/>
      <c r="D25" s="236" t="s">
        <v>0</v>
      </c>
      <c r="E25" s="242">
        <f>1/(E16/E22) * (1+$C$24)</f>
        <v>41.746431999999999</v>
      </c>
      <c r="F25" s="242">
        <f>1/(F16/F22) * (1+$C$24)</f>
        <v>42.172415999999991</v>
      </c>
      <c r="G25" s="242">
        <f t="shared" ref="G25:AB25" si="19">1/(G16/G22) * (1+$C$24)</f>
        <v>42.598399999999998</v>
      </c>
      <c r="H25" s="242">
        <f t="shared" si="19"/>
        <v>43.024383999999998</v>
      </c>
      <c r="I25" s="242">
        <f t="shared" si="19"/>
        <v>43.450367999999997</v>
      </c>
      <c r="J25" s="242">
        <f t="shared" si="19"/>
        <v>43.876352000000004</v>
      </c>
      <c r="K25" s="242">
        <f t="shared" si="19"/>
        <v>44.302335999999997</v>
      </c>
      <c r="L25" s="242">
        <f t="shared" si="19"/>
        <v>44.728319999999989</v>
      </c>
      <c r="M25" s="242">
        <f t="shared" si="19"/>
        <v>45.154304000000003</v>
      </c>
      <c r="N25" s="242">
        <f t="shared" si="19"/>
        <v>45.58028800000001</v>
      </c>
      <c r="O25" s="242">
        <f t="shared" si="19"/>
        <v>46.006272000000003</v>
      </c>
      <c r="P25" s="242">
        <f t="shared" si="19"/>
        <v>46.432255999999995</v>
      </c>
      <c r="Q25" s="242">
        <f t="shared" si="19"/>
        <v>46.858240000000009</v>
      </c>
      <c r="R25" s="242">
        <f t="shared" si="19"/>
        <v>47.284224000000002</v>
      </c>
      <c r="S25" s="242">
        <f t="shared" si="19"/>
        <v>47.710208000000009</v>
      </c>
      <c r="T25" s="242">
        <f t="shared" si="19"/>
        <v>48.136191999999994</v>
      </c>
      <c r="U25" s="242">
        <f t="shared" si="19"/>
        <v>48.562176000000008</v>
      </c>
      <c r="V25" s="242">
        <f t="shared" si="19"/>
        <v>48.988159999999993</v>
      </c>
      <c r="W25" s="242">
        <f t="shared" si="19"/>
        <v>49.414144000000007</v>
      </c>
      <c r="X25" s="242">
        <f t="shared" si="19"/>
        <v>49.840127999999993</v>
      </c>
      <c r="Y25" s="242">
        <f t="shared" si="19"/>
        <v>50.266111999999993</v>
      </c>
      <c r="Z25" s="242">
        <f t="shared" si="19"/>
        <v>50.692095999999999</v>
      </c>
      <c r="AA25" s="242">
        <f t="shared" si="19"/>
        <v>51.118079999999992</v>
      </c>
      <c r="AB25" s="242">
        <f t="shared" si="19"/>
        <v>51.544064000000006</v>
      </c>
      <c r="AC25" s="242">
        <f>1/(AC16/AC22) * (1+$C$24)</f>
        <v>51.970047999999998</v>
      </c>
      <c r="AD25" s="311"/>
      <c r="AE25" s="242">
        <f>1/(AE16/AE19) * (1+AE24)</f>
        <v>47.185919999999996</v>
      </c>
      <c r="AF25" s="242">
        <f>1/(AF16/AF19) * (1+AF24)</f>
        <v>48.66048</v>
      </c>
      <c r="AG25" s="311"/>
      <c r="AH25" s="242">
        <f>1/(AH16/AH19) * (1+AH24)</f>
        <v>42.598399999999998</v>
      </c>
      <c r="AI25" s="242">
        <f>1/(AI16/AI19) * (1+AI24)</f>
        <v>51.118079999999992</v>
      </c>
      <c r="AJ25" s="311"/>
      <c r="AK25" s="242">
        <f>1/(AK16/AK19) * (1+AK24)</f>
        <v>50.790400000000005</v>
      </c>
      <c r="AL25" s="242">
        <f>1/(AL16/AL19) * (1+AL24)</f>
        <v>51.118079999999992</v>
      </c>
    </row>
    <row r="26" spans="1:38" x14ac:dyDescent="0.45">
      <c r="B26" s="307"/>
      <c r="C26" s="917"/>
      <c r="D26" s="236" t="s">
        <v>1</v>
      </c>
      <c r="E26" s="242">
        <f>1/E25</f>
        <v>2.3954142955259026E-2</v>
      </c>
      <c r="F26" s="242">
        <f t="shared" ref="F26:AC26" si="20">1/F25</f>
        <v>2.3712181915306919E-2</v>
      </c>
      <c r="G26" s="242">
        <f t="shared" si="20"/>
        <v>2.3475060096153848E-2</v>
      </c>
      <c r="H26" s="242">
        <f t="shared" si="20"/>
        <v>2.3242633758568165E-2</v>
      </c>
      <c r="I26" s="242">
        <f t="shared" si="20"/>
        <v>2.3014764800150831E-2</v>
      </c>
      <c r="J26" s="242">
        <f t="shared" si="20"/>
        <v>2.2791320481702761E-2</v>
      </c>
      <c r="K26" s="242">
        <f t="shared" si="20"/>
        <v>2.2572173169378699E-2</v>
      </c>
      <c r="L26" s="242">
        <f t="shared" si="20"/>
        <v>2.2357200091575095E-2</v>
      </c>
      <c r="M26" s="242">
        <f t="shared" si="20"/>
        <v>2.2146283109579099E-2</v>
      </c>
      <c r="N26" s="242">
        <f t="shared" si="20"/>
        <v>2.1939308501078357E-2</v>
      </c>
      <c r="O26" s="242">
        <f t="shared" si="20"/>
        <v>2.1736166755698005E-2</v>
      </c>
      <c r="P26" s="242">
        <f t="shared" si="20"/>
        <v>2.153675238179252E-2</v>
      </c>
      <c r="Q26" s="242">
        <f t="shared" si="20"/>
        <v>2.1340963723776221E-2</v>
      </c>
      <c r="R26" s="242">
        <f t="shared" si="20"/>
        <v>2.1148702789327789E-2</v>
      </c>
      <c r="S26" s="242">
        <f t="shared" si="20"/>
        <v>2.0959875085851645E-2</v>
      </c>
      <c r="T26" s="242">
        <f t="shared" si="20"/>
        <v>2.0774389465622874E-2</v>
      </c>
      <c r="U26" s="242">
        <f t="shared" si="20"/>
        <v>2.0592157979082319E-2</v>
      </c>
      <c r="V26" s="242">
        <f t="shared" si="20"/>
        <v>2.0413095735785956E-2</v>
      </c>
      <c r="W26" s="242">
        <f t="shared" si="20"/>
        <v>2.0237120772546417E-2</v>
      </c>
      <c r="X26" s="242">
        <f t="shared" si="20"/>
        <v>2.0064153928336624E-2</v>
      </c>
      <c r="Y26" s="242">
        <f t="shared" si="20"/>
        <v>1.9894118725554109E-2</v>
      </c>
      <c r="Z26" s="242">
        <f t="shared" si="20"/>
        <v>1.9726941257272139E-2</v>
      </c>
      <c r="AA26" s="242">
        <f t="shared" si="20"/>
        <v>1.9562550080128208E-2</v>
      </c>
      <c r="AB26" s="242">
        <f t="shared" si="20"/>
        <v>1.9400876112523838E-2</v>
      </c>
      <c r="AC26" s="242">
        <f t="shared" si="20"/>
        <v>1.9241852537831023E-2</v>
      </c>
      <c r="AD26" s="311"/>
      <c r="AE26" s="242">
        <f t="shared" ref="AE26:AF26" si="21">1/AE25</f>
        <v>2.1192762586805556E-2</v>
      </c>
      <c r="AF26" s="242">
        <f t="shared" si="21"/>
        <v>2.0550557659932661E-2</v>
      </c>
      <c r="AG26" s="311"/>
      <c r="AH26" s="242">
        <f t="shared" ref="AH26:AI26" si="22">1/AH25</f>
        <v>2.3475060096153848E-2</v>
      </c>
      <c r="AI26" s="242">
        <f t="shared" si="22"/>
        <v>1.9562550080128208E-2</v>
      </c>
      <c r="AJ26" s="311"/>
      <c r="AK26" s="242">
        <f t="shared" ref="AK26:AL26" si="23">1/AK25</f>
        <v>1.968876008064516E-2</v>
      </c>
      <c r="AL26" s="242">
        <f t="shared" si="23"/>
        <v>1.9562550080128208E-2</v>
      </c>
    </row>
    <row r="27" spans="1:38" s="1090" customFormat="1" x14ac:dyDescent="0.45">
      <c r="B27" s="307" t="s">
        <v>2629</v>
      </c>
      <c r="C27" s="1088" t="s">
        <v>1269</v>
      </c>
      <c r="D27" s="1089" t="s">
        <v>1</v>
      </c>
      <c r="E27" s="1097">
        <f>E26*E22*2^$C$2</f>
        <v>10204.08163265306</v>
      </c>
      <c r="F27" s="1097">
        <f t="shared" ref="F27:AC27" si="24">F26*F22*2^$C$2</f>
        <v>10101.010101010103</v>
      </c>
      <c r="G27" s="1097">
        <f t="shared" si="24"/>
        <v>10000</v>
      </c>
      <c r="H27" s="1097">
        <f t="shared" si="24"/>
        <v>9900.9900990099013</v>
      </c>
      <c r="I27" s="1097">
        <f t="shared" si="24"/>
        <v>9803.9215686274511</v>
      </c>
      <c r="J27" s="1097">
        <f t="shared" si="24"/>
        <v>9708.7378640776697</v>
      </c>
      <c r="K27" s="1097">
        <f t="shared" si="24"/>
        <v>9615.3846153846152</v>
      </c>
      <c r="L27" s="1097">
        <f t="shared" si="24"/>
        <v>9523.8095238095248</v>
      </c>
      <c r="M27" s="1097">
        <f t="shared" si="24"/>
        <v>9433.9622641509432</v>
      </c>
      <c r="N27" s="1097">
        <f t="shared" si="24"/>
        <v>9345.7943925233631</v>
      </c>
      <c r="O27" s="1097">
        <f t="shared" si="24"/>
        <v>9259.2592592592591</v>
      </c>
      <c r="P27" s="1097">
        <f t="shared" si="24"/>
        <v>9174.3119266055055</v>
      </c>
      <c r="Q27" s="1097">
        <f t="shared" si="24"/>
        <v>9090.9090909090901</v>
      </c>
      <c r="R27" s="1097">
        <f t="shared" si="24"/>
        <v>9009.0090090090089</v>
      </c>
      <c r="S27" s="1097">
        <f t="shared" si="24"/>
        <v>8928.5714285714275</v>
      </c>
      <c r="T27" s="1097">
        <f t="shared" si="24"/>
        <v>8849.5575221238942</v>
      </c>
      <c r="U27" s="1097">
        <f t="shared" si="24"/>
        <v>8771.9298245614027</v>
      </c>
      <c r="V27" s="1097">
        <f t="shared" si="24"/>
        <v>8695.652173913044</v>
      </c>
      <c r="W27" s="1097">
        <f t="shared" si="24"/>
        <v>8620.689655172413</v>
      </c>
      <c r="X27" s="1097">
        <f t="shared" si="24"/>
        <v>8547.0085470085487</v>
      </c>
      <c r="Y27" s="1097">
        <f t="shared" si="24"/>
        <v>8474.5762711864409</v>
      </c>
      <c r="Z27" s="1097">
        <f t="shared" si="24"/>
        <v>8403.3613445378141</v>
      </c>
      <c r="AA27" s="1097">
        <f t="shared" si="24"/>
        <v>8333.3333333333339</v>
      </c>
      <c r="AB27" s="1097">
        <f t="shared" si="24"/>
        <v>8264.4628099173551</v>
      </c>
      <c r="AC27" s="1097">
        <f t="shared" si="24"/>
        <v>8196.7213114754104</v>
      </c>
      <c r="AD27" s="311"/>
      <c r="AE27" s="1097">
        <f>AE26*AE19*2^$C$2</f>
        <v>6944.4444444444443</v>
      </c>
      <c r="AF27" s="1097">
        <f>AF26*AF19*2^$C$2</f>
        <v>6060.606060606061</v>
      </c>
      <c r="AG27" s="311"/>
      <c r="AH27" s="1097">
        <f>AH26*AH19*2^$C$2/8</f>
        <v>1250</v>
      </c>
      <c r="AI27" s="1097">
        <f>AI26*AI19*2^$C$2/8</f>
        <v>1041.6666666666667</v>
      </c>
      <c r="AJ27" s="311"/>
      <c r="AK27" s="1097">
        <f t="shared" ref="AK27:AL27" si="25">AK26*AK19*2^$C$2</f>
        <v>20000</v>
      </c>
      <c r="AL27" s="1097">
        <f t="shared" si="25"/>
        <v>16666.666666666668</v>
      </c>
    </row>
    <row r="28" spans="1:38" s="1090" customFormat="1" x14ac:dyDescent="0.45">
      <c r="B28" s="1091"/>
      <c r="C28" s="1088" t="s">
        <v>2609</v>
      </c>
      <c r="D28" s="1089" t="s">
        <v>1</v>
      </c>
      <c r="E28" s="1100">
        <f>E13-E27</f>
        <v>0</v>
      </c>
      <c r="F28" s="1100">
        <f t="shared" ref="F28:AC28" si="26">F13-F27</f>
        <v>0</v>
      </c>
      <c r="G28" s="1100">
        <f t="shared" si="26"/>
        <v>0</v>
      </c>
      <c r="H28" s="1100">
        <f t="shared" si="26"/>
        <v>0</v>
      </c>
      <c r="I28" s="1100">
        <f t="shared" si="26"/>
        <v>0</v>
      </c>
      <c r="J28" s="1100">
        <f t="shared" si="26"/>
        <v>0</v>
      </c>
      <c r="K28" s="1100">
        <f t="shared" si="26"/>
        <v>0</v>
      </c>
      <c r="L28" s="1100">
        <f t="shared" si="26"/>
        <v>0</v>
      </c>
      <c r="M28" s="1100">
        <f t="shared" si="26"/>
        <v>0</v>
      </c>
      <c r="N28" s="1100">
        <f t="shared" si="26"/>
        <v>0</v>
      </c>
      <c r="O28" s="1100">
        <f t="shared" si="26"/>
        <v>0</v>
      </c>
      <c r="P28" s="1100">
        <f t="shared" si="26"/>
        <v>0</v>
      </c>
      <c r="Q28" s="1100">
        <f t="shared" si="26"/>
        <v>0</v>
      </c>
      <c r="R28" s="1100">
        <f t="shared" si="26"/>
        <v>0</v>
      </c>
      <c r="S28" s="1100">
        <f t="shared" si="26"/>
        <v>0</v>
      </c>
      <c r="T28" s="1100">
        <f t="shared" si="26"/>
        <v>0</v>
      </c>
      <c r="U28" s="1100">
        <f t="shared" si="26"/>
        <v>0</v>
      </c>
      <c r="V28" s="1100">
        <f t="shared" si="26"/>
        <v>0</v>
      </c>
      <c r="W28" s="1100">
        <f t="shared" si="26"/>
        <v>0</v>
      </c>
      <c r="X28" s="1100">
        <f t="shared" si="26"/>
        <v>0</v>
      </c>
      <c r="Y28" s="1100">
        <f t="shared" si="26"/>
        <v>0</v>
      </c>
      <c r="Z28" s="1100">
        <f t="shared" si="26"/>
        <v>0</v>
      </c>
      <c r="AA28" s="1100">
        <f t="shared" si="26"/>
        <v>0</v>
      </c>
      <c r="AB28" s="1100">
        <f t="shared" si="26"/>
        <v>0</v>
      </c>
      <c r="AC28" s="1100">
        <f t="shared" si="26"/>
        <v>0</v>
      </c>
      <c r="AD28" s="311"/>
      <c r="AE28" s="1100">
        <f>AE13-AE27</f>
        <v>0</v>
      </c>
      <c r="AF28" s="1100">
        <f>AF13-AF27</f>
        <v>0</v>
      </c>
      <c r="AG28" s="236"/>
      <c r="AH28" s="1100">
        <f>AH13-AH27</f>
        <v>0</v>
      </c>
      <c r="AI28" s="1100">
        <f>AI13-AI27</f>
        <v>0</v>
      </c>
      <c r="AJ28" s="311"/>
      <c r="AK28" s="1100">
        <f>AK13-AK27</f>
        <v>0</v>
      </c>
      <c r="AL28" s="1100">
        <f>AL13-AL27</f>
        <v>0</v>
      </c>
    </row>
    <row r="29" spans="1:38" ht="15" thickBot="1" x14ac:dyDescent="0.5">
      <c r="B29" s="1091"/>
      <c r="C29" s="236"/>
      <c r="D29" s="236"/>
      <c r="AD29" s="311"/>
      <c r="AG29" s="236"/>
      <c r="AJ29" s="311"/>
    </row>
    <row r="30" spans="1:38" ht="15" thickBot="1" x14ac:dyDescent="0.5">
      <c r="B30" s="236" t="s">
        <v>2608</v>
      </c>
      <c r="C30" s="1087">
        <v>24</v>
      </c>
      <c r="D30" s="236" t="s">
        <v>5</v>
      </c>
      <c r="E30" s="1094"/>
      <c r="F30" s="1094"/>
      <c r="G30" s="1094"/>
      <c r="H30" s="1094"/>
      <c r="I30" s="1094"/>
      <c r="J30" s="1094"/>
      <c r="K30" s="1094"/>
      <c r="L30" s="1094"/>
      <c r="M30" s="1094"/>
      <c r="N30" s="1094"/>
      <c r="O30" s="1094"/>
      <c r="P30" s="1094"/>
      <c r="Q30" s="1094"/>
      <c r="R30" s="1094"/>
      <c r="S30" s="1094"/>
      <c r="T30" s="1094"/>
      <c r="U30" s="1094"/>
      <c r="V30" s="1094"/>
      <c r="W30" s="1094"/>
      <c r="X30" s="1094"/>
      <c r="Y30" s="1094"/>
      <c r="Z30" s="1094"/>
      <c r="AA30" s="1094"/>
      <c r="AB30" s="311"/>
      <c r="AC30" s="311"/>
      <c r="AD30" s="311"/>
      <c r="AE30" s="1104">
        <v>18</v>
      </c>
      <c r="AF30" s="1104">
        <v>16</v>
      </c>
      <c r="AG30" s="236"/>
      <c r="AH30" s="1104">
        <v>24</v>
      </c>
      <c r="AI30" s="1104">
        <v>24</v>
      </c>
      <c r="AJ30" s="311"/>
      <c r="AK30" s="1104">
        <v>60</v>
      </c>
      <c r="AL30" s="1104">
        <v>50</v>
      </c>
    </row>
    <row r="31" spans="1:38" x14ac:dyDescent="0.45">
      <c r="B31" s="307"/>
      <c r="C31" s="917"/>
      <c r="D31" s="236" t="s">
        <v>0</v>
      </c>
      <c r="E31" s="1094"/>
      <c r="F31" s="1094"/>
      <c r="G31" s="1094">
        <f>1/(G17/$C$30)</f>
        <v>42.01025641025641</v>
      </c>
      <c r="H31" s="1094"/>
      <c r="I31" s="1094"/>
      <c r="J31" s="1094"/>
      <c r="K31" s="1094"/>
      <c r="L31" s="1094"/>
      <c r="M31" s="1094"/>
      <c r="N31" s="1094"/>
      <c r="O31" s="1094"/>
      <c r="P31" s="1094"/>
      <c r="Q31" s="1094"/>
      <c r="R31" s="1094"/>
      <c r="S31" s="1094"/>
      <c r="T31" s="1094"/>
      <c r="U31" s="1094"/>
      <c r="V31" s="1094"/>
      <c r="W31" s="1094"/>
      <c r="X31" s="1094"/>
      <c r="Y31" s="1094"/>
      <c r="Z31" s="1094"/>
      <c r="AA31" s="1094">
        <f>1/(AA17/$C$30)</f>
        <v>51.111265164644706</v>
      </c>
      <c r="AB31" s="311"/>
      <c r="AC31" s="311"/>
      <c r="AD31" s="311"/>
      <c r="AE31" s="1094">
        <f>1/(AE17/AE30)</f>
        <v>46.778427916813541</v>
      </c>
      <c r="AF31" s="1094">
        <f>1/(AF17/AF30)</f>
        <v>48.360644007155635</v>
      </c>
      <c r="AG31" s="236"/>
      <c r="AH31" s="1094">
        <f>1/(AH17/AH30)</f>
        <v>39.960975609756098</v>
      </c>
      <c r="AI31" s="1094">
        <f>1/(AI17/AI30)</f>
        <v>48.109624796084823</v>
      </c>
      <c r="AJ31" s="311"/>
      <c r="AK31" s="1094">
        <f>1/(AK17/AK30)</f>
        <v>50.776859504132226</v>
      </c>
      <c r="AL31" s="1094">
        <f>1/(AL17/AL30)</f>
        <v>51.114808652246253</v>
      </c>
    </row>
    <row r="32" spans="1:38" s="235" customFormat="1" x14ac:dyDescent="0.45">
      <c r="A32" s="234"/>
      <c r="B32" s="307" t="s">
        <v>2162</v>
      </c>
      <c r="C32" s="236" t="s">
        <v>1268</v>
      </c>
      <c r="D32" s="236" t="s">
        <v>5</v>
      </c>
      <c r="E32" s="240">
        <f t="shared" ref="E32:AC32" si="27">E17/(1/E36)</f>
        <v>24.36928</v>
      </c>
      <c r="F32" s="240">
        <f t="shared" si="27"/>
        <v>24.352640000000001</v>
      </c>
      <c r="G32" s="240">
        <f t="shared" si="27"/>
        <v>24.335999999999999</v>
      </c>
      <c r="H32" s="240">
        <f t="shared" si="27"/>
        <v>24.31936</v>
      </c>
      <c r="I32" s="240">
        <f t="shared" si="27"/>
        <v>24.302719999999997</v>
      </c>
      <c r="J32" s="240">
        <f t="shared" si="27"/>
        <v>24.286080000000002</v>
      </c>
      <c r="K32" s="240">
        <f t="shared" si="27"/>
        <v>24.269439999999999</v>
      </c>
      <c r="L32" s="240">
        <f t="shared" si="27"/>
        <v>24.252799999999997</v>
      </c>
      <c r="M32" s="240">
        <f t="shared" si="27"/>
        <v>24.236160000000002</v>
      </c>
      <c r="N32" s="240">
        <f t="shared" si="27"/>
        <v>24.219519999999999</v>
      </c>
      <c r="O32" s="240">
        <f t="shared" si="27"/>
        <v>24.20288</v>
      </c>
      <c r="P32" s="240">
        <f t="shared" si="27"/>
        <v>24.186240000000002</v>
      </c>
      <c r="Q32" s="240">
        <f t="shared" si="27"/>
        <v>24.169600000000003</v>
      </c>
      <c r="R32" s="240">
        <f t="shared" si="27"/>
        <v>24.15296</v>
      </c>
      <c r="S32" s="240">
        <f t="shared" si="27"/>
        <v>24.136320000000001</v>
      </c>
      <c r="T32" s="240">
        <f t="shared" si="27"/>
        <v>24.119679999999999</v>
      </c>
      <c r="U32" s="240">
        <f t="shared" si="27"/>
        <v>24.10304</v>
      </c>
      <c r="V32" s="240">
        <f t="shared" si="27"/>
        <v>24.086399999999998</v>
      </c>
      <c r="W32" s="240">
        <f t="shared" si="27"/>
        <v>24.069760000000002</v>
      </c>
      <c r="X32" s="240">
        <f t="shared" si="27"/>
        <v>24.05312</v>
      </c>
      <c r="Y32" s="240">
        <f t="shared" si="27"/>
        <v>24.036479999999997</v>
      </c>
      <c r="Z32" s="240">
        <f t="shared" si="27"/>
        <v>24.019839999999999</v>
      </c>
      <c r="AA32" s="240">
        <f t="shared" si="27"/>
        <v>24.0032</v>
      </c>
      <c r="AB32" s="240">
        <f t="shared" si="27"/>
        <v>23.986560000000001</v>
      </c>
      <c r="AC32" s="240">
        <f t="shared" si="27"/>
        <v>23.969919999999998</v>
      </c>
      <c r="AD32" s="311"/>
      <c r="AE32" s="240">
        <f>AE17/(1/AE36)</f>
        <v>18.1568</v>
      </c>
      <c r="AF32" s="240">
        <f>AF17/(1/AF36)</f>
        <v>16.0992</v>
      </c>
      <c r="AG32" s="236"/>
      <c r="AH32" s="240">
        <f>AH17/(1/AH36)</f>
        <v>25.584</v>
      </c>
      <c r="AI32" s="240">
        <f>AI17/(1/AI36)</f>
        <v>25.500799999999998</v>
      </c>
      <c r="AJ32" s="311"/>
      <c r="AK32" s="240">
        <f>AK17/(1/AK36)</f>
        <v>60.016000000000005</v>
      </c>
      <c r="AL32" s="240">
        <f>AL17/(1/AL36)</f>
        <v>50.0032</v>
      </c>
    </row>
    <row r="33" spans="1:38" s="1093" customFormat="1" x14ac:dyDescent="0.45">
      <c r="A33" s="1090"/>
      <c r="B33" s="1089"/>
      <c r="C33" s="1089" t="s">
        <v>1269</v>
      </c>
      <c r="D33" s="1089" t="s">
        <v>5</v>
      </c>
      <c r="E33" s="1101">
        <f>$C$30</f>
        <v>24</v>
      </c>
      <c r="F33" s="1101">
        <f t="shared" ref="F33:AC33" si="28">$C$30</f>
        <v>24</v>
      </c>
      <c r="G33" s="1101">
        <f t="shared" si="28"/>
        <v>24</v>
      </c>
      <c r="H33" s="1101">
        <f t="shared" si="28"/>
        <v>24</v>
      </c>
      <c r="I33" s="1101">
        <f t="shared" si="28"/>
        <v>24</v>
      </c>
      <c r="J33" s="1101">
        <f t="shared" si="28"/>
        <v>24</v>
      </c>
      <c r="K33" s="1101">
        <f t="shared" si="28"/>
        <v>24</v>
      </c>
      <c r="L33" s="1101">
        <f t="shared" si="28"/>
        <v>24</v>
      </c>
      <c r="M33" s="1101">
        <f t="shared" si="28"/>
        <v>24</v>
      </c>
      <c r="N33" s="1101">
        <f t="shared" si="28"/>
        <v>24</v>
      </c>
      <c r="O33" s="1101">
        <f t="shared" si="28"/>
        <v>24</v>
      </c>
      <c r="P33" s="1101">
        <f t="shared" si="28"/>
        <v>24</v>
      </c>
      <c r="Q33" s="1101">
        <f t="shared" si="28"/>
        <v>24</v>
      </c>
      <c r="R33" s="1101">
        <f t="shared" si="28"/>
        <v>24</v>
      </c>
      <c r="S33" s="1101">
        <f t="shared" si="28"/>
        <v>24</v>
      </c>
      <c r="T33" s="1101">
        <f t="shared" si="28"/>
        <v>24</v>
      </c>
      <c r="U33" s="1101">
        <f t="shared" si="28"/>
        <v>24</v>
      </c>
      <c r="V33" s="1101">
        <f t="shared" si="28"/>
        <v>24</v>
      </c>
      <c r="W33" s="1101">
        <f t="shared" si="28"/>
        <v>24</v>
      </c>
      <c r="X33" s="1101">
        <f t="shared" si="28"/>
        <v>24</v>
      </c>
      <c r="Y33" s="1101">
        <f t="shared" si="28"/>
        <v>24</v>
      </c>
      <c r="Z33" s="1101">
        <f t="shared" si="28"/>
        <v>24</v>
      </c>
      <c r="AA33" s="1101">
        <f t="shared" si="28"/>
        <v>24</v>
      </c>
      <c r="AB33" s="1101">
        <f t="shared" si="28"/>
        <v>24</v>
      </c>
      <c r="AC33" s="1101">
        <f t="shared" si="28"/>
        <v>24</v>
      </c>
      <c r="AD33" s="1117"/>
      <c r="AE33" s="1090">
        <f>AE30</f>
        <v>18</v>
      </c>
      <c r="AF33" s="1090">
        <f t="shared" ref="AF33:AL33" si="29">AF30</f>
        <v>16</v>
      </c>
      <c r="AG33" s="1089"/>
      <c r="AH33" s="1090">
        <f t="shared" si="29"/>
        <v>24</v>
      </c>
      <c r="AI33" s="1090">
        <f t="shared" si="29"/>
        <v>24</v>
      </c>
      <c r="AJ33" s="1117"/>
      <c r="AK33" s="1090">
        <f t="shared" si="29"/>
        <v>60</v>
      </c>
      <c r="AL33" s="1090">
        <f t="shared" si="29"/>
        <v>50</v>
      </c>
    </row>
    <row r="34" spans="1:38" s="1093" customFormat="1" x14ac:dyDescent="0.45">
      <c r="A34" s="1090"/>
      <c r="B34" s="1089"/>
      <c r="C34" s="1089"/>
      <c r="D34" s="1089"/>
      <c r="E34" s="1101"/>
      <c r="F34" s="1101"/>
      <c r="G34" s="1101"/>
      <c r="H34" s="1101"/>
      <c r="I34" s="1101"/>
      <c r="J34" s="1101"/>
      <c r="K34" s="1101"/>
      <c r="L34" s="1101"/>
      <c r="M34" s="1101"/>
      <c r="N34" s="1101"/>
      <c r="O34" s="1101"/>
      <c r="P34" s="1101"/>
      <c r="Q34" s="1101"/>
      <c r="R34" s="1101"/>
      <c r="S34" s="1101"/>
      <c r="T34" s="1101"/>
      <c r="U34" s="1101"/>
      <c r="V34" s="1101"/>
      <c r="W34" s="1101"/>
      <c r="X34" s="1101"/>
      <c r="Y34" s="1101"/>
      <c r="Z34" s="1101"/>
      <c r="AA34" s="1101"/>
      <c r="AB34" s="1101"/>
      <c r="AC34" s="1101"/>
      <c r="AD34" s="1117"/>
      <c r="AE34" s="1090"/>
      <c r="AF34" s="1090"/>
      <c r="AG34" s="1089"/>
      <c r="AH34" s="1090"/>
      <c r="AI34" s="1090"/>
      <c r="AJ34" s="1117"/>
      <c r="AK34" s="1090"/>
      <c r="AL34" s="1090"/>
    </row>
    <row r="35" spans="1:38" s="1093" customFormat="1" x14ac:dyDescent="0.45">
      <c r="A35" s="1090"/>
      <c r="B35" s="236" t="s">
        <v>2161</v>
      </c>
      <c r="C35" s="1119">
        <f>C24</f>
        <v>0</v>
      </c>
      <c r="D35" s="1089" t="s">
        <v>2616</v>
      </c>
      <c r="E35" s="1101"/>
      <c r="F35" s="1101"/>
      <c r="G35" s="1101"/>
      <c r="H35" s="1101"/>
      <c r="I35" s="1101"/>
      <c r="J35" s="1101"/>
      <c r="K35" s="1101"/>
      <c r="L35" s="1101"/>
      <c r="M35" s="1101"/>
      <c r="N35" s="1101"/>
      <c r="O35" s="1101"/>
      <c r="P35" s="1101"/>
      <c r="Q35" s="1101"/>
      <c r="R35" s="1101"/>
      <c r="S35" s="1101"/>
      <c r="T35" s="1101"/>
      <c r="U35" s="1101"/>
      <c r="V35" s="1101"/>
      <c r="W35" s="1101"/>
      <c r="X35" s="1101"/>
      <c r="Y35" s="1101"/>
      <c r="Z35" s="1101"/>
      <c r="AA35" s="1101"/>
      <c r="AB35" s="1101"/>
      <c r="AC35" s="1101"/>
      <c r="AD35" s="1117"/>
      <c r="AE35" s="1122"/>
      <c r="AF35" s="1122"/>
      <c r="AG35" s="1089"/>
      <c r="AH35" s="1122"/>
      <c r="AI35" s="1122"/>
      <c r="AJ35" s="1117"/>
      <c r="AK35" s="1122">
        <v>0</v>
      </c>
      <c r="AL35" s="1122">
        <v>0</v>
      </c>
    </row>
    <row r="36" spans="1:38" s="235" customFormat="1" x14ac:dyDescent="0.45">
      <c r="A36" s="242"/>
      <c r="B36" s="236"/>
      <c r="C36" s="917"/>
      <c r="D36" s="236" t="s">
        <v>0</v>
      </c>
      <c r="E36" s="242">
        <f>E25</f>
        <v>41.746431999999999</v>
      </c>
      <c r="F36" s="242">
        <f t="shared" ref="F36:O36" si="30">F25</f>
        <v>42.172415999999991</v>
      </c>
      <c r="G36" s="242">
        <f t="shared" si="30"/>
        <v>42.598399999999998</v>
      </c>
      <c r="H36" s="242">
        <f t="shared" si="30"/>
        <v>43.024383999999998</v>
      </c>
      <c r="I36" s="242">
        <f t="shared" si="30"/>
        <v>43.450367999999997</v>
      </c>
      <c r="J36" s="242">
        <f t="shared" si="30"/>
        <v>43.876352000000004</v>
      </c>
      <c r="K36" s="242">
        <f t="shared" si="30"/>
        <v>44.302335999999997</v>
      </c>
      <c r="L36" s="242">
        <f t="shared" si="30"/>
        <v>44.728319999999989</v>
      </c>
      <c r="M36" s="242">
        <f t="shared" si="30"/>
        <v>45.154304000000003</v>
      </c>
      <c r="N36" s="242">
        <f t="shared" si="30"/>
        <v>45.58028800000001</v>
      </c>
      <c r="O36" s="242">
        <f t="shared" si="30"/>
        <v>46.006272000000003</v>
      </c>
      <c r="P36" s="242">
        <f t="shared" ref="P36:AC36" si="31">P25</f>
        <v>46.432255999999995</v>
      </c>
      <c r="Q36" s="242">
        <f t="shared" si="31"/>
        <v>46.858240000000009</v>
      </c>
      <c r="R36" s="242">
        <f t="shared" si="31"/>
        <v>47.284224000000002</v>
      </c>
      <c r="S36" s="242">
        <f t="shared" si="31"/>
        <v>47.710208000000009</v>
      </c>
      <c r="T36" s="242">
        <f t="shared" si="31"/>
        <v>48.136191999999994</v>
      </c>
      <c r="U36" s="242">
        <f t="shared" si="31"/>
        <v>48.562176000000008</v>
      </c>
      <c r="V36" s="242">
        <f t="shared" si="31"/>
        <v>48.988159999999993</v>
      </c>
      <c r="W36" s="242">
        <f t="shared" si="31"/>
        <v>49.414144000000007</v>
      </c>
      <c r="X36" s="242">
        <f t="shared" si="31"/>
        <v>49.840127999999993</v>
      </c>
      <c r="Y36" s="242">
        <f t="shared" si="31"/>
        <v>50.266111999999993</v>
      </c>
      <c r="Z36" s="242">
        <f t="shared" si="31"/>
        <v>50.692095999999999</v>
      </c>
      <c r="AA36" s="242">
        <f t="shared" si="31"/>
        <v>51.118079999999992</v>
      </c>
      <c r="AB36" s="242">
        <f t="shared" si="31"/>
        <v>51.544064000000006</v>
      </c>
      <c r="AC36" s="242">
        <f t="shared" si="31"/>
        <v>51.970047999999998</v>
      </c>
      <c r="AD36" s="311"/>
      <c r="AE36" s="242">
        <f>AE25</f>
        <v>47.185919999999996</v>
      </c>
      <c r="AF36" s="242">
        <f>AF25</f>
        <v>48.66048</v>
      </c>
      <c r="AG36" s="1089"/>
      <c r="AH36" s="242">
        <f>AH25</f>
        <v>42.598399999999998</v>
      </c>
      <c r="AI36" s="242">
        <f>AI25</f>
        <v>51.118079999999992</v>
      </c>
      <c r="AJ36" s="311"/>
      <c r="AK36" s="242">
        <f>AK25</f>
        <v>50.790400000000005</v>
      </c>
      <c r="AL36" s="242">
        <f>AL25</f>
        <v>51.118079999999992</v>
      </c>
    </row>
    <row r="37" spans="1:38" s="235" customFormat="1" x14ac:dyDescent="0.45">
      <c r="A37" s="242"/>
      <c r="B37" s="236"/>
      <c r="C37" s="917"/>
      <c r="D37" s="236" t="s">
        <v>1</v>
      </c>
      <c r="E37" s="242">
        <f>1/E36</f>
        <v>2.3954142955259026E-2</v>
      </c>
      <c r="F37" s="242">
        <f t="shared" ref="F37:AC37" si="32">1/F36</f>
        <v>2.3712181915306919E-2</v>
      </c>
      <c r="G37" s="242">
        <f t="shared" si="32"/>
        <v>2.3475060096153848E-2</v>
      </c>
      <c r="H37" s="242">
        <f t="shared" si="32"/>
        <v>2.3242633758568165E-2</v>
      </c>
      <c r="I37" s="242">
        <f t="shared" si="32"/>
        <v>2.3014764800150831E-2</v>
      </c>
      <c r="J37" s="242">
        <f t="shared" si="32"/>
        <v>2.2791320481702761E-2</v>
      </c>
      <c r="K37" s="242">
        <f t="shared" si="32"/>
        <v>2.2572173169378699E-2</v>
      </c>
      <c r="L37" s="242">
        <f t="shared" si="32"/>
        <v>2.2357200091575095E-2</v>
      </c>
      <c r="M37" s="242">
        <f t="shared" si="32"/>
        <v>2.2146283109579099E-2</v>
      </c>
      <c r="N37" s="242">
        <f t="shared" si="32"/>
        <v>2.1939308501078357E-2</v>
      </c>
      <c r="O37" s="242">
        <f t="shared" si="32"/>
        <v>2.1736166755698005E-2</v>
      </c>
      <c r="P37" s="242">
        <f t="shared" si="32"/>
        <v>2.153675238179252E-2</v>
      </c>
      <c r="Q37" s="242">
        <f t="shared" si="32"/>
        <v>2.1340963723776221E-2</v>
      </c>
      <c r="R37" s="242">
        <f t="shared" si="32"/>
        <v>2.1148702789327789E-2</v>
      </c>
      <c r="S37" s="242">
        <f t="shared" si="32"/>
        <v>2.0959875085851645E-2</v>
      </c>
      <c r="T37" s="242">
        <f t="shared" si="32"/>
        <v>2.0774389465622874E-2</v>
      </c>
      <c r="U37" s="242">
        <f t="shared" si="32"/>
        <v>2.0592157979082319E-2</v>
      </c>
      <c r="V37" s="242">
        <f t="shared" si="32"/>
        <v>2.0413095735785956E-2</v>
      </c>
      <c r="W37" s="242">
        <f t="shared" si="32"/>
        <v>2.0237120772546417E-2</v>
      </c>
      <c r="X37" s="242">
        <f t="shared" si="32"/>
        <v>2.0064153928336624E-2</v>
      </c>
      <c r="Y37" s="242">
        <f t="shared" si="32"/>
        <v>1.9894118725554109E-2</v>
      </c>
      <c r="Z37" s="242">
        <f t="shared" si="32"/>
        <v>1.9726941257272139E-2</v>
      </c>
      <c r="AA37" s="242">
        <f t="shared" si="32"/>
        <v>1.9562550080128208E-2</v>
      </c>
      <c r="AB37" s="242">
        <f t="shared" si="32"/>
        <v>1.9400876112523838E-2</v>
      </c>
      <c r="AC37" s="242">
        <f t="shared" si="32"/>
        <v>1.9241852537831023E-2</v>
      </c>
      <c r="AD37" s="311"/>
      <c r="AE37" s="242">
        <f>1/AE36</f>
        <v>2.1192762586805556E-2</v>
      </c>
      <c r="AF37" s="242">
        <f t="shared" ref="AF37" si="33">1/AF36</f>
        <v>2.0550557659932661E-2</v>
      </c>
      <c r="AG37" s="236"/>
      <c r="AH37" s="242">
        <f>1/AH36</f>
        <v>2.3475060096153848E-2</v>
      </c>
      <c r="AI37" s="242">
        <f>1/AI36</f>
        <v>1.9562550080128208E-2</v>
      </c>
      <c r="AJ37" s="311"/>
      <c r="AK37" s="242">
        <f t="shared" ref="AK37:AL37" si="34">1/AK36</f>
        <v>1.968876008064516E-2</v>
      </c>
      <c r="AL37" s="242">
        <f t="shared" si="34"/>
        <v>1.9562550080128208E-2</v>
      </c>
    </row>
    <row r="38" spans="1:38" s="1093" customFormat="1" x14ac:dyDescent="0.45">
      <c r="A38" s="1092"/>
      <c r="B38" s="236" t="s">
        <v>2630</v>
      </c>
      <c r="C38" s="1088" t="s">
        <v>1269</v>
      </c>
      <c r="D38" s="1089" t="s">
        <v>1</v>
      </c>
      <c r="E38" s="1097">
        <f>E37*E33*2^$C$2</f>
        <v>9419.1522762951336</v>
      </c>
      <c r="F38" s="1097">
        <f t="shared" ref="F38:AC38" si="35">F37*F33*2^$C$2</f>
        <v>9324.0093240093265</v>
      </c>
      <c r="G38" s="1097">
        <f t="shared" si="35"/>
        <v>9230.7692307692305</v>
      </c>
      <c r="H38" s="1097">
        <f t="shared" si="35"/>
        <v>9139.3754760091397</v>
      </c>
      <c r="I38" s="1097">
        <f t="shared" si="35"/>
        <v>9049.7737556561096</v>
      </c>
      <c r="J38" s="1097">
        <f t="shared" si="35"/>
        <v>8961.9118745332325</v>
      </c>
      <c r="K38" s="1097">
        <f t="shared" si="35"/>
        <v>8875.7396449704138</v>
      </c>
      <c r="L38" s="1097">
        <f t="shared" si="35"/>
        <v>8791.2087912087918</v>
      </c>
      <c r="M38" s="1097">
        <f t="shared" si="35"/>
        <v>8708.2728592162548</v>
      </c>
      <c r="N38" s="1097">
        <f t="shared" si="35"/>
        <v>8626.8871315600263</v>
      </c>
      <c r="O38" s="1097">
        <f t="shared" si="35"/>
        <v>8547.0085470085469</v>
      </c>
      <c r="P38" s="1097">
        <f t="shared" si="35"/>
        <v>8468.5956245589277</v>
      </c>
      <c r="Q38" s="1097">
        <f t="shared" si="35"/>
        <v>8391.6083916083899</v>
      </c>
      <c r="R38" s="1097">
        <f t="shared" si="35"/>
        <v>8316.0083160083159</v>
      </c>
      <c r="S38" s="1097">
        <f t="shared" si="35"/>
        <v>8241.7582417582398</v>
      </c>
      <c r="T38" s="1097">
        <f t="shared" si="35"/>
        <v>8168.8223281143637</v>
      </c>
      <c r="U38" s="1097">
        <f t="shared" si="35"/>
        <v>8097.1659919028334</v>
      </c>
      <c r="V38" s="1097">
        <f t="shared" si="35"/>
        <v>8026.7558528428108</v>
      </c>
      <c r="W38" s="1097">
        <f t="shared" si="35"/>
        <v>7957.5596816976122</v>
      </c>
      <c r="X38" s="1097">
        <f t="shared" si="35"/>
        <v>7889.546351084814</v>
      </c>
      <c r="Y38" s="1097">
        <f t="shared" si="35"/>
        <v>7822.6857887874849</v>
      </c>
      <c r="Z38" s="1097">
        <f t="shared" si="35"/>
        <v>7756.9489334195214</v>
      </c>
      <c r="AA38" s="1097">
        <f t="shared" si="35"/>
        <v>7692.3076923076933</v>
      </c>
      <c r="AB38" s="1097">
        <f t="shared" si="35"/>
        <v>7628.7349014621741</v>
      </c>
      <c r="AC38" s="1097">
        <f t="shared" si="35"/>
        <v>7566.204287515764</v>
      </c>
      <c r="AD38" s="1117"/>
      <c r="AE38" s="1097">
        <f>AE37*AE33*2^$C$2</f>
        <v>6250</v>
      </c>
      <c r="AF38" s="1097">
        <f t="shared" ref="AF38" si="36">AF37*AF33*2^$C$2</f>
        <v>5387.2053872053875</v>
      </c>
      <c r="AG38" s="1089"/>
      <c r="AH38" s="1097">
        <f>AH37*AH33*2^$C$2/8</f>
        <v>1153.8461538461538</v>
      </c>
      <c r="AI38" s="1097">
        <f>AI37*AI33*2^$C$2/8</f>
        <v>961.53846153846166</v>
      </c>
      <c r="AJ38" s="1117"/>
      <c r="AK38" s="1097">
        <f>AK37*AK33*2^$C$2</f>
        <v>19354.838709677417</v>
      </c>
      <c r="AL38" s="1097">
        <f>AL37*AL33*2^$C$2</f>
        <v>16025.641025641027</v>
      </c>
    </row>
    <row r="39" spans="1:38" s="1093" customFormat="1" x14ac:dyDescent="0.45">
      <c r="A39" s="1092"/>
      <c r="B39" s="1089"/>
      <c r="C39" s="1088" t="s">
        <v>2609</v>
      </c>
      <c r="D39" s="1089" t="s">
        <v>1</v>
      </c>
      <c r="E39" s="1100">
        <f t="shared" ref="E39:AC39" si="37">E14-E38</f>
        <v>144.92935635792674</v>
      </c>
      <c r="F39" s="1100">
        <f t="shared" si="37"/>
        <v>137.000777000776</v>
      </c>
      <c r="G39" s="1100">
        <f t="shared" si="37"/>
        <v>129.23076923076951</v>
      </c>
      <c r="H39" s="1100">
        <f t="shared" si="37"/>
        <v>121.61462300076164</v>
      </c>
      <c r="I39" s="1100">
        <f t="shared" si="37"/>
        <v>114.14781297134141</v>
      </c>
      <c r="J39" s="1100">
        <f t="shared" si="37"/>
        <v>106.82598954443711</v>
      </c>
      <c r="K39" s="1100">
        <f t="shared" si="37"/>
        <v>99.644970414201453</v>
      </c>
      <c r="L39" s="1100">
        <f t="shared" si="37"/>
        <v>92.600732600732954</v>
      </c>
      <c r="M39" s="1100">
        <f t="shared" si="37"/>
        <v>85.689404934688355</v>
      </c>
      <c r="N39" s="1100">
        <f t="shared" si="37"/>
        <v>78.907260963336739</v>
      </c>
      <c r="O39" s="1100">
        <f t="shared" si="37"/>
        <v>72.25071225071224</v>
      </c>
      <c r="P39" s="1100">
        <f t="shared" si="37"/>
        <v>65.716302046577766</v>
      </c>
      <c r="Q39" s="1100">
        <f t="shared" si="37"/>
        <v>59.300699300700217</v>
      </c>
      <c r="R39" s="1100">
        <f t="shared" si="37"/>
        <v>53.000693000692991</v>
      </c>
      <c r="S39" s="1100">
        <f t="shared" si="37"/>
        <v>46.813186813187713</v>
      </c>
      <c r="T39" s="1100">
        <f t="shared" si="37"/>
        <v>40.73519400953046</v>
      </c>
      <c r="U39" s="1100">
        <f t="shared" si="37"/>
        <v>34.763832658569299</v>
      </c>
      <c r="V39" s="1100">
        <f t="shared" si="37"/>
        <v>28.896321070233171</v>
      </c>
      <c r="W39" s="1100">
        <f t="shared" si="37"/>
        <v>23.129973474800863</v>
      </c>
      <c r="X39" s="1100">
        <f t="shared" si="37"/>
        <v>17.462195923734726</v>
      </c>
      <c r="Y39" s="1100">
        <f t="shared" si="37"/>
        <v>11.89048239895601</v>
      </c>
      <c r="Z39" s="1100">
        <f t="shared" si="37"/>
        <v>6.4124111182927663</v>
      </c>
      <c r="AA39" s="1100">
        <f t="shared" si="37"/>
        <v>1.0256410256406525</v>
      </c>
      <c r="AB39" s="1100">
        <f t="shared" si="37"/>
        <v>-4.2720915448189771</v>
      </c>
      <c r="AC39" s="1100">
        <f t="shared" si="37"/>
        <v>-9.4829760403536056</v>
      </c>
      <c r="AD39" s="1117"/>
      <c r="AE39" s="1100">
        <f>AE14-AE38</f>
        <v>54.444444444444343</v>
      </c>
      <c r="AF39" s="1100">
        <f>AF14-AF38</f>
        <v>33.40067340067344</v>
      </c>
      <c r="AG39" s="1089"/>
      <c r="AH39" s="1100">
        <f>AH14-AH38</f>
        <v>76.153846153846189</v>
      </c>
      <c r="AI39" s="1100">
        <f>AI14-AI38</f>
        <v>60.128205128205082</v>
      </c>
      <c r="AJ39" s="1117"/>
      <c r="AK39" s="1100">
        <f>AK14-AK38</f>
        <v>5.161290322583227</v>
      </c>
      <c r="AL39" s="1100">
        <f>AL14-AL38</f>
        <v>1.0256410256406525</v>
      </c>
    </row>
    <row r="40" spans="1:38" s="235" customFormat="1" x14ac:dyDescent="0.45">
      <c r="A40" s="234"/>
      <c r="B40" s="236"/>
      <c r="C40" s="917"/>
      <c r="D40" s="236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311"/>
      <c r="AE40" s="242"/>
      <c r="AF40" s="242"/>
      <c r="AG40" s="236"/>
      <c r="AH40" s="242"/>
      <c r="AI40" s="242"/>
      <c r="AJ40" s="311"/>
      <c r="AK40" s="242"/>
      <c r="AL40" s="242"/>
    </row>
    <row r="41" spans="1:38" s="235" customFormat="1" x14ac:dyDescent="0.45">
      <c r="A41" s="234"/>
      <c r="B41" s="236" t="s">
        <v>2610</v>
      </c>
      <c r="C41" s="255">
        <v>12</v>
      </c>
      <c r="D41" s="236" t="s">
        <v>5</v>
      </c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311"/>
      <c r="AE41" s="255">
        <f>AE30/2</f>
        <v>9</v>
      </c>
      <c r="AF41" s="255">
        <f>AF30/2</f>
        <v>8</v>
      </c>
      <c r="AG41" s="236"/>
      <c r="AH41" s="255">
        <f>AH30/2</f>
        <v>12</v>
      </c>
      <c r="AI41" s="255">
        <f>AI30/2</f>
        <v>12</v>
      </c>
      <c r="AJ41" s="311"/>
      <c r="AK41" s="255">
        <f>AK30/2</f>
        <v>30</v>
      </c>
      <c r="AL41" s="255">
        <f>AL30/2</f>
        <v>25</v>
      </c>
    </row>
    <row r="42" spans="1:38" s="235" customFormat="1" x14ac:dyDescent="0.45">
      <c r="A42" s="234"/>
      <c r="B42" s="236" t="s">
        <v>2611</v>
      </c>
      <c r="C42" s="236">
        <f>$C$30-C41</f>
        <v>12</v>
      </c>
      <c r="D42" s="236" t="s">
        <v>5</v>
      </c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  <c r="AC42" s="236"/>
      <c r="AD42" s="311"/>
      <c r="AE42" s="236">
        <f>AE30-AE41</f>
        <v>9</v>
      </c>
      <c r="AF42" s="236">
        <f>AF30-AF41</f>
        <v>8</v>
      </c>
      <c r="AG42" s="236"/>
      <c r="AH42" s="236">
        <f>AH30-AH41</f>
        <v>12</v>
      </c>
      <c r="AI42" s="236">
        <f>AI30-AI41</f>
        <v>12</v>
      </c>
      <c r="AJ42" s="311"/>
      <c r="AK42" s="236">
        <f>AK30-AK41</f>
        <v>30</v>
      </c>
      <c r="AL42" s="236">
        <f>AL30-AL41</f>
        <v>25</v>
      </c>
    </row>
    <row r="43" spans="1:38" s="235" customFormat="1" x14ac:dyDescent="0.45">
      <c r="A43" s="234"/>
      <c r="B43" s="236" t="s">
        <v>2617</v>
      </c>
      <c r="C43" s="236" t="s">
        <v>1268</v>
      </c>
      <c r="D43" s="236" t="s">
        <v>1</v>
      </c>
      <c r="E43" s="1095">
        <f>$C$8</f>
        <v>10</v>
      </c>
      <c r="F43" s="1095">
        <f t="shared" ref="F43:AL43" si="38">$C$8</f>
        <v>10</v>
      </c>
      <c r="G43" s="1095">
        <f t="shared" si="38"/>
        <v>10</v>
      </c>
      <c r="H43" s="1095">
        <f t="shared" si="38"/>
        <v>10</v>
      </c>
      <c r="I43" s="1095">
        <f t="shared" si="38"/>
        <v>10</v>
      </c>
      <c r="J43" s="1095">
        <f t="shared" si="38"/>
        <v>10</v>
      </c>
      <c r="K43" s="1095">
        <f t="shared" si="38"/>
        <v>10</v>
      </c>
      <c r="L43" s="1095">
        <f t="shared" si="38"/>
        <v>10</v>
      </c>
      <c r="M43" s="1095">
        <f t="shared" si="38"/>
        <v>10</v>
      </c>
      <c r="N43" s="1095">
        <f t="shared" si="38"/>
        <v>10</v>
      </c>
      <c r="O43" s="1095">
        <f t="shared" si="38"/>
        <v>10</v>
      </c>
      <c r="P43" s="1095">
        <f t="shared" si="38"/>
        <v>10</v>
      </c>
      <c r="Q43" s="1095">
        <f t="shared" si="38"/>
        <v>10</v>
      </c>
      <c r="R43" s="1095">
        <f t="shared" si="38"/>
        <v>10</v>
      </c>
      <c r="S43" s="1095">
        <f t="shared" si="38"/>
        <v>10</v>
      </c>
      <c r="T43" s="1095">
        <f t="shared" si="38"/>
        <v>10</v>
      </c>
      <c r="U43" s="1095">
        <f t="shared" si="38"/>
        <v>10</v>
      </c>
      <c r="V43" s="1095">
        <f t="shared" si="38"/>
        <v>10</v>
      </c>
      <c r="W43" s="1095">
        <f t="shared" si="38"/>
        <v>10</v>
      </c>
      <c r="X43" s="1095">
        <f t="shared" si="38"/>
        <v>10</v>
      </c>
      <c r="Y43" s="1095">
        <f t="shared" si="38"/>
        <v>10</v>
      </c>
      <c r="Z43" s="1095">
        <f t="shared" si="38"/>
        <v>10</v>
      </c>
      <c r="AA43" s="1095">
        <f t="shared" si="38"/>
        <v>10</v>
      </c>
      <c r="AB43" s="1095">
        <f t="shared" si="38"/>
        <v>10</v>
      </c>
      <c r="AC43" s="1095">
        <f t="shared" si="38"/>
        <v>10</v>
      </c>
      <c r="AD43" s="311"/>
      <c r="AE43" s="1095">
        <f t="shared" si="38"/>
        <v>10</v>
      </c>
      <c r="AF43" s="1095">
        <f t="shared" si="38"/>
        <v>10</v>
      </c>
      <c r="AG43" s="236"/>
      <c r="AH43" s="1095">
        <f t="shared" si="38"/>
        <v>10</v>
      </c>
      <c r="AI43" s="1095">
        <f t="shared" si="38"/>
        <v>10</v>
      </c>
      <c r="AJ43" s="311"/>
      <c r="AK43" s="1095">
        <f t="shared" si="38"/>
        <v>10</v>
      </c>
      <c r="AL43" s="1095">
        <f t="shared" si="38"/>
        <v>10</v>
      </c>
    </row>
    <row r="44" spans="1:38" s="1093" customFormat="1" x14ac:dyDescent="0.45">
      <c r="A44" s="1090"/>
      <c r="B44" s="1089"/>
      <c r="C44" s="236"/>
      <c r="D44" s="236" t="s">
        <v>5</v>
      </c>
      <c r="E44" s="352">
        <f t="shared" ref="E44:AC44" si="39">E43/(1/$C$4)</f>
        <v>350</v>
      </c>
      <c r="F44" s="352">
        <f t="shared" si="39"/>
        <v>350</v>
      </c>
      <c r="G44" s="352">
        <f t="shared" si="39"/>
        <v>350</v>
      </c>
      <c r="H44" s="352">
        <f t="shared" si="39"/>
        <v>350</v>
      </c>
      <c r="I44" s="352">
        <f t="shared" si="39"/>
        <v>350</v>
      </c>
      <c r="J44" s="352">
        <f t="shared" si="39"/>
        <v>350</v>
      </c>
      <c r="K44" s="352">
        <f t="shared" si="39"/>
        <v>350</v>
      </c>
      <c r="L44" s="352">
        <f t="shared" si="39"/>
        <v>350</v>
      </c>
      <c r="M44" s="352">
        <f t="shared" si="39"/>
        <v>350</v>
      </c>
      <c r="N44" s="352">
        <f t="shared" si="39"/>
        <v>350</v>
      </c>
      <c r="O44" s="352">
        <f t="shared" si="39"/>
        <v>350</v>
      </c>
      <c r="P44" s="352">
        <f t="shared" si="39"/>
        <v>350</v>
      </c>
      <c r="Q44" s="352">
        <f t="shared" si="39"/>
        <v>350</v>
      </c>
      <c r="R44" s="352">
        <f t="shared" si="39"/>
        <v>350</v>
      </c>
      <c r="S44" s="352">
        <f t="shared" si="39"/>
        <v>350</v>
      </c>
      <c r="T44" s="352">
        <f t="shared" si="39"/>
        <v>350</v>
      </c>
      <c r="U44" s="352">
        <f t="shared" si="39"/>
        <v>350</v>
      </c>
      <c r="V44" s="352">
        <f t="shared" si="39"/>
        <v>350</v>
      </c>
      <c r="W44" s="352">
        <f t="shared" si="39"/>
        <v>350</v>
      </c>
      <c r="X44" s="352">
        <f t="shared" si="39"/>
        <v>350</v>
      </c>
      <c r="Y44" s="352">
        <f t="shared" si="39"/>
        <v>350</v>
      </c>
      <c r="Z44" s="352">
        <f t="shared" si="39"/>
        <v>350</v>
      </c>
      <c r="AA44" s="352">
        <f t="shared" si="39"/>
        <v>350</v>
      </c>
      <c r="AB44" s="352">
        <f t="shared" si="39"/>
        <v>350</v>
      </c>
      <c r="AC44" s="352">
        <f t="shared" si="39"/>
        <v>350</v>
      </c>
      <c r="AD44" s="311"/>
      <c r="AE44" s="352">
        <f>AE43/(1/$C$4)</f>
        <v>350</v>
      </c>
      <c r="AF44" s="352">
        <f t="shared" ref="AF44" si="40">AF43/(1/$C$4)</f>
        <v>350</v>
      </c>
      <c r="AG44" s="236"/>
      <c r="AH44" s="352">
        <f t="shared" ref="AH44" si="41">AH43/(1/$C$4)</f>
        <v>350</v>
      </c>
      <c r="AI44" s="352">
        <f>AI43/(1/$C$4)</f>
        <v>350</v>
      </c>
      <c r="AJ44" s="311"/>
      <c r="AK44" s="352">
        <f t="shared" ref="AK44:AL44" si="42">AK43/(1/$C$4)</f>
        <v>350</v>
      </c>
      <c r="AL44" s="352">
        <f t="shared" si="42"/>
        <v>350</v>
      </c>
    </row>
    <row r="45" spans="1:38" s="1093" customFormat="1" x14ac:dyDescent="0.45">
      <c r="A45" s="1090"/>
      <c r="B45" s="1089"/>
      <c r="C45" s="1089" t="s">
        <v>1269</v>
      </c>
      <c r="D45" s="1089" t="s">
        <v>5</v>
      </c>
      <c r="E45" s="1102">
        <f>ROUNDUP(E44,0)</f>
        <v>350</v>
      </c>
      <c r="F45" s="1102">
        <f t="shared" ref="F45:AC45" si="43">ROUNDUP(F44,0)</f>
        <v>350</v>
      </c>
      <c r="G45" s="1102">
        <f t="shared" si="43"/>
        <v>350</v>
      </c>
      <c r="H45" s="1102">
        <f t="shared" si="43"/>
        <v>350</v>
      </c>
      <c r="I45" s="1102">
        <f t="shared" si="43"/>
        <v>350</v>
      </c>
      <c r="J45" s="1102">
        <f t="shared" si="43"/>
        <v>350</v>
      </c>
      <c r="K45" s="1102">
        <f t="shared" si="43"/>
        <v>350</v>
      </c>
      <c r="L45" s="1102">
        <f t="shared" si="43"/>
        <v>350</v>
      </c>
      <c r="M45" s="1102">
        <f t="shared" si="43"/>
        <v>350</v>
      </c>
      <c r="N45" s="1102">
        <f t="shared" si="43"/>
        <v>350</v>
      </c>
      <c r="O45" s="1102">
        <f t="shared" si="43"/>
        <v>350</v>
      </c>
      <c r="P45" s="1102">
        <f t="shared" si="43"/>
        <v>350</v>
      </c>
      <c r="Q45" s="1102">
        <f t="shared" si="43"/>
        <v>350</v>
      </c>
      <c r="R45" s="1102">
        <f t="shared" si="43"/>
        <v>350</v>
      </c>
      <c r="S45" s="1102">
        <f t="shared" si="43"/>
        <v>350</v>
      </c>
      <c r="T45" s="1102">
        <f t="shared" si="43"/>
        <v>350</v>
      </c>
      <c r="U45" s="1102">
        <f t="shared" si="43"/>
        <v>350</v>
      </c>
      <c r="V45" s="1102">
        <f t="shared" si="43"/>
        <v>350</v>
      </c>
      <c r="W45" s="1102">
        <f t="shared" si="43"/>
        <v>350</v>
      </c>
      <c r="X45" s="1102">
        <f t="shared" si="43"/>
        <v>350</v>
      </c>
      <c r="Y45" s="1102">
        <f t="shared" si="43"/>
        <v>350</v>
      </c>
      <c r="Z45" s="1102">
        <f t="shared" si="43"/>
        <v>350</v>
      </c>
      <c r="AA45" s="1102">
        <f t="shared" si="43"/>
        <v>350</v>
      </c>
      <c r="AB45" s="1102">
        <f t="shared" si="43"/>
        <v>350</v>
      </c>
      <c r="AC45" s="1102">
        <f t="shared" si="43"/>
        <v>350</v>
      </c>
      <c r="AD45" s="311"/>
      <c r="AE45" s="1102">
        <f t="shared" ref="AE45:AF45" si="44">ROUNDUP(AE44,0)</f>
        <v>350</v>
      </c>
      <c r="AF45" s="1102">
        <f t="shared" si="44"/>
        <v>350</v>
      </c>
      <c r="AG45" s="236"/>
      <c r="AH45" s="1102">
        <f t="shared" ref="AH45:AI45" si="45">ROUNDUP(AH44,0)</f>
        <v>350</v>
      </c>
      <c r="AI45" s="1102">
        <f t="shared" si="45"/>
        <v>350</v>
      </c>
      <c r="AJ45" s="311"/>
      <c r="AK45" s="1102">
        <f t="shared" ref="AK45:AL45" si="46">ROUNDUP(AK44,0)</f>
        <v>350</v>
      </c>
      <c r="AL45" s="1102">
        <f t="shared" si="46"/>
        <v>350</v>
      </c>
    </row>
    <row r="46" spans="1:38" s="1093" customFormat="1" x14ac:dyDescent="0.45">
      <c r="A46" s="1090"/>
      <c r="B46" s="1089"/>
      <c r="C46" s="1089"/>
      <c r="D46" s="1089" t="s">
        <v>1</v>
      </c>
      <c r="E46" s="1112">
        <f>E45*(1/$C$4)</f>
        <v>10</v>
      </c>
      <c r="F46" s="1112">
        <f t="shared" ref="F46:AC46" si="47">F45*(1/$C$4)</f>
        <v>10</v>
      </c>
      <c r="G46" s="1112">
        <f t="shared" si="47"/>
        <v>10</v>
      </c>
      <c r="H46" s="1112">
        <f t="shared" si="47"/>
        <v>10</v>
      </c>
      <c r="I46" s="1112">
        <f t="shared" si="47"/>
        <v>10</v>
      </c>
      <c r="J46" s="1112">
        <f t="shared" si="47"/>
        <v>10</v>
      </c>
      <c r="K46" s="1112">
        <f t="shared" si="47"/>
        <v>10</v>
      </c>
      <c r="L46" s="1112">
        <f t="shared" si="47"/>
        <v>10</v>
      </c>
      <c r="M46" s="1112">
        <f t="shared" si="47"/>
        <v>10</v>
      </c>
      <c r="N46" s="1112">
        <f t="shared" si="47"/>
        <v>10</v>
      </c>
      <c r="O46" s="1112">
        <f t="shared" si="47"/>
        <v>10</v>
      </c>
      <c r="P46" s="1112">
        <f t="shared" si="47"/>
        <v>10</v>
      </c>
      <c r="Q46" s="1112">
        <f t="shared" si="47"/>
        <v>10</v>
      </c>
      <c r="R46" s="1112">
        <f t="shared" si="47"/>
        <v>10</v>
      </c>
      <c r="S46" s="1112">
        <f t="shared" si="47"/>
        <v>10</v>
      </c>
      <c r="T46" s="1112">
        <f t="shared" si="47"/>
        <v>10</v>
      </c>
      <c r="U46" s="1112">
        <f t="shared" si="47"/>
        <v>10</v>
      </c>
      <c r="V46" s="1112">
        <f t="shared" si="47"/>
        <v>10</v>
      </c>
      <c r="W46" s="1112">
        <f t="shared" si="47"/>
        <v>10</v>
      </c>
      <c r="X46" s="1112">
        <f t="shared" si="47"/>
        <v>10</v>
      </c>
      <c r="Y46" s="1112">
        <f t="shared" si="47"/>
        <v>10</v>
      </c>
      <c r="Z46" s="1112">
        <f t="shared" si="47"/>
        <v>10</v>
      </c>
      <c r="AA46" s="1112">
        <f t="shared" si="47"/>
        <v>10</v>
      </c>
      <c r="AB46" s="1112">
        <f t="shared" si="47"/>
        <v>10</v>
      </c>
      <c r="AC46" s="1112">
        <f t="shared" si="47"/>
        <v>10</v>
      </c>
      <c r="AD46" s="311"/>
      <c r="AE46" s="1112">
        <f t="shared" ref="AE46:AF46" si="48">AE45*(1/$C$4)</f>
        <v>10</v>
      </c>
      <c r="AF46" s="1112">
        <f t="shared" si="48"/>
        <v>10</v>
      </c>
      <c r="AG46" s="236"/>
      <c r="AH46" s="1112">
        <f t="shared" ref="AH46:AI46" si="49">AH45*(1/$C$4)</f>
        <v>10</v>
      </c>
      <c r="AI46" s="1112">
        <f t="shared" si="49"/>
        <v>10</v>
      </c>
      <c r="AJ46" s="311"/>
      <c r="AK46" s="1112">
        <f t="shared" ref="AK46:AL46" si="50">AK45*(1/$C$4)</f>
        <v>10</v>
      </c>
      <c r="AL46" s="1112">
        <f t="shared" si="50"/>
        <v>10</v>
      </c>
    </row>
    <row r="47" spans="1:38" s="1093" customFormat="1" x14ac:dyDescent="0.45">
      <c r="A47" s="1090"/>
      <c r="B47" s="1089"/>
      <c r="C47" s="1089" t="s">
        <v>2609</v>
      </c>
      <c r="D47" s="1089" t="s">
        <v>1</v>
      </c>
      <c r="E47" s="1112">
        <f>E43-E46</f>
        <v>0</v>
      </c>
      <c r="F47" s="1112">
        <f t="shared" ref="F47:AC47" si="51">F43-F46</f>
        <v>0</v>
      </c>
      <c r="G47" s="1112">
        <f t="shared" si="51"/>
        <v>0</v>
      </c>
      <c r="H47" s="1112">
        <f t="shared" si="51"/>
        <v>0</v>
      </c>
      <c r="I47" s="1112">
        <f t="shared" si="51"/>
        <v>0</v>
      </c>
      <c r="J47" s="1112">
        <f t="shared" si="51"/>
        <v>0</v>
      </c>
      <c r="K47" s="1112">
        <f t="shared" si="51"/>
        <v>0</v>
      </c>
      <c r="L47" s="1112">
        <f t="shared" si="51"/>
        <v>0</v>
      </c>
      <c r="M47" s="1112">
        <f t="shared" si="51"/>
        <v>0</v>
      </c>
      <c r="N47" s="1112">
        <f t="shared" si="51"/>
        <v>0</v>
      </c>
      <c r="O47" s="1112">
        <f t="shared" si="51"/>
        <v>0</v>
      </c>
      <c r="P47" s="1112">
        <f t="shared" si="51"/>
        <v>0</v>
      </c>
      <c r="Q47" s="1112">
        <f t="shared" si="51"/>
        <v>0</v>
      </c>
      <c r="R47" s="1112">
        <f t="shared" si="51"/>
        <v>0</v>
      </c>
      <c r="S47" s="1112">
        <f t="shared" si="51"/>
        <v>0</v>
      </c>
      <c r="T47" s="1112">
        <f t="shared" si="51"/>
        <v>0</v>
      </c>
      <c r="U47" s="1112">
        <f t="shared" si="51"/>
        <v>0</v>
      </c>
      <c r="V47" s="1112">
        <f t="shared" si="51"/>
        <v>0</v>
      </c>
      <c r="W47" s="1112">
        <f t="shared" si="51"/>
        <v>0</v>
      </c>
      <c r="X47" s="1112">
        <f t="shared" si="51"/>
        <v>0</v>
      </c>
      <c r="Y47" s="1112">
        <f t="shared" si="51"/>
        <v>0</v>
      </c>
      <c r="Z47" s="1112">
        <f t="shared" si="51"/>
        <v>0</v>
      </c>
      <c r="AA47" s="1112">
        <f t="shared" si="51"/>
        <v>0</v>
      </c>
      <c r="AB47" s="1112">
        <f t="shared" si="51"/>
        <v>0</v>
      </c>
      <c r="AC47" s="1112">
        <f t="shared" si="51"/>
        <v>0</v>
      </c>
      <c r="AD47" s="311"/>
      <c r="AE47" s="1112">
        <f>AE43-AE46</f>
        <v>0</v>
      </c>
      <c r="AF47" s="1112">
        <f t="shared" ref="AF47" si="52">AF43-AF46</f>
        <v>0</v>
      </c>
      <c r="AG47" s="236"/>
      <c r="AH47" s="1112">
        <f t="shared" ref="AH47:AI47" si="53">AH43-AH46</f>
        <v>0</v>
      </c>
      <c r="AI47" s="1112">
        <f t="shared" si="53"/>
        <v>0</v>
      </c>
      <c r="AJ47" s="311"/>
      <c r="AK47" s="1112">
        <f t="shared" ref="AK47:AL47" si="54">AK43-AK46</f>
        <v>0</v>
      </c>
      <c r="AL47" s="1112">
        <f t="shared" si="54"/>
        <v>0</v>
      </c>
    </row>
    <row r="48" spans="1:38" s="1093" customFormat="1" x14ac:dyDescent="0.45">
      <c r="A48" s="1090"/>
      <c r="B48" s="1089"/>
      <c r="C48" s="1089"/>
      <c r="D48" s="1089"/>
      <c r="E48" s="1099"/>
      <c r="F48" s="1099"/>
      <c r="G48" s="1099"/>
      <c r="H48" s="1099"/>
      <c r="I48" s="1099"/>
      <c r="J48" s="1099"/>
      <c r="K48" s="1099"/>
      <c r="L48" s="1099"/>
      <c r="M48" s="1099"/>
      <c r="N48" s="1099"/>
      <c r="O48" s="1099"/>
      <c r="P48" s="1099"/>
      <c r="Q48" s="1099"/>
      <c r="R48" s="1099"/>
      <c r="S48" s="1099"/>
      <c r="T48" s="1099"/>
      <c r="U48" s="1099"/>
      <c r="V48" s="1099"/>
      <c r="W48" s="1099"/>
      <c r="X48" s="1099"/>
      <c r="Y48" s="1099"/>
      <c r="Z48" s="1099"/>
      <c r="AA48" s="1099"/>
      <c r="AB48" s="1099"/>
      <c r="AC48" s="1099"/>
      <c r="AD48" s="311"/>
      <c r="AE48" s="1099"/>
      <c r="AF48" s="1099"/>
      <c r="AG48" s="236"/>
      <c r="AH48" s="1099"/>
      <c r="AI48" s="1099"/>
      <c r="AJ48" s="311"/>
      <c r="AK48" s="1099"/>
      <c r="AL48" s="1099"/>
    </row>
    <row r="49" spans="1:38" s="235" customFormat="1" x14ac:dyDescent="0.45">
      <c r="A49" s="234"/>
      <c r="B49" s="236" t="s">
        <v>2619</v>
      </c>
      <c r="C49" s="236" t="s">
        <v>1297</v>
      </c>
      <c r="D49" s="236" t="s">
        <v>1</v>
      </c>
      <c r="E49" s="240">
        <f t="shared" ref="E49:AC49" si="55">$E$3*$C$41*(1/E36)</f>
        <v>147.17425431711146</v>
      </c>
      <c r="F49" s="240">
        <f t="shared" si="55"/>
        <v>145.68764568764573</v>
      </c>
      <c r="G49" s="240">
        <f t="shared" si="55"/>
        <v>144.23076923076923</v>
      </c>
      <c r="H49" s="240">
        <f t="shared" si="55"/>
        <v>142.80274181264281</v>
      </c>
      <c r="I49" s="240">
        <f t="shared" si="55"/>
        <v>141.40271493212671</v>
      </c>
      <c r="J49" s="240">
        <f t="shared" si="55"/>
        <v>140.02987303958176</v>
      </c>
      <c r="K49" s="240">
        <f t="shared" si="55"/>
        <v>138.68343195266272</v>
      </c>
      <c r="L49" s="240">
        <f t="shared" si="55"/>
        <v>137.36263736263737</v>
      </c>
      <c r="M49" s="240">
        <f t="shared" si="55"/>
        <v>136.06676342525398</v>
      </c>
      <c r="N49" s="240">
        <f t="shared" si="55"/>
        <v>134.79511143062541</v>
      </c>
      <c r="O49" s="240">
        <f t="shared" si="55"/>
        <v>133.54700854700855</v>
      </c>
      <c r="P49" s="240">
        <f t="shared" si="55"/>
        <v>132.32180663373325</v>
      </c>
      <c r="Q49" s="240">
        <f t="shared" si="55"/>
        <v>131.11888111888109</v>
      </c>
      <c r="R49" s="240">
        <f t="shared" si="55"/>
        <v>129.93762993762994</v>
      </c>
      <c r="S49" s="240">
        <f t="shared" si="55"/>
        <v>128.7774725274725</v>
      </c>
      <c r="T49" s="240">
        <f t="shared" si="55"/>
        <v>127.63784887678693</v>
      </c>
      <c r="U49" s="240">
        <f t="shared" si="55"/>
        <v>126.51821862348177</v>
      </c>
      <c r="V49" s="240">
        <f t="shared" si="55"/>
        <v>125.41806020066892</v>
      </c>
      <c r="W49" s="240">
        <f t="shared" si="55"/>
        <v>124.33687002652519</v>
      </c>
      <c r="X49" s="240">
        <f t="shared" si="55"/>
        <v>123.27416173570022</v>
      </c>
      <c r="Y49" s="240">
        <f t="shared" si="55"/>
        <v>122.22946544980445</v>
      </c>
      <c r="Z49" s="240">
        <f t="shared" si="55"/>
        <v>121.20232708468002</v>
      </c>
      <c r="AA49" s="240">
        <f t="shared" si="55"/>
        <v>120.19230769230771</v>
      </c>
      <c r="AB49" s="240">
        <f t="shared" si="55"/>
        <v>119.19898283534647</v>
      </c>
      <c r="AC49" s="240">
        <f t="shared" si="55"/>
        <v>118.22194199243381</v>
      </c>
      <c r="AD49" s="311"/>
      <c r="AE49" s="240">
        <f>$E$3*AE41*(1/AE36)</f>
        <v>97.65625</v>
      </c>
      <c r="AF49" s="240">
        <f>$E$3*AF41*(1/AF36)</f>
        <v>84.17508417508418</v>
      </c>
      <c r="AG49" s="236"/>
      <c r="AH49" s="240">
        <f>(2^$C$2/8)*(AH41)*(1/AH36)</f>
        <v>576.92307692307691</v>
      </c>
      <c r="AI49" s="240">
        <f>(2^$C$2/8)*(AI41)*(1/AI36)</f>
        <v>480.76923076923083</v>
      </c>
      <c r="AJ49" s="311"/>
      <c r="AK49" s="240">
        <f>$E$3*(AK41)*(1/AK36)</f>
        <v>302.41935483870964</v>
      </c>
      <c r="AL49" s="240">
        <f>$E$3*(AL41)*(1/AL36)</f>
        <v>250.40064102564105</v>
      </c>
    </row>
    <row r="50" spans="1:38" s="1093" customFormat="1" x14ac:dyDescent="0.45">
      <c r="A50" s="1090"/>
      <c r="B50" s="1089"/>
      <c r="C50" s="236"/>
      <c r="D50" s="236" t="s">
        <v>5</v>
      </c>
      <c r="E50" s="253">
        <f>E49/(1/$C$4)</f>
        <v>5151.0989010989015</v>
      </c>
      <c r="F50" s="253">
        <f t="shared" ref="F50:AC50" si="56">F49/(1/$C$4)</f>
        <v>5099.0675990676009</v>
      </c>
      <c r="G50" s="253">
        <f t="shared" si="56"/>
        <v>5048.0769230769229</v>
      </c>
      <c r="H50" s="253">
        <f t="shared" si="56"/>
        <v>4998.095963442498</v>
      </c>
      <c r="I50" s="253">
        <f t="shared" si="56"/>
        <v>4949.0950226244349</v>
      </c>
      <c r="J50" s="253">
        <f t="shared" si="56"/>
        <v>4901.045556385362</v>
      </c>
      <c r="K50" s="253">
        <f t="shared" si="56"/>
        <v>4853.9201183431951</v>
      </c>
      <c r="L50" s="253">
        <f t="shared" si="56"/>
        <v>4807.6923076923085</v>
      </c>
      <c r="M50" s="253">
        <f t="shared" si="56"/>
        <v>4762.3367198838896</v>
      </c>
      <c r="N50" s="253">
        <f t="shared" si="56"/>
        <v>4717.8289000718896</v>
      </c>
      <c r="O50" s="253">
        <f t="shared" si="56"/>
        <v>4674.1452991452988</v>
      </c>
      <c r="P50" s="253">
        <f t="shared" si="56"/>
        <v>4631.2632321806641</v>
      </c>
      <c r="Q50" s="253">
        <f t="shared" si="56"/>
        <v>4589.1608391608388</v>
      </c>
      <c r="R50" s="253">
        <f t="shared" si="56"/>
        <v>4547.8170478170478</v>
      </c>
      <c r="S50" s="253">
        <f t="shared" si="56"/>
        <v>4507.2115384615372</v>
      </c>
      <c r="T50" s="253">
        <f t="shared" si="56"/>
        <v>4467.3247106875424</v>
      </c>
      <c r="U50" s="253">
        <f t="shared" si="56"/>
        <v>4428.1376518218622</v>
      </c>
      <c r="V50" s="253">
        <f t="shared" si="56"/>
        <v>4389.6321070234126</v>
      </c>
      <c r="W50" s="253">
        <f t="shared" si="56"/>
        <v>4351.7904509283817</v>
      </c>
      <c r="X50" s="253">
        <f t="shared" si="56"/>
        <v>4314.5956607495082</v>
      </c>
      <c r="Y50" s="253">
        <f t="shared" si="56"/>
        <v>4278.0312907431562</v>
      </c>
      <c r="Z50" s="253">
        <f t="shared" si="56"/>
        <v>4242.0814479638011</v>
      </c>
      <c r="AA50" s="253">
        <f t="shared" si="56"/>
        <v>4206.7307692307695</v>
      </c>
      <c r="AB50" s="253">
        <f t="shared" si="56"/>
        <v>4171.9643992371266</v>
      </c>
      <c r="AC50" s="253">
        <f t="shared" si="56"/>
        <v>4137.7679697351832</v>
      </c>
      <c r="AD50" s="311"/>
      <c r="AE50" s="253">
        <f t="shared" ref="AE50:AF50" si="57">AE49/(1/$C$4)</f>
        <v>3417.96875</v>
      </c>
      <c r="AF50" s="253">
        <f t="shared" si="57"/>
        <v>2946.1279461279464</v>
      </c>
      <c r="AG50" s="236"/>
      <c r="AH50" s="253">
        <f t="shared" ref="AH50" si="58">AH49/(1/$C$4)</f>
        <v>20192.307692307691</v>
      </c>
      <c r="AI50" s="253">
        <f>AI49/(1/$C$4)</f>
        <v>16826.923076923078</v>
      </c>
      <c r="AJ50" s="311"/>
      <c r="AK50" s="253">
        <f t="shared" ref="AK50" si="59">AK49/(1/$C$4)</f>
        <v>10584.677419354837</v>
      </c>
      <c r="AL50" s="253">
        <f>AL49/(1/$C$4)</f>
        <v>8764.0224358974374</v>
      </c>
    </row>
    <row r="51" spans="1:38" s="1093" customFormat="1" x14ac:dyDescent="0.45">
      <c r="A51" s="1090"/>
      <c r="B51" s="1089"/>
      <c r="C51" s="1089" t="s">
        <v>1269</v>
      </c>
      <c r="D51" s="1089" t="s">
        <v>5</v>
      </c>
      <c r="E51" s="1101">
        <f>ROUNDUP(E50,0)</f>
        <v>5152</v>
      </c>
      <c r="F51" s="1101">
        <f t="shared" ref="F51:AC51" si="60">ROUNDUP(F50,0)</f>
        <v>5100</v>
      </c>
      <c r="G51" s="1101">
        <f t="shared" si="60"/>
        <v>5049</v>
      </c>
      <c r="H51" s="1101">
        <f t="shared" si="60"/>
        <v>4999</v>
      </c>
      <c r="I51" s="1101">
        <f t="shared" si="60"/>
        <v>4950</v>
      </c>
      <c r="J51" s="1101">
        <f t="shared" si="60"/>
        <v>4902</v>
      </c>
      <c r="K51" s="1101">
        <f t="shared" si="60"/>
        <v>4854</v>
      </c>
      <c r="L51" s="1101">
        <f t="shared" si="60"/>
        <v>4808</v>
      </c>
      <c r="M51" s="1101">
        <f t="shared" si="60"/>
        <v>4763</v>
      </c>
      <c r="N51" s="1101">
        <f t="shared" si="60"/>
        <v>4718</v>
      </c>
      <c r="O51" s="1101">
        <f t="shared" si="60"/>
        <v>4675</v>
      </c>
      <c r="P51" s="1101">
        <f t="shared" si="60"/>
        <v>4632</v>
      </c>
      <c r="Q51" s="1101">
        <f t="shared" si="60"/>
        <v>4590</v>
      </c>
      <c r="R51" s="1101">
        <f t="shared" si="60"/>
        <v>4548</v>
      </c>
      <c r="S51" s="1101">
        <f t="shared" si="60"/>
        <v>4508</v>
      </c>
      <c r="T51" s="1101">
        <f t="shared" si="60"/>
        <v>4468</v>
      </c>
      <c r="U51" s="1101">
        <f t="shared" si="60"/>
        <v>4429</v>
      </c>
      <c r="V51" s="1101">
        <f t="shared" si="60"/>
        <v>4390</v>
      </c>
      <c r="W51" s="1101">
        <f t="shared" si="60"/>
        <v>4352</v>
      </c>
      <c r="X51" s="1101">
        <f t="shared" si="60"/>
        <v>4315</v>
      </c>
      <c r="Y51" s="1101">
        <f t="shared" si="60"/>
        <v>4279</v>
      </c>
      <c r="Z51" s="1101">
        <f t="shared" si="60"/>
        <v>4243</v>
      </c>
      <c r="AA51" s="1101">
        <f t="shared" si="60"/>
        <v>4207</v>
      </c>
      <c r="AB51" s="1101">
        <f t="shared" si="60"/>
        <v>4172</v>
      </c>
      <c r="AC51" s="1101">
        <f t="shared" si="60"/>
        <v>4138</v>
      </c>
      <c r="AD51" s="311"/>
      <c r="AE51" s="1101">
        <f t="shared" ref="AE51:AF51" si="61">ROUNDUP(AE50,0)</f>
        <v>3418</v>
      </c>
      <c r="AF51" s="1101">
        <f t="shared" si="61"/>
        <v>2947</v>
      </c>
      <c r="AG51" s="236"/>
      <c r="AH51" s="1101">
        <f t="shared" ref="AH51:AI51" si="62">ROUNDUP(AH50,0)</f>
        <v>20193</v>
      </c>
      <c r="AI51" s="1101">
        <f t="shared" si="62"/>
        <v>16827</v>
      </c>
      <c r="AJ51" s="311"/>
      <c r="AK51" s="1101">
        <f t="shared" ref="AK51:AL51" si="63">ROUNDUP(AK50,0)</f>
        <v>10585</v>
      </c>
      <c r="AL51" s="1101">
        <f t="shared" si="63"/>
        <v>8765</v>
      </c>
    </row>
    <row r="52" spans="1:38" s="1093" customFormat="1" x14ac:dyDescent="0.45">
      <c r="A52" s="1090"/>
      <c r="B52" s="1089"/>
      <c r="C52" s="1089"/>
      <c r="D52" s="1089" t="s">
        <v>1</v>
      </c>
      <c r="E52" s="1113">
        <f>E51*(1/$C$4)</f>
        <v>147.19999999999999</v>
      </c>
      <c r="F52" s="1113">
        <f>F51*(1/$C$4)</f>
        <v>145.71428571428572</v>
      </c>
      <c r="G52" s="1113">
        <f t="shared" ref="G52:AC52" si="64">G51*(1/$C$4)</f>
        <v>144.25714285714284</v>
      </c>
      <c r="H52" s="1113">
        <f t="shared" si="64"/>
        <v>142.82857142857142</v>
      </c>
      <c r="I52" s="1113">
        <f t="shared" si="64"/>
        <v>141.42857142857142</v>
      </c>
      <c r="J52" s="1113">
        <f t="shared" si="64"/>
        <v>140.05714285714285</v>
      </c>
      <c r="K52" s="1113">
        <f t="shared" si="64"/>
        <v>138.68571428571428</v>
      </c>
      <c r="L52" s="1113">
        <f t="shared" si="64"/>
        <v>137.37142857142857</v>
      </c>
      <c r="M52" s="1113">
        <f t="shared" si="64"/>
        <v>136.08571428571429</v>
      </c>
      <c r="N52" s="1113">
        <f t="shared" si="64"/>
        <v>134.79999999999998</v>
      </c>
      <c r="O52" s="1113">
        <f t="shared" si="64"/>
        <v>133.57142857142856</v>
      </c>
      <c r="P52" s="1113">
        <f t="shared" si="64"/>
        <v>132.34285714285713</v>
      </c>
      <c r="Q52" s="1113">
        <f t="shared" si="64"/>
        <v>131.14285714285714</v>
      </c>
      <c r="R52" s="1113">
        <f t="shared" si="64"/>
        <v>129.94285714285715</v>
      </c>
      <c r="S52" s="1113">
        <f t="shared" si="64"/>
        <v>128.79999999999998</v>
      </c>
      <c r="T52" s="1113">
        <f t="shared" si="64"/>
        <v>127.65714285714286</v>
      </c>
      <c r="U52" s="1113">
        <f t="shared" si="64"/>
        <v>126.54285714285714</v>
      </c>
      <c r="V52" s="1113">
        <f t="shared" si="64"/>
        <v>125.42857142857143</v>
      </c>
      <c r="W52" s="1113">
        <f t="shared" si="64"/>
        <v>124.34285714285714</v>
      </c>
      <c r="X52" s="1113">
        <f t="shared" si="64"/>
        <v>123.28571428571428</v>
      </c>
      <c r="Y52" s="1113">
        <f t="shared" si="64"/>
        <v>122.25714285714285</v>
      </c>
      <c r="Z52" s="1113">
        <f t="shared" si="64"/>
        <v>121.22857142857143</v>
      </c>
      <c r="AA52" s="1113">
        <f t="shared" si="64"/>
        <v>120.2</v>
      </c>
      <c r="AB52" s="1113">
        <f t="shared" si="64"/>
        <v>119.2</v>
      </c>
      <c r="AC52" s="1113">
        <f t="shared" si="64"/>
        <v>118.22857142857143</v>
      </c>
      <c r="AD52" s="311"/>
      <c r="AE52" s="1113">
        <f t="shared" ref="AE52:AF52" si="65">AE51*(1/$C$4)</f>
        <v>97.657142857142858</v>
      </c>
      <c r="AF52" s="1113">
        <f t="shared" si="65"/>
        <v>84.2</v>
      </c>
      <c r="AG52" s="236"/>
      <c r="AH52" s="1113">
        <f t="shared" ref="AH52" si="66">AH51*(1/$C$4)</f>
        <v>576.94285714285718</v>
      </c>
      <c r="AI52" s="1113">
        <f>AI51*(1/$C$4)</f>
        <v>480.77142857142854</v>
      </c>
      <c r="AJ52" s="311"/>
      <c r="AK52" s="1113">
        <f t="shared" ref="AK52:AL52" si="67">AK51*(1/$C$4)</f>
        <v>302.42857142857144</v>
      </c>
      <c r="AL52" s="1113">
        <f t="shared" si="67"/>
        <v>250.42857142857142</v>
      </c>
    </row>
    <row r="53" spans="1:38" s="1093" customFormat="1" x14ac:dyDescent="0.45">
      <c r="A53" s="1090"/>
      <c r="B53" s="1089"/>
      <c r="C53" s="1089" t="s">
        <v>2609</v>
      </c>
      <c r="D53" s="1089" t="s">
        <v>1</v>
      </c>
      <c r="E53" s="1111">
        <f>E52-E49</f>
        <v>2.5745682888526744E-2</v>
      </c>
      <c r="F53" s="1111">
        <f t="shared" ref="F53:AC53" si="68">F52-F49</f>
        <v>2.664002663999554E-2</v>
      </c>
      <c r="G53" s="1111">
        <f t="shared" si="68"/>
        <v>2.6373626373612069E-2</v>
      </c>
      <c r="H53" s="1111">
        <f t="shared" si="68"/>
        <v>2.5829615928614658E-2</v>
      </c>
      <c r="I53" s="1111">
        <f t="shared" si="68"/>
        <v>2.5856496444703225E-2</v>
      </c>
      <c r="J53" s="1111">
        <f t="shared" si="68"/>
        <v>2.7269817561091259E-2</v>
      </c>
      <c r="K53" s="1111">
        <f t="shared" si="68"/>
        <v>2.2823330515677753E-3</v>
      </c>
      <c r="L53" s="1111">
        <f t="shared" si="68"/>
        <v>8.7912087911945491E-3</v>
      </c>
      <c r="M53" s="1111">
        <f t="shared" si="68"/>
        <v>1.8950860460307695E-2</v>
      </c>
      <c r="N53" s="1111">
        <f t="shared" si="68"/>
        <v>4.8885693745717163E-3</v>
      </c>
      <c r="O53" s="1111">
        <f t="shared" si="68"/>
        <v>2.4420024420010122E-2</v>
      </c>
      <c r="P53" s="1111">
        <f t="shared" si="68"/>
        <v>2.1050509123881511E-2</v>
      </c>
      <c r="Q53" s="1111">
        <f t="shared" si="68"/>
        <v>2.3976023976047145E-2</v>
      </c>
      <c r="R53" s="1111">
        <f t="shared" si="68"/>
        <v>5.2272052272144265E-3</v>
      </c>
      <c r="S53" s="1111">
        <f t="shared" si="68"/>
        <v>2.252747252748577E-2</v>
      </c>
      <c r="T53" s="1111">
        <f t="shared" si="68"/>
        <v>1.9293980355925555E-2</v>
      </c>
      <c r="U53" s="1111">
        <f t="shared" si="68"/>
        <v>2.4638519375372425E-2</v>
      </c>
      <c r="V53" s="1111">
        <f t="shared" si="68"/>
        <v>1.0511227902512132E-2</v>
      </c>
      <c r="W53" s="1111">
        <f t="shared" si="68"/>
        <v>5.9871163319513698E-3</v>
      </c>
      <c r="X53" s="1111">
        <f t="shared" si="68"/>
        <v>1.1552550014059193E-2</v>
      </c>
      <c r="Y53" s="1111">
        <f t="shared" si="68"/>
        <v>2.7677407338401849E-2</v>
      </c>
      <c r="Z53" s="1111">
        <f t="shared" si="68"/>
        <v>2.6244343891406174E-2</v>
      </c>
      <c r="AA53" s="1111">
        <f t="shared" si="68"/>
        <v>7.6923076922952305E-3</v>
      </c>
      <c r="AB53" s="1111">
        <f t="shared" si="68"/>
        <v>1.0171646535326317E-3</v>
      </c>
      <c r="AC53" s="1111">
        <f t="shared" si="68"/>
        <v>6.6294361376151301E-3</v>
      </c>
      <c r="AD53" s="311"/>
      <c r="AE53" s="1111">
        <f t="shared" ref="AE53:AF53" si="69">AE52-AE49</f>
        <v>8.9285714285836093E-4</v>
      </c>
      <c r="AF53" s="1111">
        <f t="shared" si="69"/>
        <v>2.4915824915822782E-2</v>
      </c>
      <c r="AG53" s="236"/>
      <c r="AH53" s="1111">
        <f t="shared" ref="AH53:AI53" si="70">AH52-AH49</f>
        <v>1.9780219780273001E-2</v>
      </c>
      <c r="AI53" s="1111">
        <f t="shared" si="70"/>
        <v>2.1978021977133722E-3</v>
      </c>
      <c r="AJ53" s="311"/>
      <c r="AK53" s="1111">
        <f t="shared" ref="AK53:AL53" si="71">AK52-AK49</f>
        <v>9.2165898618077335E-3</v>
      </c>
      <c r="AL53" s="1111">
        <f t="shared" si="71"/>
        <v>2.7930402930365972E-2</v>
      </c>
    </row>
    <row r="54" spans="1:38" s="1093" customFormat="1" x14ac:dyDescent="0.45">
      <c r="A54" s="1090"/>
      <c r="B54" s="1089"/>
      <c r="C54" s="1089"/>
      <c r="D54" s="1089"/>
      <c r="E54" s="1099"/>
      <c r="F54" s="1097"/>
      <c r="G54" s="1097"/>
      <c r="H54" s="1097"/>
      <c r="I54" s="1097"/>
      <c r="J54" s="1097"/>
      <c r="K54" s="1097"/>
      <c r="L54" s="1097"/>
      <c r="M54" s="1097"/>
      <c r="N54" s="1097"/>
      <c r="O54" s="1097"/>
      <c r="P54" s="1097"/>
      <c r="Q54" s="1097"/>
      <c r="R54" s="1097"/>
      <c r="S54" s="1097"/>
      <c r="T54" s="1097"/>
      <c r="U54" s="1097"/>
      <c r="V54" s="1097"/>
      <c r="W54" s="1097"/>
      <c r="X54" s="1097"/>
      <c r="Y54" s="1097"/>
      <c r="Z54" s="1097"/>
      <c r="AA54" s="1097"/>
      <c r="AB54" s="1097"/>
      <c r="AC54" s="1097"/>
      <c r="AD54" s="311"/>
      <c r="AE54" s="1097"/>
      <c r="AF54" s="1097"/>
      <c r="AG54" s="236"/>
      <c r="AH54" s="1097"/>
      <c r="AI54" s="1097"/>
      <c r="AJ54" s="311"/>
      <c r="AK54" s="1097"/>
      <c r="AL54" s="1097"/>
    </row>
    <row r="55" spans="1:38" s="235" customFormat="1" x14ac:dyDescent="0.45">
      <c r="A55" s="234"/>
      <c r="B55" s="236" t="s">
        <v>2618</v>
      </c>
      <c r="C55" s="236" t="s">
        <v>1297</v>
      </c>
      <c r="D55" s="236" t="s">
        <v>1</v>
      </c>
      <c r="E55" s="240">
        <f t="shared" ref="E55:AC55" si="72">$E$3*$C$42*(1/E36)</f>
        <v>147.17425431711146</v>
      </c>
      <c r="F55" s="240">
        <f t="shared" si="72"/>
        <v>145.68764568764573</v>
      </c>
      <c r="G55" s="240">
        <f t="shared" si="72"/>
        <v>144.23076923076923</v>
      </c>
      <c r="H55" s="240">
        <f t="shared" si="72"/>
        <v>142.80274181264281</v>
      </c>
      <c r="I55" s="240">
        <f t="shared" si="72"/>
        <v>141.40271493212671</v>
      </c>
      <c r="J55" s="240">
        <f t="shared" si="72"/>
        <v>140.02987303958176</v>
      </c>
      <c r="K55" s="240">
        <f t="shared" si="72"/>
        <v>138.68343195266272</v>
      </c>
      <c r="L55" s="240">
        <f t="shared" si="72"/>
        <v>137.36263736263737</v>
      </c>
      <c r="M55" s="240">
        <f t="shared" si="72"/>
        <v>136.06676342525398</v>
      </c>
      <c r="N55" s="240">
        <f t="shared" si="72"/>
        <v>134.79511143062541</v>
      </c>
      <c r="O55" s="240">
        <f t="shared" si="72"/>
        <v>133.54700854700855</v>
      </c>
      <c r="P55" s="240">
        <f t="shared" si="72"/>
        <v>132.32180663373325</v>
      </c>
      <c r="Q55" s="240">
        <f t="shared" si="72"/>
        <v>131.11888111888109</v>
      </c>
      <c r="R55" s="240">
        <f t="shared" si="72"/>
        <v>129.93762993762994</v>
      </c>
      <c r="S55" s="240">
        <f t="shared" si="72"/>
        <v>128.7774725274725</v>
      </c>
      <c r="T55" s="240">
        <f t="shared" si="72"/>
        <v>127.63784887678693</v>
      </c>
      <c r="U55" s="240">
        <f t="shared" si="72"/>
        <v>126.51821862348177</v>
      </c>
      <c r="V55" s="240">
        <f t="shared" si="72"/>
        <v>125.41806020066892</v>
      </c>
      <c r="W55" s="240">
        <f t="shared" si="72"/>
        <v>124.33687002652519</v>
      </c>
      <c r="X55" s="240">
        <f t="shared" si="72"/>
        <v>123.27416173570022</v>
      </c>
      <c r="Y55" s="240">
        <f t="shared" si="72"/>
        <v>122.22946544980445</v>
      </c>
      <c r="Z55" s="240">
        <f t="shared" si="72"/>
        <v>121.20232708468002</v>
      </c>
      <c r="AA55" s="240">
        <f t="shared" si="72"/>
        <v>120.19230769230771</v>
      </c>
      <c r="AB55" s="240">
        <f t="shared" si="72"/>
        <v>119.19898283534647</v>
      </c>
      <c r="AC55" s="240">
        <f t="shared" si="72"/>
        <v>118.22194199243381</v>
      </c>
      <c r="AD55" s="311"/>
      <c r="AE55" s="240">
        <f>$E$3*AE42*(1/AE36)</f>
        <v>97.65625</v>
      </c>
      <c r="AF55" s="240">
        <f>$E$3*AF42*(1/AF36)</f>
        <v>84.17508417508418</v>
      </c>
      <c r="AG55" s="236"/>
      <c r="AH55" s="240">
        <f>(2^$C$2/8)*(AH42)*(1/AH36)</f>
        <v>576.92307692307691</v>
      </c>
      <c r="AI55" s="240">
        <f>(2^$C$2/8)*(AI42)*(1/AI36)</f>
        <v>480.76923076923083</v>
      </c>
      <c r="AJ55" s="311"/>
      <c r="AK55" s="240">
        <f>$E$3*(AK42)*(1/AK36)</f>
        <v>302.41935483870964</v>
      </c>
      <c r="AL55" s="240">
        <f>$E$3*(AL42)*(1/AL36)</f>
        <v>250.40064102564105</v>
      </c>
    </row>
    <row r="56" spans="1:38" s="1093" customFormat="1" x14ac:dyDescent="0.45">
      <c r="A56" s="1090"/>
      <c r="B56" s="1089"/>
      <c r="C56" s="236"/>
      <c r="D56" s="236" t="s">
        <v>5</v>
      </c>
      <c r="E56" s="253">
        <f>E55/(1/$C$4)</f>
        <v>5151.0989010989015</v>
      </c>
      <c r="F56" s="253">
        <f t="shared" ref="F56:AC56" si="73">F55/(1/$C$4)</f>
        <v>5099.0675990676009</v>
      </c>
      <c r="G56" s="253">
        <f t="shared" si="73"/>
        <v>5048.0769230769229</v>
      </c>
      <c r="H56" s="253">
        <f t="shared" si="73"/>
        <v>4998.095963442498</v>
      </c>
      <c r="I56" s="253">
        <f t="shared" si="73"/>
        <v>4949.0950226244349</v>
      </c>
      <c r="J56" s="253">
        <f t="shared" si="73"/>
        <v>4901.045556385362</v>
      </c>
      <c r="K56" s="253">
        <f t="shared" si="73"/>
        <v>4853.9201183431951</v>
      </c>
      <c r="L56" s="253">
        <f t="shared" si="73"/>
        <v>4807.6923076923085</v>
      </c>
      <c r="M56" s="253">
        <f t="shared" si="73"/>
        <v>4762.3367198838896</v>
      </c>
      <c r="N56" s="253">
        <f t="shared" si="73"/>
        <v>4717.8289000718896</v>
      </c>
      <c r="O56" s="253">
        <f t="shared" si="73"/>
        <v>4674.1452991452988</v>
      </c>
      <c r="P56" s="253">
        <f t="shared" si="73"/>
        <v>4631.2632321806641</v>
      </c>
      <c r="Q56" s="253">
        <f t="shared" si="73"/>
        <v>4589.1608391608388</v>
      </c>
      <c r="R56" s="253">
        <f t="shared" si="73"/>
        <v>4547.8170478170478</v>
      </c>
      <c r="S56" s="253">
        <f t="shared" si="73"/>
        <v>4507.2115384615372</v>
      </c>
      <c r="T56" s="253">
        <f t="shared" si="73"/>
        <v>4467.3247106875424</v>
      </c>
      <c r="U56" s="253">
        <f t="shared" si="73"/>
        <v>4428.1376518218622</v>
      </c>
      <c r="V56" s="253">
        <f t="shared" si="73"/>
        <v>4389.6321070234126</v>
      </c>
      <c r="W56" s="253">
        <f t="shared" si="73"/>
        <v>4351.7904509283817</v>
      </c>
      <c r="X56" s="253">
        <f t="shared" si="73"/>
        <v>4314.5956607495082</v>
      </c>
      <c r="Y56" s="253">
        <f t="shared" si="73"/>
        <v>4278.0312907431562</v>
      </c>
      <c r="Z56" s="253">
        <f t="shared" si="73"/>
        <v>4242.0814479638011</v>
      </c>
      <c r="AA56" s="253">
        <f t="shared" si="73"/>
        <v>4206.7307692307695</v>
      </c>
      <c r="AB56" s="253">
        <f t="shared" si="73"/>
        <v>4171.9643992371266</v>
      </c>
      <c r="AC56" s="253">
        <f t="shared" si="73"/>
        <v>4137.7679697351832</v>
      </c>
      <c r="AD56" s="311"/>
      <c r="AE56" s="253">
        <f t="shared" ref="AE56" si="74">AE55/(1/$C$4)</f>
        <v>3417.96875</v>
      </c>
      <c r="AF56" s="253">
        <f>AF55/(1/$C$4)</f>
        <v>2946.1279461279464</v>
      </c>
      <c r="AG56" s="236"/>
      <c r="AH56" s="253">
        <f t="shared" ref="AH56:AI56" si="75">AH55/(1/$C$4)</f>
        <v>20192.307692307691</v>
      </c>
      <c r="AI56" s="253">
        <f t="shared" si="75"/>
        <v>16826.923076923078</v>
      </c>
      <c r="AJ56" s="311"/>
      <c r="AK56" s="253">
        <f t="shared" ref="AK56:AL56" si="76">AK55/(1/$C$4)</f>
        <v>10584.677419354837</v>
      </c>
      <c r="AL56" s="253">
        <f t="shared" si="76"/>
        <v>8764.0224358974374</v>
      </c>
    </row>
    <row r="57" spans="1:38" s="1093" customFormat="1" x14ac:dyDescent="0.45">
      <c r="A57" s="1090"/>
      <c r="B57" s="1089"/>
      <c r="C57" s="1089" t="s">
        <v>1269</v>
      </c>
      <c r="D57" s="1089" t="s">
        <v>5</v>
      </c>
      <c r="E57" s="1101">
        <f>ROUNDUP(E56,0)</f>
        <v>5152</v>
      </c>
      <c r="F57" s="1101">
        <f t="shared" ref="F57:AC57" si="77">ROUNDUP(F56,0)</f>
        <v>5100</v>
      </c>
      <c r="G57" s="1101">
        <f t="shared" si="77"/>
        <v>5049</v>
      </c>
      <c r="H57" s="1101">
        <f t="shared" si="77"/>
        <v>4999</v>
      </c>
      <c r="I57" s="1101">
        <f t="shared" si="77"/>
        <v>4950</v>
      </c>
      <c r="J57" s="1101">
        <f t="shared" si="77"/>
        <v>4902</v>
      </c>
      <c r="K57" s="1101">
        <f t="shared" si="77"/>
        <v>4854</v>
      </c>
      <c r="L57" s="1101">
        <f t="shared" si="77"/>
        <v>4808</v>
      </c>
      <c r="M57" s="1101">
        <f t="shared" si="77"/>
        <v>4763</v>
      </c>
      <c r="N57" s="1101">
        <f t="shared" si="77"/>
        <v>4718</v>
      </c>
      <c r="O57" s="1101">
        <f t="shared" si="77"/>
        <v>4675</v>
      </c>
      <c r="P57" s="1101">
        <f t="shared" si="77"/>
        <v>4632</v>
      </c>
      <c r="Q57" s="1101">
        <f t="shared" si="77"/>
        <v>4590</v>
      </c>
      <c r="R57" s="1101">
        <f t="shared" si="77"/>
        <v>4548</v>
      </c>
      <c r="S57" s="1101">
        <f t="shared" si="77"/>
        <v>4508</v>
      </c>
      <c r="T57" s="1101">
        <f t="shared" si="77"/>
        <v>4468</v>
      </c>
      <c r="U57" s="1101">
        <f t="shared" si="77"/>
        <v>4429</v>
      </c>
      <c r="V57" s="1101">
        <f t="shared" si="77"/>
        <v>4390</v>
      </c>
      <c r="W57" s="1101">
        <f t="shared" si="77"/>
        <v>4352</v>
      </c>
      <c r="X57" s="1101">
        <f t="shared" si="77"/>
        <v>4315</v>
      </c>
      <c r="Y57" s="1101">
        <f t="shared" si="77"/>
        <v>4279</v>
      </c>
      <c r="Z57" s="1101">
        <f t="shared" si="77"/>
        <v>4243</v>
      </c>
      <c r="AA57" s="1101">
        <f t="shared" si="77"/>
        <v>4207</v>
      </c>
      <c r="AB57" s="1101">
        <f t="shared" si="77"/>
        <v>4172</v>
      </c>
      <c r="AC57" s="1101">
        <f t="shared" si="77"/>
        <v>4138</v>
      </c>
      <c r="AD57" s="311"/>
      <c r="AE57" s="1101">
        <f t="shared" ref="AE57:AF57" si="78">ROUNDUP(AE56,0)</f>
        <v>3418</v>
      </c>
      <c r="AF57" s="1101">
        <f t="shared" si="78"/>
        <v>2947</v>
      </c>
      <c r="AG57" s="236"/>
      <c r="AH57" s="1101">
        <f t="shared" ref="AH57:AI57" si="79">ROUNDUP(AH56,0)</f>
        <v>20193</v>
      </c>
      <c r="AI57" s="1101">
        <f t="shared" si="79"/>
        <v>16827</v>
      </c>
      <c r="AJ57" s="311"/>
      <c r="AK57" s="1101">
        <f t="shared" ref="AK57:AL57" si="80">ROUNDUP(AK56,0)</f>
        <v>10585</v>
      </c>
      <c r="AL57" s="1101">
        <f t="shared" si="80"/>
        <v>8765</v>
      </c>
    </row>
    <row r="58" spans="1:38" s="1093" customFormat="1" x14ac:dyDescent="0.45">
      <c r="A58" s="1090"/>
      <c r="B58" s="1089"/>
      <c r="C58" s="1089"/>
      <c r="D58" s="1089" t="s">
        <v>1</v>
      </c>
      <c r="E58" s="1113">
        <f>E57*(1/$C$4)</f>
        <v>147.19999999999999</v>
      </c>
      <c r="F58" s="1113">
        <f t="shared" ref="F58:AC58" si="81">F57*(1/$C$4)</f>
        <v>145.71428571428572</v>
      </c>
      <c r="G58" s="1113">
        <f t="shared" si="81"/>
        <v>144.25714285714284</v>
      </c>
      <c r="H58" s="1113">
        <f t="shared" si="81"/>
        <v>142.82857142857142</v>
      </c>
      <c r="I58" s="1113">
        <f t="shared" si="81"/>
        <v>141.42857142857142</v>
      </c>
      <c r="J58" s="1113">
        <f t="shared" si="81"/>
        <v>140.05714285714285</v>
      </c>
      <c r="K58" s="1113">
        <f t="shared" si="81"/>
        <v>138.68571428571428</v>
      </c>
      <c r="L58" s="1113">
        <f t="shared" si="81"/>
        <v>137.37142857142857</v>
      </c>
      <c r="M58" s="1113">
        <f t="shared" si="81"/>
        <v>136.08571428571429</v>
      </c>
      <c r="N58" s="1113">
        <f t="shared" si="81"/>
        <v>134.79999999999998</v>
      </c>
      <c r="O58" s="1113">
        <f t="shared" si="81"/>
        <v>133.57142857142856</v>
      </c>
      <c r="P58" s="1113">
        <f t="shared" si="81"/>
        <v>132.34285714285713</v>
      </c>
      <c r="Q58" s="1113">
        <f t="shared" si="81"/>
        <v>131.14285714285714</v>
      </c>
      <c r="R58" s="1113">
        <f t="shared" si="81"/>
        <v>129.94285714285715</v>
      </c>
      <c r="S58" s="1113">
        <f t="shared" si="81"/>
        <v>128.79999999999998</v>
      </c>
      <c r="T58" s="1113">
        <f t="shared" si="81"/>
        <v>127.65714285714286</v>
      </c>
      <c r="U58" s="1113">
        <f t="shared" si="81"/>
        <v>126.54285714285714</v>
      </c>
      <c r="V58" s="1113">
        <f t="shared" si="81"/>
        <v>125.42857142857143</v>
      </c>
      <c r="W58" s="1113">
        <f t="shared" si="81"/>
        <v>124.34285714285714</v>
      </c>
      <c r="X58" s="1113">
        <f t="shared" si="81"/>
        <v>123.28571428571428</v>
      </c>
      <c r="Y58" s="1113">
        <f t="shared" si="81"/>
        <v>122.25714285714285</v>
      </c>
      <c r="Z58" s="1113">
        <f t="shared" si="81"/>
        <v>121.22857142857143</v>
      </c>
      <c r="AA58" s="1113">
        <f t="shared" si="81"/>
        <v>120.2</v>
      </c>
      <c r="AB58" s="1113">
        <f t="shared" si="81"/>
        <v>119.2</v>
      </c>
      <c r="AC58" s="1113">
        <f t="shared" si="81"/>
        <v>118.22857142857143</v>
      </c>
      <c r="AD58" s="311"/>
      <c r="AE58" s="1113">
        <f t="shared" ref="AE58:AF58" si="82">AE57*(1/$C$4)</f>
        <v>97.657142857142858</v>
      </c>
      <c r="AF58" s="1113">
        <f t="shared" si="82"/>
        <v>84.2</v>
      </c>
      <c r="AG58" s="236"/>
      <c r="AH58" s="1113">
        <f t="shared" ref="AH58:AI58" si="83">AH57*(1/$C$4)</f>
        <v>576.94285714285718</v>
      </c>
      <c r="AI58" s="1113">
        <f t="shared" si="83"/>
        <v>480.77142857142854</v>
      </c>
      <c r="AJ58" s="311"/>
      <c r="AK58" s="1113">
        <f t="shared" ref="AK58:AL58" si="84">AK57*(1/$C$4)</f>
        <v>302.42857142857144</v>
      </c>
      <c r="AL58" s="1113">
        <f t="shared" si="84"/>
        <v>250.42857142857142</v>
      </c>
    </row>
    <row r="59" spans="1:38" s="1093" customFormat="1" x14ac:dyDescent="0.45">
      <c r="A59" s="1090"/>
      <c r="B59" s="1089"/>
      <c r="C59" s="1089" t="s">
        <v>2609</v>
      </c>
      <c r="D59" s="1089" t="s">
        <v>1</v>
      </c>
      <c r="E59" s="1111">
        <f>E58-E55</f>
        <v>2.5745682888526744E-2</v>
      </c>
      <c r="F59" s="1111">
        <f t="shared" ref="F59:AC59" si="85">F58-F55</f>
        <v>2.664002663999554E-2</v>
      </c>
      <c r="G59" s="1111">
        <f t="shared" si="85"/>
        <v>2.6373626373612069E-2</v>
      </c>
      <c r="H59" s="1111">
        <f t="shared" si="85"/>
        <v>2.5829615928614658E-2</v>
      </c>
      <c r="I59" s="1111">
        <f t="shared" si="85"/>
        <v>2.5856496444703225E-2</v>
      </c>
      <c r="J59" s="1111">
        <f t="shared" si="85"/>
        <v>2.7269817561091259E-2</v>
      </c>
      <c r="K59" s="1111">
        <f t="shared" si="85"/>
        <v>2.2823330515677753E-3</v>
      </c>
      <c r="L59" s="1111">
        <f t="shared" si="85"/>
        <v>8.7912087911945491E-3</v>
      </c>
      <c r="M59" s="1111">
        <f t="shared" si="85"/>
        <v>1.8950860460307695E-2</v>
      </c>
      <c r="N59" s="1111">
        <f t="shared" si="85"/>
        <v>4.8885693745717163E-3</v>
      </c>
      <c r="O59" s="1111">
        <f t="shared" si="85"/>
        <v>2.4420024420010122E-2</v>
      </c>
      <c r="P59" s="1111">
        <f t="shared" si="85"/>
        <v>2.1050509123881511E-2</v>
      </c>
      <c r="Q59" s="1111">
        <f t="shared" si="85"/>
        <v>2.3976023976047145E-2</v>
      </c>
      <c r="R59" s="1111">
        <f t="shared" si="85"/>
        <v>5.2272052272144265E-3</v>
      </c>
      <c r="S59" s="1111">
        <f t="shared" si="85"/>
        <v>2.252747252748577E-2</v>
      </c>
      <c r="T59" s="1111">
        <f t="shared" si="85"/>
        <v>1.9293980355925555E-2</v>
      </c>
      <c r="U59" s="1111">
        <f t="shared" si="85"/>
        <v>2.4638519375372425E-2</v>
      </c>
      <c r="V59" s="1111">
        <f t="shared" si="85"/>
        <v>1.0511227902512132E-2</v>
      </c>
      <c r="W59" s="1111">
        <f t="shared" si="85"/>
        <v>5.9871163319513698E-3</v>
      </c>
      <c r="X59" s="1111">
        <f t="shared" si="85"/>
        <v>1.1552550014059193E-2</v>
      </c>
      <c r="Y59" s="1111">
        <f t="shared" si="85"/>
        <v>2.7677407338401849E-2</v>
      </c>
      <c r="Z59" s="1111">
        <f t="shared" si="85"/>
        <v>2.6244343891406174E-2</v>
      </c>
      <c r="AA59" s="1111">
        <f t="shared" si="85"/>
        <v>7.6923076922952305E-3</v>
      </c>
      <c r="AB59" s="1111">
        <f t="shared" si="85"/>
        <v>1.0171646535326317E-3</v>
      </c>
      <c r="AC59" s="1111">
        <f t="shared" si="85"/>
        <v>6.6294361376151301E-3</v>
      </c>
      <c r="AD59" s="311"/>
      <c r="AE59" s="1111">
        <f>AE58-AE55</f>
        <v>8.9285714285836093E-4</v>
      </c>
      <c r="AF59" s="1111">
        <f t="shared" ref="AF59" si="86">AF58-AF55</f>
        <v>2.4915824915822782E-2</v>
      </c>
      <c r="AG59" s="236"/>
      <c r="AH59" s="1111">
        <f t="shared" ref="AH59:AI59" si="87">AH58-AH55</f>
        <v>1.9780219780273001E-2</v>
      </c>
      <c r="AI59" s="1111">
        <f t="shared" si="87"/>
        <v>2.1978021977133722E-3</v>
      </c>
      <c r="AJ59" s="311"/>
      <c r="AK59" s="1111">
        <f t="shared" ref="AK59:AL59" si="88">AK58-AK55</f>
        <v>9.2165898618077335E-3</v>
      </c>
      <c r="AL59" s="1111">
        <f t="shared" si="88"/>
        <v>2.7930402930365972E-2</v>
      </c>
    </row>
    <row r="60" spans="1:38" s="1093" customFormat="1" x14ac:dyDescent="0.45">
      <c r="A60" s="1090"/>
      <c r="B60" s="1089"/>
      <c r="C60" s="1089"/>
      <c r="D60" s="1089"/>
      <c r="E60" s="1097"/>
      <c r="F60" s="1097"/>
      <c r="G60" s="1097"/>
      <c r="H60" s="1097"/>
      <c r="I60" s="1097"/>
      <c r="J60" s="1097"/>
      <c r="K60" s="1097"/>
      <c r="L60" s="1097"/>
      <c r="M60" s="1097"/>
      <c r="N60" s="1097"/>
      <c r="O60" s="1097"/>
      <c r="P60" s="1097"/>
      <c r="Q60" s="1097"/>
      <c r="R60" s="1097"/>
      <c r="S60" s="1097"/>
      <c r="T60" s="1097"/>
      <c r="U60" s="1097"/>
      <c r="V60" s="1097"/>
      <c r="W60" s="1097"/>
      <c r="X60" s="1097"/>
      <c r="Y60" s="1097"/>
      <c r="Z60" s="1097"/>
      <c r="AA60" s="1097"/>
      <c r="AB60" s="1097"/>
      <c r="AC60" s="1097"/>
      <c r="AD60" s="311"/>
      <c r="AE60" s="1097"/>
      <c r="AF60" s="1097"/>
      <c r="AG60" s="236"/>
      <c r="AH60" s="1097"/>
      <c r="AI60" s="1097"/>
      <c r="AJ60" s="311"/>
      <c r="AK60" s="1097"/>
      <c r="AL60" s="1097"/>
    </row>
    <row r="61" spans="1:38" s="1093" customFormat="1" x14ac:dyDescent="0.45">
      <c r="A61" s="1090"/>
      <c r="B61" s="236" t="s">
        <v>2612</v>
      </c>
      <c r="C61" s="236" t="s">
        <v>1268</v>
      </c>
      <c r="D61" s="236" t="s">
        <v>1</v>
      </c>
      <c r="E61" s="253">
        <f t="shared" ref="E61:AC61" si="89">(E13/$C$3)*($C$41/($C$41+$C$42))</f>
        <v>159.43877551020407</v>
      </c>
      <c r="F61" s="253">
        <f t="shared" si="89"/>
        <v>157.82828282828285</v>
      </c>
      <c r="G61" s="253">
        <f t="shared" si="89"/>
        <v>156.25</v>
      </c>
      <c r="H61" s="253">
        <f t="shared" si="89"/>
        <v>154.70297029702971</v>
      </c>
      <c r="I61" s="253">
        <f t="shared" si="89"/>
        <v>153.18627450980392</v>
      </c>
      <c r="J61" s="253">
        <f t="shared" si="89"/>
        <v>151.69902912621359</v>
      </c>
      <c r="K61" s="253">
        <f t="shared" si="89"/>
        <v>150.24038461538461</v>
      </c>
      <c r="L61" s="253">
        <f t="shared" si="89"/>
        <v>148.80952380952382</v>
      </c>
      <c r="M61" s="253">
        <f t="shared" si="89"/>
        <v>147.40566037735849</v>
      </c>
      <c r="N61" s="253">
        <f t="shared" si="89"/>
        <v>146.02803738317755</v>
      </c>
      <c r="O61" s="253">
        <f t="shared" si="89"/>
        <v>144.67592592592592</v>
      </c>
      <c r="P61" s="253">
        <f t="shared" si="89"/>
        <v>143.34862385321102</v>
      </c>
      <c r="Q61" s="253">
        <f t="shared" si="89"/>
        <v>142.04545454545453</v>
      </c>
      <c r="R61" s="253">
        <f t="shared" si="89"/>
        <v>140.76576576576576</v>
      </c>
      <c r="S61" s="253">
        <f t="shared" si="89"/>
        <v>139.50892857142856</v>
      </c>
      <c r="T61" s="253">
        <f t="shared" si="89"/>
        <v>138.27433628318585</v>
      </c>
      <c r="U61" s="253">
        <f t="shared" si="89"/>
        <v>137.06140350877192</v>
      </c>
      <c r="V61" s="253">
        <f t="shared" si="89"/>
        <v>135.86956521739131</v>
      </c>
      <c r="W61" s="253">
        <f t="shared" si="89"/>
        <v>134.69827586206895</v>
      </c>
      <c r="X61" s="253">
        <f t="shared" si="89"/>
        <v>133.54700854700857</v>
      </c>
      <c r="Y61" s="253">
        <f t="shared" si="89"/>
        <v>132.41525423728814</v>
      </c>
      <c r="Z61" s="253">
        <f t="shared" si="89"/>
        <v>131.30252100840335</v>
      </c>
      <c r="AA61" s="253">
        <f t="shared" si="89"/>
        <v>130.20833333333334</v>
      </c>
      <c r="AB61" s="253">
        <f t="shared" si="89"/>
        <v>129.13223140495867</v>
      </c>
      <c r="AC61" s="253">
        <f t="shared" si="89"/>
        <v>128.07377049180329</v>
      </c>
      <c r="AD61" s="311"/>
      <c r="AE61" s="253">
        <f>(AE13/$C$3)*(AE41/(AE41+AE42))</f>
        <v>108.50694444444444</v>
      </c>
      <c r="AF61" s="253">
        <f>(AF13/$C$3)*(AF41/(AF41+AF42))</f>
        <v>94.696969696969703</v>
      </c>
      <c r="AG61" s="236"/>
      <c r="AH61" s="253">
        <f>(AH13/1)*(AH41/(AH41+AH42))</f>
        <v>625</v>
      </c>
      <c r="AI61" s="253">
        <f>(AI13/1)*(AI41/(AI41+AI42))</f>
        <v>520.83333333333337</v>
      </c>
      <c r="AJ61" s="311"/>
      <c r="AK61" s="253">
        <f>(AK13/$C$3)*(AK41/(AK41+AK42))</f>
        <v>312.5</v>
      </c>
      <c r="AL61" s="253">
        <f>(AL13/$C$3)*(AL41/(AL41+AL42))</f>
        <v>260.41666666666669</v>
      </c>
    </row>
    <row r="62" spans="1:38" s="235" customFormat="1" x14ac:dyDescent="0.45">
      <c r="A62" s="234"/>
      <c r="B62" s="1089"/>
      <c r="C62" s="236" t="s">
        <v>1297</v>
      </c>
      <c r="D62" s="236" t="s">
        <v>1</v>
      </c>
      <c r="E62" s="1095">
        <f t="shared" ref="E62:Y62" si="90">E46+E49</f>
        <v>157.17425431711146</v>
      </c>
      <c r="F62" s="1095">
        <f t="shared" si="90"/>
        <v>155.68764568764573</v>
      </c>
      <c r="G62" s="1095">
        <f t="shared" si="90"/>
        <v>154.23076923076923</v>
      </c>
      <c r="H62" s="1095">
        <f t="shared" si="90"/>
        <v>152.80274181264281</v>
      </c>
      <c r="I62" s="1095">
        <f t="shared" si="90"/>
        <v>151.40271493212671</v>
      </c>
      <c r="J62" s="1095">
        <f t="shared" si="90"/>
        <v>150.02987303958176</v>
      </c>
      <c r="K62" s="1095">
        <f t="shared" si="90"/>
        <v>148.68343195266272</v>
      </c>
      <c r="L62" s="1095">
        <f t="shared" si="90"/>
        <v>147.36263736263737</v>
      </c>
      <c r="M62" s="1095">
        <f t="shared" si="90"/>
        <v>146.06676342525398</v>
      </c>
      <c r="N62" s="1095">
        <f t="shared" si="90"/>
        <v>144.79511143062541</v>
      </c>
      <c r="O62" s="1095">
        <f t="shared" si="90"/>
        <v>143.54700854700855</v>
      </c>
      <c r="P62" s="1095">
        <f t="shared" si="90"/>
        <v>142.32180663373325</v>
      </c>
      <c r="Q62" s="1095">
        <f t="shared" si="90"/>
        <v>141.11888111888109</v>
      </c>
      <c r="R62" s="1095">
        <f t="shared" si="90"/>
        <v>139.93762993762994</v>
      </c>
      <c r="S62" s="1095">
        <f t="shared" si="90"/>
        <v>138.7774725274725</v>
      </c>
      <c r="T62" s="1095">
        <f t="shared" si="90"/>
        <v>137.63784887678693</v>
      </c>
      <c r="U62" s="1095">
        <f t="shared" si="90"/>
        <v>136.51821862348177</v>
      </c>
      <c r="V62" s="1095">
        <f t="shared" si="90"/>
        <v>135.41806020066892</v>
      </c>
      <c r="W62" s="1095">
        <f t="shared" si="90"/>
        <v>134.33687002652519</v>
      </c>
      <c r="X62" s="1095">
        <f t="shared" si="90"/>
        <v>133.2741617357002</v>
      </c>
      <c r="Y62" s="1095">
        <f t="shared" si="90"/>
        <v>132.22946544980445</v>
      </c>
      <c r="Z62" s="1095">
        <f>Z46+Z49</f>
        <v>131.20232708468001</v>
      </c>
      <c r="AA62" s="1095">
        <f t="shared" ref="AA62:AC62" si="91">AA46+AA49</f>
        <v>130.19230769230771</v>
      </c>
      <c r="AB62" s="1095">
        <f t="shared" si="91"/>
        <v>129.19898283534647</v>
      </c>
      <c r="AC62" s="1095">
        <f t="shared" si="91"/>
        <v>128.22194199243381</v>
      </c>
      <c r="AD62" s="311"/>
      <c r="AE62" s="1095">
        <f t="shared" ref="AE62:AF62" si="92">AE46+AE49</f>
        <v>107.65625</v>
      </c>
      <c r="AF62" s="1095">
        <f t="shared" si="92"/>
        <v>94.17508417508418</v>
      </c>
      <c r="AG62" s="236"/>
      <c r="AH62" s="1095">
        <f>AH46+AH49</f>
        <v>586.92307692307691</v>
      </c>
      <c r="AI62" s="1095">
        <f>AI46+AI49</f>
        <v>490.76923076923083</v>
      </c>
      <c r="AJ62" s="311"/>
      <c r="AK62" s="1095">
        <f t="shared" ref="AK62:AL62" si="93">AK46+AK49</f>
        <v>312.41935483870964</v>
      </c>
      <c r="AL62" s="1095">
        <f t="shared" si="93"/>
        <v>260.40064102564105</v>
      </c>
    </row>
    <row r="63" spans="1:38" s="235" customFormat="1" x14ac:dyDescent="0.45">
      <c r="A63" s="234"/>
      <c r="B63" s="236"/>
      <c r="C63" s="1089" t="s">
        <v>1269</v>
      </c>
      <c r="D63" s="1089" t="s">
        <v>1</v>
      </c>
      <c r="E63" s="1098">
        <f t="shared" ref="E63:Y63" si="94">E46+E52</f>
        <v>157.19999999999999</v>
      </c>
      <c r="F63" s="1098">
        <f t="shared" si="94"/>
        <v>155.71428571428572</v>
      </c>
      <c r="G63" s="1098">
        <f t="shared" si="94"/>
        <v>154.25714285714284</v>
      </c>
      <c r="H63" s="1098">
        <f t="shared" si="94"/>
        <v>152.82857142857142</v>
      </c>
      <c r="I63" s="1098">
        <f t="shared" si="94"/>
        <v>151.42857142857142</v>
      </c>
      <c r="J63" s="1098">
        <f t="shared" si="94"/>
        <v>150.05714285714285</v>
      </c>
      <c r="K63" s="1098">
        <f t="shared" si="94"/>
        <v>148.68571428571428</v>
      </c>
      <c r="L63" s="1098">
        <f t="shared" si="94"/>
        <v>147.37142857142857</v>
      </c>
      <c r="M63" s="1098">
        <f t="shared" si="94"/>
        <v>146.08571428571429</v>
      </c>
      <c r="N63" s="1098">
        <f t="shared" si="94"/>
        <v>144.79999999999998</v>
      </c>
      <c r="O63" s="1098">
        <f t="shared" si="94"/>
        <v>143.57142857142856</v>
      </c>
      <c r="P63" s="1098">
        <f t="shared" si="94"/>
        <v>142.34285714285713</v>
      </c>
      <c r="Q63" s="1098">
        <f t="shared" si="94"/>
        <v>141.14285714285714</v>
      </c>
      <c r="R63" s="1098">
        <f t="shared" si="94"/>
        <v>139.94285714285715</v>
      </c>
      <c r="S63" s="1098">
        <f t="shared" si="94"/>
        <v>138.79999999999998</v>
      </c>
      <c r="T63" s="1098">
        <f t="shared" si="94"/>
        <v>137.65714285714284</v>
      </c>
      <c r="U63" s="1098">
        <f t="shared" si="94"/>
        <v>136.54285714285714</v>
      </c>
      <c r="V63" s="1098">
        <f t="shared" si="94"/>
        <v>135.42857142857144</v>
      </c>
      <c r="W63" s="1098">
        <f t="shared" si="94"/>
        <v>134.34285714285716</v>
      </c>
      <c r="X63" s="1098">
        <f t="shared" si="94"/>
        <v>133.28571428571428</v>
      </c>
      <c r="Y63" s="1098">
        <f t="shared" si="94"/>
        <v>132.25714285714287</v>
      </c>
      <c r="Z63" s="1098">
        <f>Z46+Z52</f>
        <v>131.22857142857143</v>
      </c>
      <c r="AA63" s="1098">
        <f t="shared" ref="AA63:AC63" si="95">AA46+AA52</f>
        <v>130.19999999999999</v>
      </c>
      <c r="AB63" s="1098">
        <f t="shared" si="95"/>
        <v>129.19999999999999</v>
      </c>
      <c r="AC63" s="1098">
        <f t="shared" si="95"/>
        <v>128.22857142857143</v>
      </c>
      <c r="AD63" s="311"/>
      <c r="AE63" s="1098">
        <f t="shared" ref="AE63:AF63" si="96">AE46+AE52</f>
        <v>107.65714285714286</v>
      </c>
      <c r="AF63" s="1098">
        <f t="shared" si="96"/>
        <v>94.2</v>
      </c>
      <c r="AG63" s="236"/>
      <c r="AH63" s="1098">
        <f t="shared" ref="AH63:AL63" si="97">AH46+AH52</f>
        <v>586.94285714285718</v>
      </c>
      <c r="AI63" s="1098">
        <f t="shared" si="97"/>
        <v>490.77142857142854</v>
      </c>
      <c r="AJ63" s="311"/>
      <c r="AK63" s="1098">
        <f t="shared" si="97"/>
        <v>312.42857142857144</v>
      </c>
      <c r="AL63" s="1098">
        <f t="shared" si="97"/>
        <v>260.42857142857144</v>
      </c>
    </row>
    <row r="64" spans="1:38" s="235" customFormat="1" x14ac:dyDescent="0.45">
      <c r="A64" s="234"/>
      <c r="B64" s="236"/>
      <c r="C64" s="1089" t="s">
        <v>2609</v>
      </c>
      <c r="D64" s="1089" t="s">
        <v>1</v>
      </c>
      <c r="E64" s="1106">
        <f>E61-E63</f>
        <v>2.2387755102040785</v>
      </c>
      <c r="F64" s="1106">
        <f t="shared" ref="F64:AC64" si="98">F61-F63</f>
        <v>2.1139971139971294</v>
      </c>
      <c r="G64" s="1106">
        <f t="shared" si="98"/>
        <v>1.9928571428571615</v>
      </c>
      <c r="H64" s="1106">
        <f t="shared" si="98"/>
        <v>1.874398868458286</v>
      </c>
      <c r="I64" s="1106">
        <f t="shared" si="98"/>
        <v>1.7577030812325063</v>
      </c>
      <c r="J64" s="1106">
        <f t="shared" si="98"/>
        <v>1.6418862690707385</v>
      </c>
      <c r="K64" s="1106">
        <f t="shared" si="98"/>
        <v>1.5546703296703299</v>
      </c>
      <c r="L64" s="1106">
        <f t="shared" si="98"/>
        <v>1.4380952380952579</v>
      </c>
      <c r="M64" s="1106">
        <f t="shared" si="98"/>
        <v>1.3199460916441978</v>
      </c>
      <c r="N64" s="1106">
        <f t="shared" si="98"/>
        <v>1.2280373831775648</v>
      </c>
      <c r="O64" s="1106">
        <f t="shared" si="98"/>
        <v>1.1044973544973686</v>
      </c>
      <c r="P64" s="1106">
        <f t="shared" si="98"/>
        <v>1.0057667103538961</v>
      </c>
      <c r="Q64" s="1106">
        <f t="shared" si="98"/>
        <v>0.90259740259739374</v>
      </c>
      <c r="R64" s="1106">
        <f t="shared" si="98"/>
        <v>0.82290862290861355</v>
      </c>
      <c r="S64" s="1106">
        <f t="shared" si="98"/>
        <v>0.70892857142857224</v>
      </c>
      <c r="T64" s="1106">
        <f t="shared" si="98"/>
        <v>0.61719342604300209</v>
      </c>
      <c r="U64" s="1106">
        <f t="shared" si="98"/>
        <v>0.51854636591477288</v>
      </c>
      <c r="V64" s="1106">
        <f t="shared" si="98"/>
        <v>0.44099378881986695</v>
      </c>
      <c r="W64" s="1106">
        <f t="shared" si="98"/>
        <v>0.35541871921179791</v>
      </c>
      <c r="X64" s="1106">
        <f t="shared" si="98"/>
        <v>0.26129426129429589</v>
      </c>
      <c r="Y64" s="1106">
        <f t="shared" si="98"/>
        <v>0.1581113801452716</v>
      </c>
      <c r="Z64" s="1106">
        <f t="shared" si="98"/>
        <v>7.39495798319183E-2</v>
      </c>
      <c r="AA64" s="1106">
        <f t="shared" si="98"/>
        <v>8.3333333333541759E-3</v>
      </c>
      <c r="AB64" s="1106">
        <f t="shared" si="98"/>
        <v>-6.7768595041314938E-2</v>
      </c>
      <c r="AC64" s="1106">
        <f t="shared" si="98"/>
        <v>-0.15480093676814022</v>
      </c>
      <c r="AD64" s="311"/>
      <c r="AE64" s="1106">
        <f>AE61-AE63</f>
        <v>0.8498015873015845</v>
      </c>
      <c r="AF64" s="1106">
        <f t="shared" ref="AF64" si="99">AF61-AF63</f>
        <v>0.49696969696969973</v>
      </c>
      <c r="AG64" s="236"/>
      <c r="AH64" s="1106">
        <f t="shared" ref="AH64:AI64" si="100">AH61-AH63</f>
        <v>38.057142857142821</v>
      </c>
      <c r="AI64" s="1106">
        <f t="shared" si="100"/>
        <v>30.061904761904827</v>
      </c>
      <c r="AJ64" s="311"/>
      <c r="AK64" s="1106">
        <f t="shared" ref="AK64:AL64" si="101">AK61-AK63</f>
        <v>7.1428571428555188E-2</v>
      </c>
      <c r="AL64" s="1106">
        <f t="shared" si="101"/>
        <v>-1.1904761904759198E-2</v>
      </c>
    </row>
    <row r="65" spans="1:38" s="235" customFormat="1" x14ac:dyDescent="0.45">
      <c r="A65" s="234"/>
      <c r="B65" s="236"/>
      <c r="C65" s="1089" t="s">
        <v>2607</v>
      </c>
      <c r="D65" s="1089" t="s">
        <v>903</v>
      </c>
      <c r="E65" s="1099">
        <f>(E63-E61)/E61</f>
        <v>-1.4041599999999982E-2</v>
      </c>
      <c r="F65" s="1099">
        <f t="shared" ref="F65:AC65" si="102">(F63-F61)/F61</f>
        <v>-1.339428571428581E-2</v>
      </c>
      <c r="G65" s="1099">
        <f t="shared" si="102"/>
        <v>-1.2754285714285834E-2</v>
      </c>
      <c r="H65" s="1099">
        <f t="shared" si="102"/>
        <v>-1.2116114285714361E-2</v>
      </c>
      <c r="I65" s="1099">
        <f t="shared" si="102"/>
        <v>-1.1474285714285801E-2</v>
      </c>
      <c r="J65" s="1099">
        <f t="shared" si="102"/>
        <v>-1.0823314285714309E-2</v>
      </c>
      <c r="K65" s="1099">
        <f t="shared" si="102"/>
        <v>-1.0347885714285717E-2</v>
      </c>
      <c r="L65" s="1099">
        <f t="shared" si="102"/>
        <v>-9.6640000000001326E-3</v>
      </c>
      <c r="M65" s="1099">
        <f t="shared" si="102"/>
        <v>-8.9545142857142389E-3</v>
      </c>
      <c r="N65" s="1099">
        <f t="shared" si="102"/>
        <v>-8.409599999999965E-3</v>
      </c>
      <c r="O65" s="1099">
        <f t="shared" si="102"/>
        <v>-7.6342857142858121E-3</v>
      </c>
      <c r="P65" s="1099">
        <f t="shared" si="102"/>
        <v>-7.0162285714287786E-3</v>
      </c>
      <c r="Q65" s="1099">
        <f t="shared" si="102"/>
        <v>-6.3542857142856526E-3</v>
      </c>
      <c r="R65" s="1099">
        <f t="shared" si="102"/>
        <v>-5.8459428571427906E-3</v>
      </c>
      <c r="S65" s="1099">
        <f t="shared" si="102"/>
        <v>-5.0816000000000064E-3</v>
      </c>
      <c r="T65" s="1099">
        <f t="shared" si="102"/>
        <v>-4.4635428571429912E-3</v>
      </c>
      <c r="U65" s="1099">
        <f t="shared" si="102"/>
        <v>-3.7833142857141831E-3</v>
      </c>
      <c r="V65" s="1099">
        <f t="shared" si="102"/>
        <v>-3.2457142857142207E-3</v>
      </c>
      <c r="W65" s="1099">
        <f t="shared" si="102"/>
        <v>-2.6386285714283877E-3</v>
      </c>
      <c r="X65" s="1099">
        <f t="shared" si="102"/>
        <v>-1.9565714285716871E-3</v>
      </c>
      <c r="Y65" s="1099">
        <f t="shared" si="102"/>
        <v>-1.1940571428570911E-3</v>
      </c>
      <c r="Z65" s="1099">
        <f t="shared" si="102"/>
        <v>-5.6319999999988987E-4</v>
      </c>
      <c r="AA65" s="1099">
        <f t="shared" si="102"/>
        <v>-6.4000000000160066E-5</v>
      </c>
      <c r="AB65" s="1099">
        <f t="shared" si="102"/>
        <v>5.2479999999994293E-4</v>
      </c>
      <c r="AC65" s="1099">
        <f t="shared" si="102"/>
        <v>1.2086857142856388E-3</v>
      </c>
      <c r="AD65" s="311"/>
      <c r="AE65" s="1099">
        <f t="shared" ref="AE65:AF65" si="103">(AE63-AE61)/AE61</f>
        <v>-7.8317714285714036E-3</v>
      </c>
      <c r="AF65" s="1099">
        <f t="shared" si="103"/>
        <v>-5.2480000000000287E-3</v>
      </c>
      <c r="AG65" s="236"/>
      <c r="AH65" s="1099">
        <f t="shared" ref="AH65:AL65" si="104">(AH63-AH61)/AH61</f>
        <v>-6.0891428571428513E-2</v>
      </c>
      <c r="AI65" s="1099">
        <f t="shared" si="104"/>
        <v>-5.7718857142857266E-2</v>
      </c>
      <c r="AJ65" s="311"/>
      <c r="AK65" s="1099">
        <f t="shared" si="104"/>
        <v>-2.2857142857137661E-4</v>
      </c>
      <c r="AL65" s="1099">
        <f t="shared" si="104"/>
        <v>4.5714285714275315E-5</v>
      </c>
    </row>
    <row r="66" spans="1:38" s="235" customFormat="1" x14ac:dyDescent="0.45">
      <c r="A66" s="234"/>
      <c r="B66" s="236"/>
      <c r="C66" s="1089"/>
      <c r="D66" s="1089"/>
      <c r="E66" s="1093"/>
      <c r="F66" s="1093"/>
      <c r="G66" s="1093"/>
      <c r="H66" s="1093"/>
      <c r="I66" s="1093"/>
      <c r="J66" s="1093"/>
      <c r="K66" s="1093"/>
      <c r="L66" s="1093"/>
      <c r="M66" s="1093"/>
      <c r="N66" s="1093"/>
      <c r="O66" s="1093"/>
      <c r="P66" s="1093"/>
      <c r="Q66" s="1093"/>
      <c r="R66" s="1093"/>
      <c r="S66" s="1093"/>
      <c r="T66" s="1093"/>
      <c r="U66" s="1093"/>
      <c r="V66" s="1093"/>
      <c r="W66" s="1093"/>
      <c r="X66" s="1093"/>
      <c r="Y66" s="1093"/>
      <c r="Z66" s="1093"/>
      <c r="AA66" s="1093"/>
      <c r="AB66" s="1093"/>
      <c r="AC66" s="1093"/>
      <c r="AD66" s="311"/>
      <c r="AE66" s="1093"/>
      <c r="AF66" s="1093"/>
      <c r="AG66" s="236"/>
      <c r="AH66" s="1093"/>
      <c r="AI66" s="1093"/>
      <c r="AJ66" s="311"/>
      <c r="AK66" s="1093"/>
      <c r="AL66" s="1093"/>
    </row>
    <row r="67" spans="1:38" s="235" customFormat="1" x14ac:dyDescent="0.45">
      <c r="A67" s="234"/>
      <c r="B67" s="236" t="s">
        <v>2613</v>
      </c>
      <c r="C67" s="236" t="s">
        <v>1268</v>
      </c>
      <c r="D67" s="236" t="s">
        <v>1</v>
      </c>
      <c r="E67" s="253">
        <f t="shared" ref="E67:AC67" si="105">(E13/$C$3)*($C$42/($C$41+$C$42))</f>
        <v>159.43877551020407</v>
      </c>
      <c r="F67" s="253">
        <f t="shared" si="105"/>
        <v>157.82828282828285</v>
      </c>
      <c r="G67" s="253">
        <f t="shared" si="105"/>
        <v>156.25</v>
      </c>
      <c r="H67" s="253">
        <f t="shared" si="105"/>
        <v>154.70297029702971</v>
      </c>
      <c r="I67" s="253">
        <f t="shared" si="105"/>
        <v>153.18627450980392</v>
      </c>
      <c r="J67" s="253">
        <f t="shared" si="105"/>
        <v>151.69902912621359</v>
      </c>
      <c r="K67" s="253">
        <f t="shared" si="105"/>
        <v>150.24038461538461</v>
      </c>
      <c r="L67" s="253">
        <f t="shared" si="105"/>
        <v>148.80952380952382</v>
      </c>
      <c r="M67" s="253">
        <f t="shared" si="105"/>
        <v>147.40566037735849</v>
      </c>
      <c r="N67" s="253">
        <f t="shared" si="105"/>
        <v>146.02803738317755</v>
      </c>
      <c r="O67" s="253">
        <f t="shared" si="105"/>
        <v>144.67592592592592</v>
      </c>
      <c r="P67" s="253">
        <f t="shared" si="105"/>
        <v>143.34862385321102</v>
      </c>
      <c r="Q67" s="253">
        <f t="shared" si="105"/>
        <v>142.04545454545453</v>
      </c>
      <c r="R67" s="253">
        <f t="shared" si="105"/>
        <v>140.76576576576576</v>
      </c>
      <c r="S67" s="253">
        <f t="shared" si="105"/>
        <v>139.50892857142856</v>
      </c>
      <c r="T67" s="253">
        <f t="shared" si="105"/>
        <v>138.27433628318585</v>
      </c>
      <c r="U67" s="253">
        <f t="shared" si="105"/>
        <v>137.06140350877192</v>
      </c>
      <c r="V67" s="253">
        <f t="shared" si="105"/>
        <v>135.86956521739131</v>
      </c>
      <c r="W67" s="253">
        <f t="shared" si="105"/>
        <v>134.69827586206895</v>
      </c>
      <c r="X67" s="253">
        <f t="shared" si="105"/>
        <v>133.54700854700857</v>
      </c>
      <c r="Y67" s="253">
        <f t="shared" si="105"/>
        <v>132.41525423728814</v>
      </c>
      <c r="Z67" s="253">
        <f t="shared" si="105"/>
        <v>131.30252100840335</v>
      </c>
      <c r="AA67" s="253">
        <f t="shared" si="105"/>
        <v>130.20833333333334</v>
      </c>
      <c r="AB67" s="253">
        <f t="shared" si="105"/>
        <v>129.13223140495867</v>
      </c>
      <c r="AC67" s="253">
        <f t="shared" si="105"/>
        <v>128.07377049180329</v>
      </c>
      <c r="AD67" s="311"/>
      <c r="AE67" s="253">
        <f>(AE13/$C$3)*(AE42/(AE41+AE42))</f>
        <v>108.50694444444444</v>
      </c>
      <c r="AF67" s="253">
        <f>(AF13/$C$3)*(AF42/(AF41+AF42))</f>
        <v>94.696969696969703</v>
      </c>
      <c r="AG67" s="236"/>
      <c r="AH67" s="253">
        <f>(AH13/1)*(AH42/(AH41+AH42))</f>
        <v>625</v>
      </c>
      <c r="AI67" s="253">
        <f>(AI13/1)*(AI42/(AI41+AI42))</f>
        <v>520.83333333333337</v>
      </c>
      <c r="AJ67" s="311"/>
      <c r="AK67" s="253">
        <f>(AK13/$C$3)*(AK42/(AK41+AK42))</f>
        <v>312.5</v>
      </c>
      <c r="AL67" s="253">
        <f>(AL13/$C$3)*(AL42/(AL41+AL42))</f>
        <v>260.41666666666669</v>
      </c>
    </row>
    <row r="68" spans="1:38" s="235" customFormat="1" x14ac:dyDescent="0.45">
      <c r="A68" s="234"/>
      <c r="B68" s="236"/>
      <c r="C68" s="236" t="s">
        <v>1297</v>
      </c>
      <c r="D68" s="236" t="s">
        <v>1</v>
      </c>
      <c r="E68" s="1095">
        <f>E46+E55</f>
        <v>157.17425431711146</v>
      </c>
      <c r="F68" s="1095">
        <f t="shared" ref="F68:AC68" si="106">F46+F55</f>
        <v>155.68764568764573</v>
      </c>
      <c r="G68" s="1095">
        <f t="shared" si="106"/>
        <v>154.23076923076923</v>
      </c>
      <c r="H68" s="1095">
        <f t="shared" si="106"/>
        <v>152.80274181264281</v>
      </c>
      <c r="I68" s="1095">
        <f t="shared" si="106"/>
        <v>151.40271493212671</v>
      </c>
      <c r="J68" s="1095">
        <f t="shared" si="106"/>
        <v>150.02987303958176</v>
      </c>
      <c r="K68" s="1095">
        <f t="shared" si="106"/>
        <v>148.68343195266272</v>
      </c>
      <c r="L68" s="1095">
        <f t="shared" si="106"/>
        <v>147.36263736263737</v>
      </c>
      <c r="M68" s="1095">
        <f t="shared" si="106"/>
        <v>146.06676342525398</v>
      </c>
      <c r="N68" s="1095">
        <f t="shared" si="106"/>
        <v>144.79511143062541</v>
      </c>
      <c r="O68" s="1095">
        <f t="shared" si="106"/>
        <v>143.54700854700855</v>
      </c>
      <c r="P68" s="1095">
        <f t="shared" si="106"/>
        <v>142.32180663373325</v>
      </c>
      <c r="Q68" s="1095">
        <f t="shared" si="106"/>
        <v>141.11888111888109</v>
      </c>
      <c r="R68" s="1095">
        <f t="shared" si="106"/>
        <v>139.93762993762994</v>
      </c>
      <c r="S68" s="1095">
        <f t="shared" si="106"/>
        <v>138.7774725274725</v>
      </c>
      <c r="T68" s="1095">
        <f t="shared" si="106"/>
        <v>137.63784887678693</v>
      </c>
      <c r="U68" s="1095">
        <f t="shared" si="106"/>
        <v>136.51821862348177</v>
      </c>
      <c r="V68" s="1095">
        <f t="shared" si="106"/>
        <v>135.41806020066892</v>
      </c>
      <c r="W68" s="1095">
        <f t="shared" si="106"/>
        <v>134.33687002652519</v>
      </c>
      <c r="X68" s="1095">
        <f t="shared" si="106"/>
        <v>133.2741617357002</v>
      </c>
      <c r="Y68" s="1095">
        <f t="shared" si="106"/>
        <v>132.22946544980445</v>
      </c>
      <c r="Z68" s="1095">
        <f t="shared" si="106"/>
        <v>131.20232708468001</v>
      </c>
      <c r="AA68" s="1095">
        <f t="shared" si="106"/>
        <v>130.19230769230771</v>
      </c>
      <c r="AB68" s="1095">
        <f t="shared" si="106"/>
        <v>129.19898283534647</v>
      </c>
      <c r="AC68" s="1095">
        <f t="shared" si="106"/>
        <v>128.22194199243381</v>
      </c>
      <c r="AD68" s="311"/>
      <c r="AE68" s="1095">
        <f t="shared" ref="AE68:AF68" si="107">AE46+AE55</f>
        <v>107.65625</v>
      </c>
      <c r="AF68" s="1095">
        <f t="shared" si="107"/>
        <v>94.17508417508418</v>
      </c>
      <c r="AG68" s="236"/>
      <c r="AH68" s="1095">
        <f t="shared" ref="AH68:AL68" si="108">AH46+AH55</f>
        <v>586.92307692307691</v>
      </c>
      <c r="AI68" s="1095">
        <f t="shared" si="108"/>
        <v>490.76923076923083</v>
      </c>
      <c r="AJ68" s="311"/>
      <c r="AK68" s="1095">
        <f t="shared" si="108"/>
        <v>312.41935483870964</v>
      </c>
      <c r="AL68" s="1095">
        <f t="shared" si="108"/>
        <v>260.40064102564105</v>
      </c>
    </row>
    <row r="69" spans="1:38" s="235" customFormat="1" x14ac:dyDescent="0.45">
      <c r="A69" s="234"/>
      <c r="B69" s="236"/>
      <c r="C69" s="1089" t="s">
        <v>1269</v>
      </c>
      <c r="D69" s="1089" t="s">
        <v>1</v>
      </c>
      <c r="E69" s="1098">
        <f>E46+E58</f>
        <v>157.19999999999999</v>
      </c>
      <c r="F69" s="1098">
        <f t="shared" ref="F69:AC69" si="109">F46+F58</f>
        <v>155.71428571428572</v>
      </c>
      <c r="G69" s="1098">
        <f t="shared" si="109"/>
        <v>154.25714285714284</v>
      </c>
      <c r="H69" s="1098">
        <f t="shared" si="109"/>
        <v>152.82857142857142</v>
      </c>
      <c r="I69" s="1098">
        <f t="shared" si="109"/>
        <v>151.42857142857142</v>
      </c>
      <c r="J69" s="1098">
        <f t="shared" si="109"/>
        <v>150.05714285714285</v>
      </c>
      <c r="K69" s="1098">
        <f t="shared" si="109"/>
        <v>148.68571428571428</v>
      </c>
      <c r="L69" s="1098">
        <f t="shared" si="109"/>
        <v>147.37142857142857</v>
      </c>
      <c r="M69" s="1098">
        <f t="shared" si="109"/>
        <v>146.08571428571429</v>
      </c>
      <c r="N69" s="1098">
        <f t="shared" si="109"/>
        <v>144.79999999999998</v>
      </c>
      <c r="O69" s="1098">
        <f t="shared" si="109"/>
        <v>143.57142857142856</v>
      </c>
      <c r="P69" s="1098">
        <f t="shared" si="109"/>
        <v>142.34285714285713</v>
      </c>
      <c r="Q69" s="1098">
        <f t="shared" si="109"/>
        <v>141.14285714285714</v>
      </c>
      <c r="R69" s="1098">
        <f t="shared" si="109"/>
        <v>139.94285714285715</v>
      </c>
      <c r="S69" s="1098">
        <f t="shared" si="109"/>
        <v>138.79999999999998</v>
      </c>
      <c r="T69" s="1098">
        <f t="shared" si="109"/>
        <v>137.65714285714284</v>
      </c>
      <c r="U69" s="1098">
        <f t="shared" si="109"/>
        <v>136.54285714285714</v>
      </c>
      <c r="V69" s="1098">
        <f t="shared" si="109"/>
        <v>135.42857142857144</v>
      </c>
      <c r="W69" s="1098">
        <f t="shared" si="109"/>
        <v>134.34285714285716</v>
      </c>
      <c r="X69" s="1098">
        <f t="shared" si="109"/>
        <v>133.28571428571428</v>
      </c>
      <c r="Y69" s="1098">
        <f t="shared" si="109"/>
        <v>132.25714285714287</v>
      </c>
      <c r="Z69" s="1098">
        <f t="shared" si="109"/>
        <v>131.22857142857143</v>
      </c>
      <c r="AA69" s="1098">
        <f t="shared" si="109"/>
        <v>130.19999999999999</v>
      </c>
      <c r="AB69" s="1098">
        <f t="shared" si="109"/>
        <v>129.19999999999999</v>
      </c>
      <c r="AC69" s="1098">
        <f t="shared" si="109"/>
        <v>128.22857142857143</v>
      </c>
      <c r="AD69" s="311"/>
      <c r="AE69" s="1098">
        <f t="shared" ref="AE69:AF69" si="110">AE46+AE58</f>
        <v>107.65714285714286</v>
      </c>
      <c r="AF69" s="1098">
        <f t="shared" si="110"/>
        <v>94.2</v>
      </c>
      <c r="AG69" s="236"/>
      <c r="AH69" s="1098">
        <f t="shared" ref="AH69:AL69" si="111">AH46+AH58</f>
        <v>586.94285714285718</v>
      </c>
      <c r="AI69" s="1098">
        <f t="shared" si="111"/>
        <v>490.77142857142854</v>
      </c>
      <c r="AJ69" s="311"/>
      <c r="AK69" s="1098">
        <f t="shared" si="111"/>
        <v>312.42857142857144</v>
      </c>
      <c r="AL69" s="1098">
        <f t="shared" si="111"/>
        <v>260.42857142857144</v>
      </c>
    </row>
    <row r="70" spans="1:38" s="235" customFormat="1" x14ac:dyDescent="0.45">
      <c r="A70" s="234"/>
      <c r="B70" s="236"/>
      <c r="C70" s="1089" t="s">
        <v>2609</v>
      </c>
      <c r="D70" s="1089" t="s">
        <v>1</v>
      </c>
      <c r="E70" s="1106">
        <f>E67-E69</f>
        <v>2.2387755102040785</v>
      </c>
      <c r="F70" s="1106">
        <f t="shared" ref="F70:AC70" si="112">F67-F69</f>
        <v>2.1139971139971294</v>
      </c>
      <c r="G70" s="1106">
        <f t="shared" si="112"/>
        <v>1.9928571428571615</v>
      </c>
      <c r="H70" s="1106">
        <f t="shared" si="112"/>
        <v>1.874398868458286</v>
      </c>
      <c r="I70" s="1106">
        <f t="shared" si="112"/>
        <v>1.7577030812325063</v>
      </c>
      <c r="J70" s="1106">
        <f t="shared" si="112"/>
        <v>1.6418862690707385</v>
      </c>
      <c r="K70" s="1106">
        <f t="shared" si="112"/>
        <v>1.5546703296703299</v>
      </c>
      <c r="L70" s="1106">
        <f t="shared" si="112"/>
        <v>1.4380952380952579</v>
      </c>
      <c r="M70" s="1106">
        <f t="shared" si="112"/>
        <v>1.3199460916441978</v>
      </c>
      <c r="N70" s="1106">
        <f t="shared" si="112"/>
        <v>1.2280373831775648</v>
      </c>
      <c r="O70" s="1106">
        <f t="shared" si="112"/>
        <v>1.1044973544973686</v>
      </c>
      <c r="P70" s="1106">
        <f t="shared" si="112"/>
        <v>1.0057667103538961</v>
      </c>
      <c r="Q70" s="1106">
        <f t="shared" si="112"/>
        <v>0.90259740259739374</v>
      </c>
      <c r="R70" s="1106">
        <f t="shared" si="112"/>
        <v>0.82290862290861355</v>
      </c>
      <c r="S70" s="1106">
        <f t="shared" si="112"/>
        <v>0.70892857142857224</v>
      </c>
      <c r="T70" s="1106">
        <f t="shared" si="112"/>
        <v>0.61719342604300209</v>
      </c>
      <c r="U70" s="1106">
        <f t="shared" si="112"/>
        <v>0.51854636591477288</v>
      </c>
      <c r="V70" s="1106">
        <f t="shared" si="112"/>
        <v>0.44099378881986695</v>
      </c>
      <c r="W70" s="1106">
        <f t="shared" si="112"/>
        <v>0.35541871921179791</v>
      </c>
      <c r="X70" s="1106">
        <f t="shared" si="112"/>
        <v>0.26129426129429589</v>
      </c>
      <c r="Y70" s="1106">
        <f t="shared" si="112"/>
        <v>0.1581113801452716</v>
      </c>
      <c r="Z70" s="1106">
        <f t="shared" si="112"/>
        <v>7.39495798319183E-2</v>
      </c>
      <c r="AA70" s="1106">
        <f t="shared" si="112"/>
        <v>8.3333333333541759E-3</v>
      </c>
      <c r="AB70" s="1106">
        <f t="shared" si="112"/>
        <v>-6.7768595041314938E-2</v>
      </c>
      <c r="AC70" s="1106">
        <f t="shared" si="112"/>
        <v>-0.15480093676814022</v>
      </c>
      <c r="AD70" s="311"/>
      <c r="AE70" s="1106">
        <f t="shared" ref="AE70:AF70" si="113">AE67-AE69</f>
        <v>0.8498015873015845</v>
      </c>
      <c r="AF70" s="1106">
        <f t="shared" si="113"/>
        <v>0.49696969696969973</v>
      </c>
      <c r="AG70" s="236"/>
      <c r="AH70" s="1106">
        <f t="shared" ref="AH70:AI70" si="114">AH67-AH69</f>
        <v>38.057142857142821</v>
      </c>
      <c r="AI70" s="1106">
        <f t="shared" si="114"/>
        <v>30.061904761904827</v>
      </c>
      <c r="AJ70" s="311"/>
      <c r="AK70" s="1106">
        <f t="shared" ref="AK70:AL70" si="115">AK67-AK69</f>
        <v>7.1428571428555188E-2</v>
      </c>
      <c r="AL70" s="1106">
        <f t="shared" si="115"/>
        <v>-1.1904761904759198E-2</v>
      </c>
    </row>
    <row r="71" spans="1:38" s="235" customFormat="1" x14ac:dyDescent="0.45">
      <c r="A71" s="234"/>
      <c r="B71" s="236"/>
      <c r="C71" s="1089" t="s">
        <v>2607</v>
      </c>
      <c r="D71" s="1089" t="s">
        <v>903</v>
      </c>
      <c r="E71" s="1099">
        <f>(E69-E67)/E67</f>
        <v>-1.4041599999999982E-2</v>
      </c>
      <c r="F71" s="1099">
        <f t="shared" ref="F71:AC71" si="116">(F69-F67)/F67</f>
        <v>-1.339428571428581E-2</v>
      </c>
      <c r="G71" s="1099">
        <f t="shared" si="116"/>
        <v>-1.2754285714285834E-2</v>
      </c>
      <c r="H71" s="1099">
        <f t="shared" si="116"/>
        <v>-1.2116114285714361E-2</v>
      </c>
      <c r="I71" s="1099">
        <f t="shared" si="116"/>
        <v>-1.1474285714285801E-2</v>
      </c>
      <c r="J71" s="1099">
        <f t="shared" si="116"/>
        <v>-1.0823314285714309E-2</v>
      </c>
      <c r="K71" s="1099">
        <f t="shared" si="116"/>
        <v>-1.0347885714285717E-2</v>
      </c>
      <c r="L71" s="1099">
        <f t="shared" si="116"/>
        <v>-9.6640000000001326E-3</v>
      </c>
      <c r="M71" s="1099">
        <f t="shared" si="116"/>
        <v>-8.9545142857142389E-3</v>
      </c>
      <c r="N71" s="1099">
        <f t="shared" si="116"/>
        <v>-8.409599999999965E-3</v>
      </c>
      <c r="O71" s="1099">
        <f t="shared" si="116"/>
        <v>-7.6342857142858121E-3</v>
      </c>
      <c r="P71" s="1099">
        <f t="shared" si="116"/>
        <v>-7.0162285714287786E-3</v>
      </c>
      <c r="Q71" s="1099">
        <f t="shared" si="116"/>
        <v>-6.3542857142856526E-3</v>
      </c>
      <c r="R71" s="1099">
        <f t="shared" si="116"/>
        <v>-5.8459428571427906E-3</v>
      </c>
      <c r="S71" s="1099">
        <f t="shared" si="116"/>
        <v>-5.0816000000000064E-3</v>
      </c>
      <c r="T71" s="1099">
        <f t="shared" si="116"/>
        <v>-4.4635428571429912E-3</v>
      </c>
      <c r="U71" s="1099">
        <f t="shared" si="116"/>
        <v>-3.7833142857141831E-3</v>
      </c>
      <c r="V71" s="1099">
        <f t="shared" si="116"/>
        <v>-3.2457142857142207E-3</v>
      </c>
      <c r="W71" s="1099">
        <f t="shared" si="116"/>
        <v>-2.6386285714283877E-3</v>
      </c>
      <c r="X71" s="1099">
        <f t="shared" si="116"/>
        <v>-1.9565714285716871E-3</v>
      </c>
      <c r="Y71" s="1099">
        <f t="shared" si="116"/>
        <v>-1.1940571428570911E-3</v>
      </c>
      <c r="Z71" s="1099">
        <f t="shared" si="116"/>
        <v>-5.6319999999988987E-4</v>
      </c>
      <c r="AA71" s="1099">
        <f t="shared" si="116"/>
        <v>-6.4000000000160066E-5</v>
      </c>
      <c r="AB71" s="1099">
        <f t="shared" si="116"/>
        <v>5.2479999999994293E-4</v>
      </c>
      <c r="AC71" s="1099">
        <f t="shared" si="116"/>
        <v>1.2086857142856388E-3</v>
      </c>
      <c r="AD71" s="311"/>
      <c r="AE71" s="1099">
        <f t="shared" ref="AE71:AF71" si="117">(AE69-AE67)/AE67</f>
        <v>-7.8317714285714036E-3</v>
      </c>
      <c r="AF71" s="1099">
        <f t="shared" si="117"/>
        <v>-5.2480000000000287E-3</v>
      </c>
      <c r="AG71" s="236"/>
      <c r="AH71" s="1099">
        <f t="shared" ref="AH71:AL71" si="118">(AH69-AH67)/AH67</f>
        <v>-6.0891428571428513E-2</v>
      </c>
      <c r="AI71" s="1099">
        <f t="shared" si="118"/>
        <v>-5.7718857142857266E-2</v>
      </c>
      <c r="AJ71" s="311"/>
      <c r="AK71" s="1099">
        <f t="shared" si="118"/>
        <v>-2.2857142857137661E-4</v>
      </c>
      <c r="AL71" s="1099">
        <f t="shared" si="118"/>
        <v>4.5714285714275315E-5</v>
      </c>
    </row>
    <row r="72" spans="1:38" s="235" customFormat="1" x14ac:dyDescent="0.45">
      <c r="A72" s="234"/>
      <c r="B72" s="236"/>
      <c r="C72" s="1089"/>
      <c r="D72" s="1089"/>
      <c r="AD72" s="311"/>
      <c r="AG72" s="236"/>
      <c r="AJ72" s="311"/>
    </row>
    <row r="73" spans="1:38" s="235" customFormat="1" x14ac:dyDescent="0.45">
      <c r="A73" s="234"/>
      <c r="B73" s="236" t="s">
        <v>2631</v>
      </c>
      <c r="C73" s="236" t="s">
        <v>1268</v>
      </c>
      <c r="D73" s="236" t="s">
        <v>1</v>
      </c>
      <c r="E73" s="1096">
        <f t="shared" ref="E73:AC73" si="119">E13/$C$3</f>
        <v>318.87755102040813</v>
      </c>
      <c r="F73" s="1096">
        <f t="shared" si="119"/>
        <v>315.6565656565657</v>
      </c>
      <c r="G73" s="1096">
        <f t="shared" si="119"/>
        <v>312.5</v>
      </c>
      <c r="H73" s="1096">
        <f t="shared" si="119"/>
        <v>309.40594059405942</v>
      </c>
      <c r="I73" s="1096">
        <f t="shared" si="119"/>
        <v>306.37254901960785</v>
      </c>
      <c r="J73" s="1096">
        <f t="shared" si="119"/>
        <v>303.39805825242718</v>
      </c>
      <c r="K73" s="1096">
        <f t="shared" si="119"/>
        <v>300.48076923076923</v>
      </c>
      <c r="L73" s="1096">
        <f t="shared" si="119"/>
        <v>297.61904761904765</v>
      </c>
      <c r="M73" s="1096">
        <f t="shared" si="119"/>
        <v>294.81132075471697</v>
      </c>
      <c r="N73" s="1096">
        <f t="shared" si="119"/>
        <v>292.0560747663551</v>
      </c>
      <c r="O73" s="1096">
        <f t="shared" si="119"/>
        <v>289.35185185185185</v>
      </c>
      <c r="P73" s="1096">
        <f t="shared" si="119"/>
        <v>286.69724770642205</v>
      </c>
      <c r="Q73" s="1096">
        <f t="shared" si="119"/>
        <v>284.09090909090907</v>
      </c>
      <c r="R73" s="1096">
        <f t="shared" si="119"/>
        <v>281.53153153153153</v>
      </c>
      <c r="S73" s="1096">
        <f t="shared" si="119"/>
        <v>279.01785714285711</v>
      </c>
      <c r="T73" s="1096">
        <f t="shared" si="119"/>
        <v>276.54867256637169</v>
      </c>
      <c r="U73" s="1096">
        <f t="shared" si="119"/>
        <v>274.12280701754383</v>
      </c>
      <c r="V73" s="1096">
        <f t="shared" si="119"/>
        <v>271.73913043478262</v>
      </c>
      <c r="W73" s="1096">
        <f t="shared" si="119"/>
        <v>269.39655172413791</v>
      </c>
      <c r="X73" s="1096">
        <f t="shared" si="119"/>
        <v>267.09401709401715</v>
      </c>
      <c r="Y73" s="1096">
        <f t="shared" si="119"/>
        <v>264.83050847457628</v>
      </c>
      <c r="Z73" s="1096">
        <f t="shared" si="119"/>
        <v>262.60504201680669</v>
      </c>
      <c r="AA73" s="1096">
        <f t="shared" si="119"/>
        <v>260.41666666666669</v>
      </c>
      <c r="AB73" s="1096">
        <f t="shared" si="119"/>
        <v>258.26446280991735</v>
      </c>
      <c r="AC73" s="1096">
        <f t="shared" si="119"/>
        <v>256.14754098360658</v>
      </c>
      <c r="AD73" s="311"/>
      <c r="AE73" s="1096">
        <f>AE13/$C$3</f>
        <v>217.01388888888889</v>
      </c>
      <c r="AF73" s="1096">
        <f>AF13/$C$3</f>
        <v>189.39393939393941</v>
      </c>
      <c r="AG73" s="236"/>
      <c r="AH73" s="1096">
        <f>AH13/1</f>
        <v>1250</v>
      </c>
      <c r="AI73" s="1096">
        <f>AI13/1</f>
        <v>1041.6666666666667</v>
      </c>
      <c r="AJ73" s="311"/>
      <c r="AK73" s="1096">
        <f>AK13/$C$3</f>
        <v>625</v>
      </c>
      <c r="AL73" s="1096">
        <f>AL13/$C$3</f>
        <v>520.83333333333337</v>
      </c>
    </row>
    <row r="74" spans="1:38" s="235" customFormat="1" x14ac:dyDescent="0.45">
      <c r="A74" s="234"/>
      <c r="B74" s="236"/>
      <c r="C74" s="236" t="s">
        <v>1297</v>
      </c>
      <c r="D74" s="236" t="s">
        <v>1</v>
      </c>
      <c r="E74" s="1095">
        <f t="shared" ref="E74:Y74" si="120">E46*2+E49+E55</f>
        <v>314.34850863422292</v>
      </c>
      <c r="F74" s="1095">
        <f t="shared" si="120"/>
        <v>311.37529137529145</v>
      </c>
      <c r="G74" s="1095">
        <f t="shared" si="120"/>
        <v>308.46153846153845</v>
      </c>
      <c r="H74" s="1095">
        <f t="shared" si="120"/>
        <v>305.60548362528561</v>
      </c>
      <c r="I74" s="1095">
        <f t="shared" si="120"/>
        <v>302.80542986425343</v>
      </c>
      <c r="J74" s="1095">
        <f t="shared" si="120"/>
        <v>300.05974607916352</v>
      </c>
      <c r="K74" s="1095">
        <f t="shared" si="120"/>
        <v>297.36686390532543</v>
      </c>
      <c r="L74" s="1095">
        <f t="shared" si="120"/>
        <v>294.72527472527474</v>
      </c>
      <c r="M74" s="1095">
        <f t="shared" si="120"/>
        <v>292.13352685050796</v>
      </c>
      <c r="N74" s="1095">
        <f t="shared" si="120"/>
        <v>289.59022286125082</v>
      </c>
      <c r="O74" s="1095">
        <f t="shared" si="120"/>
        <v>287.09401709401709</v>
      </c>
      <c r="P74" s="1095">
        <f t="shared" si="120"/>
        <v>284.64361326746649</v>
      </c>
      <c r="Q74" s="1095">
        <f t="shared" si="120"/>
        <v>282.23776223776218</v>
      </c>
      <c r="R74" s="1095">
        <f t="shared" si="120"/>
        <v>279.87525987525987</v>
      </c>
      <c r="S74" s="1095">
        <f t="shared" si="120"/>
        <v>277.55494505494499</v>
      </c>
      <c r="T74" s="1095">
        <f t="shared" si="120"/>
        <v>275.27569775357387</v>
      </c>
      <c r="U74" s="1095">
        <f t="shared" si="120"/>
        <v>273.03643724696354</v>
      </c>
      <c r="V74" s="1095">
        <f t="shared" si="120"/>
        <v>270.83612040133784</v>
      </c>
      <c r="W74" s="1095">
        <f t="shared" si="120"/>
        <v>268.67374005305038</v>
      </c>
      <c r="X74" s="1095">
        <f t="shared" si="120"/>
        <v>266.54832347140041</v>
      </c>
      <c r="Y74" s="1095">
        <f t="shared" si="120"/>
        <v>264.4589308996089</v>
      </c>
      <c r="Z74" s="1095">
        <f>Z46*2+Z49+Z55</f>
        <v>262.40465416936001</v>
      </c>
      <c r="AA74" s="1095">
        <f t="shared" ref="AA74:AC74" si="121">AA46*2+AA49+AA55</f>
        <v>260.38461538461542</v>
      </c>
      <c r="AB74" s="1095">
        <f t="shared" si="121"/>
        <v>258.39796567069294</v>
      </c>
      <c r="AC74" s="1095">
        <f t="shared" si="121"/>
        <v>256.44388398486763</v>
      </c>
      <c r="AD74" s="311"/>
      <c r="AE74" s="1095">
        <f>AE46*2+AE49+AE55</f>
        <v>215.3125</v>
      </c>
      <c r="AF74" s="1095">
        <f t="shared" ref="AF74" si="122">AF46*2+AF49+AF55</f>
        <v>188.35016835016836</v>
      </c>
      <c r="AG74" s="236"/>
      <c r="AH74" s="1095">
        <f>AH46*2+AH49+AH55</f>
        <v>1173.8461538461538</v>
      </c>
      <c r="AI74" s="1095">
        <f>AI46*2+AI49+AI55</f>
        <v>981.53846153846166</v>
      </c>
      <c r="AJ74" s="311"/>
      <c r="AK74" s="1095">
        <f>AK46*2+AK49+AK55</f>
        <v>624.83870967741927</v>
      </c>
      <c r="AL74" s="1095">
        <f t="shared" ref="AL74" si="123">AL46*2+AL49+AL55</f>
        <v>520.8012820512821</v>
      </c>
    </row>
    <row r="75" spans="1:38" s="1093" customFormat="1" x14ac:dyDescent="0.45">
      <c r="A75" s="1090"/>
      <c r="B75" s="1089"/>
      <c r="C75" s="1089" t="s">
        <v>1269</v>
      </c>
      <c r="D75" s="1089" t="s">
        <v>1</v>
      </c>
      <c r="E75" s="1098">
        <f t="shared" ref="E75:Y75" si="124">E46*2+E52+E58</f>
        <v>314.39999999999998</v>
      </c>
      <c r="F75" s="1098">
        <f t="shared" si="124"/>
        <v>311.42857142857144</v>
      </c>
      <c r="G75" s="1098">
        <f t="shared" si="124"/>
        <v>308.51428571428568</v>
      </c>
      <c r="H75" s="1098">
        <f t="shared" si="124"/>
        <v>305.65714285714284</v>
      </c>
      <c r="I75" s="1098">
        <f t="shared" si="124"/>
        <v>302.85714285714283</v>
      </c>
      <c r="J75" s="1098">
        <f t="shared" si="124"/>
        <v>300.1142857142857</v>
      </c>
      <c r="K75" s="1098">
        <f t="shared" si="124"/>
        <v>297.37142857142857</v>
      </c>
      <c r="L75" s="1098">
        <f t="shared" si="124"/>
        <v>294.74285714285713</v>
      </c>
      <c r="M75" s="1098">
        <f t="shared" si="124"/>
        <v>292.17142857142858</v>
      </c>
      <c r="N75" s="1098">
        <f t="shared" si="124"/>
        <v>289.59999999999997</v>
      </c>
      <c r="O75" s="1098">
        <f t="shared" si="124"/>
        <v>287.14285714285711</v>
      </c>
      <c r="P75" s="1098">
        <f t="shared" si="124"/>
        <v>284.68571428571425</v>
      </c>
      <c r="Q75" s="1098">
        <f t="shared" si="124"/>
        <v>282.28571428571428</v>
      </c>
      <c r="R75" s="1098">
        <f t="shared" si="124"/>
        <v>279.8857142857143</v>
      </c>
      <c r="S75" s="1098">
        <f t="shared" si="124"/>
        <v>277.59999999999997</v>
      </c>
      <c r="T75" s="1098">
        <f t="shared" si="124"/>
        <v>275.31428571428569</v>
      </c>
      <c r="U75" s="1098">
        <f t="shared" si="124"/>
        <v>273.08571428571429</v>
      </c>
      <c r="V75" s="1098">
        <f t="shared" si="124"/>
        <v>270.85714285714289</v>
      </c>
      <c r="W75" s="1098">
        <f t="shared" si="124"/>
        <v>268.68571428571431</v>
      </c>
      <c r="X75" s="1098">
        <f t="shared" si="124"/>
        <v>266.57142857142856</v>
      </c>
      <c r="Y75" s="1098">
        <f t="shared" si="124"/>
        <v>264.51428571428573</v>
      </c>
      <c r="Z75" s="1098">
        <f>Z46*2+Z52+Z58</f>
        <v>262.45714285714286</v>
      </c>
      <c r="AA75" s="1098">
        <f t="shared" ref="AA75:AC75" si="125">AA46*2+AA52+AA58</f>
        <v>260.39999999999998</v>
      </c>
      <c r="AB75" s="1098">
        <f t="shared" si="125"/>
        <v>258.39999999999998</v>
      </c>
      <c r="AC75" s="1098">
        <f t="shared" si="125"/>
        <v>256.45714285714286</v>
      </c>
      <c r="AD75" s="311"/>
      <c r="AE75" s="1098">
        <f>AE46*2+AE52+AE58</f>
        <v>215.31428571428572</v>
      </c>
      <c r="AF75" s="1098">
        <f t="shared" ref="AF75" si="126">AF46*2+AF52+AF58</f>
        <v>188.4</v>
      </c>
      <c r="AG75" s="236"/>
      <c r="AH75" s="1098">
        <f t="shared" ref="AH75:AI75" si="127">AH46*2+AH52+AH58</f>
        <v>1173.8857142857144</v>
      </c>
      <c r="AI75" s="1098">
        <f t="shared" si="127"/>
        <v>981.54285714285709</v>
      </c>
      <c r="AJ75" s="311"/>
      <c r="AK75" s="1098">
        <f>AK46*2+AK52+AK58</f>
        <v>624.85714285714289</v>
      </c>
      <c r="AL75" s="1098">
        <f>AL46*2+AL52+AL58</f>
        <v>520.85714285714289</v>
      </c>
    </row>
    <row r="76" spans="1:38" s="235" customFormat="1" x14ac:dyDescent="0.45">
      <c r="A76" s="234"/>
      <c r="B76" s="236"/>
      <c r="C76" s="1089" t="s">
        <v>2609</v>
      </c>
      <c r="D76" s="1089" t="s">
        <v>1</v>
      </c>
      <c r="E76" s="1111">
        <f>E73-E75</f>
        <v>4.477551020408157</v>
      </c>
      <c r="F76" s="1111">
        <f t="shared" ref="F76:AC76" si="128">F73-F75</f>
        <v>4.2279942279942588</v>
      </c>
      <c r="G76" s="1111">
        <f t="shared" si="128"/>
        <v>3.9857142857143231</v>
      </c>
      <c r="H76" s="1111">
        <f t="shared" si="128"/>
        <v>3.7487977369165719</v>
      </c>
      <c r="I76" s="1111">
        <f t="shared" si="128"/>
        <v>3.5154061624650126</v>
      </c>
      <c r="J76" s="1111">
        <f t="shared" si="128"/>
        <v>3.2837725381414771</v>
      </c>
      <c r="K76" s="1111">
        <f t="shared" si="128"/>
        <v>3.1093406593406598</v>
      </c>
      <c r="L76" s="1111">
        <f t="shared" si="128"/>
        <v>2.8761904761905157</v>
      </c>
      <c r="M76" s="1111">
        <f t="shared" si="128"/>
        <v>2.6398921832883957</v>
      </c>
      <c r="N76" s="1111">
        <f t="shared" si="128"/>
        <v>2.4560747663551297</v>
      </c>
      <c r="O76" s="1111">
        <f t="shared" si="128"/>
        <v>2.2089947089947373</v>
      </c>
      <c r="P76" s="1111">
        <f t="shared" si="128"/>
        <v>2.0115334207077922</v>
      </c>
      <c r="Q76" s="1111">
        <f t="shared" si="128"/>
        <v>1.8051948051947875</v>
      </c>
      <c r="R76" s="1111">
        <f t="shared" si="128"/>
        <v>1.6458172458172271</v>
      </c>
      <c r="S76" s="1111">
        <f t="shared" si="128"/>
        <v>1.4178571428571445</v>
      </c>
      <c r="T76" s="1111">
        <f t="shared" si="128"/>
        <v>1.2343868520860042</v>
      </c>
      <c r="U76" s="1111">
        <f t="shared" si="128"/>
        <v>1.0370927318295458</v>
      </c>
      <c r="V76" s="1111">
        <f t="shared" si="128"/>
        <v>0.8819875776397339</v>
      </c>
      <c r="W76" s="1111">
        <f t="shared" si="128"/>
        <v>0.71083743842359581</v>
      </c>
      <c r="X76" s="1111">
        <f t="shared" si="128"/>
        <v>0.52258852258859179</v>
      </c>
      <c r="Y76" s="1111">
        <f t="shared" si="128"/>
        <v>0.31622276029054319</v>
      </c>
      <c r="Z76" s="1111">
        <f t="shared" si="128"/>
        <v>0.1478991596638366</v>
      </c>
      <c r="AA76" s="1111">
        <f t="shared" si="128"/>
        <v>1.6666666666708352E-2</v>
      </c>
      <c r="AB76" s="1111">
        <f t="shared" si="128"/>
        <v>-0.13553719008262988</v>
      </c>
      <c r="AC76" s="1111">
        <f t="shared" si="128"/>
        <v>-0.30960187353628044</v>
      </c>
      <c r="AD76" s="311"/>
      <c r="AE76" s="1111">
        <f t="shared" ref="AE76:AF76" si="129">AE73-AE75</f>
        <v>1.699603174603169</v>
      </c>
      <c r="AF76" s="1111">
        <f t="shared" si="129"/>
        <v>0.99393939393939945</v>
      </c>
      <c r="AG76" s="236"/>
      <c r="AH76" s="1111">
        <f t="shared" ref="AH76:AI76" si="130">AH73-AH75</f>
        <v>76.114285714285643</v>
      </c>
      <c r="AI76" s="1111">
        <f t="shared" si="130"/>
        <v>60.123809523809655</v>
      </c>
      <c r="AJ76" s="311"/>
      <c r="AK76" s="1111">
        <f>AK73-AK75</f>
        <v>0.14285714285711038</v>
      </c>
      <c r="AL76" s="1111">
        <f t="shared" ref="AL76" si="131">AL73-AL75</f>
        <v>-2.3809523809518396E-2</v>
      </c>
    </row>
    <row r="77" spans="1:38" s="235" customFormat="1" x14ac:dyDescent="0.45">
      <c r="A77" s="234"/>
      <c r="B77" s="236"/>
      <c r="C77" s="1089"/>
      <c r="D77" s="1089"/>
      <c r="AD77" s="311"/>
      <c r="AG77" s="236"/>
      <c r="AJ77" s="311"/>
    </row>
    <row r="78" spans="1:38" s="235" customFormat="1" x14ac:dyDescent="0.45">
      <c r="A78" s="234"/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A78" s="236"/>
      <c r="AB78" s="236"/>
      <c r="AC78" s="236"/>
      <c r="AD78" s="311"/>
      <c r="AE78" s="236"/>
      <c r="AF78" s="236"/>
      <c r="AG78" s="236"/>
      <c r="AH78" s="236"/>
      <c r="AI78" s="236"/>
      <c r="AJ78" s="311"/>
      <c r="AK78" s="236"/>
      <c r="AL78" s="236"/>
    </row>
    <row r="79" spans="1:38" s="235" customFormat="1" x14ac:dyDescent="0.45">
      <c r="A79" s="234"/>
      <c r="B79" s="236" t="s">
        <v>2620</v>
      </c>
      <c r="C79" s="236" t="s">
        <v>1289</v>
      </c>
      <c r="D79" s="1089" t="s">
        <v>903</v>
      </c>
      <c r="E79" s="1105">
        <f>E63/E73</f>
        <v>0.49297920000000001</v>
      </c>
      <c r="F79" s="918">
        <f t="shared" ref="F79:Z79" si="132">F63/F73</f>
        <v>0.4933028571428571</v>
      </c>
      <c r="G79" s="918">
        <f t="shared" si="132"/>
        <v>0.49362285714285709</v>
      </c>
      <c r="H79" s="918">
        <f t="shared" si="132"/>
        <v>0.49394194285714282</v>
      </c>
      <c r="I79" s="918">
        <f t="shared" si="132"/>
        <v>0.49426285714285711</v>
      </c>
      <c r="J79" s="918">
        <f t="shared" si="132"/>
        <v>0.49458834285714287</v>
      </c>
      <c r="K79" s="918">
        <f t="shared" si="132"/>
        <v>0.49482605714285716</v>
      </c>
      <c r="L79" s="918">
        <f t="shared" si="132"/>
        <v>0.49516799999999994</v>
      </c>
      <c r="M79" s="918">
        <f t="shared" si="132"/>
        <v>0.49552274285714287</v>
      </c>
      <c r="N79" s="918">
        <f t="shared" si="132"/>
        <v>0.49579519999999999</v>
      </c>
      <c r="O79" s="918">
        <f t="shared" si="132"/>
        <v>0.49618285714285709</v>
      </c>
      <c r="P79" s="918">
        <f t="shared" si="132"/>
        <v>0.4964918857142856</v>
      </c>
      <c r="Q79" s="918">
        <f t="shared" si="132"/>
        <v>0.49682285714285718</v>
      </c>
      <c r="R79" s="918">
        <f t="shared" si="132"/>
        <v>0.4970770285714286</v>
      </c>
      <c r="S79" s="918">
        <f t="shared" si="132"/>
        <v>0.49745919999999999</v>
      </c>
      <c r="T79" s="918">
        <f t="shared" si="132"/>
        <v>0.49776822857142849</v>
      </c>
      <c r="U79" s="918">
        <f t="shared" si="132"/>
        <v>0.49810834285714289</v>
      </c>
      <c r="V79" s="918">
        <f t="shared" si="132"/>
        <v>0.49837714285714291</v>
      </c>
      <c r="W79" s="918">
        <f t="shared" si="132"/>
        <v>0.49868068571428581</v>
      </c>
      <c r="X79" s="918">
        <f t="shared" si="132"/>
        <v>0.49902171428571418</v>
      </c>
      <c r="Y79" s="918">
        <f t="shared" si="132"/>
        <v>0.49940297142857143</v>
      </c>
      <c r="Z79" s="918">
        <f t="shared" si="132"/>
        <v>0.49971840000000006</v>
      </c>
      <c r="AA79" s="1105">
        <f>AA63/AA73</f>
        <v>0.49996799999999991</v>
      </c>
      <c r="AB79" s="918">
        <f t="shared" ref="AB79:AC79" si="133">AB63/AB73</f>
        <v>0.5002624</v>
      </c>
      <c r="AC79" s="918">
        <f t="shared" si="133"/>
        <v>0.50060434285714284</v>
      </c>
      <c r="AD79" s="311"/>
      <c r="AE79" s="918">
        <f>AE63/AE73</f>
        <v>0.49608411428571431</v>
      </c>
      <c r="AF79" s="918">
        <f t="shared" ref="AF79" si="134">AF63/AF73</f>
        <v>0.49737599999999998</v>
      </c>
      <c r="AG79" s="236"/>
      <c r="AH79" s="918">
        <f t="shared" ref="AH79:AL79" si="135">AH63/AH73</f>
        <v>0.46955428571428576</v>
      </c>
      <c r="AI79" s="918">
        <f>AI63/AI73</f>
        <v>0.47114057142857135</v>
      </c>
      <c r="AJ79" s="311"/>
      <c r="AK79" s="918">
        <f t="shared" si="135"/>
        <v>0.49988571428571432</v>
      </c>
      <c r="AL79" s="918">
        <f t="shared" si="135"/>
        <v>0.5000228571428571</v>
      </c>
    </row>
    <row r="80" spans="1:38" s="235" customFormat="1" x14ac:dyDescent="0.45">
      <c r="A80" s="234"/>
      <c r="B80" s="236"/>
      <c r="C80" s="1089" t="s">
        <v>2616</v>
      </c>
      <c r="D80" s="1089" t="s">
        <v>903</v>
      </c>
      <c r="E80" s="1107">
        <f>1/E79</f>
        <v>2.0284831489847845</v>
      </c>
      <c r="F80" s="1108">
        <f t="shared" ref="F80:O80" si="136">1/F79</f>
        <v>2.027152256510055</v>
      </c>
      <c r="G80" s="1108">
        <f t="shared" si="136"/>
        <v>2.0258381181700318</v>
      </c>
      <c r="H80" s="1108">
        <f t="shared" si="136"/>
        <v>2.0245294299480427</v>
      </c>
      <c r="I80" s="1108">
        <f t="shared" si="136"/>
        <v>2.023214946355901</v>
      </c>
      <c r="J80" s="1108">
        <f t="shared" si="136"/>
        <v>2.0218834803569976</v>
      </c>
      <c r="K80" s="1108">
        <f t="shared" si="136"/>
        <v>2.0209121681546738</v>
      </c>
      <c r="L80" s="1108">
        <f t="shared" si="136"/>
        <v>2.0195166085045884</v>
      </c>
      <c r="M80" s="1108">
        <f t="shared" si="136"/>
        <v>2.0180708442040083</v>
      </c>
      <c r="N80" s="1108">
        <f t="shared" si="136"/>
        <v>2.0169618423090827</v>
      </c>
      <c r="O80" s="1108">
        <f t="shared" si="136"/>
        <v>2.0153860327989683</v>
      </c>
      <c r="P80" s="1108">
        <f>1/P79</f>
        <v>2.0141316077327929</v>
      </c>
      <c r="Q80" s="1108">
        <f t="shared" ref="Q80:AA80" si="137">1/Q79</f>
        <v>2.0127898417372099</v>
      </c>
      <c r="R80" s="1108">
        <f t="shared" si="137"/>
        <v>2.0117606377304211</v>
      </c>
      <c r="S80" s="1108">
        <f t="shared" si="137"/>
        <v>2.0102151090983944</v>
      </c>
      <c r="T80" s="1108">
        <f t="shared" si="137"/>
        <v>2.0089671107976361</v>
      </c>
      <c r="U80" s="1108">
        <f t="shared" si="137"/>
        <v>2.0075953642213924</v>
      </c>
      <c r="V80" s="1108">
        <f t="shared" si="137"/>
        <v>2.0065125665015593</v>
      </c>
      <c r="W80" s="1108">
        <f t="shared" si="137"/>
        <v>2.005291218703706</v>
      </c>
      <c r="X80" s="1108">
        <f t="shared" si="137"/>
        <v>2.0039208142102036</v>
      </c>
      <c r="Y80" s="1108">
        <f t="shared" si="137"/>
        <v>2.0023909692396131</v>
      </c>
      <c r="Z80" s="1108">
        <f t="shared" si="137"/>
        <v>2.0011270347459686</v>
      </c>
      <c r="AA80" s="1107">
        <f t="shared" si="137"/>
        <v>2.0001280081925246</v>
      </c>
      <c r="AB80" s="1108">
        <f>1/AB79</f>
        <v>1.998950950541156</v>
      </c>
      <c r="AC80" s="1108">
        <f t="shared" ref="AC80" si="138">1/AC79</f>
        <v>1.9975855468864148</v>
      </c>
      <c r="AD80" s="311"/>
      <c r="AE80" s="1108">
        <f>1/AE79</f>
        <v>2.0157871844774711</v>
      </c>
      <c r="AF80" s="1108">
        <f t="shared" ref="AF80" si="139">1/AF79</f>
        <v>2.0105513736086986</v>
      </c>
      <c r="AG80" s="236"/>
      <c r="AH80" s="1108">
        <f t="shared" ref="AH80:AI80" si="140">1/AH79</f>
        <v>2.1296792094630774</v>
      </c>
      <c r="AI80" s="1108">
        <f t="shared" si="140"/>
        <v>2.1225087811220433</v>
      </c>
      <c r="AJ80" s="311"/>
      <c r="AK80" s="1108">
        <f t="shared" ref="AK80:AL80" si="141">1/AK79</f>
        <v>2.0004572473708273</v>
      </c>
      <c r="AL80" s="1108">
        <f t="shared" si="141"/>
        <v>1.9999085756079724</v>
      </c>
    </row>
    <row r="81" spans="1:38" s="235" customFormat="1" x14ac:dyDescent="0.45">
      <c r="A81" s="234"/>
      <c r="B81" s="236"/>
      <c r="C81" s="1089" t="s">
        <v>2607</v>
      </c>
      <c r="D81" s="1089" t="s">
        <v>903</v>
      </c>
      <c r="E81" s="1109">
        <f>($E$80-E80)/$E$80</f>
        <v>0</v>
      </c>
      <c r="F81" s="1110">
        <f>($E$80-F80)/$E$80</f>
        <v>6.5610230747817214E-4</v>
      </c>
      <c r="G81" s="1110">
        <f t="shared" ref="G81:Z81" si="142">($E$80-G80)/$E$80</f>
        <v>1.303945175032163E-3</v>
      </c>
      <c r="H81" s="1110">
        <f t="shared" si="142"/>
        <v>1.9491012477577427E-3</v>
      </c>
      <c r="I81" s="1110">
        <f t="shared" si="142"/>
        <v>2.5971143174248852E-3</v>
      </c>
      <c r="J81" s="1110">
        <f t="shared" si="142"/>
        <v>3.2534993603915022E-3</v>
      </c>
      <c r="K81" s="1110">
        <f t="shared" si="142"/>
        <v>3.73233607284334E-3</v>
      </c>
      <c r="L81" s="1110">
        <f t="shared" si="142"/>
        <v>4.4203179526947304E-3</v>
      </c>
      <c r="M81" s="1110">
        <f t="shared" si="142"/>
        <v>5.1330496809832565E-3</v>
      </c>
      <c r="N81" s="1110">
        <f t="shared" si="142"/>
        <v>5.6797645479421512E-3</v>
      </c>
      <c r="O81" s="1110">
        <f t="shared" si="142"/>
        <v>6.45660585959073E-3</v>
      </c>
      <c r="P81" s="1110">
        <f t="shared" si="142"/>
        <v>7.075011325173854E-3</v>
      </c>
      <c r="Q81" s="1110">
        <f t="shared" si="142"/>
        <v>7.7364740522635651E-3</v>
      </c>
      <c r="R81" s="1110">
        <f t="shared" si="142"/>
        <v>8.2438502201670743E-3</v>
      </c>
      <c r="S81" s="1110">
        <f t="shared" si="142"/>
        <v>9.0057636887607047E-3</v>
      </c>
      <c r="T81" s="1110">
        <f t="shared" si="142"/>
        <v>9.6210008926698801E-3</v>
      </c>
      <c r="U81" s="1110">
        <f t="shared" si="142"/>
        <v>1.0297243422429251E-2</v>
      </c>
      <c r="V81" s="1110">
        <f t="shared" si="142"/>
        <v>1.0831040176114401E-2</v>
      </c>
      <c r="W81" s="1110">
        <f t="shared" si="142"/>
        <v>1.1433139236421893E-2</v>
      </c>
      <c r="X81" s="1110">
        <f t="shared" si="142"/>
        <v>1.2108720147305083E-2</v>
      </c>
      <c r="Y81" s="1110">
        <f t="shared" si="142"/>
        <v>1.286290189703081E-2</v>
      </c>
      <c r="Z81" s="1110">
        <f t="shared" si="142"/>
        <v>1.3485995312560072E-2</v>
      </c>
      <c r="AA81" s="1109">
        <f>($E$80-AA80)/$E$80</f>
        <v>1.3978494623655692E-2</v>
      </c>
      <c r="AB81" s="1110">
        <f t="shared" ref="AB81:AC81" si="143">($E$80-AB80)/$E$80</f>
        <v>1.4558759562981241E-2</v>
      </c>
      <c r="AC81" s="1110">
        <f t="shared" si="143"/>
        <v>1.5231875164372657E-2</v>
      </c>
      <c r="AD81" s="311"/>
      <c r="AE81" s="1110"/>
      <c r="AF81" s="1110"/>
      <c r="AG81" s="236"/>
      <c r="AH81" s="1110"/>
      <c r="AI81" s="1110"/>
      <c r="AJ81" s="311"/>
      <c r="AK81" s="1110"/>
      <c r="AL81" s="1110"/>
    </row>
    <row r="82" spans="1:38" s="235" customFormat="1" x14ac:dyDescent="0.45">
      <c r="A82" s="234"/>
      <c r="B82" s="236"/>
      <c r="C82" s="1089"/>
      <c r="D82" s="1089"/>
      <c r="E82" s="1099"/>
      <c r="F82" s="1099"/>
      <c r="G82" s="1099"/>
      <c r="H82" s="1099"/>
      <c r="I82" s="1099"/>
      <c r="J82" s="1099"/>
      <c r="K82" s="1099"/>
      <c r="L82" s="1099"/>
      <c r="M82" s="1099"/>
      <c r="N82" s="1099"/>
      <c r="O82" s="1099"/>
      <c r="P82" s="1099"/>
      <c r="Q82" s="1099"/>
      <c r="R82" s="1099"/>
      <c r="S82" s="1099"/>
      <c r="T82" s="1099"/>
      <c r="U82" s="1099"/>
      <c r="V82" s="1099"/>
      <c r="W82" s="1099"/>
      <c r="X82" s="1099"/>
      <c r="Y82" s="1099"/>
      <c r="Z82" s="1099"/>
      <c r="AA82" s="1099"/>
      <c r="AB82" s="1099"/>
      <c r="AC82" s="1099"/>
      <c r="AD82" s="311"/>
      <c r="AE82" s="1099"/>
      <c r="AF82" s="1099"/>
      <c r="AG82" s="236"/>
      <c r="AH82" s="1099"/>
      <c r="AI82" s="1099"/>
      <c r="AJ82" s="311"/>
      <c r="AK82" s="1099"/>
      <c r="AL82" s="1099"/>
    </row>
    <row r="83" spans="1:38" s="235" customFormat="1" x14ac:dyDescent="0.45">
      <c r="A83" s="234"/>
      <c r="B83" s="236" t="s">
        <v>2621</v>
      </c>
      <c r="C83" s="236" t="s">
        <v>1289</v>
      </c>
      <c r="D83" s="1089" t="s">
        <v>903</v>
      </c>
      <c r="E83" s="918">
        <f t="shared" ref="E83:Y83" si="144">E69/E73</f>
        <v>0.49297920000000001</v>
      </c>
      <c r="F83" s="918">
        <f t="shared" si="144"/>
        <v>0.4933028571428571</v>
      </c>
      <c r="G83" s="918">
        <f t="shared" si="144"/>
        <v>0.49362285714285709</v>
      </c>
      <c r="H83" s="918">
        <f t="shared" si="144"/>
        <v>0.49394194285714282</v>
      </c>
      <c r="I83" s="918">
        <f t="shared" si="144"/>
        <v>0.49426285714285711</v>
      </c>
      <c r="J83" s="918">
        <f t="shared" si="144"/>
        <v>0.49458834285714287</v>
      </c>
      <c r="K83" s="918">
        <f t="shared" si="144"/>
        <v>0.49482605714285716</v>
      </c>
      <c r="L83" s="918">
        <f t="shared" si="144"/>
        <v>0.49516799999999994</v>
      </c>
      <c r="M83" s="918">
        <f t="shared" si="144"/>
        <v>0.49552274285714287</v>
      </c>
      <c r="N83" s="918">
        <f t="shared" si="144"/>
        <v>0.49579519999999999</v>
      </c>
      <c r="O83" s="918">
        <f t="shared" si="144"/>
        <v>0.49618285714285709</v>
      </c>
      <c r="P83" s="918">
        <f t="shared" si="144"/>
        <v>0.4964918857142856</v>
      </c>
      <c r="Q83" s="918">
        <f t="shared" si="144"/>
        <v>0.49682285714285718</v>
      </c>
      <c r="R83" s="918">
        <f t="shared" si="144"/>
        <v>0.4970770285714286</v>
      </c>
      <c r="S83" s="918">
        <f t="shared" si="144"/>
        <v>0.49745919999999999</v>
      </c>
      <c r="T83" s="918">
        <f t="shared" si="144"/>
        <v>0.49776822857142849</v>
      </c>
      <c r="U83" s="918">
        <f t="shared" si="144"/>
        <v>0.49810834285714289</v>
      </c>
      <c r="V83" s="918">
        <f t="shared" si="144"/>
        <v>0.49837714285714291</v>
      </c>
      <c r="W83" s="918">
        <f t="shared" si="144"/>
        <v>0.49868068571428581</v>
      </c>
      <c r="X83" s="918">
        <f t="shared" si="144"/>
        <v>0.49902171428571418</v>
      </c>
      <c r="Y83" s="918">
        <f t="shared" si="144"/>
        <v>0.49940297142857143</v>
      </c>
      <c r="Z83" s="918">
        <f>Z69/Z73</f>
        <v>0.49971840000000006</v>
      </c>
      <c r="AA83" s="918">
        <f>AA69/AA73</f>
        <v>0.49996799999999991</v>
      </c>
      <c r="AB83" s="918">
        <f t="shared" ref="AB83:AC83" si="145">AB69/AB73</f>
        <v>0.5002624</v>
      </c>
      <c r="AC83" s="918">
        <f t="shared" si="145"/>
        <v>0.50060434285714284</v>
      </c>
      <c r="AD83" s="311"/>
      <c r="AE83" s="918">
        <f>AE69/AE73</f>
        <v>0.49608411428571431</v>
      </c>
      <c r="AF83" s="918">
        <f t="shared" ref="AF83" si="146">AF69/AF73</f>
        <v>0.49737599999999998</v>
      </c>
      <c r="AG83" s="236"/>
      <c r="AH83" s="918">
        <f t="shared" ref="AH83:AL83" si="147">AH69/AH73</f>
        <v>0.46955428571428576</v>
      </c>
      <c r="AI83" s="918">
        <f t="shared" si="147"/>
        <v>0.47114057142857135</v>
      </c>
      <c r="AJ83" s="311"/>
      <c r="AK83" s="918">
        <f t="shared" si="147"/>
        <v>0.49988571428571432</v>
      </c>
      <c r="AL83" s="918">
        <f t="shared" si="147"/>
        <v>0.5000228571428571</v>
      </c>
    </row>
    <row r="84" spans="1:38" s="235" customFormat="1" x14ac:dyDescent="0.45">
      <c r="A84" s="234"/>
      <c r="B84" s="236"/>
      <c r="C84" s="1089" t="s">
        <v>2616</v>
      </c>
      <c r="D84" s="1089" t="s">
        <v>903</v>
      </c>
      <c r="E84" s="1108">
        <f>1/E83</f>
        <v>2.0284831489847845</v>
      </c>
      <c r="F84" s="1108">
        <f t="shared" ref="F84:AC84" si="148">1/F83</f>
        <v>2.027152256510055</v>
      </c>
      <c r="G84" s="1108">
        <f t="shared" si="148"/>
        <v>2.0258381181700318</v>
      </c>
      <c r="H84" s="1108">
        <f t="shared" si="148"/>
        <v>2.0245294299480427</v>
      </c>
      <c r="I84" s="1108">
        <f t="shared" si="148"/>
        <v>2.023214946355901</v>
      </c>
      <c r="J84" s="1108">
        <f t="shared" si="148"/>
        <v>2.0218834803569976</v>
      </c>
      <c r="K84" s="1108">
        <f t="shared" si="148"/>
        <v>2.0209121681546738</v>
      </c>
      <c r="L84" s="1108">
        <f t="shared" si="148"/>
        <v>2.0195166085045884</v>
      </c>
      <c r="M84" s="1108">
        <f t="shared" si="148"/>
        <v>2.0180708442040083</v>
      </c>
      <c r="N84" s="1108">
        <f t="shared" si="148"/>
        <v>2.0169618423090827</v>
      </c>
      <c r="O84" s="1108">
        <f t="shared" si="148"/>
        <v>2.0153860327989683</v>
      </c>
      <c r="P84" s="1108">
        <f t="shared" si="148"/>
        <v>2.0141316077327929</v>
      </c>
      <c r="Q84" s="1108">
        <f t="shared" si="148"/>
        <v>2.0127898417372099</v>
      </c>
      <c r="R84" s="1108">
        <f t="shared" si="148"/>
        <v>2.0117606377304211</v>
      </c>
      <c r="S84" s="1108">
        <f t="shared" si="148"/>
        <v>2.0102151090983944</v>
      </c>
      <c r="T84" s="1108">
        <f t="shared" si="148"/>
        <v>2.0089671107976361</v>
      </c>
      <c r="U84" s="1108">
        <f t="shared" si="148"/>
        <v>2.0075953642213924</v>
      </c>
      <c r="V84" s="1108">
        <f t="shared" si="148"/>
        <v>2.0065125665015593</v>
      </c>
      <c r="W84" s="1108">
        <f t="shared" si="148"/>
        <v>2.005291218703706</v>
      </c>
      <c r="X84" s="1108">
        <f t="shared" si="148"/>
        <v>2.0039208142102036</v>
      </c>
      <c r="Y84" s="1108">
        <f t="shared" si="148"/>
        <v>2.0023909692396131</v>
      </c>
      <c r="Z84" s="1108">
        <f t="shared" si="148"/>
        <v>2.0011270347459686</v>
      </c>
      <c r="AA84" s="1108">
        <f t="shared" si="148"/>
        <v>2.0001280081925246</v>
      </c>
      <c r="AB84" s="1108">
        <f t="shared" si="148"/>
        <v>1.998950950541156</v>
      </c>
      <c r="AC84" s="1108">
        <f t="shared" si="148"/>
        <v>1.9975855468864148</v>
      </c>
      <c r="AD84" s="311"/>
      <c r="AE84" s="1108">
        <f t="shared" ref="AE84:AF84" si="149">1/AE83</f>
        <v>2.0157871844774711</v>
      </c>
      <c r="AF84" s="1108">
        <f t="shared" si="149"/>
        <v>2.0105513736086986</v>
      </c>
      <c r="AG84" s="236"/>
      <c r="AH84" s="1108">
        <f t="shared" ref="AH84:AI84" si="150">1/AH83</f>
        <v>2.1296792094630774</v>
      </c>
      <c r="AI84" s="1108">
        <f t="shared" si="150"/>
        <v>2.1225087811220433</v>
      </c>
      <c r="AJ84" s="311"/>
      <c r="AK84" s="1108">
        <f t="shared" ref="AK84:AL84" si="151">1/AK83</f>
        <v>2.0004572473708273</v>
      </c>
      <c r="AL84" s="1108">
        <f t="shared" si="151"/>
        <v>1.9999085756079724</v>
      </c>
    </row>
    <row r="85" spans="1:38" s="235" customFormat="1" x14ac:dyDescent="0.45">
      <c r="A85" s="234"/>
      <c r="B85" s="236"/>
      <c r="C85" s="1089" t="s">
        <v>2607</v>
      </c>
      <c r="D85" s="1089" t="s">
        <v>903</v>
      </c>
      <c r="E85" s="1110">
        <f>($E$84-E84)/$E$84</f>
        <v>0</v>
      </c>
      <c r="F85" s="1110">
        <f t="shared" ref="F85:AC85" si="152">($E$84-F84)/$E$84</f>
        <v>6.5610230747817214E-4</v>
      </c>
      <c r="G85" s="1110">
        <f t="shared" si="152"/>
        <v>1.303945175032163E-3</v>
      </c>
      <c r="H85" s="1110">
        <f t="shared" si="152"/>
        <v>1.9491012477577427E-3</v>
      </c>
      <c r="I85" s="1110">
        <f t="shared" si="152"/>
        <v>2.5971143174248852E-3</v>
      </c>
      <c r="J85" s="1110">
        <f t="shared" si="152"/>
        <v>3.2534993603915022E-3</v>
      </c>
      <c r="K85" s="1110">
        <f t="shared" si="152"/>
        <v>3.73233607284334E-3</v>
      </c>
      <c r="L85" s="1110">
        <f t="shared" si="152"/>
        <v>4.4203179526947304E-3</v>
      </c>
      <c r="M85" s="1110">
        <f t="shared" si="152"/>
        <v>5.1330496809832565E-3</v>
      </c>
      <c r="N85" s="1110">
        <f t="shared" si="152"/>
        <v>5.6797645479421512E-3</v>
      </c>
      <c r="O85" s="1110">
        <f t="shared" si="152"/>
        <v>6.45660585959073E-3</v>
      </c>
      <c r="P85" s="1110">
        <f t="shared" si="152"/>
        <v>7.075011325173854E-3</v>
      </c>
      <c r="Q85" s="1110">
        <f t="shared" si="152"/>
        <v>7.7364740522635651E-3</v>
      </c>
      <c r="R85" s="1110">
        <f t="shared" si="152"/>
        <v>8.2438502201670743E-3</v>
      </c>
      <c r="S85" s="1110">
        <f t="shared" si="152"/>
        <v>9.0057636887607047E-3</v>
      </c>
      <c r="T85" s="1110">
        <f t="shared" si="152"/>
        <v>9.6210008926698801E-3</v>
      </c>
      <c r="U85" s="1110">
        <f t="shared" si="152"/>
        <v>1.0297243422429251E-2</v>
      </c>
      <c r="V85" s="1110">
        <f t="shared" si="152"/>
        <v>1.0831040176114401E-2</v>
      </c>
      <c r="W85" s="1110">
        <f t="shared" si="152"/>
        <v>1.1433139236421893E-2</v>
      </c>
      <c r="X85" s="1110">
        <f t="shared" si="152"/>
        <v>1.2108720147305083E-2</v>
      </c>
      <c r="Y85" s="1110">
        <f t="shared" si="152"/>
        <v>1.286290189703081E-2</v>
      </c>
      <c r="Z85" s="1110">
        <f t="shared" si="152"/>
        <v>1.3485995312560072E-2</v>
      </c>
      <c r="AA85" s="1110">
        <f t="shared" si="152"/>
        <v>1.3978494623655692E-2</v>
      </c>
      <c r="AB85" s="1110">
        <f t="shared" si="152"/>
        <v>1.4558759562981241E-2</v>
      </c>
      <c r="AC85" s="1110">
        <f t="shared" si="152"/>
        <v>1.5231875164372657E-2</v>
      </c>
      <c r="AD85" s="311"/>
      <c r="AE85" s="1110"/>
      <c r="AF85" s="1110"/>
      <c r="AG85" s="236"/>
      <c r="AH85" s="1110"/>
      <c r="AI85" s="1110"/>
      <c r="AJ85" s="311"/>
      <c r="AK85" s="1110"/>
      <c r="AL85" s="1110"/>
    </row>
    <row r="86" spans="1:38" x14ac:dyDescent="0.45">
      <c r="B86" s="236"/>
      <c r="C86" s="1089"/>
      <c r="D86" s="1089"/>
      <c r="AD86" s="311"/>
      <c r="AG86" s="236"/>
      <c r="AJ86" s="311"/>
    </row>
    <row r="87" spans="1:38" x14ac:dyDescent="0.45">
      <c r="B87" s="236"/>
      <c r="C87" s="236"/>
      <c r="D87" s="236"/>
      <c r="E87" s="236"/>
      <c r="F87" s="236"/>
      <c r="G87" s="236"/>
      <c r="H87" s="236"/>
      <c r="I87" s="236"/>
      <c r="J87" s="236"/>
      <c r="K87" s="236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236"/>
      <c r="W87" s="236"/>
      <c r="X87" s="236"/>
      <c r="Y87" s="236"/>
      <c r="Z87" s="236"/>
      <c r="AA87" s="236"/>
      <c r="AB87" s="236"/>
      <c r="AC87" s="236"/>
      <c r="AD87" s="311"/>
      <c r="AE87" s="236"/>
      <c r="AF87" s="236"/>
      <c r="AG87" s="236"/>
      <c r="AH87" s="236"/>
      <c r="AI87" s="236"/>
      <c r="AJ87" s="311"/>
      <c r="AK87" s="236"/>
      <c r="AL87" s="236"/>
    </row>
    <row r="88" spans="1:38" x14ac:dyDescent="0.45">
      <c r="B88" s="236" t="s">
        <v>2633</v>
      </c>
      <c r="C88" s="236" t="s">
        <v>2634</v>
      </c>
      <c r="D88" s="236" t="s">
        <v>5</v>
      </c>
      <c r="E88" s="1123">
        <f>E13/(1/E25)</f>
        <v>425984</v>
      </c>
      <c r="F88" s="1123">
        <f>F13/(1/F25)</f>
        <v>425984</v>
      </c>
      <c r="G88" s="1123">
        <f t="shared" ref="G88:AC88" si="153">G13/(1/G25)</f>
        <v>425984</v>
      </c>
      <c r="H88" s="1123">
        <f t="shared" si="153"/>
        <v>425984</v>
      </c>
      <c r="I88" s="1123">
        <f t="shared" si="153"/>
        <v>425984</v>
      </c>
      <c r="J88" s="1123">
        <f t="shared" si="153"/>
        <v>425984</v>
      </c>
      <c r="K88" s="1123">
        <f t="shared" si="153"/>
        <v>425983.99999999994</v>
      </c>
      <c r="L88" s="1123">
        <f t="shared" si="153"/>
        <v>425983.99999999994</v>
      </c>
      <c r="M88" s="1123">
        <f t="shared" si="153"/>
        <v>425984</v>
      </c>
      <c r="N88" s="1123">
        <f t="shared" si="153"/>
        <v>425984</v>
      </c>
      <c r="O88" s="1123">
        <f t="shared" si="153"/>
        <v>425984</v>
      </c>
      <c r="P88" s="1123">
        <f t="shared" si="153"/>
        <v>425984</v>
      </c>
      <c r="Q88" s="1123">
        <f t="shared" si="153"/>
        <v>425984</v>
      </c>
      <c r="R88" s="1123">
        <f t="shared" si="153"/>
        <v>425984</v>
      </c>
      <c r="S88" s="1123">
        <f t="shared" si="153"/>
        <v>425984</v>
      </c>
      <c r="T88" s="1123">
        <f t="shared" si="153"/>
        <v>425984</v>
      </c>
      <c r="U88" s="1123">
        <f t="shared" si="153"/>
        <v>425984</v>
      </c>
      <c r="V88" s="1123">
        <f t="shared" si="153"/>
        <v>425984</v>
      </c>
      <c r="W88" s="1123">
        <f t="shared" si="153"/>
        <v>425984</v>
      </c>
      <c r="X88" s="1123">
        <f t="shared" si="153"/>
        <v>425984</v>
      </c>
      <c r="Y88" s="1123">
        <f t="shared" si="153"/>
        <v>425984</v>
      </c>
      <c r="Z88" s="1123">
        <f t="shared" si="153"/>
        <v>425983.99999999994</v>
      </c>
      <c r="AA88" s="1123">
        <f t="shared" si="153"/>
        <v>425984</v>
      </c>
      <c r="AB88" s="1123">
        <f t="shared" si="153"/>
        <v>425984</v>
      </c>
      <c r="AC88" s="1123">
        <f t="shared" si="153"/>
        <v>425984</v>
      </c>
      <c r="AD88" s="311"/>
      <c r="AE88" s="1123">
        <f t="shared" ref="AE88:AL88" si="154">AE13/(1/AE25)</f>
        <v>327680</v>
      </c>
      <c r="AF88" s="1123">
        <f t="shared" si="154"/>
        <v>294912</v>
      </c>
      <c r="AG88" s="236"/>
      <c r="AH88" s="1123">
        <f t="shared" si="154"/>
        <v>53248</v>
      </c>
      <c r="AI88" s="1123">
        <f t="shared" si="154"/>
        <v>53248</v>
      </c>
      <c r="AJ88" s="311"/>
      <c r="AK88" s="1123">
        <f t="shared" si="154"/>
        <v>1015808</v>
      </c>
      <c r="AL88" s="1123">
        <f t="shared" si="154"/>
        <v>851968</v>
      </c>
    </row>
    <row r="89" spans="1:38" x14ac:dyDescent="0.45">
      <c r="B89" s="236"/>
      <c r="C89" s="236" t="s">
        <v>8</v>
      </c>
      <c r="D89" s="236"/>
      <c r="E89" s="235" t="str">
        <f>DEC2HEX(E88)</f>
        <v>68000</v>
      </c>
      <c r="F89" s="235" t="str">
        <f t="shared" ref="F89:AC89" si="155">DEC2HEX(F88)</f>
        <v>68000</v>
      </c>
      <c r="G89" s="235" t="str">
        <f t="shared" si="155"/>
        <v>68000</v>
      </c>
      <c r="H89" s="235" t="str">
        <f t="shared" si="155"/>
        <v>68000</v>
      </c>
      <c r="I89" s="235" t="str">
        <f t="shared" si="155"/>
        <v>68000</v>
      </c>
      <c r="J89" s="235" t="str">
        <f t="shared" si="155"/>
        <v>68000</v>
      </c>
      <c r="K89" s="235" t="str">
        <f t="shared" si="155"/>
        <v>67FFF</v>
      </c>
      <c r="L89" s="235" t="str">
        <f t="shared" si="155"/>
        <v>67FFF</v>
      </c>
      <c r="M89" s="235" t="str">
        <f t="shared" si="155"/>
        <v>68000</v>
      </c>
      <c r="N89" s="235" t="str">
        <f t="shared" si="155"/>
        <v>68000</v>
      </c>
      <c r="O89" s="235" t="str">
        <f t="shared" si="155"/>
        <v>68000</v>
      </c>
      <c r="P89" s="235" t="str">
        <f t="shared" si="155"/>
        <v>68000</v>
      </c>
      <c r="Q89" s="235" t="str">
        <f t="shared" si="155"/>
        <v>68000</v>
      </c>
      <c r="R89" s="235" t="str">
        <f t="shared" si="155"/>
        <v>68000</v>
      </c>
      <c r="S89" s="235" t="str">
        <f t="shared" si="155"/>
        <v>68000</v>
      </c>
      <c r="T89" s="235" t="str">
        <f t="shared" si="155"/>
        <v>68000</v>
      </c>
      <c r="U89" s="235" t="str">
        <f t="shared" si="155"/>
        <v>68000</v>
      </c>
      <c r="V89" s="235" t="str">
        <f t="shared" si="155"/>
        <v>68000</v>
      </c>
      <c r="W89" s="235" t="str">
        <f t="shared" si="155"/>
        <v>68000</v>
      </c>
      <c r="X89" s="235" t="str">
        <f t="shared" si="155"/>
        <v>68000</v>
      </c>
      <c r="Y89" s="235" t="str">
        <f t="shared" si="155"/>
        <v>68000</v>
      </c>
      <c r="Z89" s="235" t="str">
        <f t="shared" si="155"/>
        <v>67FFF</v>
      </c>
      <c r="AA89" s="235" t="str">
        <f t="shared" si="155"/>
        <v>68000</v>
      </c>
      <c r="AB89" s="235" t="str">
        <f t="shared" si="155"/>
        <v>68000</v>
      </c>
      <c r="AC89" s="235" t="str">
        <f t="shared" si="155"/>
        <v>68000</v>
      </c>
      <c r="AD89" s="311"/>
      <c r="AE89" s="235" t="str">
        <f t="shared" ref="AE89:AF89" si="156">DEC2HEX(AE88)</f>
        <v>50000</v>
      </c>
      <c r="AF89" s="235" t="str">
        <f t="shared" si="156"/>
        <v>48000</v>
      </c>
      <c r="AG89" s="236"/>
      <c r="AH89" s="235" t="str">
        <f t="shared" ref="AH89:AI89" si="157">DEC2HEX(AH88)</f>
        <v>D000</v>
      </c>
      <c r="AI89" s="235" t="str">
        <f t="shared" si="157"/>
        <v>D000</v>
      </c>
      <c r="AJ89" s="311"/>
      <c r="AK89" s="235" t="str">
        <f t="shared" ref="AK89:AL89" si="158">DEC2HEX(AK88)</f>
        <v>F8000</v>
      </c>
      <c r="AL89" s="235" t="str">
        <f t="shared" si="158"/>
        <v>D0000</v>
      </c>
    </row>
    <row r="90" spans="1:38" x14ac:dyDescent="0.45">
      <c r="B90" s="236"/>
      <c r="C90" s="236"/>
      <c r="D90" s="236"/>
      <c r="AD90" s="311"/>
      <c r="AG90" s="236"/>
      <c r="AJ90" s="311"/>
    </row>
    <row r="91" spans="1:38" x14ac:dyDescent="0.45">
      <c r="B91" s="232" t="s">
        <v>2639</v>
      </c>
      <c r="C91" s="236"/>
      <c r="D91" s="236"/>
      <c r="E91" s="236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  <c r="AA91" s="236"/>
      <c r="AB91" s="236"/>
      <c r="AC91" s="236"/>
      <c r="AD91" s="236"/>
      <c r="AE91" s="236"/>
      <c r="AF91" s="236"/>
      <c r="AG91" s="236"/>
      <c r="AH91" s="236"/>
      <c r="AI91" s="236"/>
      <c r="AJ91" s="236"/>
      <c r="AK91" s="236"/>
      <c r="AL91" s="236"/>
    </row>
    <row r="92" spans="1:38" x14ac:dyDescent="0.45">
      <c r="B92" s="236" t="s">
        <v>2637</v>
      </c>
      <c r="C92" s="236" t="s">
        <v>2164</v>
      </c>
      <c r="D92" s="255">
        <v>12</v>
      </c>
      <c r="E92" s="1124">
        <f>$D$92*(1/$C$4)</f>
        <v>0.34285714285714286</v>
      </c>
      <c r="F92" s="234" t="s">
        <v>1</v>
      </c>
      <c r="AD92" s="236"/>
      <c r="AG92" s="236"/>
      <c r="AJ92" s="236"/>
    </row>
    <row r="93" spans="1:38" x14ac:dyDescent="0.45">
      <c r="B93" s="236"/>
      <c r="C93" s="236" t="s">
        <v>2165</v>
      </c>
      <c r="D93" s="255">
        <f>D92/2</f>
        <v>6</v>
      </c>
      <c r="E93" s="1124">
        <f>$D$93*(1/$C$4)</f>
        <v>0.17142857142857143</v>
      </c>
      <c r="F93" s="234" t="s">
        <v>1</v>
      </c>
      <c r="AD93" s="236"/>
      <c r="AG93" s="236"/>
      <c r="AJ93" s="236"/>
    </row>
    <row r="94" spans="1:38" x14ac:dyDescent="0.45">
      <c r="B94" s="236"/>
      <c r="C94" s="236" t="s">
        <v>2635</v>
      </c>
      <c r="D94" s="236" t="s">
        <v>1</v>
      </c>
      <c r="E94" s="1128">
        <f>E92+E93</f>
        <v>0.51428571428571423</v>
      </c>
      <c r="F94" s="234" t="s">
        <v>1</v>
      </c>
      <c r="AD94" s="236"/>
      <c r="AG94" s="236"/>
      <c r="AJ94" s="236"/>
    </row>
    <row r="95" spans="1:38" x14ac:dyDescent="0.45">
      <c r="B95" s="236"/>
      <c r="C95" s="236"/>
      <c r="D95" s="236" t="s">
        <v>6</v>
      </c>
      <c r="E95" s="1116">
        <f>1/E94</f>
        <v>1.9444444444444446</v>
      </c>
      <c r="AD95" s="236"/>
      <c r="AG95" s="236"/>
      <c r="AJ95" s="236"/>
    </row>
    <row r="96" spans="1:38" x14ac:dyDescent="0.45">
      <c r="B96" s="236" t="s">
        <v>2642</v>
      </c>
      <c r="C96" s="255">
        <v>4</v>
      </c>
      <c r="D96" s="236" t="s">
        <v>1940</v>
      </c>
      <c r="E96" s="1116"/>
      <c r="AD96" s="236"/>
      <c r="AG96" s="236"/>
      <c r="AJ96" s="236"/>
    </row>
    <row r="97" spans="2:38" x14ac:dyDescent="0.45">
      <c r="B97" s="236"/>
      <c r="C97" s="1131">
        <f>$E$94*$C$96</f>
        <v>2.0571428571428569</v>
      </c>
      <c r="D97" s="236" t="s">
        <v>1</v>
      </c>
      <c r="E97" s="1116"/>
      <c r="AD97" s="236"/>
      <c r="AG97" s="236"/>
      <c r="AJ97" s="236"/>
    </row>
    <row r="98" spans="2:38" x14ac:dyDescent="0.45">
      <c r="B98" s="236"/>
      <c r="C98" s="1126">
        <f>MROUND($C$97/(1/$C$4),1)</f>
        <v>72</v>
      </c>
      <c r="D98" s="236" t="s">
        <v>5</v>
      </c>
      <c r="E98" s="1116"/>
      <c r="AD98" s="236"/>
      <c r="AG98" s="236"/>
      <c r="AJ98" s="236"/>
    </row>
    <row r="99" spans="2:38" x14ac:dyDescent="0.45">
      <c r="B99" s="236" t="s">
        <v>2638</v>
      </c>
      <c r="C99" s="255" t="s">
        <v>2159</v>
      </c>
      <c r="D99" s="236" t="s">
        <v>0</v>
      </c>
      <c r="E99" s="1116">
        <f>E25</f>
        <v>41.746431999999999</v>
      </c>
      <c r="F99" s="1116">
        <f t="shared" ref="F99:AL99" si="159">F25</f>
        <v>42.172415999999991</v>
      </c>
      <c r="G99" s="1116">
        <f t="shared" si="159"/>
        <v>42.598399999999998</v>
      </c>
      <c r="H99" s="1116">
        <f t="shared" si="159"/>
        <v>43.024383999999998</v>
      </c>
      <c r="I99" s="1116">
        <f t="shared" si="159"/>
        <v>43.450367999999997</v>
      </c>
      <c r="J99" s="1116">
        <f t="shared" si="159"/>
        <v>43.876352000000004</v>
      </c>
      <c r="K99" s="1116">
        <f t="shared" si="159"/>
        <v>44.302335999999997</v>
      </c>
      <c r="L99" s="1116">
        <f t="shared" si="159"/>
        <v>44.728319999999989</v>
      </c>
      <c r="M99" s="1116">
        <f t="shared" si="159"/>
        <v>45.154304000000003</v>
      </c>
      <c r="N99" s="1116">
        <f t="shared" si="159"/>
        <v>45.58028800000001</v>
      </c>
      <c r="O99" s="1116">
        <f t="shared" si="159"/>
        <v>46.006272000000003</v>
      </c>
      <c r="P99" s="1116">
        <f t="shared" si="159"/>
        <v>46.432255999999995</v>
      </c>
      <c r="Q99" s="1116">
        <f t="shared" si="159"/>
        <v>46.858240000000009</v>
      </c>
      <c r="R99" s="1116">
        <f t="shared" si="159"/>
        <v>47.284224000000002</v>
      </c>
      <c r="S99" s="1116">
        <f t="shared" si="159"/>
        <v>47.710208000000009</v>
      </c>
      <c r="T99" s="1116">
        <f t="shared" si="159"/>
        <v>48.136191999999994</v>
      </c>
      <c r="U99" s="1116">
        <f t="shared" si="159"/>
        <v>48.562176000000008</v>
      </c>
      <c r="V99" s="1116">
        <f t="shared" si="159"/>
        <v>48.988159999999993</v>
      </c>
      <c r="W99" s="1116">
        <f t="shared" si="159"/>
        <v>49.414144000000007</v>
      </c>
      <c r="X99" s="1116">
        <f t="shared" si="159"/>
        <v>49.840127999999993</v>
      </c>
      <c r="Y99" s="1116">
        <f t="shared" si="159"/>
        <v>50.266111999999993</v>
      </c>
      <c r="Z99" s="1116">
        <f t="shared" si="159"/>
        <v>50.692095999999999</v>
      </c>
      <c r="AA99" s="1116">
        <f t="shared" si="159"/>
        <v>51.118079999999992</v>
      </c>
      <c r="AB99" s="1116">
        <f t="shared" si="159"/>
        <v>51.544064000000006</v>
      </c>
      <c r="AC99" s="1116">
        <f t="shared" si="159"/>
        <v>51.970047999999998</v>
      </c>
      <c r="AD99" s="236"/>
      <c r="AE99" s="1116">
        <f t="shared" si="159"/>
        <v>47.185919999999996</v>
      </c>
      <c r="AF99" s="1116">
        <f t="shared" si="159"/>
        <v>48.66048</v>
      </c>
      <c r="AG99" s="236"/>
      <c r="AH99" s="1116">
        <f t="shared" si="159"/>
        <v>42.598399999999998</v>
      </c>
      <c r="AI99" s="1116">
        <f t="shared" si="159"/>
        <v>51.118079999999992</v>
      </c>
      <c r="AJ99" s="236"/>
      <c r="AK99" s="1116">
        <f t="shared" si="159"/>
        <v>50.790400000000005</v>
      </c>
      <c r="AL99" s="1116">
        <f t="shared" si="159"/>
        <v>51.118079999999992</v>
      </c>
    </row>
    <row r="100" spans="2:38" x14ac:dyDescent="0.45">
      <c r="B100" s="236"/>
      <c r="C100" s="236" t="s">
        <v>2164</v>
      </c>
      <c r="D100" s="236" t="s">
        <v>5</v>
      </c>
      <c r="E100" s="1125">
        <f>$E$92/(1/E99)</f>
        <v>14.313062400000002</v>
      </c>
      <c r="F100" s="1125">
        <f>$E$92/(1/F99)</f>
        <v>14.459114057142855</v>
      </c>
      <c r="G100" s="1125">
        <f t="shared" ref="G100:AL100" si="160">$E$92/(1/G99)</f>
        <v>14.605165714285713</v>
      </c>
      <c r="H100" s="1125">
        <f t="shared" si="160"/>
        <v>14.751217371428572</v>
      </c>
      <c r="I100" s="1125">
        <f t="shared" si="160"/>
        <v>14.897269028571428</v>
      </c>
      <c r="J100" s="1125">
        <f t="shared" si="160"/>
        <v>15.043320685714287</v>
      </c>
      <c r="K100" s="1125">
        <f t="shared" si="160"/>
        <v>15.189372342857142</v>
      </c>
      <c r="L100" s="1125">
        <f t="shared" si="160"/>
        <v>15.335423999999998</v>
      </c>
      <c r="M100" s="1125">
        <f t="shared" si="160"/>
        <v>15.481475657142859</v>
      </c>
      <c r="N100" s="1125">
        <f t="shared" si="160"/>
        <v>15.627527314285718</v>
      </c>
      <c r="O100" s="1125">
        <f t="shared" si="160"/>
        <v>15.773578971428572</v>
      </c>
      <c r="P100" s="1125">
        <f t="shared" si="160"/>
        <v>15.919630628571428</v>
      </c>
      <c r="Q100" s="1125">
        <f t="shared" si="160"/>
        <v>16.065682285714288</v>
      </c>
      <c r="R100" s="1125">
        <f t="shared" si="160"/>
        <v>16.211733942857144</v>
      </c>
      <c r="S100" s="1125">
        <f t="shared" si="160"/>
        <v>16.357785600000003</v>
      </c>
      <c r="T100" s="1125">
        <f t="shared" si="160"/>
        <v>16.503837257142855</v>
      </c>
      <c r="U100" s="1125">
        <f t="shared" si="160"/>
        <v>16.649888914285718</v>
      </c>
      <c r="V100" s="1125">
        <f t="shared" si="160"/>
        <v>16.79594057142857</v>
      </c>
      <c r="W100" s="1125">
        <f t="shared" si="160"/>
        <v>16.941992228571429</v>
      </c>
      <c r="X100" s="1125">
        <f t="shared" si="160"/>
        <v>17.088043885714281</v>
      </c>
      <c r="Y100" s="1125">
        <f t="shared" si="160"/>
        <v>17.234095542857141</v>
      </c>
      <c r="Z100" s="1125">
        <f t="shared" si="160"/>
        <v>17.3801472</v>
      </c>
      <c r="AA100" s="1125">
        <f t="shared" si="160"/>
        <v>17.526198857142855</v>
      </c>
      <c r="AB100" s="1125">
        <f t="shared" si="160"/>
        <v>17.672250514285714</v>
      </c>
      <c r="AC100" s="1125">
        <f t="shared" si="160"/>
        <v>17.81830217142857</v>
      </c>
      <c r="AD100" s="236"/>
      <c r="AE100" s="1125">
        <f t="shared" si="160"/>
        <v>16.178029714285714</v>
      </c>
      <c r="AF100" s="1125">
        <f t="shared" si="160"/>
        <v>16.683593142857141</v>
      </c>
      <c r="AG100" s="236"/>
      <c r="AH100" s="1125">
        <f t="shared" si="160"/>
        <v>14.605165714285713</v>
      </c>
      <c r="AI100" s="1125">
        <f t="shared" si="160"/>
        <v>17.526198857142855</v>
      </c>
      <c r="AJ100" s="236"/>
      <c r="AK100" s="1125">
        <f t="shared" si="160"/>
        <v>17.41385142857143</v>
      </c>
      <c r="AL100" s="1125">
        <f t="shared" si="160"/>
        <v>17.526198857142855</v>
      </c>
    </row>
    <row r="101" spans="2:38" x14ac:dyDescent="0.45">
      <c r="B101" s="236"/>
      <c r="C101" s="236" t="s">
        <v>2165</v>
      </c>
      <c r="D101" s="236" t="s">
        <v>5</v>
      </c>
      <c r="E101" s="1125">
        <f>$E$93/(1/E99)</f>
        <v>7.1565312000000008</v>
      </c>
      <c r="F101" s="1125">
        <f>$E$93/(1/F99)</f>
        <v>7.2295570285714277</v>
      </c>
      <c r="G101" s="1125">
        <f t="shared" ref="G101:AL101" si="161">$E$93/(1/G99)</f>
        <v>7.3025828571428564</v>
      </c>
      <c r="H101" s="1125">
        <f t="shared" si="161"/>
        <v>7.375608685714286</v>
      </c>
      <c r="I101" s="1125">
        <f t="shared" si="161"/>
        <v>7.4486345142857138</v>
      </c>
      <c r="J101" s="1125">
        <f t="shared" si="161"/>
        <v>7.5216603428571434</v>
      </c>
      <c r="K101" s="1125">
        <f t="shared" si="161"/>
        <v>7.5946861714285712</v>
      </c>
      <c r="L101" s="1125">
        <f t="shared" si="161"/>
        <v>7.667711999999999</v>
      </c>
      <c r="M101" s="1125">
        <f t="shared" si="161"/>
        <v>7.7407378285714294</v>
      </c>
      <c r="N101" s="1125">
        <f t="shared" si="161"/>
        <v>7.813763657142859</v>
      </c>
      <c r="O101" s="1125">
        <f t="shared" si="161"/>
        <v>7.886789485714286</v>
      </c>
      <c r="P101" s="1125">
        <f t="shared" si="161"/>
        <v>7.9598153142857138</v>
      </c>
      <c r="Q101" s="1125">
        <f t="shared" si="161"/>
        <v>8.0328411428571442</v>
      </c>
      <c r="R101" s="1125">
        <f t="shared" si="161"/>
        <v>8.105866971428572</v>
      </c>
      <c r="S101" s="1125">
        <f t="shared" si="161"/>
        <v>8.1788928000000016</v>
      </c>
      <c r="T101" s="1125">
        <f t="shared" si="161"/>
        <v>8.2519186285714277</v>
      </c>
      <c r="U101" s="1125">
        <f t="shared" si="161"/>
        <v>8.324944457142859</v>
      </c>
      <c r="V101" s="1125">
        <f t="shared" si="161"/>
        <v>8.3979702857142851</v>
      </c>
      <c r="W101" s="1125">
        <f t="shared" si="161"/>
        <v>8.4709961142857146</v>
      </c>
      <c r="X101" s="1125">
        <f t="shared" si="161"/>
        <v>8.5440219428571407</v>
      </c>
      <c r="Y101" s="1125">
        <f t="shared" si="161"/>
        <v>8.6170477714285703</v>
      </c>
      <c r="Z101" s="1125">
        <f t="shared" si="161"/>
        <v>8.6900735999999998</v>
      </c>
      <c r="AA101" s="1125">
        <f t="shared" si="161"/>
        <v>8.7630994285714277</v>
      </c>
      <c r="AB101" s="1125">
        <f t="shared" si="161"/>
        <v>8.8361252571428572</v>
      </c>
      <c r="AC101" s="1125">
        <f t="shared" si="161"/>
        <v>8.909151085714285</v>
      </c>
      <c r="AD101" s="236"/>
      <c r="AE101" s="1125">
        <f t="shared" si="161"/>
        <v>8.0890148571428568</v>
      </c>
      <c r="AF101" s="1125">
        <f t="shared" si="161"/>
        <v>8.3417965714285707</v>
      </c>
      <c r="AG101" s="236"/>
      <c r="AH101" s="1125">
        <f t="shared" si="161"/>
        <v>7.3025828571428564</v>
      </c>
      <c r="AI101" s="1125">
        <f t="shared" si="161"/>
        <v>8.7630994285714277</v>
      </c>
      <c r="AJ101" s="236"/>
      <c r="AK101" s="1125">
        <f t="shared" si="161"/>
        <v>8.706925714285715</v>
      </c>
      <c r="AL101" s="1125">
        <f t="shared" si="161"/>
        <v>8.7630994285714277</v>
      </c>
    </row>
    <row r="102" spans="2:38" x14ac:dyDescent="0.45">
      <c r="B102" s="236"/>
      <c r="C102" s="236" t="s">
        <v>2635</v>
      </c>
      <c r="D102" s="236" t="s">
        <v>5</v>
      </c>
      <c r="E102" s="1125">
        <f>E100+E101</f>
        <v>21.469593600000003</v>
      </c>
      <c r="F102" s="1125">
        <f t="shared" ref="F102:AL102" si="162">F100+F101</f>
        <v>21.688671085714283</v>
      </c>
      <c r="G102" s="1125">
        <f t="shared" si="162"/>
        <v>21.90774857142857</v>
      </c>
      <c r="H102" s="1125">
        <f t="shared" si="162"/>
        <v>22.126826057142857</v>
      </c>
      <c r="I102" s="1125">
        <f t="shared" si="162"/>
        <v>22.34590354285714</v>
      </c>
      <c r="J102" s="1125">
        <f t="shared" si="162"/>
        <v>22.564981028571431</v>
      </c>
      <c r="K102" s="1125">
        <f t="shared" si="162"/>
        <v>22.784058514285714</v>
      </c>
      <c r="L102" s="1125">
        <f t="shared" si="162"/>
        <v>23.003135999999998</v>
      </c>
      <c r="M102" s="1125">
        <f t="shared" si="162"/>
        <v>23.222213485714288</v>
      </c>
      <c r="N102" s="1125">
        <f t="shared" si="162"/>
        <v>23.441290971428579</v>
      </c>
      <c r="O102" s="1125">
        <f t="shared" si="162"/>
        <v>23.660368457142859</v>
      </c>
      <c r="P102" s="1125">
        <f t="shared" si="162"/>
        <v>23.879445942857142</v>
      </c>
      <c r="Q102" s="1125">
        <f t="shared" si="162"/>
        <v>24.098523428571433</v>
      </c>
      <c r="R102" s="1125">
        <f t="shared" si="162"/>
        <v>24.317600914285716</v>
      </c>
      <c r="S102" s="1125">
        <f t="shared" si="162"/>
        <v>24.536678400000007</v>
      </c>
      <c r="T102" s="1125">
        <f t="shared" si="162"/>
        <v>24.755755885714283</v>
      </c>
      <c r="U102" s="1125">
        <f t="shared" si="162"/>
        <v>24.974833371428577</v>
      </c>
      <c r="V102" s="1125">
        <f t="shared" si="162"/>
        <v>25.193910857142853</v>
      </c>
      <c r="W102" s="1125">
        <f t="shared" si="162"/>
        <v>25.412988342857144</v>
      </c>
      <c r="X102" s="1125">
        <f t="shared" si="162"/>
        <v>25.63206582857142</v>
      </c>
      <c r="Y102" s="1125">
        <f t="shared" si="162"/>
        <v>25.851143314285711</v>
      </c>
      <c r="Z102" s="1125">
        <f t="shared" si="162"/>
        <v>26.070220800000001</v>
      </c>
      <c r="AA102" s="1125">
        <f t="shared" si="162"/>
        <v>26.289298285714281</v>
      </c>
      <c r="AB102" s="1125">
        <f t="shared" si="162"/>
        <v>26.508375771428572</v>
      </c>
      <c r="AC102" s="1125">
        <f t="shared" si="162"/>
        <v>26.727453257142855</v>
      </c>
      <c r="AD102" s="236"/>
      <c r="AE102" s="1125">
        <f t="shared" si="162"/>
        <v>24.267044571428571</v>
      </c>
      <c r="AF102" s="1125">
        <f t="shared" si="162"/>
        <v>25.025389714285712</v>
      </c>
      <c r="AG102" s="236"/>
      <c r="AH102" s="1125">
        <f t="shared" si="162"/>
        <v>21.90774857142857</v>
      </c>
      <c r="AI102" s="1125">
        <f t="shared" si="162"/>
        <v>26.289298285714281</v>
      </c>
      <c r="AJ102" s="236"/>
      <c r="AK102" s="1125">
        <f t="shared" si="162"/>
        <v>26.120777142857143</v>
      </c>
      <c r="AL102" s="1125">
        <f t="shared" si="162"/>
        <v>26.289298285714281</v>
      </c>
    </row>
    <row r="103" spans="2:38" x14ac:dyDescent="0.45">
      <c r="B103" s="236" t="s">
        <v>2636</v>
      </c>
      <c r="C103" s="255">
        <v>1.5</v>
      </c>
      <c r="D103" s="236" t="s">
        <v>1940</v>
      </c>
      <c r="AD103" s="236"/>
      <c r="AG103" s="236"/>
      <c r="AJ103" s="236"/>
    </row>
    <row r="104" spans="2:38" x14ac:dyDescent="0.45">
      <c r="B104" s="236"/>
      <c r="C104" s="1127">
        <f>$E$94*$C$103</f>
        <v>0.77142857142857135</v>
      </c>
      <c r="D104" s="236" t="s">
        <v>1</v>
      </c>
      <c r="AD104" s="236"/>
      <c r="AG104" s="236"/>
      <c r="AJ104" s="236"/>
    </row>
    <row r="105" spans="2:38" x14ac:dyDescent="0.45">
      <c r="B105" s="236"/>
      <c r="C105" s="1126">
        <f>MROUND($C$104/(1/AA25),1)</f>
        <v>39</v>
      </c>
      <c r="D105" s="236" t="s">
        <v>5</v>
      </c>
      <c r="E105" s="1116">
        <f t="shared" ref="E105:AC105" si="163">$C$105*(1/E25)</f>
        <v>0.93421157525510201</v>
      </c>
      <c r="F105" s="1116">
        <f t="shared" si="163"/>
        <v>0.92477509469696983</v>
      </c>
      <c r="G105" s="1116">
        <f t="shared" si="163"/>
        <v>0.91552734375000011</v>
      </c>
      <c r="H105" s="1116">
        <f t="shared" si="163"/>
        <v>0.90646271658415845</v>
      </c>
      <c r="I105" s="1116">
        <f t="shared" si="163"/>
        <v>0.89757582720588236</v>
      </c>
      <c r="J105" s="1116">
        <f t="shared" si="163"/>
        <v>0.88886149878640774</v>
      </c>
      <c r="K105" s="1116">
        <f t="shared" si="163"/>
        <v>0.88031475360576927</v>
      </c>
      <c r="L105" s="1116">
        <f t="shared" si="163"/>
        <v>0.87193080357142871</v>
      </c>
      <c r="M105" s="1116">
        <f t="shared" si="163"/>
        <v>0.86370504127358483</v>
      </c>
      <c r="N105" s="1116">
        <f t="shared" si="163"/>
        <v>0.85563303154205594</v>
      </c>
      <c r="O105" s="1116">
        <f t="shared" si="163"/>
        <v>0.84771050347222221</v>
      </c>
      <c r="P105" s="1116">
        <f t="shared" si="163"/>
        <v>0.83993334288990829</v>
      </c>
      <c r="Q105" s="1116">
        <f t="shared" si="163"/>
        <v>0.8322975852272726</v>
      </c>
      <c r="R105" s="1116">
        <f t="shared" si="163"/>
        <v>0.82479940878378377</v>
      </c>
      <c r="S105" s="1116">
        <f t="shared" si="163"/>
        <v>0.81743512834821419</v>
      </c>
      <c r="T105" s="1116">
        <f t="shared" si="163"/>
        <v>0.81020118915929207</v>
      </c>
      <c r="U105" s="1116">
        <f t="shared" si="163"/>
        <v>0.8030941611842104</v>
      </c>
      <c r="V105" s="1116">
        <f t="shared" si="163"/>
        <v>0.79611073369565222</v>
      </c>
      <c r="W105" s="1116">
        <f t="shared" si="163"/>
        <v>0.78924771012931028</v>
      </c>
      <c r="X105" s="1116">
        <f t="shared" si="163"/>
        <v>0.7825020032051283</v>
      </c>
      <c r="Y105" s="1116">
        <f t="shared" si="163"/>
        <v>0.77587063029661019</v>
      </c>
      <c r="Z105" s="1116">
        <f t="shared" si="163"/>
        <v>0.76935070903361347</v>
      </c>
      <c r="AA105" s="1116">
        <f t="shared" si="163"/>
        <v>0.76293945312500011</v>
      </c>
      <c r="AB105" s="1116">
        <f t="shared" si="163"/>
        <v>0.75663416838842967</v>
      </c>
      <c r="AC105" s="1116">
        <f t="shared" si="163"/>
        <v>0.75043224897540994</v>
      </c>
      <c r="AD105" s="236"/>
      <c r="AE105" s="1116">
        <f>$C$105*(1/AE25)</f>
        <v>0.82651774088541663</v>
      </c>
      <c r="AF105" s="1116">
        <f>$C$105*(1/AF25)</f>
        <v>0.80147174873737381</v>
      </c>
      <c r="AG105" s="236"/>
      <c r="AH105" s="1116">
        <f>$C$105*(1/AH25)</f>
        <v>0.91552734375000011</v>
      </c>
      <c r="AI105" s="1116">
        <f>$C$105*(1/AI25)</f>
        <v>0.76293945312500011</v>
      </c>
      <c r="AJ105" s="236"/>
      <c r="AK105" s="1116">
        <f>$C$105*(1/AK25)</f>
        <v>0.76786164314516125</v>
      </c>
      <c r="AL105" s="1116">
        <f>$C$105*(1/AL25)</f>
        <v>0.76293945312500011</v>
      </c>
    </row>
    <row r="106" spans="2:38" x14ac:dyDescent="0.45">
      <c r="B106" s="236"/>
      <c r="C106" s="236" t="s">
        <v>2644</v>
      </c>
      <c r="D106" s="236" t="s">
        <v>1940</v>
      </c>
      <c r="E106" s="1130">
        <f>E105/$E$94</f>
        <v>1.8165225074404763</v>
      </c>
      <c r="F106" s="1130">
        <f t="shared" ref="F106:AB106" si="164">F105/$E$94</f>
        <v>1.7981737952441081</v>
      </c>
      <c r="G106" s="1130">
        <f t="shared" si="164"/>
        <v>1.780192057291667</v>
      </c>
      <c r="H106" s="1130">
        <f t="shared" si="164"/>
        <v>1.762566393358086</v>
      </c>
      <c r="I106" s="1130">
        <f t="shared" si="164"/>
        <v>1.7452863306781048</v>
      </c>
      <c r="J106" s="1130">
        <f t="shared" si="164"/>
        <v>1.7283418031957931</v>
      </c>
      <c r="K106" s="1130">
        <f t="shared" si="164"/>
        <v>1.7117231320112183</v>
      </c>
      <c r="L106" s="1130">
        <f t="shared" si="164"/>
        <v>1.6954210069444449</v>
      </c>
      <c r="M106" s="1130">
        <f t="shared" si="164"/>
        <v>1.6794264691430818</v>
      </c>
      <c r="N106" s="1130">
        <f t="shared" si="164"/>
        <v>1.663730894665109</v>
      </c>
      <c r="O106" s="1130">
        <f t="shared" si="164"/>
        <v>1.6483259789737656</v>
      </c>
      <c r="P106" s="1130">
        <f t="shared" si="164"/>
        <v>1.633203722285933</v>
      </c>
      <c r="Q106" s="1130">
        <f t="shared" si="164"/>
        <v>1.6183564157196968</v>
      </c>
      <c r="R106" s="1130">
        <f t="shared" si="164"/>
        <v>1.6037766281906909</v>
      </c>
      <c r="S106" s="1130">
        <f t="shared" si="164"/>
        <v>1.5894571940104167</v>
      </c>
      <c r="T106" s="1130">
        <f t="shared" si="164"/>
        <v>1.575391201143068</v>
      </c>
      <c r="U106" s="1130">
        <f t="shared" si="164"/>
        <v>1.5615719800804093</v>
      </c>
      <c r="V106" s="1130">
        <f t="shared" si="164"/>
        <v>1.5479930932971018</v>
      </c>
      <c r="W106" s="1130">
        <f t="shared" si="164"/>
        <v>1.5346483252514369</v>
      </c>
      <c r="X106" s="1130">
        <f t="shared" si="164"/>
        <v>1.5215316728988608</v>
      </c>
      <c r="Y106" s="1130">
        <f t="shared" si="164"/>
        <v>1.5086373366878534</v>
      </c>
      <c r="Z106" s="1130">
        <f t="shared" si="164"/>
        <v>1.495959712009804</v>
      </c>
      <c r="AA106" s="1130">
        <f t="shared" si="164"/>
        <v>1.4834933810763893</v>
      </c>
      <c r="AB106" s="1130">
        <f t="shared" si="164"/>
        <v>1.4712331051997245</v>
      </c>
      <c r="AC106" s="1130">
        <f>AC105/$E$94</f>
        <v>1.4591738174521862</v>
      </c>
      <c r="AD106" s="929"/>
      <c r="AE106" s="1130">
        <f t="shared" ref="AE106:AF106" si="165">AE105/$E$94</f>
        <v>1.6071178294994213</v>
      </c>
      <c r="AF106" s="1130">
        <f t="shared" si="165"/>
        <v>1.5584172892115604</v>
      </c>
      <c r="AG106" s="929"/>
      <c r="AH106" s="1130">
        <f t="shared" ref="AH106:AI106" si="166">AH105/$E$94</f>
        <v>1.780192057291667</v>
      </c>
      <c r="AI106" s="1130">
        <f t="shared" si="166"/>
        <v>1.4834933810763893</v>
      </c>
      <c r="AJ106" s="929"/>
      <c r="AK106" s="1130">
        <f t="shared" ref="AK106:AL106" si="167">AK105/$E$94</f>
        <v>1.4930643061155915</v>
      </c>
      <c r="AL106" s="1130">
        <f t="shared" si="167"/>
        <v>1.4834933810763893</v>
      </c>
    </row>
    <row r="107" spans="2:38" x14ac:dyDescent="0.45">
      <c r="B107" s="236"/>
      <c r="C107" s="236"/>
      <c r="D107" s="236"/>
      <c r="E107" s="236"/>
      <c r="F107" s="236"/>
      <c r="G107" s="236"/>
      <c r="H107" s="236"/>
      <c r="I107" s="236"/>
      <c r="J107" s="236"/>
      <c r="K107" s="236"/>
      <c r="L107" s="236"/>
      <c r="M107" s="236"/>
      <c r="N107" s="236"/>
      <c r="O107" s="236"/>
      <c r="P107" s="236"/>
      <c r="Q107" s="236"/>
      <c r="R107" s="236"/>
      <c r="S107" s="236"/>
      <c r="T107" s="236"/>
      <c r="U107" s="236"/>
      <c r="V107" s="236"/>
      <c r="W107" s="236"/>
      <c r="X107" s="236"/>
      <c r="Y107" s="236"/>
      <c r="Z107" s="236"/>
      <c r="AA107" s="236"/>
      <c r="AB107" s="236"/>
      <c r="AC107" s="236"/>
      <c r="AD107" s="236"/>
      <c r="AE107" s="236"/>
      <c r="AF107" s="236"/>
      <c r="AG107" s="236"/>
      <c r="AH107" s="236"/>
      <c r="AI107" s="236"/>
      <c r="AJ107" s="236"/>
      <c r="AK107" s="236"/>
      <c r="AL107" s="236"/>
    </row>
    <row r="108" spans="2:38" x14ac:dyDescent="0.45">
      <c r="B108" s="232" t="s">
        <v>2640</v>
      </c>
      <c r="C108" s="236"/>
      <c r="D108" s="236"/>
      <c r="AD108" s="236"/>
      <c r="AG108" s="236"/>
      <c r="AJ108" s="236"/>
    </row>
    <row r="109" spans="2:38" x14ac:dyDescent="0.45">
      <c r="B109" s="236" t="s">
        <v>2641</v>
      </c>
      <c r="C109" s="236" t="s">
        <v>2164</v>
      </c>
      <c r="D109" s="255">
        <v>20</v>
      </c>
      <c r="E109" s="1116">
        <f>$D$109*(1/E99)</f>
        <v>0.4790828591051805</v>
      </c>
      <c r="F109" s="1116">
        <f t="shared" ref="F109:AL109" si="168">$D$109*(1/F99)</f>
        <v>0.47424363830613836</v>
      </c>
      <c r="G109" s="1116">
        <f t="shared" si="168"/>
        <v>0.46950120192307698</v>
      </c>
      <c r="H109" s="1116">
        <f t="shared" si="168"/>
        <v>0.46485267517136331</v>
      </c>
      <c r="I109" s="1116">
        <f t="shared" si="168"/>
        <v>0.46029529600301661</v>
      </c>
      <c r="J109" s="1116">
        <f t="shared" si="168"/>
        <v>0.45582640963405524</v>
      </c>
      <c r="K109" s="1116">
        <f t="shared" si="168"/>
        <v>0.45144346338757402</v>
      </c>
      <c r="L109" s="1116">
        <f t="shared" si="168"/>
        <v>0.44714400183150194</v>
      </c>
      <c r="M109" s="1116">
        <f t="shared" si="168"/>
        <v>0.44292566219158197</v>
      </c>
      <c r="N109" s="1116">
        <f t="shared" si="168"/>
        <v>0.43878617002156717</v>
      </c>
      <c r="O109" s="1116">
        <f t="shared" si="168"/>
        <v>0.43472333511396011</v>
      </c>
      <c r="P109" s="1116">
        <f t="shared" si="168"/>
        <v>0.43073504763585041</v>
      </c>
      <c r="Q109" s="1116">
        <f t="shared" si="168"/>
        <v>0.42681927447552442</v>
      </c>
      <c r="R109" s="1116">
        <f t="shared" si="168"/>
        <v>0.42297405578655578</v>
      </c>
      <c r="S109" s="1116">
        <f t="shared" si="168"/>
        <v>0.41919750171703291</v>
      </c>
      <c r="T109" s="1116">
        <f t="shared" si="168"/>
        <v>0.4154877893124575</v>
      </c>
      <c r="U109" s="1116">
        <f t="shared" si="168"/>
        <v>0.41184315958164636</v>
      </c>
      <c r="V109" s="1116">
        <f t="shared" si="168"/>
        <v>0.4082619147157191</v>
      </c>
      <c r="W109" s="1116">
        <f t="shared" si="168"/>
        <v>0.40474241545092832</v>
      </c>
      <c r="X109" s="1116">
        <f t="shared" si="168"/>
        <v>0.40128307856673251</v>
      </c>
      <c r="Y109" s="1116">
        <f t="shared" si="168"/>
        <v>0.39788237451108216</v>
      </c>
      <c r="Z109" s="1116">
        <f t="shared" si="168"/>
        <v>0.39453882514544281</v>
      </c>
      <c r="AA109" s="1116">
        <f t="shared" si="168"/>
        <v>0.39125100160256415</v>
      </c>
      <c r="AB109" s="1116">
        <f t="shared" si="168"/>
        <v>0.38801752225047675</v>
      </c>
      <c r="AC109" s="1116">
        <f t="shared" si="168"/>
        <v>0.38483705075662045</v>
      </c>
      <c r="AD109" s="236"/>
      <c r="AE109" s="1116">
        <f t="shared" si="168"/>
        <v>0.4238552517361111</v>
      </c>
      <c r="AF109" s="1116">
        <f t="shared" si="168"/>
        <v>0.41101115319865322</v>
      </c>
      <c r="AG109" s="236"/>
      <c r="AH109" s="1116">
        <f t="shared" si="168"/>
        <v>0.46950120192307698</v>
      </c>
      <c r="AI109" s="1116">
        <f t="shared" si="168"/>
        <v>0.39125100160256415</v>
      </c>
      <c r="AJ109" s="236"/>
      <c r="AK109" s="1116">
        <f t="shared" si="168"/>
        <v>0.39377520161290319</v>
      </c>
      <c r="AL109" s="1116">
        <f t="shared" si="168"/>
        <v>0.39125100160256415</v>
      </c>
    </row>
    <row r="110" spans="2:38" x14ac:dyDescent="0.45">
      <c r="B110" s="236"/>
      <c r="C110" s="236" t="s">
        <v>2165</v>
      </c>
      <c r="D110" s="255">
        <f>D109/2</f>
        <v>10</v>
      </c>
      <c r="E110" s="1116">
        <f>$D$110*(1/E99)</f>
        <v>0.23954142955259025</v>
      </c>
      <c r="F110" s="1116">
        <f t="shared" ref="F110:AL110" si="169">$D$110*(1/F99)</f>
        <v>0.23712181915306918</v>
      </c>
      <c r="G110" s="1116">
        <f t="shared" si="169"/>
        <v>0.23475060096153849</v>
      </c>
      <c r="H110" s="1116">
        <f t="shared" si="169"/>
        <v>0.23242633758568165</v>
      </c>
      <c r="I110" s="1116">
        <f t="shared" si="169"/>
        <v>0.2301476480015083</v>
      </c>
      <c r="J110" s="1116">
        <f t="shared" si="169"/>
        <v>0.22791320481702762</v>
      </c>
      <c r="K110" s="1116">
        <f t="shared" si="169"/>
        <v>0.22572173169378701</v>
      </c>
      <c r="L110" s="1116">
        <f t="shared" si="169"/>
        <v>0.22357200091575097</v>
      </c>
      <c r="M110" s="1116">
        <f t="shared" si="169"/>
        <v>0.22146283109579099</v>
      </c>
      <c r="N110" s="1116">
        <f t="shared" si="169"/>
        <v>0.21939308501078358</v>
      </c>
      <c r="O110" s="1116">
        <f t="shared" si="169"/>
        <v>0.21736166755698005</v>
      </c>
      <c r="P110" s="1116">
        <f t="shared" si="169"/>
        <v>0.2153675238179252</v>
      </c>
      <c r="Q110" s="1116">
        <f t="shared" si="169"/>
        <v>0.21340963723776221</v>
      </c>
      <c r="R110" s="1116">
        <f t="shared" si="169"/>
        <v>0.21148702789327789</v>
      </c>
      <c r="S110" s="1116">
        <f t="shared" si="169"/>
        <v>0.20959875085851645</v>
      </c>
      <c r="T110" s="1116">
        <f t="shared" si="169"/>
        <v>0.20774389465622875</v>
      </c>
      <c r="U110" s="1116">
        <f t="shared" si="169"/>
        <v>0.20592157979082318</v>
      </c>
      <c r="V110" s="1116">
        <f t="shared" si="169"/>
        <v>0.20413095735785955</v>
      </c>
      <c r="W110" s="1116">
        <f t="shared" si="169"/>
        <v>0.20237120772546416</v>
      </c>
      <c r="X110" s="1116">
        <f t="shared" si="169"/>
        <v>0.20064153928336625</v>
      </c>
      <c r="Y110" s="1116">
        <f t="shared" si="169"/>
        <v>0.19894118725554108</v>
      </c>
      <c r="Z110" s="1116">
        <f t="shared" si="169"/>
        <v>0.1972694125727214</v>
      </c>
      <c r="AA110" s="1116">
        <f t="shared" si="169"/>
        <v>0.19562550080128208</v>
      </c>
      <c r="AB110" s="1116">
        <f t="shared" si="169"/>
        <v>0.19400876112523838</v>
      </c>
      <c r="AC110" s="1116">
        <f t="shared" si="169"/>
        <v>0.19241852537831022</v>
      </c>
      <c r="AD110" s="236"/>
      <c r="AE110" s="1116">
        <f t="shared" si="169"/>
        <v>0.21192762586805555</v>
      </c>
      <c r="AF110" s="1116">
        <f t="shared" si="169"/>
        <v>0.20550557659932661</v>
      </c>
      <c r="AG110" s="236"/>
      <c r="AH110" s="1116">
        <f t="shared" si="169"/>
        <v>0.23475060096153849</v>
      </c>
      <c r="AI110" s="1116">
        <f t="shared" si="169"/>
        <v>0.19562550080128208</v>
      </c>
      <c r="AJ110" s="236"/>
      <c r="AK110" s="1116">
        <f t="shared" si="169"/>
        <v>0.1968876008064516</v>
      </c>
      <c r="AL110" s="1116">
        <f t="shared" si="169"/>
        <v>0.19562550080128208</v>
      </c>
    </row>
    <row r="111" spans="2:38" x14ac:dyDescent="0.45">
      <c r="B111" s="236"/>
      <c r="C111" s="236" t="s">
        <v>2635</v>
      </c>
      <c r="D111" s="236" t="s">
        <v>1</v>
      </c>
      <c r="E111" s="1128">
        <f>E109+E110</f>
        <v>0.71862428865777073</v>
      </c>
      <c r="F111" s="1128">
        <f t="shared" ref="F111:AL111" si="170">F109+F110</f>
        <v>0.71136545745920754</v>
      </c>
      <c r="G111" s="1128">
        <f t="shared" si="170"/>
        <v>0.70425180288461542</v>
      </c>
      <c r="H111" s="1128">
        <f t="shared" si="170"/>
        <v>0.69727901275704496</v>
      </c>
      <c r="I111" s="1128">
        <f t="shared" si="170"/>
        <v>0.69044294400452488</v>
      </c>
      <c r="J111" s="1128">
        <f t="shared" si="170"/>
        <v>0.68373961445108289</v>
      </c>
      <c r="K111" s="1128">
        <f t="shared" si="170"/>
        <v>0.67716519508136108</v>
      </c>
      <c r="L111" s="1128">
        <f t="shared" si="170"/>
        <v>0.67071600274725296</v>
      </c>
      <c r="M111" s="1128">
        <f t="shared" si="170"/>
        <v>0.66438849328737293</v>
      </c>
      <c r="N111" s="1128">
        <f t="shared" si="170"/>
        <v>0.65817925503235075</v>
      </c>
      <c r="O111" s="1128">
        <f t="shared" si="170"/>
        <v>0.65208500267094016</v>
      </c>
      <c r="P111" s="1128">
        <f t="shared" si="170"/>
        <v>0.64610257145377559</v>
      </c>
      <c r="Q111" s="1128">
        <f t="shared" si="170"/>
        <v>0.64022891171328666</v>
      </c>
      <c r="R111" s="1128">
        <f t="shared" si="170"/>
        <v>0.63446108367983367</v>
      </c>
      <c r="S111" s="1128">
        <f t="shared" si="170"/>
        <v>0.62879625257554939</v>
      </c>
      <c r="T111" s="1128">
        <f t="shared" si="170"/>
        <v>0.62323168396868622</v>
      </c>
      <c r="U111" s="1128">
        <f t="shared" si="170"/>
        <v>0.61776473937246956</v>
      </c>
      <c r="V111" s="1128">
        <f t="shared" si="170"/>
        <v>0.61239287207357862</v>
      </c>
      <c r="W111" s="1128">
        <f t="shared" si="170"/>
        <v>0.6071136231763925</v>
      </c>
      <c r="X111" s="1128">
        <f t="shared" si="170"/>
        <v>0.60192461785009876</v>
      </c>
      <c r="Y111" s="1128">
        <f t="shared" si="170"/>
        <v>0.59682356176662321</v>
      </c>
      <c r="Z111" s="1128">
        <f t="shared" si="170"/>
        <v>0.59180823771816415</v>
      </c>
      <c r="AA111" s="1128">
        <f t="shared" si="170"/>
        <v>0.58687650240384626</v>
      </c>
      <c r="AB111" s="1128">
        <f t="shared" si="170"/>
        <v>0.58202628337571516</v>
      </c>
      <c r="AC111" s="1128">
        <f t="shared" si="170"/>
        <v>0.57725557613493073</v>
      </c>
      <c r="AD111" s="236"/>
      <c r="AE111" s="1128">
        <f t="shared" si="170"/>
        <v>0.63578287760416663</v>
      </c>
      <c r="AF111" s="1128">
        <f t="shared" si="170"/>
        <v>0.61651672979797989</v>
      </c>
      <c r="AG111" s="236"/>
      <c r="AH111" s="1128">
        <f t="shared" si="170"/>
        <v>0.70425180288461542</v>
      </c>
      <c r="AI111" s="1128">
        <f t="shared" si="170"/>
        <v>0.58687650240384626</v>
      </c>
      <c r="AJ111" s="236"/>
      <c r="AK111" s="1128">
        <f t="shared" si="170"/>
        <v>0.59066280241935476</v>
      </c>
      <c r="AL111" s="1128">
        <f t="shared" si="170"/>
        <v>0.58687650240384626</v>
      </c>
    </row>
    <row r="112" spans="2:38" x14ac:dyDescent="0.45">
      <c r="B112" s="236"/>
      <c r="C112" s="236"/>
      <c r="D112" s="236" t="s">
        <v>6</v>
      </c>
      <c r="E112" s="1129">
        <f>1/E111</f>
        <v>1.3915477333333335</v>
      </c>
      <c r="F112" s="1129">
        <f t="shared" ref="F112:AL112" si="171">1/F111</f>
        <v>1.4057471999999998</v>
      </c>
      <c r="G112" s="1129">
        <f t="shared" si="171"/>
        <v>1.4199466666666667</v>
      </c>
      <c r="H112" s="1129">
        <f t="shared" si="171"/>
        <v>1.4341461333333332</v>
      </c>
      <c r="I112" s="1129">
        <f t="shared" si="171"/>
        <v>1.4483455999999999</v>
      </c>
      <c r="J112" s="1129">
        <f t="shared" si="171"/>
        <v>1.4625450666666666</v>
      </c>
      <c r="K112" s="1129">
        <f t="shared" si="171"/>
        <v>1.4767445333333331</v>
      </c>
      <c r="L112" s="1129">
        <f t="shared" si="171"/>
        <v>1.4909439999999996</v>
      </c>
      <c r="M112" s="1129">
        <f t="shared" si="171"/>
        <v>1.5051434666666668</v>
      </c>
      <c r="N112" s="1129">
        <f t="shared" si="171"/>
        <v>1.5193429333333335</v>
      </c>
      <c r="O112" s="1129">
        <f t="shared" si="171"/>
        <v>1.5335424</v>
      </c>
      <c r="P112" s="1129">
        <f t="shared" si="171"/>
        <v>1.5477418666666667</v>
      </c>
      <c r="Q112" s="1129">
        <f t="shared" si="171"/>
        <v>1.5619413333333334</v>
      </c>
      <c r="R112" s="1129">
        <f t="shared" si="171"/>
        <v>1.5761408000000001</v>
      </c>
      <c r="S112" s="1129">
        <f t="shared" si="171"/>
        <v>1.5903402666666668</v>
      </c>
      <c r="T112" s="1129">
        <f t="shared" si="171"/>
        <v>1.6045397333333333</v>
      </c>
      <c r="U112" s="1129">
        <f t="shared" si="171"/>
        <v>1.6187392000000003</v>
      </c>
      <c r="V112" s="1129">
        <f t="shared" si="171"/>
        <v>1.6329386666666665</v>
      </c>
      <c r="W112" s="1129">
        <f t="shared" si="171"/>
        <v>1.6471381333333335</v>
      </c>
      <c r="X112" s="1129">
        <f t="shared" si="171"/>
        <v>1.6613375999999995</v>
      </c>
      <c r="Y112" s="1129">
        <f t="shared" si="171"/>
        <v>1.6755370666666667</v>
      </c>
      <c r="Z112" s="1129">
        <f t="shared" si="171"/>
        <v>1.6897365333333334</v>
      </c>
      <c r="AA112" s="1129">
        <f t="shared" si="171"/>
        <v>1.7039359999999997</v>
      </c>
      <c r="AB112" s="1129">
        <f t="shared" si="171"/>
        <v>1.7181354666666668</v>
      </c>
      <c r="AC112" s="1129">
        <f t="shared" si="171"/>
        <v>1.7323349333333331</v>
      </c>
      <c r="AD112" s="236"/>
      <c r="AE112" s="1129">
        <f t="shared" si="171"/>
        <v>1.572864</v>
      </c>
      <c r="AF112" s="1129">
        <f t="shared" si="171"/>
        <v>1.6220159999999997</v>
      </c>
      <c r="AG112" s="236"/>
      <c r="AH112" s="1129">
        <f t="shared" si="171"/>
        <v>1.4199466666666667</v>
      </c>
      <c r="AI112" s="1129">
        <f t="shared" si="171"/>
        <v>1.7039359999999997</v>
      </c>
      <c r="AJ112" s="236"/>
      <c r="AK112" s="1129">
        <f t="shared" si="171"/>
        <v>1.6930133333333335</v>
      </c>
      <c r="AL112" s="1129">
        <f t="shared" si="171"/>
        <v>1.7039359999999997</v>
      </c>
    </row>
    <row r="113" spans="2:38" x14ac:dyDescent="0.45">
      <c r="B113" s="236"/>
      <c r="C113" s="236"/>
      <c r="D113" s="236"/>
      <c r="AD113" s="236"/>
      <c r="AG113" s="236"/>
      <c r="AJ113" s="236"/>
    </row>
    <row r="114" spans="2:38" x14ac:dyDescent="0.45">
      <c r="B114" s="236" t="s">
        <v>2643</v>
      </c>
      <c r="C114" s="236">
        <f>$C$4</f>
        <v>35</v>
      </c>
      <c r="D114" s="236" t="s">
        <v>0</v>
      </c>
      <c r="AD114" s="236"/>
      <c r="AG114" s="236"/>
      <c r="AJ114" s="236"/>
    </row>
    <row r="115" spans="2:38" x14ac:dyDescent="0.45">
      <c r="B115" s="236"/>
      <c r="C115" s="236" t="s">
        <v>2164</v>
      </c>
      <c r="D115" s="236" t="s">
        <v>5</v>
      </c>
      <c r="E115" s="1116">
        <f>E109/(1/$C$114)</f>
        <v>16.767900068681318</v>
      </c>
      <c r="F115" s="1116">
        <f t="shared" ref="F115:AL116" si="172">F109/(1/$C$114)</f>
        <v>16.598527340714842</v>
      </c>
      <c r="G115" s="1116">
        <f t="shared" si="172"/>
        <v>16.432542067307693</v>
      </c>
      <c r="H115" s="1116">
        <f t="shared" si="172"/>
        <v>16.269843630997716</v>
      </c>
      <c r="I115" s="1116">
        <f t="shared" si="172"/>
        <v>16.11033536010558</v>
      </c>
      <c r="J115" s="1116">
        <f t="shared" si="172"/>
        <v>15.953924337191934</v>
      </c>
      <c r="K115" s="1116">
        <f t="shared" si="172"/>
        <v>15.800521218565091</v>
      </c>
      <c r="L115" s="1116">
        <f t="shared" si="172"/>
        <v>15.650040064102567</v>
      </c>
      <c r="M115" s="1116">
        <f t="shared" si="172"/>
        <v>15.50239817670537</v>
      </c>
      <c r="N115" s="1116">
        <f t="shared" si="172"/>
        <v>15.357515950754852</v>
      </c>
      <c r="O115" s="1116">
        <f t="shared" si="172"/>
        <v>15.215316728988604</v>
      </c>
      <c r="P115" s="1116">
        <f t="shared" si="172"/>
        <v>15.075726667254765</v>
      </c>
      <c r="Q115" s="1116">
        <f t="shared" si="172"/>
        <v>14.938674606643355</v>
      </c>
      <c r="R115" s="1116">
        <f t="shared" si="172"/>
        <v>14.804091952529452</v>
      </c>
      <c r="S115" s="1116">
        <f t="shared" si="172"/>
        <v>14.671912560096152</v>
      </c>
      <c r="T115" s="1116">
        <f t="shared" si="172"/>
        <v>14.542072625936013</v>
      </c>
      <c r="U115" s="1116">
        <f t="shared" si="172"/>
        <v>14.414510585357624</v>
      </c>
      <c r="V115" s="1116">
        <f t="shared" si="172"/>
        <v>14.289167015050168</v>
      </c>
      <c r="W115" s="1116">
        <f t="shared" si="172"/>
        <v>14.165984540782491</v>
      </c>
      <c r="X115" s="1116">
        <f t="shared" si="172"/>
        <v>14.044907749835637</v>
      </c>
      <c r="Y115" s="1116">
        <f t="shared" si="172"/>
        <v>13.925883107887875</v>
      </c>
      <c r="Z115" s="1116">
        <f t="shared" si="172"/>
        <v>13.808858880090499</v>
      </c>
      <c r="AA115" s="1116">
        <f t="shared" si="172"/>
        <v>13.693785056089746</v>
      </c>
      <c r="AB115" s="1116">
        <f t="shared" si="172"/>
        <v>13.580613278766688</v>
      </c>
      <c r="AC115" s="1116">
        <f t="shared" si="172"/>
        <v>13.469296776481716</v>
      </c>
      <c r="AD115" s="236"/>
      <c r="AE115" s="1116">
        <f t="shared" si="172"/>
        <v>14.834933810763889</v>
      </c>
      <c r="AF115" s="1116">
        <f t="shared" si="172"/>
        <v>14.385390361952863</v>
      </c>
      <c r="AG115" s="236"/>
      <c r="AH115" s="1116">
        <f t="shared" si="172"/>
        <v>16.432542067307693</v>
      </c>
      <c r="AI115" s="1116">
        <f t="shared" si="172"/>
        <v>13.693785056089746</v>
      </c>
      <c r="AJ115" s="236"/>
      <c r="AK115" s="1116">
        <f t="shared" si="172"/>
        <v>13.782132056451612</v>
      </c>
      <c r="AL115" s="1116">
        <f t="shared" si="172"/>
        <v>13.693785056089746</v>
      </c>
    </row>
    <row r="116" spans="2:38" x14ac:dyDescent="0.45">
      <c r="B116" s="236"/>
      <c r="C116" s="236" t="s">
        <v>2165</v>
      </c>
      <c r="D116" s="236" t="s">
        <v>5</v>
      </c>
      <c r="E116" s="1116">
        <f>E110/(1/$C$114)</f>
        <v>8.3839500343406588</v>
      </c>
      <c r="F116" s="1116">
        <f t="shared" si="172"/>
        <v>8.299263670357421</v>
      </c>
      <c r="G116" s="1116">
        <f t="shared" si="172"/>
        <v>8.2162710336538467</v>
      </c>
      <c r="H116" s="1116">
        <f t="shared" si="172"/>
        <v>8.1349218154988581</v>
      </c>
      <c r="I116" s="1116">
        <f t="shared" si="172"/>
        <v>8.05516768005279</v>
      </c>
      <c r="J116" s="1116">
        <f t="shared" si="172"/>
        <v>7.9769621685959669</v>
      </c>
      <c r="K116" s="1116">
        <f t="shared" si="172"/>
        <v>7.9002606092825456</v>
      </c>
      <c r="L116" s="1116">
        <f t="shared" si="172"/>
        <v>7.8250200320512837</v>
      </c>
      <c r="M116" s="1116">
        <f t="shared" si="172"/>
        <v>7.7511990883526849</v>
      </c>
      <c r="N116" s="1116">
        <f t="shared" si="172"/>
        <v>7.678757975377426</v>
      </c>
      <c r="O116" s="1116">
        <f t="shared" si="172"/>
        <v>7.6076583644943021</v>
      </c>
      <c r="P116" s="1116">
        <f t="shared" si="172"/>
        <v>7.5378633336273824</v>
      </c>
      <c r="Q116" s="1116">
        <f t="shared" si="172"/>
        <v>7.4693373033216774</v>
      </c>
      <c r="R116" s="1116">
        <f t="shared" si="172"/>
        <v>7.4020459762647262</v>
      </c>
      <c r="S116" s="1116">
        <f t="shared" si="172"/>
        <v>7.3359562800480758</v>
      </c>
      <c r="T116" s="1116">
        <f t="shared" si="172"/>
        <v>7.2710363129680067</v>
      </c>
      <c r="U116" s="1116">
        <f t="shared" si="172"/>
        <v>7.2072552926788118</v>
      </c>
      <c r="V116" s="1116">
        <f t="shared" si="172"/>
        <v>7.1445835075250841</v>
      </c>
      <c r="W116" s="1116">
        <f t="shared" si="172"/>
        <v>7.0829922703912453</v>
      </c>
      <c r="X116" s="1116">
        <f t="shared" si="172"/>
        <v>7.0224538749178187</v>
      </c>
      <c r="Y116" s="1116">
        <f t="shared" si="172"/>
        <v>6.9629415539439377</v>
      </c>
      <c r="Z116" s="1116">
        <f t="shared" si="172"/>
        <v>6.9044294400452495</v>
      </c>
      <c r="AA116" s="1116">
        <f t="shared" si="172"/>
        <v>6.8468925280448731</v>
      </c>
      <c r="AB116" s="1116">
        <f t="shared" si="172"/>
        <v>6.7903066393833438</v>
      </c>
      <c r="AC116" s="1116">
        <f t="shared" si="172"/>
        <v>6.7346483882408581</v>
      </c>
      <c r="AD116" s="236"/>
      <c r="AE116" s="1116">
        <f t="shared" si="172"/>
        <v>7.4174669053819446</v>
      </c>
      <c r="AF116" s="1116">
        <f t="shared" si="172"/>
        <v>7.1926951809764317</v>
      </c>
      <c r="AG116" s="236"/>
      <c r="AH116" s="1116">
        <f t="shared" si="172"/>
        <v>8.2162710336538467</v>
      </c>
      <c r="AI116" s="1116">
        <f t="shared" si="172"/>
        <v>6.8468925280448731</v>
      </c>
      <c r="AJ116" s="236"/>
      <c r="AK116" s="1116">
        <f t="shared" si="172"/>
        <v>6.8910660282258061</v>
      </c>
      <c r="AL116" s="1116">
        <f t="shared" si="172"/>
        <v>6.8468925280448731</v>
      </c>
    </row>
    <row r="117" spans="2:38" x14ac:dyDescent="0.45">
      <c r="B117" s="236"/>
      <c r="C117" s="236" t="s">
        <v>2635</v>
      </c>
      <c r="D117" s="236" t="s">
        <v>5</v>
      </c>
      <c r="E117" s="1116">
        <f>E115+E116</f>
        <v>25.151850103021978</v>
      </c>
      <c r="F117" s="1116">
        <f t="shared" ref="F117:AL117" si="173">F115+F116</f>
        <v>24.897791011072265</v>
      </c>
      <c r="G117" s="1116">
        <f t="shared" si="173"/>
        <v>24.64881310096154</v>
      </c>
      <c r="H117" s="1116">
        <f t="shared" si="173"/>
        <v>24.404765446496576</v>
      </c>
      <c r="I117" s="1116">
        <f t="shared" si="173"/>
        <v>24.16550304015837</v>
      </c>
      <c r="J117" s="1116">
        <f t="shared" si="173"/>
        <v>23.9308865057879</v>
      </c>
      <c r="K117" s="1116">
        <f t="shared" si="173"/>
        <v>23.700781827847635</v>
      </c>
      <c r="L117" s="1116">
        <f t="shared" si="173"/>
        <v>23.47506009615385</v>
      </c>
      <c r="M117" s="1116">
        <f t="shared" si="173"/>
        <v>23.253597265058055</v>
      </c>
      <c r="N117" s="1116">
        <f t="shared" si="173"/>
        <v>23.036273926132278</v>
      </c>
      <c r="O117" s="1116">
        <f t="shared" si="173"/>
        <v>22.822975093482906</v>
      </c>
      <c r="P117" s="1116">
        <f t="shared" si="173"/>
        <v>22.613590000882148</v>
      </c>
      <c r="Q117" s="1116">
        <f t="shared" si="173"/>
        <v>22.408011909965033</v>
      </c>
      <c r="R117" s="1116">
        <f t="shared" si="173"/>
        <v>22.206137928794178</v>
      </c>
      <c r="S117" s="1116">
        <f t="shared" si="173"/>
        <v>22.007868840144226</v>
      </c>
      <c r="T117" s="1116">
        <f t="shared" si="173"/>
        <v>21.813108938904019</v>
      </c>
      <c r="U117" s="1116">
        <f t="shared" si="173"/>
        <v>21.621765878036435</v>
      </c>
      <c r="V117" s="1116">
        <f t="shared" si="173"/>
        <v>21.433750522575252</v>
      </c>
      <c r="W117" s="1116">
        <f t="shared" si="173"/>
        <v>21.248976811173737</v>
      </c>
      <c r="X117" s="1116">
        <f t="shared" si="173"/>
        <v>21.067361624753456</v>
      </c>
      <c r="Y117" s="1116">
        <f t="shared" si="173"/>
        <v>20.888824661831812</v>
      </c>
      <c r="Z117" s="1116">
        <f t="shared" si="173"/>
        <v>20.713288320135749</v>
      </c>
      <c r="AA117" s="1116">
        <f t="shared" si="173"/>
        <v>20.54067758413462</v>
      </c>
      <c r="AB117" s="1116">
        <f t="shared" si="173"/>
        <v>20.37091991815003</v>
      </c>
      <c r="AC117" s="1116">
        <f t="shared" si="173"/>
        <v>20.203945164722576</v>
      </c>
      <c r="AD117" s="236"/>
      <c r="AE117" s="1116">
        <f t="shared" si="173"/>
        <v>22.252400716145836</v>
      </c>
      <c r="AF117" s="1116">
        <f t="shared" si="173"/>
        <v>21.578085542929294</v>
      </c>
      <c r="AG117" s="236"/>
      <c r="AH117" s="1116">
        <f t="shared" si="173"/>
        <v>24.64881310096154</v>
      </c>
      <c r="AI117" s="1116">
        <f t="shared" si="173"/>
        <v>20.54067758413462</v>
      </c>
      <c r="AJ117" s="236"/>
      <c r="AK117" s="1116">
        <f t="shared" si="173"/>
        <v>20.673198084677416</v>
      </c>
      <c r="AL117" s="1116">
        <f t="shared" si="173"/>
        <v>20.54067758413462</v>
      </c>
    </row>
    <row r="118" spans="2:38" x14ac:dyDescent="0.45">
      <c r="B118" s="236" t="s">
        <v>2636</v>
      </c>
      <c r="C118" s="255">
        <v>1.5</v>
      </c>
      <c r="D118" s="236" t="s">
        <v>1940</v>
      </c>
      <c r="AD118" s="236"/>
      <c r="AG118" s="236"/>
      <c r="AJ118" s="236"/>
    </row>
    <row r="119" spans="2:38" x14ac:dyDescent="0.45">
      <c r="B119" s="236"/>
      <c r="C119" s="1127">
        <f>$C$118*$E$111</f>
        <v>1.0779364329866561</v>
      </c>
      <c r="D119" s="236" t="s">
        <v>1</v>
      </c>
      <c r="AD119" s="236"/>
      <c r="AG119" s="236"/>
      <c r="AJ119" s="236"/>
    </row>
    <row r="120" spans="2:38" x14ac:dyDescent="0.45">
      <c r="B120" s="236"/>
      <c r="C120" s="1126">
        <f>MROUND($C$119/(1/$C$114),1)</f>
        <v>38</v>
      </c>
      <c r="D120" s="236" t="s">
        <v>5</v>
      </c>
      <c r="AD120" s="236"/>
      <c r="AG120" s="236"/>
      <c r="AJ120" s="236"/>
    </row>
    <row r="121" spans="2:38" x14ac:dyDescent="0.45">
      <c r="B121" s="236"/>
      <c r="C121" s="236" t="s">
        <v>2644</v>
      </c>
      <c r="D121" s="236" t="s">
        <v>1940</v>
      </c>
      <c r="E121" s="1130">
        <f>$C$119/E111</f>
        <v>1.5</v>
      </c>
      <c r="F121" s="1130">
        <f t="shared" ref="F121:AL121" si="174">$C$119/F111</f>
        <v>1.5153061224489792</v>
      </c>
      <c r="G121" s="1130">
        <f t="shared" si="174"/>
        <v>1.5306122448979589</v>
      </c>
      <c r="H121" s="1130">
        <f t="shared" si="174"/>
        <v>1.5459183673469385</v>
      </c>
      <c r="I121" s="1130">
        <f t="shared" si="174"/>
        <v>1.5612244897959182</v>
      </c>
      <c r="J121" s="1130">
        <f t="shared" si="174"/>
        <v>1.5765306122448979</v>
      </c>
      <c r="K121" s="1130">
        <f t="shared" si="174"/>
        <v>1.5918367346938771</v>
      </c>
      <c r="L121" s="1130">
        <f t="shared" si="174"/>
        <v>1.6071428571428565</v>
      </c>
      <c r="M121" s="1130">
        <f t="shared" si="174"/>
        <v>1.6224489795918366</v>
      </c>
      <c r="N121" s="1130">
        <f t="shared" si="174"/>
        <v>1.6377551020408163</v>
      </c>
      <c r="O121" s="1130">
        <f t="shared" si="174"/>
        <v>1.6530612244897958</v>
      </c>
      <c r="P121" s="1130">
        <f t="shared" si="174"/>
        <v>1.6683673469387754</v>
      </c>
      <c r="Q121" s="1130">
        <f t="shared" si="174"/>
        <v>1.6836734693877551</v>
      </c>
      <c r="R121" s="1130">
        <f t="shared" si="174"/>
        <v>1.6989795918367345</v>
      </c>
      <c r="S121" s="1130">
        <f t="shared" si="174"/>
        <v>1.7142857142857142</v>
      </c>
      <c r="T121" s="1130">
        <f t="shared" si="174"/>
        <v>1.7295918367346936</v>
      </c>
      <c r="U121" s="1130">
        <f t="shared" si="174"/>
        <v>1.7448979591836735</v>
      </c>
      <c r="V121" s="1130">
        <f t="shared" si="174"/>
        <v>1.7602040816326527</v>
      </c>
      <c r="W121" s="1130">
        <f t="shared" si="174"/>
        <v>1.7755102040816326</v>
      </c>
      <c r="X121" s="1130">
        <f t="shared" si="174"/>
        <v>1.7908163265306116</v>
      </c>
      <c r="Y121" s="1130">
        <f t="shared" si="174"/>
        <v>1.8061224489795917</v>
      </c>
      <c r="Z121" s="1130">
        <f t="shared" si="174"/>
        <v>1.8214285714285714</v>
      </c>
      <c r="AA121" s="1130">
        <f t="shared" si="174"/>
        <v>1.8367346938775506</v>
      </c>
      <c r="AB121" s="1130">
        <f t="shared" si="174"/>
        <v>1.8520408163265305</v>
      </c>
      <c r="AC121" s="1130">
        <f t="shared" si="174"/>
        <v>1.8673469387755097</v>
      </c>
      <c r="AD121" s="929"/>
      <c r="AE121" s="1130">
        <f t="shared" si="174"/>
        <v>1.695447409733124</v>
      </c>
      <c r="AF121" s="1130">
        <f t="shared" si="174"/>
        <v>1.7484301412872838</v>
      </c>
      <c r="AG121" s="929"/>
      <c r="AH121" s="1130">
        <f t="shared" si="174"/>
        <v>1.5306122448979589</v>
      </c>
      <c r="AI121" s="1130">
        <f t="shared" si="174"/>
        <v>1.8367346938775506</v>
      </c>
      <c r="AJ121" s="929"/>
      <c r="AK121" s="1130">
        <f t="shared" si="174"/>
        <v>1.8249607535321821</v>
      </c>
      <c r="AL121" s="1130">
        <f t="shared" si="174"/>
        <v>1.8367346938775506</v>
      </c>
    </row>
    <row r="122" spans="2:38" x14ac:dyDescent="0.45">
      <c r="B122" s="236"/>
      <c r="C122" s="236"/>
      <c r="D122" s="236"/>
      <c r="AD122" s="236"/>
      <c r="AG122" s="236"/>
      <c r="AJ122" s="236"/>
    </row>
    <row r="123" spans="2:38" x14ac:dyDescent="0.45">
      <c r="B123" s="236"/>
      <c r="C123" s="236"/>
      <c r="D123" s="236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  <c r="AA123" s="236"/>
      <c r="AB123" s="236"/>
      <c r="AC123" s="236"/>
      <c r="AD123" s="236"/>
      <c r="AE123" s="236"/>
      <c r="AF123" s="236"/>
      <c r="AG123" s="236"/>
      <c r="AH123" s="236"/>
      <c r="AI123" s="236"/>
      <c r="AJ123" s="236"/>
      <c r="AK123" s="236"/>
      <c r="AL123" s="236"/>
    </row>
  </sheetData>
  <phoneticPr fontId="2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E6AF-0844-404A-A077-E2E5487839A8}">
  <sheetPr>
    <tabColor rgb="FFFFFF00"/>
  </sheetPr>
  <dimension ref="B16:X44"/>
  <sheetViews>
    <sheetView showGridLines="0" zoomScaleNormal="100" workbookViewId="0"/>
  </sheetViews>
  <sheetFormatPr defaultRowHeight="17" x14ac:dyDescent="0.45"/>
  <cols>
    <col min="2" max="2" width="20.58203125" bestFit="1" customWidth="1"/>
    <col min="4" max="4" width="5.75" bestFit="1" customWidth="1"/>
    <col min="5" max="6" width="7.58203125" bestFit="1" customWidth="1"/>
    <col min="9" max="9" width="8.75" bestFit="1" customWidth="1"/>
  </cols>
  <sheetData>
    <row r="16" spans="2:24" x14ac:dyDescent="0.45">
      <c r="B16" s="2" t="s">
        <v>1127</v>
      </c>
      <c r="C16" s="56"/>
      <c r="D16" s="2" t="s">
        <v>6</v>
      </c>
      <c r="E16" s="667">
        <v>1</v>
      </c>
      <c r="F16" s="667"/>
      <c r="U16" s="8"/>
      <c r="V16" s="8"/>
      <c r="W16" s="8"/>
      <c r="X16" s="8"/>
    </row>
    <row r="17" spans="2:24" x14ac:dyDescent="0.45">
      <c r="B17" s="2"/>
      <c r="C17" s="56"/>
      <c r="D17" s="2" t="s">
        <v>1</v>
      </c>
      <c r="E17" s="668">
        <f>1/E16</f>
        <v>1</v>
      </c>
      <c r="F17" s="667"/>
      <c r="U17" s="8"/>
      <c r="V17" s="8"/>
      <c r="W17" s="8"/>
      <c r="X17" s="8"/>
    </row>
    <row r="18" spans="2:24" x14ac:dyDescent="0.45">
      <c r="B18" s="449" t="s">
        <v>1532</v>
      </c>
      <c r="C18" s="56"/>
      <c r="D18" s="2" t="s">
        <v>18</v>
      </c>
      <c r="E18" s="667">
        <v>14</v>
      </c>
      <c r="F18" s="667"/>
      <c r="U18" s="8"/>
      <c r="V18" s="8"/>
      <c r="W18" s="8"/>
      <c r="X18" s="8"/>
    </row>
    <row r="19" spans="2:24" x14ac:dyDescent="0.45">
      <c r="B19" s="2"/>
      <c r="C19" s="56"/>
      <c r="D19" s="2"/>
      <c r="E19" s="667"/>
      <c r="F19" s="667"/>
      <c r="U19" s="8"/>
      <c r="V19" s="8"/>
      <c r="W19" s="8"/>
      <c r="X19" s="8"/>
    </row>
    <row r="20" spans="2:24" x14ac:dyDescent="0.45">
      <c r="B20" s="449" t="s">
        <v>1533</v>
      </c>
      <c r="C20" s="56"/>
      <c r="D20" s="2"/>
      <c r="E20" s="1009" t="s">
        <v>921</v>
      </c>
      <c r="F20" s="1009" t="s">
        <v>920</v>
      </c>
      <c r="U20" s="8"/>
      <c r="V20" s="8"/>
      <c r="W20" s="8"/>
      <c r="X20" s="8"/>
    </row>
    <row r="21" spans="2:24" x14ac:dyDescent="0.45">
      <c r="B21" s="2" t="s">
        <v>1400</v>
      </c>
      <c r="C21" s="56"/>
      <c r="D21" s="2" t="s">
        <v>5</v>
      </c>
      <c r="E21" s="669">
        <f>F21/2</f>
        <v>6</v>
      </c>
      <c r="F21" s="669">
        <v>12</v>
      </c>
      <c r="U21" s="8"/>
      <c r="V21" s="8"/>
      <c r="W21" s="8"/>
      <c r="X21" s="8"/>
    </row>
    <row r="22" spans="2:24" x14ac:dyDescent="0.45">
      <c r="B22" s="2" t="s">
        <v>1399</v>
      </c>
      <c r="C22" s="56"/>
      <c r="D22" s="2" t="s">
        <v>5</v>
      </c>
      <c r="E22" s="669">
        <v>31</v>
      </c>
      <c r="F22" s="669">
        <v>21</v>
      </c>
      <c r="G22" s="689" t="s">
        <v>1657</v>
      </c>
      <c r="U22" s="8"/>
      <c r="V22" s="8"/>
      <c r="W22" s="8"/>
      <c r="X22" s="8"/>
    </row>
    <row r="23" spans="2:24" x14ac:dyDescent="0.45">
      <c r="B23" s="2" t="s">
        <v>1412</v>
      </c>
      <c r="C23" s="56"/>
      <c r="D23" s="2" t="s">
        <v>5</v>
      </c>
      <c r="E23" s="669">
        <f>E21*E22</f>
        <v>186</v>
      </c>
      <c r="F23" s="669">
        <f>F21*F22</f>
        <v>252</v>
      </c>
      <c r="G23" s="689" t="s">
        <v>1656</v>
      </c>
      <c r="U23" s="8"/>
      <c r="V23" s="8"/>
      <c r="W23" s="8"/>
      <c r="X23" s="8"/>
    </row>
    <row r="24" spans="2:24" x14ac:dyDescent="0.45">
      <c r="B24" s="2" t="s">
        <v>1416</v>
      </c>
      <c r="C24" s="56"/>
      <c r="D24" s="2" t="s">
        <v>5</v>
      </c>
      <c r="E24" s="670">
        <f>E23*3</f>
        <v>558</v>
      </c>
      <c r="F24" s="670">
        <f>F23*3</f>
        <v>756</v>
      </c>
      <c r="U24" s="8"/>
      <c r="V24" s="8"/>
      <c r="W24" s="8"/>
      <c r="X24" s="8"/>
    </row>
    <row r="25" spans="2:24" x14ac:dyDescent="0.45">
      <c r="B25" s="2" t="s">
        <v>2020</v>
      </c>
      <c r="C25" s="56"/>
      <c r="D25" s="2" t="s">
        <v>18</v>
      </c>
      <c r="E25" s="670">
        <f>4*E22+E24*E18</f>
        <v>7936</v>
      </c>
      <c r="F25" s="670">
        <f>4*F22+F24*E18</f>
        <v>10668</v>
      </c>
      <c r="U25" s="8"/>
      <c r="V25" s="8"/>
      <c r="W25" s="8"/>
      <c r="X25" s="8"/>
    </row>
    <row r="26" spans="2:24" x14ac:dyDescent="0.45">
      <c r="B26" s="2" t="s">
        <v>2021</v>
      </c>
      <c r="C26" s="56"/>
      <c r="D26" s="2" t="s">
        <v>1</v>
      </c>
      <c r="E26" s="815">
        <f>E25*E17</f>
        <v>7936</v>
      </c>
      <c r="F26" s="815">
        <f>F25*E17</f>
        <v>10668</v>
      </c>
      <c r="U26" s="8"/>
      <c r="V26" s="8"/>
      <c r="W26" s="8"/>
      <c r="X26" s="8"/>
    </row>
    <row r="27" spans="2:24" x14ac:dyDescent="0.45">
      <c r="B27" s="2"/>
      <c r="C27" s="56"/>
      <c r="D27" s="2"/>
      <c r="E27" s="670"/>
      <c r="F27" s="670"/>
      <c r="I27">
        <f>31*12*24</f>
        <v>8928</v>
      </c>
      <c r="U27" s="8"/>
      <c r="V27" s="8"/>
      <c r="W27" s="8"/>
      <c r="X27" s="8"/>
    </row>
    <row r="28" spans="2:24" x14ac:dyDescent="0.45">
      <c r="B28" s="2" t="s">
        <v>1415</v>
      </c>
      <c r="C28" s="56"/>
      <c r="D28" s="2" t="s">
        <v>5</v>
      </c>
      <c r="E28" s="670">
        <v>24</v>
      </c>
      <c r="F28" s="670">
        <v>24</v>
      </c>
      <c r="U28" s="8"/>
      <c r="V28" s="8"/>
      <c r="W28" s="8"/>
      <c r="X28" s="8"/>
    </row>
    <row r="29" spans="2:24" x14ac:dyDescent="0.45">
      <c r="B29" s="2" t="s">
        <v>1414</v>
      </c>
      <c r="C29" s="56"/>
      <c r="D29" s="2" t="s">
        <v>5</v>
      </c>
      <c r="E29" s="670">
        <f>E23*E28</f>
        <v>4464</v>
      </c>
      <c r="F29" s="670">
        <f>F23*F28</f>
        <v>6048</v>
      </c>
      <c r="U29" s="8"/>
      <c r="V29" s="8"/>
      <c r="W29" s="8"/>
      <c r="X29" s="8"/>
    </row>
    <row r="30" spans="2:24" x14ac:dyDescent="0.45">
      <c r="B30" s="2" t="s">
        <v>1417</v>
      </c>
      <c r="C30" s="56"/>
      <c r="D30" s="2" t="s">
        <v>5</v>
      </c>
      <c r="E30" s="670">
        <f>E29*1</f>
        <v>4464</v>
      </c>
      <c r="F30" s="670">
        <f>F29*3</f>
        <v>18144</v>
      </c>
      <c r="U30" s="8"/>
      <c r="V30" s="8"/>
      <c r="W30" s="8"/>
      <c r="X30" s="8"/>
    </row>
    <row r="31" spans="2:24" x14ac:dyDescent="0.45">
      <c r="B31" s="2"/>
      <c r="C31" s="56"/>
      <c r="D31" s="2"/>
      <c r="E31" s="670"/>
      <c r="F31" s="670"/>
      <c r="U31" s="8"/>
      <c r="V31" s="8"/>
      <c r="W31" s="8"/>
      <c r="X31" s="8"/>
    </row>
    <row r="32" spans="2:24" x14ac:dyDescent="0.45">
      <c r="B32" s="2" t="s">
        <v>1401</v>
      </c>
      <c r="C32" s="56"/>
      <c r="D32" s="2" t="s">
        <v>5</v>
      </c>
      <c r="E32" s="670">
        <v>3</v>
      </c>
      <c r="F32" s="670">
        <v>3</v>
      </c>
      <c r="U32" s="8"/>
      <c r="V32" s="8"/>
      <c r="W32" s="8"/>
      <c r="X32" s="8"/>
    </row>
    <row r="33" spans="2:24" x14ac:dyDescent="0.45">
      <c r="B33" s="2" t="s">
        <v>1418</v>
      </c>
      <c r="C33" s="56"/>
      <c r="D33" s="2" t="s">
        <v>5</v>
      </c>
      <c r="E33" s="670">
        <f>E32*E29</f>
        <v>13392</v>
      </c>
      <c r="F33" s="670">
        <f>F32*F29</f>
        <v>18144</v>
      </c>
      <c r="U33" s="8"/>
      <c r="V33" s="8"/>
      <c r="W33" s="8"/>
      <c r="X33" s="8"/>
    </row>
    <row r="34" spans="2:24" x14ac:dyDescent="0.45">
      <c r="B34" s="2" t="s">
        <v>1413</v>
      </c>
      <c r="C34" s="56"/>
      <c r="D34" s="2" t="s">
        <v>5</v>
      </c>
      <c r="E34" s="670">
        <f>E33*3</f>
        <v>40176</v>
      </c>
      <c r="F34" s="670">
        <f>F33*3</f>
        <v>54432</v>
      </c>
      <c r="U34" s="8"/>
      <c r="V34" s="8"/>
      <c r="W34" s="8"/>
      <c r="X34" s="8"/>
    </row>
    <row r="35" spans="2:24" x14ac:dyDescent="0.45">
      <c r="B35" s="2"/>
      <c r="C35" s="56"/>
      <c r="D35" s="2"/>
      <c r="E35" s="670"/>
      <c r="F35" s="670"/>
      <c r="U35" s="8"/>
      <c r="V35" s="8"/>
      <c r="W35" s="8"/>
      <c r="X35" s="8"/>
    </row>
    <row r="36" spans="2:24" x14ac:dyDescent="0.45">
      <c r="B36" s="2" t="s">
        <v>329</v>
      </c>
      <c r="C36" s="56"/>
      <c r="D36" s="2"/>
      <c r="E36" s="670"/>
      <c r="F36" s="670"/>
      <c r="U36" s="8"/>
      <c r="V36" s="8"/>
      <c r="W36" s="8"/>
      <c r="X36" s="8"/>
    </row>
    <row r="37" spans="2:24" x14ac:dyDescent="0.45">
      <c r="B37" s="2">
        <v>25</v>
      </c>
      <c r="C37" s="56"/>
      <c r="D37" s="2" t="s">
        <v>0</v>
      </c>
      <c r="E37" s="670"/>
      <c r="F37" s="670"/>
      <c r="U37" s="8"/>
      <c r="V37" s="8"/>
      <c r="W37" s="8"/>
      <c r="X37" s="8"/>
    </row>
    <row r="38" spans="2:24" x14ac:dyDescent="0.45">
      <c r="B38" s="2">
        <f>1/B37</f>
        <v>0.04</v>
      </c>
      <c r="C38" s="56"/>
      <c r="D38" s="2" t="s">
        <v>1</v>
      </c>
      <c r="E38" s="670"/>
      <c r="F38" s="670"/>
      <c r="U38" s="8"/>
      <c r="V38" s="8"/>
      <c r="W38" s="8"/>
      <c r="X38" s="8"/>
    </row>
    <row r="39" spans="2:24" x14ac:dyDescent="0.45">
      <c r="B39" s="2" t="s">
        <v>1534</v>
      </c>
      <c r="C39" s="56"/>
      <c r="D39" s="2" t="s">
        <v>1</v>
      </c>
      <c r="E39" s="815">
        <f>(16+E34*16)*B38/E32</f>
        <v>8571.0933333333323</v>
      </c>
      <c r="F39" s="815">
        <f>(16+F34*16)*B38/F32</f>
        <v>11612.373333333335</v>
      </c>
      <c r="G39" s="816" t="s">
        <v>2022</v>
      </c>
      <c r="H39" s="816"/>
      <c r="I39" s="816"/>
      <c r="U39" s="8"/>
      <c r="V39" s="8"/>
      <c r="W39" s="8"/>
      <c r="X39" s="8"/>
    </row>
    <row r="40" spans="2:24" x14ac:dyDescent="0.45">
      <c r="B40" s="2"/>
      <c r="C40" s="56"/>
      <c r="D40" s="2"/>
      <c r="E40" s="670"/>
      <c r="F40" s="670"/>
      <c r="U40" s="8"/>
      <c r="V40" s="8"/>
      <c r="W40" s="8"/>
      <c r="X40" s="8"/>
    </row>
    <row r="41" spans="2:24" x14ac:dyDescent="0.45">
      <c r="B41" s="2" t="s">
        <v>2023</v>
      </c>
      <c r="C41" s="56"/>
      <c r="D41" s="2" t="s">
        <v>1</v>
      </c>
      <c r="E41" s="814">
        <f>E26+E39</f>
        <v>16507.093333333331</v>
      </c>
      <c r="F41" s="814">
        <f>F26+F39</f>
        <v>22280.373333333337</v>
      </c>
      <c r="G41" s="816" t="s">
        <v>2024</v>
      </c>
      <c r="H41" s="816"/>
      <c r="I41" s="816"/>
    </row>
    <row r="42" spans="2:24" x14ac:dyDescent="0.45">
      <c r="B42" s="2"/>
      <c r="C42" s="56"/>
      <c r="D42" s="2"/>
    </row>
    <row r="43" spans="2:24" x14ac:dyDescent="0.45">
      <c r="B43" s="2" t="s">
        <v>1156</v>
      </c>
      <c r="C43" s="56"/>
      <c r="D43" s="2" t="s">
        <v>4</v>
      </c>
      <c r="E43">
        <v>144</v>
      </c>
    </row>
    <row r="44" spans="2:24" x14ac:dyDescent="0.45">
      <c r="B44" s="2"/>
      <c r="C44" s="56"/>
      <c r="D44" s="2" t="s">
        <v>1</v>
      </c>
      <c r="E44">
        <f>1000000/E43</f>
        <v>6944.4444444444443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E20:F20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CAAF-4538-4DB9-98E5-8BCF5CDD7FAF}">
  <sheetPr>
    <tabColor rgb="FFFFFF00"/>
  </sheetPr>
  <dimension ref="B2:P89"/>
  <sheetViews>
    <sheetView showGridLines="0" zoomScale="120" zoomScaleNormal="120" workbookViewId="0"/>
  </sheetViews>
  <sheetFormatPr defaultColWidth="8.58203125" defaultRowHeight="14.5" x14ac:dyDescent="0.45"/>
  <cols>
    <col min="1" max="1" width="8.58203125" style="234"/>
    <col min="2" max="2" width="21.08203125" style="235" bestFit="1" customWidth="1"/>
    <col min="3" max="3" width="11.33203125" style="235" bestFit="1" customWidth="1"/>
    <col min="4" max="4" width="8.25" style="235" bestFit="1" customWidth="1"/>
    <col min="5" max="5" width="10.83203125" style="235" bestFit="1" customWidth="1"/>
    <col min="6" max="6" width="7.08203125" style="235" bestFit="1" customWidth="1"/>
    <col min="7" max="8" width="10.83203125" style="235" bestFit="1" customWidth="1"/>
    <col min="9" max="9" width="11.58203125" style="235" bestFit="1" customWidth="1"/>
    <col min="10" max="10" width="9.83203125" style="235" bestFit="1" customWidth="1"/>
    <col min="11" max="11" width="5.08203125" style="234" bestFit="1" customWidth="1"/>
    <col min="12" max="12" width="11.33203125" style="234" bestFit="1" customWidth="1"/>
    <col min="13" max="13" width="5.83203125" style="234" bestFit="1" customWidth="1"/>
    <col min="14" max="14" width="5.75" style="234" bestFit="1" customWidth="1"/>
    <col min="15" max="15" width="18.83203125" style="312" bestFit="1" customWidth="1"/>
    <col min="16" max="16384" width="8.58203125" style="234"/>
  </cols>
  <sheetData>
    <row r="2" spans="2:15" s="235" customFormat="1" x14ac:dyDescent="0.45">
      <c r="B2" s="236" t="s">
        <v>3</v>
      </c>
      <c r="C2" s="236" t="s">
        <v>4</v>
      </c>
      <c r="D2" s="236">
        <v>50</v>
      </c>
      <c r="E2" s="236">
        <v>60</v>
      </c>
      <c r="F2" s="236">
        <v>100</v>
      </c>
      <c r="G2" s="236">
        <v>120</v>
      </c>
      <c r="H2" s="236">
        <v>144</v>
      </c>
      <c r="I2" s="236">
        <v>800</v>
      </c>
      <c r="J2" s="236">
        <v>960</v>
      </c>
      <c r="L2" s="236"/>
      <c r="M2" s="236"/>
      <c r="N2" s="236"/>
      <c r="O2" s="702"/>
    </row>
    <row r="3" spans="2:15" s="235" customFormat="1" x14ac:dyDescent="0.45">
      <c r="B3" s="236"/>
      <c r="C3" s="236" t="s">
        <v>1</v>
      </c>
      <c r="D3" s="236">
        <f>1000000/D2</f>
        <v>20000</v>
      </c>
      <c r="E3" s="307">
        <f t="shared" ref="E3:J3" si="0">1000000/E2</f>
        <v>16666.666666666668</v>
      </c>
      <c r="F3" s="236">
        <f t="shared" si="0"/>
        <v>10000</v>
      </c>
      <c r="G3" s="307">
        <f t="shared" si="0"/>
        <v>8333.3333333333339</v>
      </c>
      <c r="H3" s="307">
        <f t="shared" si="0"/>
        <v>6944.4444444444443</v>
      </c>
      <c r="I3" s="236">
        <f t="shared" si="0"/>
        <v>1250</v>
      </c>
      <c r="J3" s="307">
        <f t="shared" si="0"/>
        <v>1041.6666666666667</v>
      </c>
      <c r="K3" s="234"/>
      <c r="L3" s="236" t="s">
        <v>1343</v>
      </c>
      <c r="M3" s="236" t="s">
        <v>8</v>
      </c>
      <c r="N3" s="236" t="s">
        <v>1676</v>
      </c>
      <c r="O3" s="236" t="s">
        <v>924</v>
      </c>
    </row>
    <row r="4" spans="2:15" s="235" customFormat="1" x14ac:dyDescent="0.45">
      <c r="B4" s="236" t="s">
        <v>2112</v>
      </c>
      <c r="C4" s="255">
        <v>8</v>
      </c>
      <c r="D4" s="235">
        <f>D3/$C$4</f>
        <v>2500</v>
      </c>
      <c r="E4" s="494">
        <f>E3/$C$4</f>
        <v>2083.3333333333335</v>
      </c>
      <c r="F4" s="235">
        <f>F3/$C$4</f>
        <v>1250</v>
      </c>
      <c r="G4" s="494">
        <f>G3/$C$4</f>
        <v>1041.6666666666667</v>
      </c>
      <c r="H4" s="494">
        <f>H3/$C$4</f>
        <v>868.05555555555554</v>
      </c>
      <c r="I4" s="235">
        <f>I3</f>
        <v>1250</v>
      </c>
      <c r="J4" s="494">
        <f>J3</f>
        <v>1041.6666666666667</v>
      </c>
      <c r="K4" s="234"/>
      <c r="O4" s="312"/>
    </row>
    <row r="5" spans="2:15" s="235" customFormat="1" x14ac:dyDescent="0.45">
      <c r="B5" s="236" t="s">
        <v>1674</v>
      </c>
      <c r="C5" s="255">
        <v>5</v>
      </c>
      <c r="O5" s="312"/>
    </row>
    <row r="6" spans="2:15" s="235" customFormat="1" x14ac:dyDescent="0.45">
      <c r="B6" s="236" t="s">
        <v>1290</v>
      </c>
      <c r="C6" s="255">
        <v>12</v>
      </c>
      <c r="O6" s="312"/>
    </row>
    <row r="7" spans="2:15" s="235" customFormat="1" x14ac:dyDescent="0.45">
      <c r="B7" s="236" t="s">
        <v>2113</v>
      </c>
      <c r="C7" s="905">
        <v>0.8</v>
      </c>
      <c r="D7" s="906">
        <f>(D4-$C$5*3)*$C$7</f>
        <v>1988</v>
      </c>
      <c r="E7" s="906"/>
      <c r="O7" s="312"/>
    </row>
    <row r="8" spans="2:15" s="235" customFormat="1" x14ac:dyDescent="0.45">
      <c r="B8" s="236" t="s">
        <v>2114</v>
      </c>
      <c r="C8" s="905">
        <v>0.8</v>
      </c>
      <c r="D8" s="906">
        <f>(D4-$C$5*2)*$C$8</f>
        <v>1992</v>
      </c>
      <c r="E8" s="906"/>
      <c r="O8" s="312"/>
    </row>
    <row r="9" spans="2:15" s="235" customFormat="1" x14ac:dyDescent="0.45">
      <c r="B9" s="236"/>
      <c r="C9" s="905"/>
      <c r="D9" s="906"/>
      <c r="E9" s="906"/>
      <c r="O9" s="312"/>
    </row>
    <row r="10" spans="2:15" s="235" customFormat="1" x14ac:dyDescent="0.45">
      <c r="B10" s="236"/>
      <c r="C10" s="905"/>
      <c r="D10" s="906"/>
      <c r="E10" s="906"/>
      <c r="O10" s="312"/>
    </row>
    <row r="11" spans="2:15" s="235" customFormat="1" x14ac:dyDescent="0.45">
      <c r="B11" s="236" t="s">
        <v>1963</v>
      </c>
      <c r="C11" s="235">
        <f>2^C6/C4</f>
        <v>512</v>
      </c>
      <c r="D11" s="705">
        <f>D4/$C$11</f>
        <v>4.8828125</v>
      </c>
      <c r="E11" s="705">
        <f>E4/$C$11</f>
        <v>4.069010416666667</v>
      </c>
      <c r="F11" s="705">
        <f>F4/$C$11</f>
        <v>2.44140625</v>
      </c>
      <c r="G11" s="705">
        <f>G4/$C$11</f>
        <v>2.0345052083333335</v>
      </c>
      <c r="H11" s="705">
        <f>H4/$C$11</f>
        <v>1.6954210069444444</v>
      </c>
      <c r="I11" s="705">
        <f>I4/(2^$C$6/8)</f>
        <v>2.44140625</v>
      </c>
      <c r="J11" s="705">
        <f>J4/(2^$C$6/8)</f>
        <v>2.0345052083333335</v>
      </c>
      <c r="O11" s="312"/>
    </row>
    <row r="12" spans="2:15" s="235" customFormat="1" x14ac:dyDescent="0.45">
      <c r="B12" s="236" t="s">
        <v>2115</v>
      </c>
      <c r="C12" s="235">
        <f>2^C6/C4</f>
        <v>512</v>
      </c>
      <c r="D12" s="705"/>
      <c r="E12" s="705"/>
      <c r="F12" s="705"/>
      <c r="G12" s="705"/>
      <c r="H12" s="705"/>
      <c r="I12" s="705"/>
      <c r="J12" s="705"/>
      <c r="O12" s="312"/>
    </row>
    <row r="13" spans="2:15" s="235" customFormat="1" x14ac:dyDescent="0.45"/>
    <row r="14" spans="2:15" s="235" customFormat="1" x14ac:dyDescent="0.45">
      <c r="B14" s="232" t="s">
        <v>1964</v>
      </c>
      <c r="O14" s="312"/>
    </row>
    <row r="15" spans="2:15" s="235" customFormat="1" x14ac:dyDescent="0.45">
      <c r="B15" s="236">
        <v>35</v>
      </c>
      <c r="C15" s="235" t="s">
        <v>0</v>
      </c>
      <c r="O15" s="312"/>
    </row>
    <row r="16" spans="2:15" s="235" customFormat="1" x14ac:dyDescent="0.45">
      <c r="B16" s="236">
        <f>1/B15</f>
        <v>2.8571428571428571E-2</v>
      </c>
      <c r="C16" s="235" t="s">
        <v>1</v>
      </c>
      <c r="O16" s="312"/>
    </row>
    <row r="17" spans="2:16" s="235" customFormat="1" x14ac:dyDescent="0.45">
      <c r="B17" s="739" t="s">
        <v>2116</v>
      </c>
      <c r="C17" s="734">
        <f>$B$16*D17</f>
        <v>7.2857142857142856</v>
      </c>
      <c r="D17" s="734">
        <f>2^G17-1</f>
        <v>255</v>
      </c>
      <c r="E17" s="736" t="s">
        <v>5</v>
      </c>
      <c r="F17" s="734" t="str">
        <f t="shared" ref="F17:F21" si="1">DEC2HEX(D17)</f>
        <v>FF</v>
      </c>
      <c r="G17" s="734">
        <v>8</v>
      </c>
      <c r="H17" s="736" t="s">
        <v>18</v>
      </c>
      <c r="K17" s="234"/>
      <c r="O17" s="312"/>
    </row>
    <row r="18" spans="2:16" s="235" customFormat="1" x14ac:dyDescent="0.45">
      <c r="B18" s="739" t="s">
        <v>2117</v>
      </c>
      <c r="C18" s="734">
        <f t="shared" ref="C18:C21" si="2">$B$16*D18</f>
        <v>7.2857142857142856</v>
      </c>
      <c r="D18" s="734">
        <f t="shared" ref="D18:D21" si="3">2^G18-1</f>
        <v>255</v>
      </c>
      <c r="E18" s="736" t="s">
        <v>5</v>
      </c>
      <c r="F18" s="734" t="str">
        <f t="shared" si="1"/>
        <v>FF</v>
      </c>
      <c r="G18" s="734">
        <v>8</v>
      </c>
      <c r="H18" s="736" t="s">
        <v>18</v>
      </c>
      <c r="O18" s="312"/>
    </row>
    <row r="19" spans="2:16" s="235" customFormat="1" x14ac:dyDescent="0.45">
      <c r="B19" s="739" t="s">
        <v>2118</v>
      </c>
      <c r="C19" s="734">
        <f t="shared" si="2"/>
        <v>7.2857142857142856</v>
      </c>
      <c r="D19" s="734">
        <f t="shared" si="3"/>
        <v>255</v>
      </c>
      <c r="E19" s="736" t="s">
        <v>5</v>
      </c>
      <c r="F19" s="734" t="str">
        <f t="shared" si="1"/>
        <v>FF</v>
      </c>
      <c r="G19" s="734">
        <v>8</v>
      </c>
      <c r="H19" s="736" t="s">
        <v>18</v>
      </c>
      <c r="O19" s="312"/>
    </row>
    <row r="20" spans="2:16" s="235" customFormat="1" x14ac:dyDescent="0.45">
      <c r="B20" s="739" t="s">
        <v>2119</v>
      </c>
      <c r="C20" s="734">
        <f t="shared" si="2"/>
        <v>117</v>
      </c>
      <c r="D20" s="734">
        <f t="shared" si="3"/>
        <v>4095</v>
      </c>
      <c r="E20" s="736" t="s">
        <v>5</v>
      </c>
      <c r="F20" s="734" t="str">
        <f>DEC2HEX(D20)</f>
        <v>FFF</v>
      </c>
      <c r="G20" s="734">
        <v>12</v>
      </c>
      <c r="H20" s="736" t="s">
        <v>18</v>
      </c>
    </row>
    <row r="21" spans="2:16" s="235" customFormat="1" x14ac:dyDescent="0.45">
      <c r="B21" s="739" t="s">
        <v>2120</v>
      </c>
      <c r="C21" s="734">
        <f t="shared" si="2"/>
        <v>1872.4285714285713</v>
      </c>
      <c r="D21" s="734">
        <f t="shared" si="3"/>
        <v>65535</v>
      </c>
      <c r="E21" s="736" t="s">
        <v>5</v>
      </c>
      <c r="F21" s="734" t="str">
        <f t="shared" si="1"/>
        <v>FFFF</v>
      </c>
      <c r="G21" s="734">
        <v>16</v>
      </c>
      <c r="H21" s="736" t="s">
        <v>18</v>
      </c>
      <c r="L21" s="906" t="s">
        <v>2121</v>
      </c>
      <c r="O21" s="312" t="s">
        <v>2122</v>
      </c>
    </row>
    <row r="22" spans="2:16" s="235" customFormat="1" x14ac:dyDescent="0.45">
      <c r="B22" s="739" t="s">
        <v>1961</v>
      </c>
      <c r="C22" s="734">
        <f>$B$16*D22</f>
        <v>14979.628571428571</v>
      </c>
      <c r="D22" s="734">
        <f>2^G22-1</f>
        <v>524287</v>
      </c>
      <c r="E22" s="736" t="s">
        <v>5</v>
      </c>
      <c r="F22" s="734" t="str">
        <f>DEC2HEX(D22)</f>
        <v>7FFFF</v>
      </c>
      <c r="G22" s="734">
        <v>19</v>
      </c>
      <c r="H22" s="736" t="s">
        <v>18</v>
      </c>
      <c r="I22" s="235" t="s">
        <v>2211</v>
      </c>
      <c r="J22" s="494"/>
      <c r="L22" s="235" t="s">
        <v>2123</v>
      </c>
      <c r="O22" s="312" t="s">
        <v>1677</v>
      </c>
    </row>
    <row r="23" spans="2:16" s="235" customFormat="1" x14ac:dyDescent="0.45">
      <c r="H23" s="494"/>
    </row>
    <row r="24" spans="2:16" s="235" customFormat="1" x14ac:dyDescent="0.45">
      <c r="B24" s="235" t="s">
        <v>1684</v>
      </c>
      <c r="C24" s="704">
        <f>1/C25</f>
        <v>0.29166666666666669</v>
      </c>
      <c r="D24" s="740" t="s">
        <v>1690</v>
      </c>
      <c r="E24" s="703"/>
      <c r="F24" s="703"/>
      <c r="G24" s="703"/>
      <c r="H24" s="494"/>
      <c r="I24" s="743" t="s">
        <v>1691</v>
      </c>
      <c r="J24" s="743"/>
      <c r="K24" s="743"/>
      <c r="O24" s="312"/>
    </row>
    <row r="25" spans="2:16" s="235" customFormat="1" x14ac:dyDescent="0.45">
      <c r="B25" s="235" t="s">
        <v>1698</v>
      </c>
      <c r="C25" s="235">
        <f>C28*B16</f>
        <v>3.4285714285714284</v>
      </c>
      <c r="H25" s="494"/>
      <c r="I25" s="743"/>
      <c r="J25" s="743"/>
      <c r="K25" s="743"/>
      <c r="O25" s="312"/>
    </row>
    <row r="26" spans="2:16" ht="17" x14ac:dyDescent="0.45">
      <c r="B26" s="739" t="s">
        <v>1686</v>
      </c>
      <c r="C26" s="734">
        <v>40</v>
      </c>
      <c r="D26" s="734">
        <f>$B$16*C26</f>
        <v>1.1428571428571428</v>
      </c>
      <c r="E26" s="736" t="s">
        <v>1</v>
      </c>
      <c r="F26" s="734" t="str">
        <f>DEC2HEX(C26)</f>
        <v>28</v>
      </c>
      <c r="G26" s="734" t="s">
        <v>1692</v>
      </c>
      <c r="I26" s="744">
        <f>D26/$B$36</f>
        <v>80</v>
      </c>
      <c r="J26" s="745" t="s">
        <v>5</v>
      </c>
      <c r="K26" s="743" t="s">
        <v>1692</v>
      </c>
      <c r="L26" s="235"/>
      <c r="M26" s="235"/>
      <c r="N26" s="235"/>
      <c r="P26" s="235"/>
    </row>
    <row r="27" spans="2:16" x14ac:dyDescent="0.45">
      <c r="B27" s="739" t="s">
        <v>1687</v>
      </c>
      <c r="C27" s="734">
        <v>80</v>
      </c>
      <c r="D27" s="734">
        <f t="shared" ref="D27:D28" si="4">$B$16*C27</f>
        <v>2.2857142857142856</v>
      </c>
      <c r="E27" s="736" t="s">
        <v>1</v>
      </c>
      <c r="F27" s="734" t="str">
        <f t="shared" ref="F27:F30" si="5">DEC2HEX(C27)</f>
        <v>50</v>
      </c>
      <c r="G27" s="734" t="s">
        <v>1692</v>
      </c>
      <c r="I27" s="744">
        <f t="shared" ref="I27" si="6">D27/$B$36</f>
        <v>160</v>
      </c>
      <c r="J27" s="746" t="s">
        <v>5</v>
      </c>
      <c r="K27" s="743" t="s">
        <v>1678</v>
      </c>
      <c r="L27" s="235"/>
    </row>
    <row r="28" spans="2:16" x14ac:dyDescent="0.45">
      <c r="B28" s="235" t="s">
        <v>1685</v>
      </c>
      <c r="C28" s="235">
        <f>C26+C27</f>
        <v>120</v>
      </c>
      <c r="D28" s="235">
        <f t="shared" si="4"/>
        <v>3.4285714285714284</v>
      </c>
      <c r="E28" s="312" t="s">
        <v>1</v>
      </c>
      <c r="F28" s="235" t="str">
        <f t="shared" si="5"/>
        <v>78</v>
      </c>
      <c r="G28" s="235" t="s">
        <v>1696</v>
      </c>
      <c r="I28" s="744">
        <f>D28/$B$36</f>
        <v>240</v>
      </c>
      <c r="J28" s="746" t="s">
        <v>5</v>
      </c>
      <c r="K28" s="743" t="s">
        <v>1679</v>
      </c>
      <c r="L28" s="235"/>
    </row>
    <row r="29" spans="2:16" x14ac:dyDescent="0.45">
      <c r="B29" s="739" t="s">
        <v>1688</v>
      </c>
      <c r="C29" s="734">
        <v>255</v>
      </c>
      <c r="D29" s="734">
        <f>$B$16*C29</f>
        <v>7.2857142857142856</v>
      </c>
      <c r="E29" s="736" t="s">
        <v>1</v>
      </c>
      <c r="F29" s="734" t="str">
        <f t="shared" si="5"/>
        <v>FF</v>
      </c>
      <c r="G29" s="734" t="s">
        <v>1678</v>
      </c>
      <c r="I29" s="741"/>
    </row>
    <row r="30" spans="2:16" x14ac:dyDescent="0.45">
      <c r="B30" s="739" t="s">
        <v>1689</v>
      </c>
      <c r="C30" s="734">
        <v>255</v>
      </c>
      <c r="D30" s="734">
        <f>$B$16*C30</f>
        <v>7.2857142857142856</v>
      </c>
      <c r="E30" s="736" t="s">
        <v>1</v>
      </c>
      <c r="F30" s="734" t="str">
        <f t="shared" si="5"/>
        <v>FF</v>
      </c>
      <c r="G30" s="734" t="s">
        <v>1678</v>
      </c>
      <c r="I30" s="741"/>
    </row>
    <row r="31" spans="2:16" x14ac:dyDescent="0.45">
      <c r="B31" s="739" t="s">
        <v>1954</v>
      </c>
      <c r="C31" s="733">
        <f xml:space="preserve"> C53 * 8 * C57</f>
        <v>850.28571428571422</v>
      </c>
      <c r="D31" s="733">
        <f>C31/B16</f>
        <v>29760</v>
      </c>
      <c r="E31" s="736" t="s">
        <v>5</v>
      </c>
      <c r="F31" s="734" t="str">
        <f>DEC2HEX(D31)</f>
        <v>7440</v>
      </c>
      <c r="G31" s="734" t="s">
        <v>1675</v>
      </c>
      <c r="I31" s="741"/>
    </row>
    <row r="34" spans="2:15" x14ac:dyDescent="0.45">
      <c r="B34" s="232" t="s">
        <v>1965</v>
      </c>
      <c r="K34" s="235"/>
      <c r="L34" s="235"/>
      <c r="M34" s="235"/>
      <c r="N34" s="235"/>
    </row>
    <row r="35" spans="2:15" x14ac:dyDescent="0.45">
      <c r="B35" s="236">
        <v>70</v>
      </c>
      <c r="C35" s="235" t="s">
        <v>0</v>
      </c>
    </row>
    <row r="36" spans="2:15" x14ac:dyDescent="0.45">
      <c r="B36" s="236">
        <f>1/B35</f>
        <v>1.4285714285714285E-2</v>
      </c>
      <c r="C36" s="235" t="s">
        <v>1</v>
      </c>
    </row>
    <row r="37" spans="2:15" s="235" customFormat="1" x14ac:dyDescent="0.45"/>
    <row r="38" spans="2:15" s="235" customFormat="1" x14ac:dyDescent="0.45">
      <c r="B38" s="737" t="s">
        <v>2125</v>
      </c>
      <c r="C38" s="907">
        <f>$B$36*D39*C39</f>
        <v>29.228571428571428</v>
      </c>
      <c r="D38" s="235">
        <f>2^G38-1</f>
        <v>1023</v>
      </c>
      <c r="E38" s="312" t="s">
        <v>5</v>
      </c>
      <c r="F38" s="235" t="str">
        <f>DEC2HEX(D38)</f>
        <v>3FF</v>
      </c>
      <c r="G38" s="235">
        <v>10</v>
      </c>
      <c r="K38" s="234"/>
    </row>
    <row r="39" spans="2:15" s="235" customFormat="1" ht="17" x14ac:dyDescent="0.45">
      <c r="B39" s="738" t="s">
        <v>1957</v>
      </c>
      <c r="C39" s="734">
        <v>2</v>
      </c>
      <c r="D39" s="733">
        <f>2^G39-1</f>
        <v>1023</v>
      </c>
      <c r="E39" s="736" t="s">
        <v>5</v>
      </c>
      <c r="F39" s="734" t="str">
        <f>DEC2HEX(D39)</f>
        <v>3FF</v>
      </c>
      <c r="G39" s="734">
        <v>10</v>
      </c>
      <c r="H39" s="735">
        <f>C39*$B$36</f>
        <v>2.8571428571428571E-2</v>
      </c>
      <c r="I39" s="736" t="s">
        <v>1960</v>
      </c>
      <c r="J39" s="734">
        <v>0.05</v>
      </c>
      <c r="K39" s="734" t="s">
        <v>1967</v>
      </c>
    </row>
    <row r="40" spans="2:15" s="235" customFormat="1" x14ac:dyDescent="0.45">
      <c r="C40" s="908"/>
    </row>
    <row r="41" spans="2:15" s="235" customFormat="1" x14ac:dyDescent="0.45">
      <c r="B41" s="737" t="s">
        <v>2124</v>
      </c>
      <c r="C41" s="907">
        <f>$B$36*D42*C42</f>
        <v>29.228571428571428</v>
      </c>
      <c r="D41" s="235">
        <f>2^G41-1</f>
        <v>1023</v>
      </c>
      <c r="E41" s="312" t="s">
        <v>5</v>
      </c>
      <c r="F41" s="235" t="str">
        <f>DEC2HEX(D41)</f>
        <v>3FF</v>
      </c>
      <c r="G41" s="235">
        <v>10</v>
      </c>
      <c r="K41" s="234"/>
    </row>
    <row r="42" spans="2:15" s="235" customFormat="1" ht="17" x14ac:dyDescent="0.45">
      <c r="B42" s="738" t="s">
        <v>1957</v>
      </c>
      <c r="C42" s="734">
        <v>2</v>
      </c>
      <c r="D42" s="733">
        <f>2^G42-1</f>
        <v>1023</v>
      </c>
      <c r="E42" s="736" t="s">
        <v>5</v>
      </c>
      <c r="F42" s="734" t="str">
        <f>DEC2HEX(D42)</f>
        <v>3FF</v>
      </c>
      <c r="G42" s="734">
        <v>10</v>
      </c>
      <c r="H42" s="735">
        <f>C42*$B$36</f>
        <v>2.8571428571428571E-2</v>
      </c>
      <c r="I42" s="736" t="s">
        <v>1960</v>
      </c>
      <c r="J42" s="734">
        <v>0.05</v>
      </c>
      <c r="K42" s="734" t="s">
        <v>1967</v>
      </c>
    </row>
    <row r="43" spans="2:15" s="235" customFormat="1" x14ac:dyDescent="0.45"/>
    <row r="44" spans="2:15" s="235" customFormat="1" ht="17" x14ac:dyDescent="0.45">
      <c r="B44" s="739" t="s">
        <v>1961</v>
      </c>
      <c r="C44" s="734">
        <f>B36*D44</f>
        <v>29959.3</v>
      </c>
      <c r="D44" s="734">
        <f>2^G44-1</f>
        <v>2097151</v>
      </c>
      <c r="E44" s="736" t="s">
        <v>5</v>
      </c>
      <c r="F44" s="734" t="str">
        <f>DEC2HEX(D44)</f>
        <v>1FFFFF</v>
      </c>
      <c r="G44" s="734">
        <v>21</v>
      </c>
      <c r="H44" s="734" t="s">
        <v>1677</v>
      </c>
      <c r="I44" s="736" t="s">
        <v>2002</v>
      </c>
      <c r="J44" s="734"/>
      <c r="K44" s="734"/>
    </row>
    <row r="45" spans="2:15" s="235" customFormat="1" x14ac:dyDescent="0.45">
      <c r="C45" s="969">
        <f>1000000/C44</f>
        <v>33.37861699038362</v>
      </c>
      <c r="D45" s="736" t="s">
        <v>4</v>
      </c>
      <c r="E45" s="312"/>
    </row>
    <row r="46" spans="2:15" s="235" customFormat="1" x14ac:dyDescent="0.45">
      <c r="B46" s="312"/>
      <c r="C46" s="312"/>
      <c r="D46" s="312"/>
      <c r="E46" s="312"/>
    </row>
    <row r="47" spans="2:15" s="235" customFormat="1" ht="17" x14ac:dyDescent="0.45">
      <c r="B47" s="739" t="s">
        <v>1962</v>
      </c>
      <c r="C47" s="959">
        <f>(D3/2^12)/B36</f>
        <v>341.796875</v>
      </c>
      <c r="D47" s="614">
        <f>2^G47-1</f>
        <v>255</v>
      </c>
      <c r="E47" s="736" t="s">
        <v>5</v>
      </c>
      <c r="F47" s="734" t="str">
        <f>DEC2HEX(D47)</f>
        <v>FF</v>
      </c>
      <c r="G47" s="957">
        <v>8</v>
      </c>
      <c r="H47" s="736" t="s">
        <v>2181</v>
      </c>
      <c r="I47" s="734"/>
      <c r="J47" s="734"/>
      <c r="K47" s="958" t="s">
        <v>2182</v>
      </c>
      <c r="L47" s="734"/>
      <c r="M47" s="734"/>
      <c r="N47" s="734"/>
      <c r="O47" s="234"/>
    </row>
    <row r="48" spans="2:15" s="235" customFormat="1" x14ac:dyDescent="0.45">
      <c r="C48" s="956">
        <f xml:space="preserve"> ((D3/2^12)/B36) * 0.75</f>
        <v>256.34765625</v>
      </c>
      <c r="D48" s="614">
        <f>2^G48-1</f>
        <v>255</v>
      </c>
      <c r="E48" s="736" t="s">
        <v>5</v>
      </c>
      <c r="F48" s="734" t="str">
        <f>DEC2HEX(D48)</f>
        <v>FF</v>
      </c>
      <c r="G48" s="734">
        <v>8</v>
      </c>
      <c r="H48" s="736" t="s">
        <v>2212</v>
      </c>
      <c r="I48" s="734"/>
      <c r="J48" s="734"/>
      <c r="K48" s="736" t="s">
        <v>2213</v>
      </c>
      <c r="L48" s="734"/>
      <c r="M48" s="734"/>
      <c r="N48" s="734"/>
      <c r="O48" s="234"/>
    </row>
    <row r="49" spans="2:15" s="235" customFormat="1" x14ac:dyDescent="0.45">
      <c r="E49" s="312"/>
      <c r="K49" s="234"/>
      <c r="L49" s="234"/>
      <c r="M49" s="234"/>
      <c r="N49" s="234"/>
      <c r="O49" s="234"/>
    </row>
    <row r="50" spans="2:15" s="235" customFormat="1" x14ac:dyDescent="0.45">
      <c r="B50" s="737" t="s">
        <v>2003</v>
      </c>
      <c r="C50" s="799">
        <f>I4-4*C53*C57</f>
        <v>824.85714285714289</v>
      </c>
      <c r="D50" s="235">
        <f>C50/$B$36</f>
        <v>57740.000000000007</v>
      </c>
      <c r="E50" s="312" t="s">
        <v>5</v>
      </c>
      <c r="F50" s="235" t="str">
        <f>DEC2HEX(D50)</f>
        <v>E18C</v>
      </c>
      <c r="G50" s="235" t="s">
        <v>2005</v>
      </c>
      <c r="N50" s="234"/>
    </row>
    <row r="51" spans="2:15" s="235" customFormat="1" ht="17" x14ac:dyDescent="0.45">
      <c r="B51" s="738" t="s">
        <v>1957</v>
      </c>
      <c r="C51" s="734">
        <v>64</v>
      </c>
      <c r="D51" s="733">
        <f>D50/C51</f>
        <v>902.18750000000011</v>
      </c>
      <c r="E51" s="736" t="s">
        <v>5</v>
      </c>
      <c r="F51" s="734" t="str">
        <f>DEC2HEX(D51)</f>
        <v>386</v>
      </c>
      <c r="G51" s="734" t="s">
        <v>1959</v>
      </c>
      <c r="H51" s="800" t="s">
        <v>2004</v>
      </c>
      <c r="I51" s="734"/>
      <c r="J51" s="734"/>
      <c r="K51" s="614"/>
      <c r="N51" s="234"/>
    </row>
    <row r="52" spans="2:15" s="235" customFormat="1" x14ac:dyDescent="0.45">
      <c r="E52" s="312"/>
      <c r="K52" s="234"/>
      <c r="L52" s="234"/>
      <c r="M52" s="234"/>
      <c r="N52" s="234"/>
      <c r="O52" s="312"/>
    </row>
    <row r="53" spans="2:15" s="235" customFormat="1" x14ac:dyDescent="0.45">
      <c r="B53" s="235" t="s">
        <v>1680</v>
      </c>
      <c r="C53" s="235">
        <v>31</v>
      </c>
      <c r="E53" s="312"/>
      <c r="K53" s="234"/>
      <c r="L53" s="234"/>
      <c r="M53" s="234"/>
      <c r="N53" s="234"/>
      <c r="O53" s="312"/>
    </row>
    <row r="54" spans="2:15" s="235" customFormat="1" x14ac:dyDescent="0.45">
      <c r="B54" s="235" t="s">
        <v>1681</v>
      </c>
      <c r="C54" s="235">
        <v>1</v>
      </c>
      <c r="E54" s="312"/>
      <c r="K54" s="234"/>
      <c r="L54" s="234"/>
      <c r="M54" s="234"/>
      <c r="N54" s="234"/>
      <c r="O54" s="312"/>
    </row>
    <row r="55" spans="2:15" s="235" customFormat="1" x14ac:dyDescent="0.45">
      <c r="B55" s="235" t="s">
        <v>1682</v>
      </c>
      <c r="C55" s="235">
        <f>C53*4*C54</f>
        <v>124</v>
      </c>
      <c r="D55" s="312" t="s">
        <v>1683</v>
      </c>
      <c r="E55" s="312"/>
      <c r="K55" s="234"/>
      <c r="L55" s="234"/>
      <c r="M55" s="234"/>
      <c r="N55" s="234"/>
      <c r="O55" s="312"/>
    </row>
    <row r="56" spans="2:15" s="235" customFormat="1" x14ac:dyDescent="0.45">
      <c r="B56" s="235" t="s">
        <v>1684</v>
      </c>
      <c r="C56" s="704">
        <f>1/C57</f>
        <v>0.29166666666666669</v>
      </c>
      <c r="D56" s="703" t="s">
        <v>1694</v>
      </c>
      <c r="E56" s="703"/>
      <c r="F56" s="703"/>
      <c r="G56" s="703"/>
      <c r="H56" s="703"/>
      <c r="I56" s="703"/>
      <c r="J56" s="703"/>
      <c r="K56" s="703"/>
      <c r="M56" s="747" t="s">
        <v>1695</v>
      </c>
      <c r="N56" s="743"/>
      <c r="O56" s="743"/>
    </row>
    <row r="57" spans="2:15" s="235" customFormat="1" x14ac:dyDescent="0.45">
      <c r="B57" s="235" t="s">
        <v>1698</v>
      </c>
      <c r="C57" s="494">
        <f>D59+D62</f>
        <v>3.4285714285714284</v>
      </c>
      <c r="M57" s="743"/>
      <c r="N57" s="748"/>
      <c r="O57" s="748"/>
    </row>
    <row r="58" spans="2:15" s="235" customFormat="1" x14ac:dyDescent="0.45">
      <c r="B58" s="737" t="s">
        <v>1686</v>
      </c>
      <c r="C58" s="255">
        <v>40</v>
      </c>
      <c r="D58" s="494"/>
      <c r="E58" s="312"/>
      <c r="H58" s="494"/>
      <c r="I58" s="312"/>
      <c r="M58" s="743"/>
      <c r="N58" s="743"/>
      <c r="O58" s="746"/>
    </row>
    <row r="59" spans="2:15" s="235" customFormat="1" ht="17" x14ac:dyDescent="0.45">
      <c r="B59" s="738" t="s">
        <v>1957</v>
      </c>
      <c r="C59" s="734">
        <v>2</v>
      </c>
      <c r="D59" s="735">
        <f>C58*$B$36*C59</f>
        <v>1.1428571428571428</v>
      </c>
      <c r="E59" s="736" t="s">
        <v>1</v>
      </c>
      <c r="F59" s="734"/>
      <c r="G59" s="734" t="s">
        <v>1693</v>
      </c>
      <c r="H59" s="735">
        <f>C59*$B$36</f>
        <v>2.8571428571428571E-2</v>
      </c>
      <c r="I59" s="736" t="s">
        <v>1960</v>
      </c>
      <c r="J59" s="734">
        <v>0.05</v>
      </c>
      <c r="K59" s="734" t="s">
        <v>1967</v>
      </c>
      <c r="M59" s="743">
        <f>D59/$B$16</f>
        <v>40</v>
      </c>
      <c r="N59" s="746" t="s">
        <v>5</v>
      </c>
      <c r="O59" s="746" t="s">
        <v>1693</v>
      </c>
    </row>
    <row r="60" spans="2:15" s="235" customFormat="1" x14ac:dyDescent="0.45">
      <c r="M60" s="743"/>
      <c r="N60" s="743"/>
      <c r="O60" s="746"/>
    </row>
    <row r="61" spans="2:15" s="235" customFormat="1" x14ac:dyDescent="0.45">
      <c r="B61" s="737" t="s">
        <v>1687</v>
      </c>
      <c r="C61" s="255">
        <v>80</v>
      </c>
      <c r="D61" s="494"/>
      <c r="E61" s="312"/>
      <c r="H61" s="494"/>
      <c r="I61" s="312"/>
      <c r="M61" s="743"/>
      <c r="N61" s="743"/>
      <c r="O61" s="746"/>
    </row>
    <row r="62" spans="2:15" s="235" customFormat="1" ht="17" x14ac:dyDescent="0.45">
      <c r="B62" s="738" t="s">
        <v>1957</v>
      </c>
      <c r="C62" s="734">
        <v>2</v>
      </c>
      <c r="D62" s="735">
        <f>C61*$B$36*C62</f>
        <v>2.2857142857142856</v>
      </c>
      <c r="E62" s="736" t="s">
        <v>1</v>
      </c>
      <c r="F62" s="734"/>
      <c r="G62" s="734" t="s">
        <v>1693</v>
      </c>
      <c r="H62" s="735">
        <f>C62*$B$36</f>
        <v>2.8571428571428571E-2</v>
      </c>
      <c r="I62" s="736" t="s">
        <v>1960</v>
      </c>
      <c r="J62" s="734">
        <v>0.05</v>
      </c>
      <c r="K62" s="734" t="s">
        <v>1967</v>
      </c>
      <c r="M62" s="743">
        <f>D62/$B$16</f>
        <v>80</v>
      </c>
      <c r="N62" s="746" t="s">
        <v>5</v>
      </c>
      <c r="O62" s="746" t="s">
        <v>1693</v>
      </c>
    </row>
    <row r="63" spans="2:15" s="235" customFormat="1" x14ac:dyDescent="0.45">
      <c r="M63" s="743"/>
      <c r="N63" s="743"/>
      <c r="O63" s="746"/>
    </row>
    <row r="64" spans="2:15" s="235" customFormat="1" x14ac:dyDescent="0.45">
      <c r="B64" s="737" t="s">
        <v>1685</v>
      </c>
      <c r="C64" s="255">
        <f>C58+C61</f>
        <v>120</v>
      </c>
      <c r="D64" s="494"/>
      <c r="E64" s="312"/>
      <c r="H64" s="494"/>
      <c r="I64" s="312"/>
      <c r="M64" s="743"/>
      <c r="N64" s="743"/>
      <c r="O64" s="746"/>
    </row>
    <row r="65" spans="2:15" s="235" customFormat="1" ht="17" x14ac:dyDescent="0.45">
      <c r="B65" s="738" t="s">
        <v>1957</v>
      </c>
      <c r="C65" s="734">
        <v>2</v>
      </c>
      <c r="D65" s="735">
        <f>(C58+C61)*C65*$B$36</f>
        <v>3.4285714285714284</v>
      </c>
      <c r="E65" s="736" t="s">
        <v>1</v>
      </c>
      <c r="F65" s="734"/>
      <c r="G65" s="734"/>
      <c r="H65" s="735">
        <f>C65*$B$36</f>
        <v>2.8571428571428571E-2</v>
      </c>
      <c r="I65" s="736" t="s">
        <v>1960</v>
      </c>
      <c r="J65" s="734">
        <v>0.05</v>
      </c>
      <c r="K65" s="734" t="s">
        <v>1967</v>
      </c>
      <c r="M65" s="743">
        <f>D65/$B$16</f>
        <v>120</v>
      </c>
      <c r="N65" s="746" t="s">
        <v>5</v>
      </c>
      <c r="O65" s="746" t="s">
        <v>1692</v>
      </c>
    </row>
    <row r="66" spans="2:15" s="235" customFormat="1" x14ac:dyDescent="0.45">
      <c r="O66" s="312"/>
    </row>
    <row r="67" spans="2:15" s="235" customFormat="1" x14ac:dyDescent="0.45">
      <c r="B67" s="737" t="s">
        <v>1958</v>
      </c>
      <c r="C67" s="255">
        <v>10</v>
      </c>
      <c r="D67" s="742">
        <f>C67/B36</f>
        <v>700</v>
      </c>
      <c r="E67" s="312" t="s">
        <v>5</v>
      </c>
      <c r="F67" s="235" t="str">
        <f>DEC2HEX(D67)</f>
        <v>2BC</v>
      </c>
      <c r="G67" s="235" t="s">
        <v>1959</v>
      </c>
      <c r="O67" s="312"/>
    </row>
    <row r="68" spans="2:15" s="235" customFormat="1" ht="17" x14ac:dyDescent="0.45">
      <c r="B68" s="738" t="s">
        <v>1957</v>
      </c>
      <c r="C68" s="734">
        <v>2</v>
      </c>
      <c r="D68" s="733">
        <f>D67/C68</f>
        <v>350</v>
      </c>
      <c r="E68" s="736" t="s">
        <v>5</v>
      </c>
      <c r="F68" s="734" t="str">
        <f>DEC2HEX(D68)</f>
        <v>15E</v>
      </c>
      <c r="G68" s="734" t="s">
        <v>1679</v>
      </c>
      <c r="H68" s="735">
        <f>C68*$B$36</f>
        <v>2.8571428571428571E-2</v>
      </c>
      <c r="I68" s="736" t="s">
        <v>1960</v>
      </c>
      <c r="J68" s="734">
        <v>0.05</v>
      </c>
      <c r="K68" s="734" t="s">
        <v>1967</v>
      </c>
      <c r="O68" s="312"/>
    </row>
    <row r="69" spans="2:15" s="235" customFormat="1" x14ac:dyDescent="0.45">
      <c r="O69" s="312"/>
    </row>
    <row r="70" spans="2:15" s="235" customFormat="1" x14ac:dyDescent="0.45">
      <c r="B70" s="235" t="s">
        <v>1956</v>
      </c>
      <c r="C70" s="255">
        <f xml:space="preserve"> C53 * 21 * C57</f>
        <v>2232</v>
      </c>
      <c r="D70" s="742">
        <f>C70/$B$36</f>
        <v>156240</v>
      </c>
      <c r="E70" s="312" t="s">
        <v>5</v>
      </c>
      <c r="F70" s="235" t="str">
        <f>DEC2HEX(D70)</f>
        <v>26250</v>
      </c>
      <c r="O70" s="312"/>
    </row>
    <row r="71" spans="2:15" s="235" customFormat="1" x14ac:dyDescent="0.45">
      <c r="B71" s="235" t="s">
        <v>1955</v>
      </c>
      <c r="C71" s="732">
        <f xml:space="preserve"> C53 * 8 * C57</f>
        <v>850.28571428571422</v>
      </c>
      <c r="D71" s="742">
        <f t="shared" ref="D71" si="7">C71/$B$36</f>
        <v>59520</v>
      </c>
      <c r="E71" s="312" t="s">
        <v>5</v>
      </c>
      <c r="F71" s="235" t="str">
        <f t="shared" ref="F71" si="8">DEC2HEX(D71)</f>
        <v>E880</v>
      </c>
      <c r="O71" s="312"/>
    </row>
    <row r="72" spans="2:15" x14ac:dyDescent="0.45">
      <c r="B72" s="737" t="s">
        <v>1953</v>
      </c>
      <c r="C72" s="255">
        <f>C70</f>
        <v>2232</v>
      </c>
      <c r="D72" s="742">
        <f>C72/$B$36</f>
        <v>156240</v>
      </c>
      <c r="E72" s="312" t="s">
        <v>5</v>
      </c>
      <c r="F72" s="235" t="str">
        <f>DEC2HEX(D72)</f>
        <v>26250</v>
      </c>
      <c r="G72" s="235" t="s">
        <v>1931</v>
      </c>
      <c r="K72" s="235"/>
      <c r="L72" s="235"/>
    </row>
    <row r="73" spans="2:15" s="235" customFormat="1" ht="17" x14ac:dyDescent="0.45">
      <c r="B73" s="738" t="s">
        <v>1957</v>
      </c>
      <c r="C73" s="734">
        <v>64</v>
      </c>
      <c r="D73" s="733">
        <f>D72/C73</f>
        <v>2441.25</v>
      </c>
      <c r="E73" s="736" t="s">
        <v>5</v>
      </c>
      <c r="F73" s="734" t="str">
        <f>DEC2HEX(D73)</f>
        <v>989</v>
      </c>
      <c r="G73" s="734" t="s">
        <v>1966</v>
      </c>
      <c r="H73" s="735">
        <f>C73*$B$36</f>
        <v>0.91428571428571426</v>
      </c>
      <c r="I73" s="736" t="s">
        <v>1960</v>
      </c>
      <c r="J73" s="734">
        <v>0.05</v>
      </c>
      <c r="K73" s="734" t="s">
        <v>1967</v>
      </c>
      <c r="O73" s="312"/>
    </row>
    <row r="74" spans="2:15" s="235" customFormat="1" x14ac:dyDescent="0.45">
      <c r="O74" s="312"/>
    </row>
    <row r="75" spans="2:15" s="235" customFormat="1" x14ac:dyDescent="0.45">
      <c r="O75" s="312"/>
    </row>
    <row r="76" spans="2:15" s="235" customFormat="1" x14ac:dyDescent="0.45">
      <c r="O76" s="312"/>
    </row>
    <row r="77" spans="2:15" s="235" customFormat="1" x14ac:dyDescent="0.45">
      <c r="O77" s="312"/>
    </row>
    <row r="78" spans="2:15" s="235" customFormat="1" x14ac:dyDescent="0.45">
      <c r="O78" s="312"/>
    </row>
    <row r="79" spans="2:15" s="235" customFormat="1" x14ac:dyDescent="0.45">
      <c r="O79" s="312"/>
    </row>
    <row r="80" spans="2:15" s="235" customFormat="1" x14ac:dyDescent="0.45">
      <c r="O80" s="312"/>
    </row>
    <row r="81" spans="11:15" x14ac:dyDescent="0.45">
      <c r="K81" s="235"/>
      <c r="L81" s="235"/>
    </row>
    <row r="82" spans="11:15" s="235" customFormat="1" x14ac:dyDescent="0.45">
      <c r="O82" s="312"/>
    </row>
    <row r="83" spans="11:15" s="235" customFormat="1" x14ac:dyDescent="0.45">
      <c r="O83" s="312"/>
    </row>
    <row r="84" spans="11:15" s="235" customFormat="1" x14ac:dyDescent="0.45">
      <c r="O84" s="312"/>
    </row>
    <row r="85" spans="11:15" s="235" customFormat="1" x14ac:dyDescent="0.45">
      <c r="O85" s="312"/>
    </row>
    <row r="86" spans="11:15" s="235" customFormat="1" x14ac:dyDescent="0.45">
      <c r="O86" s="312"/>
    </row>
    <row r="87" spans="11:15" s="235" customFormat="1" x14ac:dyDescent="0.45">
      <c r="O87" s="312"/>
    </row>
    <row r="88" spans="11:15" s="235" customFormat="1" x14ac:dyDescent="0.45">
      <c r="O88" s="312"/>
    </row>
    <row r="89" spans="11:15" s="235" customFormat="1" x14ac:dyDescent="0.45">
      <c r="O89" s="312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FB08-F7F6-4C3B-9588-4D220EEA8372}">
  <sheetPr>
    <tabColor rgb="FFFFFF00"/>
  </sheetPr>
  <dimension ref="A2:BC237"/>
  <sheetViews>
    <sheetView showGridLines="0" topLeftCell="A114" zoomScale="85" zoomScaleNormal="85" workbookViewId="0">
      <selection activeCell="AF140" sqref="AF140"/>
    </sheetView>
  </sheetViews>
  <sheetFormatPr defaultRowHeight="17" x14ac:dyDescent="0.45"/>
  <cols>
    <col min="2" max="2" width="27.83203125" style="1" bestFit="1" customWidth="1"/>
    <col min="3" max="3" width="4.25" style="4" customWidth="1"/>
    <col min="4" max="4" width="6.58203125" customWidth="1"/>
    <col min="5" max="5" width="6.5" customWidth="1"/>
    <col min="6" max="7" width="5.58203125" customWidth="1"/>
    <col min="8" max="8" width="6.33203125" customWidth="1"/>
    <col min="9" max="17" width="5.58203125" customWidth="1"/>
    <col min="18" max="19" width="5.33203125" bestFit="1" customWidth="1"/>
    <col min="20" max="20" width="5.58203125" bestFit="1" customWidth="1"/>
    <col min="21" max="21" width="7.6640625" style="8" bestFit="1" customWidth="1"/>
    <col min="22" max="22" width="15.33203125" style="8" customWidth="1"/>
    <col min="23" max="23" width="15.5" style="8" customWidth="1"/>
    <col min="24" max="24" width="13.08203125" style="8" customWidth="1"/>
    <col min="25" max="25" width="12.33203125" customWidth="1"/>
    <col min="26" max="27" width="5.33203125" bestFit="1" customWidth="1"/>
    <col min="28" max="28" width="12.58203125" bestFit="1" customWidth="1"/>
    <col min="29" max="29" width="11.58203125" customWidth="1"/>
    <col min="30" max="30" width="10.75" bestFit="1" customWidth="1"/>
    <col min="31" max="31" width="5.33203125" bestFit="1" customWidth="1"/>
    <col min="32" max="32" width="11.75" bestFit="1" customWidth="1"/>
    <col min="33" max="44" width="5.58203125" customWidth="1"/>
    <col min="45" max="46" width="6.08203125" customWidth="1"/>
  </cols>
  <sheetData>
    <row r="2" spans="2:24" x14ac:dyDescent="0.45">
      <c r="B2" s="625" t="s">
        <v>1460</v>
      </c>
      <c r="D2" s="660" t="s">
        <v>1461</v>
      </c>
      <c r="E2" s="660"/>
      <c r="F2" s="31"/>
      <c r="G2" s="31"/>
      <c r="H2" s="31"/>
      <c r="I2" s="31"/>
      <c r="J2" s="31"/>
      <c r="K2" s="31"/>
      <c r="L2" s="31"/>
      <c r="M2" s="31"/>
    </row>
    <row r="4" spans="2:24" x14ac:dyDescent="0.45">
      <c r="B4" s="625" t="s">
        <v>1458</v>
      </c>
      <c r="D4" s="660" t="s">
        <v>1459</v>
      </c>
      <c r="E4" s="660"/>
      <c r="F4" s="31"/>
      <c r="G4" s="31"/>
      <c r="H4" s="31"/>
      <c r="I4" s="31"/>
      <c r="J4" s="31"/>
      <c r="K4" s="31"/>
      <c r="L4" s="31"/>
      <c r="M4" s="31"/>
    </row>
    <row r="5" spans="2:24" x14ac:dyDescent="0.45"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2:24" x14ac:dyDescent="0.45">
      <c r="B6" s="625" t="s">
        <v>1457</v>
      </c>
      <c r="D6" s="1063" t="s">
        <v>2437</v>
      </c>
      <c r="E6" s="1063"/>
      <c r="F6" s="1063"/>
      <c r="G6" s="626"/>
      <c r="H6" s="626"/>
      <c r="I6" s="626"/>
      <c r="J6" s="626"/>
      <c r="K6" s="626"/>
      <c r="L6" s="626"/>
      <c r="M6" s="626"/>
      <c r="N6" s="626"/>
      <c r="O6" s="626"/>
      <c r="P6" s="626"/>
      <c r="Q6" s="626"/>
      <c r="R6" s="626"/>
      <c r="S6" s="626"/>
      <c r="T6" s="8"/>
    </row>
    <row r="7" spans="2:24" x14ac:dyDescent="0.45">
      <c r="B7" s="2"/>
      <c r="D7" s="1063" t="s">
        <v>2524</v>
      </c>
      <c r="E7" s="1063"/>
      <c r="F7" s="1063"/>
      <c r="G7" s="626"/>
      <c r="H7" s="626"/>
      <c r="I7" s="626"/>
      <c r="J7" s="626"/>
      <c r="K7" s="626"/>
      <c r="L7" s="626"/>
      <c r="M7" s="626"/>
      <c r="N7" s="626"/>
      <c r="O7" s="626"/>
      <c r="P7" s="626"/>
      <c r="Q7" s="626"/>
      <c r="R7" s="626"/>
      <c r="S7" s="626"/>
      <c r="T7" s="8"/>
    </row>
    <row r="8" spans="2:24" x14ac:dyDescent="0.45">
      <c r="D8" s="626" t="s">
        <v>1462</v>
      </c>
      <c r="E8" s="626" t="s">
        <v>1999</v>
      </c>
      <c r="F8" s="626"/>
      <c r="G8" s="627">
        <v>0</v>
      </c>
      <c r="H8" s="626" t="s">
        <v>1464</v>
      </c>
      <c r="I8" s="626"/>
      <c r="J8" s="626"/>
      <c r="K8" s="626"/>
      <c r="L8" s="626"/>
      <c r="M8" s="626"/>
      <c r="N8" s="626"/>
      <c r="O8" s="626"/>
      <c r="P8" s="626"/>
      <c r="Q8" s="626"/>
      <c r="R8" s="626"/>
      <c r="S8" s="626"/>
      <c r="T8" s="8"/>
    </row>
    <row r="9" spans="2:24" x14ac:dyDescent="0.45">
      <c r="D9" s="626"/>
      <c r="E9" s="626"/>
      <c r="F9" s="626"/>
      <c r="G9" s="628">
        <v>1</v>
      </c>
      <c r="H9" s="626" t="s">
        <v>1463</v>
      </c>
      <c r="I9" s="626"/>
      <c r="J9" s="626"/>
      <c r="K9" s="626"/>
      <c r="L9" s="626" t="s">
        <v>1465</v>
      </c>
      <c r="M9" s="626"/>
      <c r="N9" s="626"/>
      <c r="O9" s="626"/>
      <c r="P9" s="626"/>
      <c r="Q9" s="626"/>
      <c r="R9" s="626"/>
      <c r="S9" s="626"/>
      <c r="T9" s="8"/>
    </row>
    <row r="10" spans="2:24" x14ac:dyDescent="0.45">
      <c r="D10" s="626"/>
      <c r="E10" s="626" t="s">
        <v>2363</v>
      </c>
      <c r="F10" s="626"/>
      <c r="G10" s="626"/>
      <c r="H10" s="626"/>
      <c r="I10" s="626"/>
      <c r="J10" s="626"/>
      <c r="K10" s="626"/>
      <c r="L10" s="626"/>
      <c r="M10" s="659"/>
      <c r="N10" s="639"/>
      <c r="O10" s="639"/>
      <c r="P10" s="639"/>
      <c r="Q10" s="639"/>
      <c r="R10" s="639"/>
      <c r="S10" s="639"/>
      <c r="T10" s="8"/>
      <c r="X10" s="1057"/>
    </row>
    <row r="11" spans="2:24" x14ac:dyDescent="0.45">
      <c r="D11" s="626" t="s">
        <v>1466</v>
      </c>
      <c r="E11" s="626" t="s">
        <v>1468</v>
      </c>
      <c r="F11" s="626"/>
      <c r="G11" s="626"/>
      <c r="H11" s="626"/>
      <c r="I11" s="626"/>
      <c r="J11" s="626"/>
      <c r="K11" s="626"/>
      <c r="L11" s="626"/>
      <c r="M11" s="626"/>
      <c r="N11" s="626"/>
      <c r="O11" s="626"/>
      <c r="P11" s="626"/>
      <c r="Q11" s="626"/>
      <c r="R11" s="626"/>
      <c r="S11" s="626"/>
      <c r="T11" s="8"/>
    </row>
    <row r="12" spans="2:24" x14ac:dyDescent="0.45">
      <c r="D12" s="626"/>
      <c r="E12" s="626" t="s">
        <v>1645</v>
      </c>
      <c r="F12" s="626"/>
      <c r="G12" s="626"/>
      <c r="H12" s="626"/>
      <c r="I12" s="626"/>
      <c r="J12" s="626"/>
      <c r="K12" s="626"/>
      <c r="L12" s="626"/>
      <c r="M12" s="630"/>
      <c r="N12" s="631" t="s">
        <v>1484</v>
      </c>
      <c r="O12" s="630"/>
      <c r="P12" s="631" t="s">
        <v>1484</v>
      </c>
      <c r="Q12" s="626"/>
      <c r="R12" s="626"/>
      <c r="S12" s="626"/>
      <c r="T12" s="8"/>
    </row>
    <row r="13" spans="2:24" x14ac:dyDescent="0.45">
      <c r="D13" s="626" t="s">
        <v>1467</v>
      </c>
      <c r="E13" s="626" t="s">
        <v>1485</v>
      </c>
      <c r="F13" s="626"/>
      <c r="G13" s="626"/>
      <c r="H13" s="626"/>
      <c r="I13" s="626"/>
      <c r="J13" s="626"/>
      <c r="K13" s="626"/>
      <c r="L13" s="626"/>
      <c r="M13" s="662" t="s">
        <v>1275</v>
      </c>
      <c r="N13" s="662">
        <v>1</v>
      </c>
      <c r="O13" s="662" t="s">
        <v>1476</v>
      </c>
      <c r="P13" s="662">
        <v>2</v>
      </c>
      <c r="Q13" s="626"/>
      <c r="R13" s="626"/>
      <c r="S13" s="626"/>
      <c r="T13" s="8"/>
    </row>
    <row r="14" spans="2:24" x14ac:dyDescent="0.45">
      <c r="D14" s="626"/>
      <c r="E14" s="626" t="s">
        <v>1646</v>
      </c>
      <c r="F14" s="626"/>
      <c r="G14" s="626"/>
      <c r="H14" s="626"/>
      <c r="I14" s="660" t="s">
        <v>2362</v>
      </c>
      <c r="J14" s="660"/>
      <c r="K14" s="660"/>
      <c r="L14" s="660"/>
      <c r="M14" s="662" t="s">
        <v>1276</v>
      </c>
      <c r="N14" s="662">
        <v>3</v>
      </c>
      <c r="O14" s="662" t="s">
        <v>1477</v>
      </c>
      <c r="P14" s="662">
        <v>4</v>
      </c>
      <c r="Q14" s="660"/>
      <c r="R14" s="660"/>
      <c r="S14" s="660"/>
      <c r="T14" s="8"/>
    </row>
    <row r="15" spans="2:24" x14ac:dyDescent="0.45">
      <c r="D15" s="626"/>
      <c r="E15" s="626"/>
      <c r="F15" s="626"/>
      <c r="G15" s="626"/>
      <c r="H15" s="626"/>
      <c r="I15" s="626"/>
      <c r="J15" s="626"/>
      <c r="K15" s="626"/>
      <c r="L15" s="626"/>
      <c r="M15" s="662" t="s">
        <v>1277</v>
      </c>
      <c r="N15" s="662">
        <v>5</v>
      </c>
      <c r="O15" s="662" t="s">
        <v>1478</v>
      </c>
      <c r="P15" s="662">
        <v>6</v>
      </c>
      <c r="Q15" s="8"/>
      <c r="R15" s="8"/>
      <c r="S15" s="8"/>
      <c r="T15" s="8"/>
    </row>
    <row r="16" spans="2:24" x14ac:dyDescent="0.45">
      <c r="D16" s="448" t="s">
        <v>1467</v>
      </c>
      <c r="E16" s="448" t="s">
        <v>2561</v>
      </c>
      <c r="F16" s="448"/>
      <c r="G16" s="448"/>
      <c r="H16" s="448"/>
      <c r="I16" s="660"/>
      <c r="J16" s="660"/>
      <c r="K16" s="660"/>
      <c r="L16" s="660"/>
      <c r="M16" s="662" t="s">
        <v>1278</v>
      </c>
      <c r="N16" s="662">
        <v>7</v>
      </c>
      <c r="O16" s="662" t="s">
        <v>1479</v>
      </c>
      <c r="P16" s="662">
        <v>8</v>
      </c>
      <c r="Q16" s="8"/>
      <c r="R16" s="8"/>
      <c r="S16" s="8"/>
      <c r="T16" s="8"/>
    </row>
    <row r="17" spans="1:24" x14ac:dyDescent="0.45">
      <c r="D17" s="1"/>
      <c r="E17" s="1"/>
      <c r="F17" s="1"/>
      <c r="G17" s="1"/>
      <c r="H17" s="1"/>
      <c r="M17" s="662" t="s">
        <v>1279</v>
      </c>
      <c r="N17" s="662">
        <v>9</v>
      </c>
      <c r="O17" s="662" t="s">
        <v>1480</v>
      </c>
      <c r="P17" s="662">
        <v>10</v>
      </c>
      <c r="Q17" s="8"/>
      <c r="R17" s="8"/>
      <c r="S17" s="8"/>
      <c r="T17" s="8"/>
    </row>
    <row r="18" spans="1:24" x14ac:dyDescent="0.45">
      <c r="D18" s="1"/>
      <c r="E18" s="1"/>
      <c r="F18" s="1"/>
      <c r="G18" s="1"/>
      <c r="H18" s="1"/>
      <c r="M18" s="662" t="s">
        <v>1469</v>
      </c>
      <c r="N18" s="662">
        <v>11</v>
      </c>
      <c r="O18" s="662" t="s">
        <v>1481</v>
      </c>
      <c r="P18" s="662">
        <v>12</v>
      </c>
      <c r="Q18" s="8"/>
      <c r="R18" s="8"/>
      <c r="S18" s="8"/>
      <c r="T18" s="8"/>
    </row>
    <row r="19" spans="1:24" x14ac:dyDescent="0.45">
      <c r="D19" s="1"/>
      <c r="E19" s="1"/>
      <c r="F19" s="1"/>
      <c r="G19" s="1"/>
      <c r="H19" s="1"/>
      <c r="M19" s="662" t="s">
        <v>1470</v>
      </c>
      <c r="N19" s="662">
        <v>13</v>
      </c>
      <c r="O19" s="662" t="s">
        <v>1482</v>
      </c>
      <c r="P19" s="662">
        <v>14</v>
      </c>
      <c r="Q19" s="8"/>
      <c r="R19" s="8"/>
      <c r="S19" s="8"/>
      <c r="T19" s="8"/>
    </row>
    <row r="20" spans="1:24" x14ac:dyDescent="0.45">
      <c r="D20" s="1"/>
      <c r="E20" s="1"/>
      <c r="F20" s="1"/>
      <c r="G20" s="1"/>
      <c r="H20" s="1"/>
      <c r="M20" s="662" t="s">
        <v>1471</v>
      </c>
      <c r="N20" s="662">
        <v>15</v>
      </c>
      <c r="O20" s="662" t="s">
        <v>1483</v>
      </c>
      <c r="P20" s="662">
        <v>16</v>
      </c>
      <c r="Q20" s="8"/>
      <c r="R20" s="8"/>
      <c r="S20" s="8"/>
      <c r="T20" s="8"/>
    </row>
    <row r="21" spans="1:24" x14ac:dyDescent="0.45">
      <c r="D21" s="1"/>
      <c r="E21" s="1"/>
      <c r="F21" s="1"/>
      <c r="G21" s="1"/>
      <c r="H21" s="1"/>
      <c r="M21" s="662" t="s">
        <v>1472</v>
      </c>
      <c r="N21" s="662">
        <v>17</v>
      </c>
      <c r="O21" s="662" t="s">
        <v>1280</v>
      </c>
      <c r="P21" s="662">
        <v>18</v>
      </c>
      <c r="Q21" s="8"/>
      <c r="R21" s="8"/>
      <c r="S21" s="8"/>
      <c r="T21" s="8"/>
    </row>
    <row r="22" spans="1:24" x14ac:dyDescent="0.45">
      <c r="D22" s="1"/>
      <c r="E22" s="1"/>
      <c r="F22" s="1"/>
      <c r="G22" s="1"/>
      <c r="H22" s="1"/>
      <c r="M22" s="662" t="s">
        <v>1473</v>
      </c>
      <c r="N22" s="662">
        <v>19</v>
      </c>
      <c r="O22" s="662" t="s">
        <v>1281</v>
      </c>
      <c r="P22" s="662">
        <v>20</v>
      </c>
      <c r="Q22" s="8"/>
      <c r="R22" s="8"/>
      <c r="S22" s="8"/>
      <c r="T22" s="8"/>
    </row>
    <row r="23" spans="1:24" x14ac:dyDescent="0.45">
      <c r="D23" s="1"/>
      <c r="E23" s="1"/>
      <c r="F23" s="1"/>
      <c r="G23" s="1"/>
      <c r="H23" s="1"/>
      <c r="M23" s="662" t="s">
        <v>1474</v>
      </c>
      <c r="N23" s="662">
        <v>21</v>
      </c>
      <c r="O23" s="662" t="s">
        <v>1282</v>
      </c>
      <c r="P23" s="662">
        <v>22</v>
      </c>
      <c r="Q23" s="8"/>
      <c r="R23" s="8"/>
      <c r="S23" s="8"/>
      <c r="T23" s="8"/>
    </row>
    <row r="24" spans="1:24" x14ac:dyDescent="0.45">
      <c r="D24" s="1"/>
      <c r="E24" s="1"/>
      <c r="F24" s="1"/>
      <c r="G24" s="1"/>
      <c r="H24" s="1"/>
      <c r="M24" s="662" t="s">
        <v>1475</v>
      </c>
      <c r="N24" s="662">
        <v>23</v>
      </c>
      <c r="O24" s="662" t="s">
        <v>1283</v>
      </c>
      <c r="P24" s="662">
        <v>24</v>
      </c>
      <c r="Q24" s="8"/>
      <c r="R24" s="8"/>
      <c r="S24" s="8"/>
      <c r="T24" s="8"/>
    </row>
    <row r="25" spans="1:24" x14ac:dyDescent="0.45">
      <c r="D25" s="1"/>
      <c r="E25" s="1"/>
      <c r="F25" s="1"/>
      <c r="G25" s="1"/>
      <c r="H25" s="1"/>
      <c r="Q25" s="8"/>
      <c r="R25" s="8"/>
      <c r="S25" s="8"/>
      <c r="T25" s="8"/>
    </row>
    <row r="26" spans="1:24" x14ac:dyDescent="0.45">
      <c r="A26" s="8"/>
      <c r="B26" s="8"/>
      <c r="D26" s="126"/>
      <c r="E26" s="126"/>
      <c r="F26" s="126"/>
      <c r="G26" s="126"/>
      <c r="H26" s="126"/>
      <c r="I26" s="126"/>
      <c r="J26" s="126"/>
      <c r="K26" s="126"/>
      <c r="L26" s="126"/>
      <c r="Q26" s="8"/>
      <c r="R26" s="8"/>
      <c r="S26" s="8"/>
      <c r="T26" s="8"/>
    </row>
    <row r="27" spans="1:24" x14ac:dyDescent="0.45">
      <c r="B27" s="625" t="s">
        <v>1658</v>
      </c>
      <c r="D27" s="626" t="s">
        <v>1494</v>
      </c>
      <c r="E27" s="626"/>
      <c r="F27" s="626"/>
      <c r="G27" s="626"/>
      <c r="H27" s="626"/>
      <c r="I27" s="626"/>
      <c r="J27" s="626"/>
      <c r="K27" s="626"/>
      <c r="L27" s="660"/>
      <c r="M27" s="640"/>
      <c r="Q27" s="8"/>
      <c r="R27" s="8"/>
      <c r="S27" s="8"/>
      <c r="T27" s="8"/>
    </row>
    <row r="28" spans="1:24" x14ac:dyDescent="0.45">
      <c r="B28" s="8"/>
      <c r="D28" s="626" t="s">
        <v>2364</v>
      </c>
      <c r="E28" s="626"/>
      <c r="F28" s="626"/>
      <c r="G28" s="626"/>
      <c r="H28" s="626"/>
      <c r="I28" s="626"/>
      <c r="J28" s="626"/>
      <c r="K28" s="626"/>
      <c r="L28" s="660"/>
      <c r="M28" s="659"/>
      <c r="N28" s="8"/>
      <c r="O28" s="8"/>
      <c r="P28" s="8"/>
      <c r="Q28" s="8"/>
      <c r="R28" s="8"/>
      <c r="S28" s="8"/>
      <c r="T28" s="8"/>
    </row>
    <row r="29" spans="1:24" x14ac:dyDescent="0.45">
      <c r="B29" s="8"/>
      <c r="D29" s="626" t="s">
        <v>2327</v>
      </c>
      <c r="E29" s="626"/>
      <c r="F29" s="626"/>
      <c r="G29" s="626"/>
      <c r="H29" s="626"/>
      <c r="I29" s="626"/>
      <c r="J29" s="626"/>
      <c r="K29" s="626"/>
      <c r="L29" s="660"/>
      <c r="M29" s="659"/>
      <c r="N29" s="8"/>
      <c r="O29" s="8"/>
      <c r="P29" s="8"/>
      <c r="Q29" s="8"/>
      <c r="R29" s="8"/>
      <c r="S29" s="8"/>
      <c r="T29" s="8"/>
    </row>
    <row r="30" spans="1:24" x14ac:dyDescent="0.4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</row>
    <row r="31" spans="1:24" x14ac:dyDescent="0.45">
      <c r="B31" s="625" t="s">
        <v>1659</v>
      </c>
      <c r="D31" s="772" t="s">
        <v>1700</v>
      </c>
      <c r="E31" s="640"/>
      <c r="F31" s="626"/>
      <c r="G31" s="626"/>
      <c r="H31" s="626"/>
      <c r="I31" s="626"/>
      <c r="J31" s="626"/>
      <c r="K31" s="626"/>
      <c r="L31" s="688"/>
      <c r="M31" s="688"/>
      <c r="U31"/>
    </row>
    <row r="32" spans="1:24" s="31" customFormat="1" x14ac:dyDescent="0.45">
      <c r="B32" s="126"/>
      <c r="C32" s="129"/>
      <c r="D32" s="660" t="s">
        <v>2562</v>
      </c>
      <c r="E32" s="660"/>
      <c r="F32" s="626"/>
      <c r="G32" s="626"/>
      <c r="H32" s="626"/>
      <c r="I32" s="626"/>
      <c r="J32" s="626"/>
      <c r="K32" s="626"/>
      <c r="L32" s="772"/>
      <c r="M32" s="688"/>
      <c r="N32"/>
      <c r="O32"/>
      <c r="P32"/>
      <c r="Q32"/>
      <c r="R32"/>
      <c r="S32"/>
      <c r="T32"/>
      <c r="U32"/>
      <c r="V32" s="126"/>
      <c r="W32" s="126"/>
      <c r="X32" s="126"/>
    </row>
    <row r="33" spans="1:21" x14ac:dyDescent="0.45">
      <c r="B33" s="8"/>
      <c r="D33" s="660" t="s">
        <v>2365</v>
      </c>
      <c r="E33" s="660"/>
      <c r="F33" s="626"/>
      <c r="G33" s="626"/>
      <c r="H33" s="626"/>
      <c r="I33" s="627"/>
      <c r="J33" s="640"/>
      <c r="K33" s="626"/>
      <c r="L33" s="772"/>
      <c r="M33" s="688"/>
      <c r="U33"/>
    </row>
    <row r="34" spans="1:21" x14ac:dyDescent="0.45">
      <c r="B34" s="8"/>
      <c r="D34" s="626" t="s">
        <v>2366</v>
      </c>
      <c r="E34" s="659"/>
      <c r="F34" s="688"/>
      <c r="G34" s="688"/>
      <c r="H34" s="688"/>
      <c r="I34" s="688"/>
      <c r="J34" s="688"/>
      <c r="K34" s="688"/>
      <c r="L34" s="688"/>
      <c r="M34" s="688"/>
      <c r="U34"/>
    </row>
    <row r="35" spans="1:21" x14ac:dyDescent="0.45">
      <c r="A35" s="8"/>
      <c r="B35" s="8"/>
      <c r="U35"/>
    </row>
    <row r="36" spans="1:21" x14ac:dyDescent="0.45">
      <c r="A36" s="8"/>
      <c r="B36" s="625" t="s">
        <v>1697</v>
      </c>
      <c r="D36" s="749" t="s">
        <v>2367</v>
      </c>
      <c r="E36" s="626"/>
      <c r="F36" s="660"/>
      <c r="G36" s="659"/>
      <c r="H36" s="126"/>
      <c r="I36" s="126"/>
      <c r="J36" s="126"/>
      <c r="K36" s="126"/>
      <c r="L36" s="126"/>
      <c r="M36" s="126"/>
      <c r="N36" s="8"/>
      <c r="O36" s="8"/>
      <c r="P36" s="8"/>
      <c r="Q36" s="8"/>
      <c r="R36" s="8"/>
      <c r="S36" s="8"/>
      <c r="T36" s="8"/>
    </row>
    <row r="37" spans="1:21" x14ac:dyDescent="0.45">
      <c r="A37" s="8"/>
      <c r="B37" s="8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8"/>
      <c r="O37" s="8"/>
      <c r="P37" s="8"/>
      <c r="Q37" s="8"/>
      <c r="R37" s="8"/>
      <c r="S37" s="8"/>
      <c r="T37" s="8"/>
    </row>
    <row r="38" spans="1:21" x14ac:dyDescent="0.45">
      <c r="B38" s="625" t="s">
        <v>1486</v>
      </c>
      <c r="D38" s="626" t="s">
        <v>1487</v>
      </c>
      <c r="E38" s="626" t="s">
        <v>2334</v>
      </c>
      <c r="F38" s="660"/>
      <c r="G38" s="659"/>
      <c r="H38" s="126"/>
      <c r="I38" s="126"/>
      <c r="J38" s="126"/>
      <c r="K38" s="126"/>
      <c r="L38" s="126"/>
      <c r="M38" s="126"/>
      <c r="N38" s="8"/>
      <c r="O38" s="8"/>
      <c r="P38" s="8"/>
      <c r="Q38" s="8"/>
      <c r="R38" s="8"/>
      <c r="S38" s="8"/>
      <c r="T38" s="8"/>
    </row>
    <row r="39" spans="1:21" x14ac:dyDescent="0.45">
      <c r="B39" s="126"/>
      <c r="C39" s="129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8"/>
      <c r="O39" s="8"/>
      <c r="P39" s="8"/>
      <c r="Q39" s="8"/>
      <c r="R39" s="8"/>
      <c r="S39" s="8"/>
      <c r="T39" s="8"/>
    </row>
    <row r="40" spans="1:21" x14ac:dyDescent="0.45">
      <c r="B40" s="625" t="s">
        <v>1489</v>
      </c>
      <c r="D40" s="626" t="s">
        <v>2585</v>
      </c>
      <c r="E40" s="626"/>
      <c r="F40" s="626"/>
      <c r="G40" s="626"/>
      <c r="H40" s="626"/>
      <c r="I40" s="626"/>
      <c r="J40" s="626"/>
      <c r="K40" s="626"/>
      <c r="L40" s="626"/>
      <c r="M40" s="626"/>
      <c r="N40" s="8"/>
      <c r="O40" s="8"/>
      <c r="P40" s="8"/>
      <c r="Q40" s="8"/>
      <c r="R40" s="8"/>
      <c r="S40" s="8"/>
      <c r="T40" s="8"/>
    </row>
    <row r="41" spans="1:21" x14ac:dyDescent="0.45">
      <c r="B41"/>
      <c r="D41" s="626" t="s">
        <v>1492</v>
      </c>
      <c r="E41" s="626"/>
      <c r="F41" s="626"/>
      <c r="G41" s="626"/>
      <c r="H41" s="626"/>
      <c r="I41" s="626"/>
      <c r="J41" s="626"/>
      <c r="K41" s="626"/>
      <c r="L41" s="626"/>
      <c r="M41" s="626"/>
      <c r="N41" s="8"/>
      <c r="O41" s="8"/>
      <c r="P41" s="8"/>
      <c r="Q41" s="8"/>
      <c r="R41" s="8"/>
      <c r="S41" s="8"/>
      <c r="T41" s="8"/>
    </row>
    <row r="42" spans="1:21" x14ac:dyDescent="0.45">
      <c r="B42"/>
      <c r="D42" s="626" t="s">
        <v>1491</v>
      </c>
      <c r="E42" s="626"/>
      <c r="F42" s="626"/>
      <c r="G42" s="626"/>
      <c r="H42" s="626"/>
      <c r="I42" s="626"/>
      <c r="J42" s="626"/>
      <c r="K42" s="626"/>
      <c r="L42" s="626"/>
      <c r="M42" s="626"/>
      <c r="N42" s="8"/>
      <c r="O42" s="8"/>
      <c r="P42" s="8"/>
      <c r="Q42" s="8"/>
      <c r="R42" s="8"/>
      <c r="S42" s="8"/>
      <c r="T42" s="8"/>
    </row>
    <row r="43" spans="1:21" x14ac:dyDescent="0.45">
      <c r="B43"/>
      <c r="D43" s="626" t="s">
        <v>1490</v>
      </c>
      <c r="E43" s="626"/>
      <c r="F43" s="626"/>
      <c r="G43" s="626"/>
      <c r="H43" s="626"/>
      <c r="I43" s="626"/>
      <c r="J43" s="626"/>
      <c r="K43" s="626"/>
      <c r="L43" s="626"/>
      <c r="M43" s="626"/>
      <c r="N43" s="8"/>
      <c r="O43" s="8"/>
      <c r="P43" s="8"/>
      <c r="Q43" s="8"/>
      <c r="R43" s="8"/>
      <c r="S43" s="8"/>
      <c r="T43" s="8"/>
    </row>
    <row r="44" spans="1:21" x14ac:dyDescent="0.45">
      <c r="B44"/>
      <c r="D44" s="626" t="s">
        <v>2368</v>
      </c>
      <c r="E44" s="626"/>
      <c r="F44" s="626"/>
      <c r="G44" s="626"/>
      <c r="H44" s="626"/>
      <c r="I44" s="626"/>
      <c r="J44" s="626"/>
      <c r="K44" s="626"/>
      <c r="L44" s="626"/>
      <c r="M44" s="626"/>
      <c r="N44" s="8"/>
      <c r="O44" s="8"/>
      <c r="P44" s="8"/>
      <c r="Q44" s="8"/>
      <c r="R44" s="8"/>
      <c r="S44" s="8"/>
      <c r="T44" s="8"/>
    </row>
    <row r="45" spans="1:21" x14ac:dyDescent="0.45">
      <c r="B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1" x14ac:dyDescent="0.45">
      <c r="B46" s="625" t="s">
        <v>1516</v>
      </c>
      <c r="D46" s="660" t="s">
        <v>1517</v>
      </c>
      <c r="E46" s="640"/>
      <c r="F46" s="660"/>
      <c r="G46" s="626"/>
      <c r="H46" s="626"/>
      <c r="I46" s="626"/>
      <c r="J46" s="626"/>
      <c r="K46" s="626"/>
      <c r="L46" s="626"/>
      <c r="M46" s="626"/>
      <c r="N46" s="8"/>
      <c r="O46" s="8"/>
      <c r="P46" s="8"/>
      <c r="Q46" s="8"/>
      <c r="R46" s="8"/>
      <c r="S46" s="8"/>
      <c r="T46" s="8"/>
    </row>
    <row r="47" spans="1:21" x14ac:dyDescent="0.45">
      <c r="A47" s="8"/>
      <c r="B47" s="8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8"/>
      <c r="O47" s="8"/>
      <c r="P47" s="8"/>
      <c r="Q47" s="8"/>
      <c r="R47" s="8"/>
      <c r="S47" s="8"/>
      <c r="T47" s="8"/>
    </row>
    <row r="48" spans="1:21" x14ac:dyDescent="0.45">
      <c r="B48" s="978" t="s">
        <v>1488</v>
      </c>
      <c r="D48" s="448" t="s">
        <v>2435</v>
      </c>
      <c r="E48" s="930"/>
      <c r="F48" s="930"/>
      <c r="G48" s="930"/>
      <c r="H48" s="930"/>
      <c r="I48" s="930"/>
      <c r="J48" s="930"/>
      <c r="K48" s="930"/>
      <c r="L48" s="930"/>
      <c r="M48" s="930"/>
      <c r="N48" s="8"/>
      <c r="O48" s="8"/>
      <c r="P48" s="8"/>
      <c r="Q48" s="8"/>
      <c r="R48" s="8"/>
      <c r="S48" s="8"/>
      <c r="T48" s="8"/>
    </row>
    <row r="49" spans="2:20" x14ac:dyDescent="0.45">
      <c r="B49"/>
      <c r="D49" s="997" t="s">
        <v>1647</v>
      </c>
      <c r="E49" s="979"/>
      <c r="F49" s="979"/>
      <c r="G49" s="448"/>
      <c r="H49" s="448"/>
      <c r="I49" s="448"/>
      <c r="J49" s="448"/>
      <c r="K49" s="448"/>
      <c r="L49" s="448"/>
      <c r="M49" s="448"/>
      <c r="N49" s="8"/>
      <c r="O49" s="8"/>
      <c r="P49" s="8"/>
      <c r="Q49" s="8"/>
      <c r="R49" s="8"/>
      <c r="S49" s="8"/>
      <c r="T49" s="8"/>
    </row>
    <row r="50" spans="2:20" x14ac:dyDescent="0.45">
      <c r="N50" s="8"/>
      <c r="O50" s="8"/>
      <c r="P50" s="8"/>
      <c r="Q50" s="8"/>
      <c r="R50" s="8"/>
      <c r="S50" s="8"/>
    </row>
    <row r="51" spans="2:20" x14ac:dyDescent="0.45">
      <c r="B51" s="625" t="s">
        <v>1525</v>
      </c>
      <c r="D51" s="872" t="s">
        <v>1850</v>
      </c>
      <c r="E51" s="872"/>
      <c r="F51" s="872" t="s">
        <v>35</v>
      </c>
      <c r="G51" s="872"/>
      <c r="H51" s="872"/>
      <c r="I51" s="872"/>
      <c r="J51" s="872"/>
      <c r="K51" s="872"/>
      <c r="L51" s="872"/>
      <c r="M51" s="872"/>
      <c r="N51" s="8"/>
      <c r="O51" s="8"/>
      <c r="P51" s="8"/>
      <c r="Q51" s="8"/>
      <c r="R51" s="8"/>
      <c r="S51" s="8"/>
      <c r="T51" s="8"/>
    </row>
    <row r="52" spans="2:20" x14ac:dyDescent="0.45">
      <c r="D52" s="660" t="s">
        <v>1582</v>
      </c>
      <c r="E52" s="660"/>
      <c r="F52" s="660" t="s">
        <v>1526</v>
      </c>
      <c r="G52" s="660"/>
      <c r="H52" s="660"/>
      <c r="I52" s="640"/>
      <c r="J52" s="640"/>
      <c r="K52" s="640"/>
      <c r="L52" s="640"/>
      <c r="M52" s="640"/>
      <c r="N52" s="8"/>
      <c r="O52" s="8"/>
      <c r="P52" s="8"/>
      <c r="Q52" s="8"/>
      <c r="R52" s="8"/>
      <c r="S52" s="8"/>
      <c r="T52" s="8"/>
    </row>
    <row r="53" spans="2:20" x14ac:dyDescent="0.45">
      <c r="D53" s="660" t="s">
        <v>2329</v>
      </c>
      <c r="E53" s="660"/>
      <c r="F53" s="660" t="s">
        <v>2370</v>
      </c>
      <c r="G53" s="660"/>
      <c r="H53" s="660"/>
      <c r="I53" s="640"/>
      <c r="J53" s="640"/>
      <c r="K53" s="640"/>
      <c r="L53" s="640"/>
      <c r="M53" s="640"/>
      <c r="N53" s="8"/>
      <c r="O53" s="8"/>
      <c r="P53" s="8"/>
      <c r="Q53" s="8"/>
      <c r="R53" s="8"/>
      <c r="S53" s="8"/>
      <c r="T53" s="8"/>
    </row>
    <row r="54" spans="2:20" x14ac:dyDescent="0.45">
      <c r="D54" s="660" t="s">
        <v>2329</v>
      </c>
      <c r="E54" s="660"/>
      <c r="F54" s="660" t="s">
        <v>1998</v>
      </c>
      <c r="G54" s="660"/>
      <c r="H54" s="660"/>
      <c r="I54" s="640"/>
      <c r="J54" s="640"/>
      <c r="K54" s="640"/>
      <c r="L54" s="640"/>
      <c r="M54" s="640"/>
      <c r="N54" s="8"/>
      <c r="O54" s="8"/>
      <c r="P54" s="8"/>
      <c r="Q54" s="8"/>
      <c r="R54" s="8"/>
      <c r="S54" s="8"/>
      <c r="T54" s="8"/>
    </row>
    <row r="55" spans="2:20" x14ac:dyDescent="0.45">
      <c r="D55" s="660" t="s">
        <v>1527</v>
      </c>
      <c r="E55" s="660"/>
      <c r="F55" s="660" t="s">
        <v>2369</v>
      </c>
      <c r="G55" s="660"/>
      <c r="H55" s="660"/>
      <c r="I55" s="640"/>
      <c r="J55" s="640"/>
      <c r="K55" s="640"/>
      <c r="L55" s="640"/>
      <c r="M55" s="640"/>
      <c r="N55" s="8"/>
      <c r="O55" s="8"/>
      <c r="P55" s="8"/>
      <c r="Q55" s="8"/>
      <c r="R55" s="8"/>
      <c r="S55" s="8"/>
      <c r="T55" s="8"/>
    </row>
    <row r="56" spans="2:20" x14ac:dyDescent="0.45">
      <c r="D56" s="752" t="s">
        <v>1706</v>
      </c>
      <c r="E56" s="660"/>
      <c r="F56" s="660"/>
      <c r="G56" s="660"/>
      <c r="H56" s="660"/>
      <c r="I56" s="640"/>
      <c r="J56" s="640"/>
      <c r="K56" s="640"/>
      <c r="L56" s="640"/>
      <c r="M56" s="640"/>
      <c r="N56" s="8"/>
      <c r="O56" s="8"/>
      <c r="P56" s="8"/>
      <c r="Q56" s="8"/>
      <c r="R56" s="8"/>
      <c r="S56" s="8"/>
      <c r="T56" s="8"/>
    </row>
    <row r="58" spans="2:20" x14ac:dyDescent="0.45">
      <c r="B58" s="625" t="s">
        <v>304</v>
      </c>
      <c r="C58" s="1256" t="s">
        <v>305</v>
      </c>
      <c r="D58" s="1257"/>
      <c r="E58" s="1257"/>
      <c r="F58" s="1257"/>
      <c r="G58" s="1257"/>
      <c r="H58" s="1257"/>
      <c r="I58" s="1257"/>
      <c r="J58" s="1257"/>
      <c r="K58" s="1257"/>
      <c r="L58" s="1257"/>
      <c r="M58" s="1257"/>
      <c r="N58" s="1257"/>
      <c r="O58" s="1257"/>
      <c r="P58" s="1257"/>
      <c r="Q58" s="1257"/>
      <c r="R58" s="1257"/>
      <c r="S58" s="1258"/>
    </row>
    <row r="59" spans="2:20" ht="17.5" thickBot="1" x14ac:dyDescent="0.5">
      <c r="B59" s="2"/>
    </row>
    <row r="60" spans="2:20" x14ac:dyDescent="0.45">
      <c r="B60" s="2" t="s">
        <v>306</v>
      </c>
      <c r="D60" s="33" t="s">
        <v>271</v>
      </c>
      <c r="E60" s="35" t="s">
        <v>281</v>
      </c>
      <c r="F60" s="33" t="s">
        <v>282</v>
      </c>
      <c r="G60" s="34" t="s">
        <v>283</v>
      </c>
      <c r="H60" s="34" t="s">
        <v>256</v>
      </c>
      <c r="I60" s="34" t="s">
        <v>257</v>
      </c>
      <c r="J60" s="34" t="s">
        <v>25</v>
      </c>
      <c r="K60" s="34" t="s">
        <v>26</v>
      </c>
      <c r="L60" s="34" t="s">
        <v>27</v>
      </c>
      <c r="M60" s="35" t="s">
        <v>28</v>
      </c>
      <c r="N60" s="41" t="s">
        <v>29</v>
      </c>
      <c r="O60" s="34" t="s">
        <v>30</v>
      </c>
      <c r="P60" s="34" t="s">
        <v>31</v>
      </c>
      <c r="Q60" s="34" t="s">
        <v>32</v>
      </c>
      <c r="R60" s="34" t="s">
        <v>33</v>
      </c>
      <c r="S60" s="35" t="s">
        <v>34</v>
      </c>
    </row>
    <row r="61" spans="2:20" ht="17.5" thickBot="1" x14ac:dyDescent="0.5">
      <c r="B61" s="2"/>
      <c r="D61" s="1253" t="s">
        <v>307</v>
      </c>
      <c r="E61" s="1255"/>
      <c r="F61" s="1253" t="s">
        <v>308</v>
      </c>
      <c r="G61" s="1254"/>
      <c r="H61" s="1254"/>
      <c r="I61" s="1254"/>
      <c r="J61" s="1254"/>
      <c r="K61" s="1254"/>
      <c r="L61" s="1254"/>
      <c r="M61" s="1255"/>
      <c r="N61" s="1254" t="s">
        <v>309</v>
      </c>
      <c r="O61" s="1254"/>
      <c r="P61" s="1254"/>
      <c r="Q61" s="1254"/>
      <c r="R61" s="1254"/>
      <c r="S61" s="1255"/>
    </row>
    <row r="62" spans="2:20" x14ac:dyDescent="0.45">
      <c r="B62" s="2" t="s">
        <v>310</v>
      </c>
      <c r="D62" s="8">
        <v>0</v>
      </c>
      <c r="E62" s="8">
        <v>1</v>
      </c>
      <c r="F62" s="1259" t="s">
        <v>311</v>
      </c>
      <c r="G62" s="1259"/>
      <c r="H62" s="1259"/>
      <c r="I62" s="1259"/>
      <c r="J62" s="1259"/>
      <c r="K62" s="1259"/>
      <c r="L62" s="1259"/>
      <c r="M62" s="1259"/>
      <c r="N62" s="1260" t="s">
        <v>312</v>
      </c>
      <c r="O62" s="1260"/>
      <c r="P62" s="1260"/>
      <c r="Q62" s="1260"/>
      <c r="R62" s="1260"/>
      <c r="S62" s="1260"/>
    </row>
    <row r="63" spans="2:20" x14ac:dyDescent="0.45">
      <c r="B63" s="2" t="s">
        <v>313</v>
      </c>
      <c r="D63" s="8">
        <v>1</v>
      </c>
      <c r="E63" s="8">
        <v>0</v>
      </c>
      <c r="F63" s="1259" t="s">
        <v>311</v>
      </c>
      <c r="G63" s="1259"/>
      <c r="H63" s="1259"/>
      <c r="I63" s="1259"/>
      <c r="J63" s="1259"/>
      <c r="K63" s="1259"/>
      <c r="L63" s="1259"/>
      <c r="M63" s="1259"/>
      <c r="N63" s="1259" t="s">
        <v>312</v>
      </c>
      <c r="O63" s="1259"/>
      <c r="P63" s="1259"/>
      <c r="Q63" s="1259"/>
      <c r="R63" s="1259"/>
      <c r="S63" s="1259"/>
    </row>
    <row r="64" spans="2:20" x14ac:dyDescent="0.45">
      <c r="B64" s="2" t="s">
        <v>314</v>
      </c>
      <c r="D64" s="8">
        <v>1</v>
      </c>
      <c r="E64" s="8">
        <v>1</v>
      </c>
      <c r="F64" s="1259" t="s">
        <v>315</v>
      </c>
      <c r="G64" s="1259"/>
      <c r="H64" s="1259"/>
      <c r="I64" s="1259"/>
      <c r="J64" s="1259"/>
      <c r="K64" s="1259"/>
      <c r="L64" s="1259"/>
      <c r="M64" s="1259"/>
      <c r="N64" s="1259" t="s">
        <v>316</v>
      </c>
      <c r="O64" s="1259"/>
      <c r="P64" s="1259"/>
      <c r="Q64" s="1259"/>
      <c r="R64" s="1259"/>
      <c r="S64" s="1259"/>
    </row>
    <row r="65" spans="2:30" x14ac:dyDescent="0.45">
      <c r="B65" s="2"/>
      <c r="D65" s="628">
        <v>1</v>
      </c>
      <c r="E65" s="628">
        <v>1</v>
      </c>
      <c r="F65" s="626"/>
      <c r="G65" s="626"/>
      <c r="H65" s="626"/>
      <c r="I65" s="626"/>
      <c r="J65" s="1261" t="s">
        <v>2171</v>
      </c>
      <c r="K65" s="1262"/>
      <c r="L65" s="1262"/>
      <c r="M65" s="1262"/>
      <c r="N65" s="1262"/>
      <c r="O65" s="1262"/>
      <c r="P65" s="1262"/>
      <c r="Q65" s="1262"/>
      <c r="R65" s="1262"/>
      <c r="S65" s="1263"/>
      <c r="T65" s="660" t="s">
        <v>1997</v>
      </c>
      <c r="U65" s="660"/>
      <c r="V65" s="660"/>
      <c r="W65" s="660"/>
      <c r="X65" s="660"/>
      <c r="Y65" s="660"/>
    </row>
    <row r="66" spans="2:30" ht="17.5" thickBot="1" x14ac:dyDescent="0.5">
      <c r="B66" s="2"/>
    </row>
    <row r="67" spans="2:30" x14ac:dyDescent="0.45">
      <c r="B67" s="2" t="s">
        <v>317</v>
      </c>
      <c r="D67" s="33" t="s">
        <v>271</v>
      </c>
      <c r="E67" s="34" t="s">
        <v>281</v>
      </c>
      <c r="F67" s="34" t="s">
        <v>282</v>
      </c>
      <c r="G67" s="34" t="s">
        <v>283</v>
      </c>
      <c r="H67" s="34" t="s">
        <v>256</v>
      </c>
      <c r="I67" s="34" t="s">
        <v>257</v>
      </c>
      <c r="J67" s="34" t="s">
        <v>25</v>
      </c>
      <c r="K67" s="34" t="s">
        <v>26</v>
      </c>
      <c r="L67" s="34" t="s">
        <v>27</v>
      </c>
      <c r="M67" s="34" t="s">
        <v>28</v>
      </c>
      <c r="N67" s="34" t="s">
        <v>29</v>
      </c>
      <c r="O67" s="34" t="s">
        <v>30</v>
      </c>
      <c r="P67" s="34" t="s">
        <v>31</v>
      </c>
      <c r="Q67" s="34" t="s">
        <v>32</v>
      </c>
      <c r="R67" s="34" t="s">
        <v>33</v>
      </c>
      <c r="S67" s="35" t="s">
        <v>34</v>
      </c>
    </row>
    <row r="68" spans="2:30" ht="17.5" thickBot="1" x14ac:dyDescent="0.5">
      <c r="B68" s="2"/>
      <c r="D68" s="1253" t="s">
        <v>318</v>
      </c>
      <c r="E68" s="1254"/>
      <c r="F68" s="1254"/>
      <c r="G68" s="1254"/>
      <c r="H68" s="1254"/>
      <c r="I68" s="1254"/>
      <c r="J68" s="1254"/>
      <c r="K68" s="1254"/>
      <c r="L68" s="1254"/>
      <c r="M68" s="1254"/>
      <c r="N68" s="1254"/>
      <c r="O68" s="1254"/>
      <c r="P68" s="1254"/>
      <c r="Q68" s="1254"/>
      <c r="R68" s="1254"/>
      <c r="S68" s="1255"/>
    </row>
    <row r="69" spans="2:30" x14ac:dyDescent="0.45">
      <c r="B69" s="2"/>
    </row>
    <row r="70" spans="2:30" x14ac:dyDescent="0.45">
      <c r="B70" s="2" t="s">
        <v>319</v>
      </c>
      <c r="D70" s="773" t="s">
        <v>320</v>
      </c>
      <c r="E70" s="773"/>
      <c r="F70" s="773"/>
      <c r="G70" s="773"/>
      <c r="H70" s="773"/>
      <c r="I70" s="773"/>
      <c r="J70" s="773"/>
      <c r="K70" s="773"/>
      <c r="L70" s="773" t="s">
        <v>1403</v>
      </c>
    </row>
    <row r="71" spans="2:30" x14ac:dyDescent="0.45">
      <c r="B71" s="2"/>
      <c r="D71" s="773" t="s">
        <v>321</v>
      </c>
      <c r="E71" s="773"/>
      <c r="F71" s="773"/>
      <c r="G71" s="773"/>
      <c r="H71" s="773"/>
      <c r="I71" s="773"/>
      <c r="J71" s="773"/>
      <c r="K71" s="626"/>
      <c r="L71" s="773" t="s">
        <v>1403</v>
      </c>
    </row>
    <row r="72" spans="2:30" x14ac:dyDescent="0.45">
      <c r="B72" s="2"/>
      <c r="D72" s="773" t="s">
        <v>320</v>
      </c>
      <c r="E72" s="773"/>
      <c r="F72" s="773"/>
      <c r="G72" s="773"/>
      <c r="H72" s="773"/>
      <c r="I72" s="773"/>
      <c r="J72" s="773"/>
      <c r="K72" s="626"/>
      <c r="L72" s="773" t="s">
        <v>1403</v>
      </c>
    </row>
    <row r="73" spans="2:30" x14ac:dyDescent="0.45">
      <c r="B73" s="2"/>
      <c r="D73" s="773" t="s">
        <v>1404</v>
      </c>
      <c r="E73" s="626"/>
      <c r="F73" s="626"/>
      <c r="G73" s="626"/>
      <c r="H73" s="626"/>
      <c r="I73" s="626"/>
      <c r="J73" s="626"/>
      <c r="K73" s="626"/>
      <c r="L73" s="629" t="s">
        <v>1499</v>
      </c>
      <c r="M73" s="626" t="s">
        <v>2371</v>
      </c>
      <c r="N73" s="626"/>
      <c r="O73" s="626"/>
      <c r="P73" s="626"/>
      <c r="Q73" s="773"/>
      <c r="R73" s="640" t="s">
        <v>1504</v>
      </c>
      <c r="S73" s="660"/>
      <c r="T73" s="660"/>
      <c r="U73" s="659"/>
      <c r="V73" s="659"/>
      <c r="W73" s="639"/>
      <c r="X73" s="639"/>
      <c r="Y73" s="640"/>
    </row>
    <row r="75" spans="2:30" x14ac:dyDescent="0.45">
      <c r="B75" s="30" t="s">
        <v>1493</v>
      </c>
      <c r="C75" s="1264" t="s">
        <v>245</v>
      </c>
      <c r="D75" s="1265"/>
      <c r="E75" s="1265"/>
      <c r="F75" s="1265"/>
      <c r="G75" s="1265"/>
      <c r="H75" s="1265"/>
      <c r="I75" s="1265"/>
      <c r="J75" s="1265"/>
      <c r="K75" s="1265"/>
      <c r="L75" s="1265"/>
      <c r="M75" s="1265"/>
      <c r="N75" s="1265"/>
      <c r="O75" s="1265"/>
      <c r="P75" s="1265"/>
      <c r="Q75" s="1265"/>
      <c r="R75" s="1265"/>
      <c r="S75" s="1265"/>
      <c r="T75" s="1265"/>
      <c r="U75" s="1265"/>
      <c r="V75" s="1265"/>
      <c r="W75" s="1265"/>
      <c r="X75" s="1265"/>
      <c r="Y75" s="1265"/>
      <c r="Z75" s="1265"/>
      <c r="AA75" s="1265"/>
      <c r="AB75" s="1265"/>
      <c r="AC75" s="1265"/>
      <c r="AD75" s="60"/>
    </row>
    <row r="76" spans="2:30" ht="17.5" thickBot="1" x14ac:dyDescent="0.5">
      <c r="B76" s="2"/>
      <c r="D76" s="8"/>
      <c r="E76" s="8"/>
      <c r="F76" s="32"/>
      <c r="G76" s="8"/>
      <c r="H76" s="8"/>
      <c r="I76" s="3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Y76" s="8"/>
      <c r="Z76" s="8"/>
      <c r="AA76" s="8"/>
      <c r="AC76" s="1"/>
      <c r="AD76" s="1"/>
    </row>
    <row r="77" spans="2:30" x14ac:dyDescent="0.45">
      <c r="B77" s="2"/>
      <c r="D77" s="33" t="s">
        <v>246</v>
      </c>
      <c r="E77" s="34" t="s">
        <v>247</v>
      </c>
      <c r="F77" s="34" t="s">
        <v>248</v>
      </c>
      <c r="G77" s="35" t="s">
        <v>249</v>
      </c>
      <c r="H77" s="33" t="s">
        <v>250</v>
      </c>
      <c r="I77" s="34" t="s">
        <v>251</v>
      </c>
      <c r="J77" s="34" t="s">
        <v>252</v>
      </c>
      <c r="K77" s="34" t="s">
        <v>253</v>
      </c>
      <c r="L77" s="34" t="s">
        <v>254</v>
      </c>
      <c r="M77" s="35" t="s">
        <v>255</v>
      </c>
      <c r="N77" s="33" t="s">
        <v>256</v>
      </c>
      <c r="O77" s="34" t="s">
        <v>257</v>
      </c>
      <c r="P77" s="34" t="s">
        <v>25</v>
      </c>
      <c r="Q77" s="34" t="s">
        <v>26</v>
      </c>
      <c r="R77" s="34" t="s">
        <v>27</v>
      </c>
      <c r="S77" s="34" t="s">
        <v>28</v>
      </c>
      <c r="T77" s="34" t="s">
        <v>29</v>
      </c>
      <c r="U77" s="34" t="s">
        <v>30</v>
      </c>
      <c r="V77" s="34" t="s">
        <v>31</v>
      </c>
      <c r="W77" s="34" t="s">
        <v>32</v>
      </c>
      <c r="X77" s="34" t="s">
        <v>33</v>
      </c>
      <c r="Y77" s="35" t="s">
        <v>34</v>
      </c>
      <c r="Z77" s="1"/>
      <c r="AA77" s="1"/>
      <c r="AB77" s="1"/>
      <c r="AC77" s="1"/>
      <c r="AD77" s="1"/>
    </row>
    <row r="78" spans="2:30" ht="17.5" thickBot="1" x14ac:dyDescent="0.5">
      <c r="B78" s="633" t="s">
        <v>258</v>
      </c>
      <c r="D78" s="774" t="s">
        <v>259</v>
      </c>
      <c r="E78" s="1266" t="s">
        <v>260</v>
      </c>
      <c r="F78" s="1267"/>
      <c r="G78" s="1268"/>
      <c r="H78" s="1253" t="s">
        <v>261</v>
      </c>
      <c r="I78" s="1254"/>
      <c r="J78" s="1254"/>
      <c r="K78" s="1254"/>
      <c r="L78" s="1254"/>
      <c r="M78" s="1255"/>
      <c r="N78" s="1253" t="s">
        <v>262</v>
      </c>
      <c r="O78" s="1254"/>
      <c r="P78" s="1254"/>
      <c r="Q78" s="1254"/>
      <c r="R78" s="1254"/>
      <c r="S78" s="1254"/>
      <c r="T78" s="1254"/>
      <c r="U78" s="1254"/>
      <c r="V78" s="1254"/>
      <c r="W78" s="1254"/>
      <c r="X78" s="1254"/>
      <c r="Y78" s="1255"/>
      <c r="Z78" s="1"/>
      <c r="AA78" s="1"/>
      <c r="AB78" s="1"/>
      <c r="AC78" s="1"/>
      <c r="AD78" s="1"/>
    </row>
    <row r="79" spans="2:30" ht="17.5" thickBot="1" x14ac:dyDescent="0.5">
      <c r="B79" s="109" t="s">
        <v>263</v>
      </c>
      <c r="D79" s="126">
        <v>1</v>
      </c>
      <c r="E79" s="126">
        <v>1</v>
      </c>
      <c r="F79" s="126">
        <v>0</v>
      </c>
      <c r="G79" s="126">
        <v>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Y79" s="8"/>
      <c r="Z79" s="8"/>
      <c r="AA79" s="8"/>
      <c r="AC79" s="1"/>
      <c r="AD79" s="1"/>
    </row>
    <row r="80" spans="2:30" x14ac:dyDescent="0.45">
      <c r="B80" s="109"/>
      <c r="D80" s="775" t="s">
        <v>264</v>
      </c>
      <c r="E80" s="776" t="s">
        <v>265</v>
      </c>
      <c r="F80" s="776" t="s">
        <v>266</v>
      </c>
      <c r="G80" s="777" t="s">
        <v>267</v>
      </c>
      <c r="H80" s="41" t="s">
        <v>268</v>
      </c>
      <c r="I80" s="34" t="s">
        <v>30</v>
      </c>
      <c r="J80" s="34" t="s">
        <v>31</v>
      </c>
      <c r="K80" s="34" t="s">
        <v>32</v>
      </c>
      <c r="L80" s="34" t="s">
        <v>33</v>
      </c>
      <c r="M80" s="35" t="s">
        <v>34</v>
      </c>
      <c r="N80" s="8"/>
      <c r="O80" s="8"/>
      <c r="P80" s="8"/>
      <c r="Q80" s="8"/>
      <c r="R80" s="8"/>
      <c r="S80" s="8"/>
      <c r="T80" s="8"/>
      <c r="Y80" s="8"/>
      <c r="Z80" s="8"/>
      <c r="AA80" s="8"/>
      <c r="AC80" s="42"/>
      <c r="AD80" s="42"/>
    </row>
    <row r="81" spans="2:48" ht="17.5" thickBot="1" x14ac:dyDescent="0.5">
      <c r="B81" s="633" t="s">
        <v>258</v>
      </c>
      <c r="D81" s="774" t="s">
        <v>259</v>
      </c>
      <c r="E81" s="1269" t="s">
        <v>260</v>
      </c>
      <c r="F81" s="1269"/>
      <c r="G81" s="1270"/>
      <c r="H81" s="1271" t="s">
        <v>261</v>
      </c>
      <c r="I81" s="1272"/>
      <c r="J81" s="1272"/>
      <c r="K81" s="1272"/>
      <c r="L81" s="1272"/>
      <c r="M81" s="1273"/>
      <c r="N81" s="8"/>
      <c r="O81" s="8"/>
      <c r="P81" s="8"/>
      <c r="Q81" s="8"/>
      <c r="R81" s="8"/>
      <c r="S81" s="8"/>
      <c r="T81" s="8"/>
      <c r="Y81" s="8"/>
      <c r="Z81" s="8"/>
      <c r="AA81" s="8"/>
      <c r="AC81" s="42"/>
      <c r="AD81" s="42"/>
    </row>
    <row r="82" spans="2:48" ht="17.5" thickBot="1" x14ac:dyDescent="0.5">
      <c r="B82" s="109" t="s">
        <v>269</v>
      </c>
      <c r="D82" s="126">
        <v>1</v>
      </c>
      <c r="E82" s="126">
        <v>1</v>
      </c>
      <c r="F82" s="126">
        <v>1</v>
      </c>
      <c r="G82" s="126">
        <v>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Y82" s="8"/>
      <c r="Z82" s="8"/>
      <c r="AA82" s="8"/>
      <c r="AC82" s="42"/>
      <c r="AD82" s="42"/>
    </row>
    <row r="83" spans="2:48" x14ac:dyDescent="0.45">
      <c r="B83" s="109"/>
      <c r="D83" s="775" t="s">
        <v>247</v>
      </c>
      <c r="E83" s="776" t="s">
        <v>248</v>
      </c>
      <c r="F83" s="776" t="s">
        <v>249</v>
      </c>
      <c r="G83" s="777" t="s">
        <v>250</v>
      </c>
      <c r="H83" s="33" t="s">
        <v>270</v>
      </c>
      <c r="I83" s="34" t="s">
        <v>271</v>
      </c>
      <c r="J83" s="34" t="s">
        <v>253</v>
      </c>
      <c r="K83" s="34" t="s">
        <v>254</v>
      </c>
      <c r="L83" s="35" t="s">
        <v>255</v>
      </c>
      <c r="M83" s="41" t="s">
        <v>256</v>
      </c>
      <c r="N83" s="34" t="s">
        <v>257</v>
      </c>
      <c r="O83" s="34" t="s">
        <v>25</v>
      </c>
      <c r="P83" s="34" t="s">
        <v>26</v>
      </c>
      <c r="Q83" s="34" t="s">
        <v>27</v>
      </c>
      <c r="R83" s="34" t="s">
        <v>28</v>
      </c>
      <c r="S83" s="34" t="s">
        <v>29</v>
      </c>
      <c r="T83" s="34" t="s">
        <v>30</v>
      </c>
      <c r="U83" s="34" t="s">
        <v>31</v>
      </c>
      <c r="V83" s="34" t="s">
        <v>32</v>
      </c>
      <c r="W83" s="34" t="s">
        <v>33</v>
      </c>
      <c r="X83" s="35" t="s">
        <v>34</v>
      </c>
      <c r="Y83" s="8"/>
      <c r="Z83" s="8"/>
      <c r="AA83" s="8"/>
      <c r="AC83" s="42"/>
      <c r="AD83" s="42"/>
    </row>
    <row r="84" spans="2:48" ht="17.5" thickBot="1" x14ac:dyDescent="0.5">
      <c r="B84" s="633" t="s">
        <v>272</v>
      </c>
      <c r="D84" s="774" t="s">
        <v>259</v>
      </c>
      <c r="E84" s="1269" t="s">
        <v>260</v>
      </c>
      <c r="F84" s="1269"/>
      <c r="G84" s="1270"/>
      <c r="H84" s="1278" t="s">
        <v>273</v>
      </c>
      <c r="I84" s="1279"/>
      <c r="J84" s="1279"/>
      <c r="K84" s="1279"/>
      <c r="L84" s="1280"/>
      <c r="M84" s="1281" t="s">
        <v>262</v>
      </c>
      <c r="N84" s="1282"/>
      <c r="O84" s="1282"/>
      <c r="P84" s="1282"/>
      <c r="Q84" s="1282"/>
      <c r="R84" s="1282"/>
      <c r="S84" s="1282"/>
      <c r="T84" s="1282"/>
      <c r="U84" s="1282"/>
      <c r="V84" s="1282"/>
      <c r="W84" s="1282"/>
      <c r="X84" s="1283"/>
      <c r="Y84" s="8"/>
      <c r="Z84" s="8"/>
      <c r="AA84" s="8"/>
      <c r="AC84" s="42"/>
      <c r="AD84" s="42"/>
    </row>
    <row r="85" spans="2:48" ht="17.5" thickBot="1" x14ac:dyDescent="0.5">
      <c r="B85" s="109" t="s">
        <v>274</v>
      </c>
      <c r="D85" s="126">
        <v>1</v>
      </c>
      <c r="E85" s="126">
        <v>1</v>
      </c>
      <c r="F85" s="126">
        <v>1</v>
      </c>
      <c r="G85" s="126">
        <v>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Y85" s="8"/>
      <c r="Z85" s="8"/>
      <c r="AA85" s="8"/>
      <c r="AC85" s="42"/>
      <c r="AD85" s="42"/>
    </row>
    <row r="86" spans="2:48" x14ac:dyDescent="0.45">
      <c r="B86" s="109"/>
      <c r="D86" s="641" t="s">
        <v>275</v>
      </c>
      <c r="E86" s="642" t="s">
        <v>276</v>
      </c>
      <c r="F86" s="642" t="s">
        <v>246</v>
      </c>
      <c r="G86" s="643" t="s">
        <v>277</v>
      </c>
      <c r="H86" s="641" t="s">
        <v>278</v>
      </c>
      <c r="I86" s="642" t="s">
        <v>279</v>
      </c>
      <c r="J86" s="642" t="s">
        <v>280</v>
      </c>
      <c r="K86" s="642" t="s">
        <v>270</v>
      </c>
      <c r="L86" s="642" t="s">
        <v>271</v>
      </c>
      <c r="M86" s="642" t="s">
        <v>281</v>
      </c>
      <c r="N86" s="642" t="s">
        <v>282</v>
      </c>
      <c r="O86" s="642" t="s">
        <v>283</v>
      </c>
      <c r="P86" s="642" t="s">
        <v>256</v>
      </c>
      <c r="Q86" s="643" t="s">
        <v>257</v>
      </c>
      <c r="R86" s="641" t="s">
        <v>25</v>
      </c>
      <c r="S86" s="642" t="s">
        <v>26</v>
      </c>
      <c r="T86" s="642" t="s">
        <v>27</v>
      </c>
      <c r="U86" s="642" t="s">
        <v>28</v>
      </c>
      <c r="V86" s="642" t="s">
        <v>29</v>
      </c>
      <c r="W86" s="642" t="s">
        <v>30</v>
      </c>
      <c r="X86" s="642" t="s">
        <v>31</v>
      </c>
      <c r="Y86" s="642" t="s">
        <v>32</v>
      </c>
      <c r="Z86" s="642" t="s">
        <v>33</v>
      </c>
      <c r="AA86" s="643" t="s">
        <v>34</v>
      </c>
      <c r="AB86" s="640" t="s">
        <v>1403</v>
      </c>
      <c r="AC86" s="778"/>
      <c r="AD86" s="778"/>
      <c r="AE86" s="778"/>
      <c r="AF86" s="778"/>
      <c r="AG86" s="778"/>
      <c r="AH86" s="778"/>
      <c r="AI86" s="778"/>
      <c r="AJ86" s="778"/>
      <c r="AK86" s="778"/>
      <c r="AL86" s="778"/>
      <c r="AM86" s="778"/>
      <c r="AN86" s="778"/>
      <c r="AO86" s="778"/>
      <c r="AP86" s="778"/>
      <c r="AQ86" s="778"/>
      <c r="AR86" s="778"/>
      <c r="AS86" s="778"/>
      <c r="AT86" s="778"/>
      <c r="AU86" s="778"/>
      <c r="AV86" s="639"/>
    </row>
    <row r="87" spans="2:48" ht="17.5" thickBot="1" x14ac:dyDescent="0.5">
      <c r="B87" s="633" t="s">
        <v>258</v>
      </c>
      <c r="D87" s="644" t="s">
        <v>259</v>
      </c>
      <c r="E87" s="645" t="s">
        <v>260</v>
      </c>
      <c r="F87" s="645"/>
      <c r="G87" s="646"/>
      <c r="H87" s="1277" t="s">
        <v>284</v>
      </c>
      <c r="I87" s="1275"/>
      <c r="J87" s="1275"/>
      <c r="K87" s="1275"/>
      <c r="L87" s="1275"/>
      <c r="M87" s="1275"/>
      <c r="N87" s="1275"/>
      <c r="O87" s="1275"/>
      <c r="P87" s="1275"/>
      <c r="Q87" s="1276"/>
      <c r="R87" s="1277" t="s">
        <v>285</v>
      </c>
      <c r="S87" s="1275"/>
      <c r="T87" s="1275"/>
      <c r="U87" s="1275"/>
      <c r="V87" s="1275"/>
      <c r="W87" s="1275"/>
      <c r="X87" s="1275"/>
      <c r="Y87" s="1275"/>
      <c r="Z87" s="1275"/>
      <c r="AA87" s="1276"/>
      <c r="AB87" s="660"/>
      <c r="AC87" s="779"/>
      <c r="AD87" s="779"/>
      <c r="AE87" s="779"/>
      <c r="AF87" s="779"/>
      <c r="AG87" s="779"/>
      <c r="AH87" s="779"/>
      <c r="AI87" s="779"/>
      <c r="AJ87" s="779"/>
      <c r="AK87" s="779"/>
      <c r="AL87" s="779"/>
      <c r="AM87" s="779"/>
      <c r="AN87" s="779"/>
      <c r="AO87" s="779"/>
      <c r="AP87" s="779"/>
      <c r="AQ87" s="779"/>
      <c r="AR87" s="779"/>
      <c r="AS87" s="778"/>
      <c r="AT87" s="778"/>
      <c r="AU87" s="778"/>
      <c r="AV87" s="639"/>
    </row>
    <row r="88" spans="2:48" ht="17.5" thickBot="1" x14ac:dyDescent="0.5">
      <c r="B88" s="109" t="s">
        <v>1495</v>
      </c>
      <c r="D88" s="659">
        <v>1</v>
      </c>
      <c r="E88" s="659">
        <v>1</v>
      </c>
      <c r="F88" s="659">
        <v>1</v>
      </c>
      <c r="G88" s="659">
        <v>1</v>
      </c>
      <c r="H88" s="659"/>
      <c r="I88" s="659"/>
      <c r="J88" s="659"/>
      <c r="K88" s="659"/>
      <c r="L88" s="659"/>
      <c r="M88" s="659"/>
      <c r="N88" s="659"/>
      <c r="O88" s="659"/>
      <c r="P88" s="659"/>
      <c r="Q88" s="659"/>
      <c r="R88" s="659"/>
      <c r="S88" s="659"/>
      <c r="T88" s="659"/>
      <c r="U88" s="659"/>
      <c r="V88" s="659"/>
      <c r="W88" s="659"/>
      <c r="X88" s="659"/>
      <c r="Y88" s="659"/>
      <c r="Z88" s="659"/>
      <c r="AA88" s="659"/>
      <c r="AB88" s="660"/>
      <c r="AC88" s="779"/>
      <c r="AD88" s="779"/>
      <c r="AE88" s="779"/>
      <c r="AF88" s="779"/>
      <c r="AG88" s="779"/>
      <c r="AH88" s="779"/>
      <c r="AI88" s="779"/>
      <c r="AJ88" s="779"/>
      <c r="AK88" s="779"/>
      <c r="AL88" s="779"/>
      <c r="AM88" s="779"/>
      <c r="AN88" s="779"/>
      <c r="AO88" s="779"/>
      <c r="AP88" s="779"/>
      <c r="AQ88" s="779"/>
      <c r="AR88" s="779"/>
      <c r="AS88" s="778"/>
      <c r="AT88" s="778"/>
      <c r="AU88" s="778"/>
      <c r="AV88" s="639"/>
    </row>
    <row r="89" spans="2:48" x14ac:dyDescent="0.45">
      <c r="B89" s="109"/>
      <c r="D89" s="780" t="s">
        <v>286</v>
      </c>
      <c r="E89" s="635" t="s">
        <v>275</v>
      </c>
      <c r="F89" s="635" t="s">
        <v>276</v>
      </c>
      <c r="G89" s="636" t="s">
        <v>246</v>
      </c>
      <c r="H89" s="781" t="s">
        <v>277</v>
      </c>
      <c r="I89" s="635" t="s">
        <v>278</v>
      </c>
      <c r="J89" s="635" t="s">
        <v>279</v>
      </c>
      <c r="K89" s="635" t="s">
        <v>280</v>
      </c>
      <c r="L89" s="635" t="s">
        <v>270</v>
      </c>
      <c r="M89" s="635" t="s">
        <v>271</v>
      </c>
      <c r="N89" s="635" t="s">
        <v>281</v>
      </c>
      <c r="O89" s="635" t="s">
        <v>282</v>
      </c>
      <c r="P89" s="635" t="s">
        <v>283</v>
      </c>
      <c r="Q89" s="782" t="s">
        <v>256</v>
      </c>
      <c r="R89" s="780" t="s">
        <v>257</v>
      </c>
      <c r="S89" s="635" t="s">
        <v>25</v>
      </c>
      <c r="T89" s="635" t="s">
        <v>26</v>
      </c>
      <c r="U89" s="635" t="s">
        <v>27</v>
      </c>
      <c r="V89" s="635" t="s">
        <v>28</v>
      </c>
      <c r="W89" s="635" t="s">
        <v>29</v>
      </c>
      <c r="X89" s="635" t="s">
        <v>30</v>
      </c>
      <c r="Y89" s="635" t="s">
        <v>31</v>
      </c>
      <c r="Z89" s="635" t="s">
        <v>32</v>
      </c>
      <c r="AA89" s="635" t="s">
        <v>33</v>
      </c>
      <c r="AB89" s="636" t="s">
        <v>34</v>
      </c>
      <c r="AC89" s="640" t="s">
        <v>1403</v>
      </c>
      <c r="AD89" s="640"/>
      <c r="AE89" s="640"/>
      <c r="AF89" s="640"/>
      <c r="AG89" s="640"/>
      <c r="AH89" s="640"/>
      <c r="AI89" s="640"/>
      <c r="AJ89" s="640"/>
      <c r="AK89" s="640"/>
      <c r="AL89" s="640"/>
      <c r="AM89" s="640"/>
      <c r="AN89" s="640"/>
      <c r="AO89" s="640"/>
      <c r="AP89" s="640"/>
      <c r="AQ89" s="640"/>
      <c r="AR89" s="640"/>
      <c r="AS89" s="778"/>
      <c r="AT89" s="778"/>
      <c r="AU89" s="778"/>
      <c r="AV89" s="639"/>
    </row>
    <row r="90" spans="2:48" ht="17.5" thickBot="1" x14ac:dyDescent="0.5">
      <c r="B90" s="633" t="s">
        <v>258</v>
      </c>
      <c r="D90" s="783" t="s">
        <v>259</v>
      </c>
      <c r="E90" s="645" t="s">
        <v>260</v>
      </c>
      <c r="F90" s="645"/>
      <c r="G90" s="646"/>
      <c r="H90" s="1275" t="s">
        <v>284</v>
      </c>
      <c r="I90" s="1275"/>
      <c r="J90" s="1275"/>
      <c r="K90" s="1275"/>
      <c r="L90" s="1275"/>
      <c r="M90" s="1275"/>
      <c r="N90" s="1275"/>
      <c r="O90" s="1275"/>
      <c r="P90" s="1275"/>
      <c r="Q90" s="1275"/>
      <c r="R90" s="1277" t="s">
        <v>287</v>
      </c>
      <c r="S90" s="1275"/>
      <c r="T90" s="1275"/>
      <c r="U90" s="1275"/>
      <c r="V90" s="1275"/>
      <c r="W90" s="1275"/>
      <c r="X90" s="1275"/>
      <c r="Y90" s="1275"/>
      <c r="Z90" s="1275"/>
      <c r="AA90" s="1275"/>
      <c r="AB90" s="1276"/>
      <c r="AC90" s="779"/>
      <c r="AD90" s="779"/>
      <c r="AE90" s="779"/>
      <c r="AF90" s="779"/>
      <c r="AG90" s="779"/>
      <c r="AH90" s="779"/>
      <c r="AI90" s="779"/>
      <c r="AJ90" s="779"/>
      <c r="AK90" s="779"/>
      <c r="AL90" s="779"/>
      <c r="AM90" s="779"/>
      <c r="AN90" s="779"/>
      <c r="AO90" s="779"/>
      <c r="AP90" s="779"/>
      <c r="AQ90" s="779"/>
      <c r="AR90" s="779"/>
      <c r="AS90" s="778"/>
      <c r="AT90" s="778"/>
      <c r="AU90" s="778"/>
      <c r="AV90" s="639"/>
    </row>
    <row r="91" spans="2:48" ht="17.5" thickBot="1" x14ac:dyDescent="0.5">
      <c r="B91" s="109" t="s">
        <v>1496</v>
      </c>
      <c r="D91" s="659">
        <v>1</v>
      </c>
      <c r="E91" s="659">
        <v>1</v>
      </c>
      <c r="F91" s="659">
        <v>1</v>
      </c>
      <c r="G91" s="659">
        <v>1</v>
      </c>
      <c r="H91" s="639"/>
      <c r="I91" s="639"/>
      <c r="J91" s="639"/>
      <c r="K91" s="639"/>
      <c r="L91" s="639"/>
      <c r="M91" s="639"/>
      <c r="N91" s="639"/>
      <c r="O91" s="639"/>
      <c r="P91" s="639"/>
      <c r="Q91" s="639"/>
      <c r="R91" s="639"/>
      <c r="S91" s="639"/>
      <c r="T91" s="639"/>
      <c r="U91" s="639"/>
      <c r="V91" s="639"/>
      <c r="W91" s="639"/>
      <c r="X91" s="639"/>
      <c r="Y91" s="639"/>
      <c r="Z91" s="639"/>
      <c r="AA91" s="639"/>
      <c r="AB91" s="640"/>
      <c r="AC91" s="779"/>
      <c r="AD91" s="779"/>
      <c r="AE91" s="779"/>
      <c r="AF91" s="779"/>
      <c r="AG91" s="779"/>
      <c r="AH91" s="779"/>
      <c r="AI91" s="779"/>
      <c r="AJ91" s="779"/>
      <c r="AK91" s="779"/>
      <c r="AL91" s="779"/>
      <c r="AM91" s="779"/>
      <c r="AN91" s="779"/>
      <c r="AO91" s="779"/>
      <c r="AP91" s="779"/>
      <c r="AQ91" s="779"/>
      <c r="AR91" s="779"/>
      <c r="AS91" s="778"/>
      <c r="AT91" s="778"/>
      <c r="AU91" s="778"/>
      <c r="AV91" s="639"/>
    </row>
    <row r="92" spans="2:48" x14ac:dyDescent="0.45">
      <c r="B92" s="109"/>
      <c r="D92" s="780" t="s">
        <v>288</v>
      </c>
      <c r="E92" s="635" t="s">
        <v>286</v>
      </c>
      <c r="F92" s="635" t="s">
        <v>275</v>
      </c>
      <c r="G92" s="636" t="s">
        <v>276</v>
      </c>
      <c r="H92" s="781" t="s">
        <v>246</v>
      </c>
      <c r="I92" s="635" t="s">
        <v>277</v>
      </c>
      <c r="J92" s="635" t="s">
        <v>278</v>
      </c>
      <c r="K92" s="635" t="s">
        <v>279</v>
      </c>
      <c r="L92" s="635" t="s">
        <v>280</v>
      </c>
      <c r="M92" s="635" t="s">
        <v>270</v>
      </c>
      <c r="N92" s="635" t="s">
        <v>271</v>
      </c>
      <c r="O92" s="635" t="s">
        <v>281</v>
      </c>
      <c r="P92" s="635" t="s">
        <v>282</v>
      </c>
      <c r="Q92" s="782" t="s">
        <v>283</v>
      </c>
      <c r="R92" s="780" t="s">
        <v>256</v>
      </c>
      <c r="S92" s="635" t="s">
        <v>257</v>
      </c>
      <c r="T92" s="635" t="s">
        <v>25</v>
      </c>
      <c r="U92" s="635" t="s">
        <v>26</v>
      </c>
      <c r="V92" s="635" t="s">
        <v>27</v>
      </c>
      <c r="W92" s="635" t="s">
        <v>28</v>
      </c>
      <c r="X92" s="635" t="s">
        <v>29</v>
      </c>
      <c r="Y92" s="635" t="s">
        <v>30</v>
      </c>
      <c r="Z92" s="635" t="s">
        <v>31</v>
      </c>
      <c r="AA92" s="635" t="s">
        <v>32</v>
      </c>
      <c r="AB92" s="635" t="s">
        <v>33</v>
      </c>
      <c r="AC92" s="636" t="s">
        <v>34</v>
      </c>
      <c r="AD92" s="640" t="s">
        <v>1403</v>
      </c>
      <c r="AE92" s="640"/>
      <c r="AF92" s="640"/>
      <c r="AG92" s="640"/>
      <c r="AH92" s="640"/>
      <c r="AI92" s="640"/>
      <c r="AJ92" s="640"/>
      <c r="AK92" s="640"/>
      <c r="AL92" s="640"/>
      <c r="AM92" s="640"/>
      <c r="AN92" s="640"/>
      <c r="AO92" s="640"/>
      <c r="AP92" s="640"/>
      <c r="AQ92" s="640"/>
      <c r="AR92" s="640"/>
      <c r="AS92" s="778"/>
      <c r="AT92" s="778"/>
      <c r="AU92" s="778"/>
      <c r="AV92" s="639"/>
    </row>
    <row r="93" spans="2:48" ht="17.5" thickBot="1" x14ac:dyDescent="0.5">
      <c r="B93" s="633" t="s">
        <v>258</v>
      </c>
      <c r="D93" s="783" t="s">
        <v>259</v>
      </c>
      <c r="E93" s="645" t="s">
        <v>260</v>
      </c>
      <c r="F93" s="645"/>
      <c r="G93" s="646"/>
      <c r="H93" s="1275" t="s">
        <v>284</v>
      </c>
      <c r="I93" s="1275"/>
      <c r="J93" s="1275"/>
      <c r="K93" s="1275"/>
      <c r="L93" s="1275"/>
      <c r="M93" s="1275"/>
      <c r="N93" s="1275"/>
      <c r="O93" s="1275"/>
      <c r="P93" s="1275"/>
      <c r="Q93" s="1275"/>
      <c r="R93" s="1277" t="s">
        <v>289</v>
      </c>
      <c r="S93" s="1275"/>
      <c r="T93" s="1275"/>
      <c r="U93" s="1275"/>
      <c r="V93" s="1275"/>
      <c r="W93" s="1275"/>
      <c r="X93" s="1275"/>
      <c r="Y93" s="1275"/>
      <c r="Z93" s="1275"/>
      <c r="AA93" s="1275"/>
      <c r="AB93" s="1275"/>
      <c r="AC93" s="1276"/>
      <c r="AD93" s="659"/>
      <c r="AE93" s="659"/>
      <c r="AF93" s="659"/>
      <c r="AG93" s="659"/>
      <c r="AH93" s="659"/>
      <c r="AI93" s="659"/>
      <c r="AJ93" s="659"/>
      <c r="AK93" s="659"/>
      <c r="AL93" s="659"/>
      <c r="AM93" s="659"/>
      <c r="AN93" s="659"/>
      <c r="AO93" s="660" t="s">
        <v>1508</v>
      </c>
      <c r="AP93" s="659"/>
      <c r="AQ93" s="659"/>
      <c r="AR93" s="659"/>
      <c r="AS93" s="778"/>
      <c r="AT93" s="778"/>
      <c r="AU93" s="778"/>
      <c r="AV93" s="639"/>
    </row>
    <row r="94" spans="2:48" ht="17.5" thickBot="1" x14ac:dyDescent="0.5">
      <c r="B94" s="109" t="s">
        <v>1497</v>
      </c>
      <c r="D94" s="659">
        <v>1</v>
      </c>
      <c r="E94" s="659">
        <v>1</v>
      </c>
      <c r="F94" s="659">
        <v>1</v>
      </c>
      <c r="G94" s="659">
        <v>1</v>
      </c>
      <c r="H94" s="639"/>
      <c r="I94" s="639"/>
      <c r="J94" s="639"/>
      <c r="K94" s="639"/>
      <c r="L94" s="639"/>
      <c r="M94" s="639"/>
      <c r="N94" s="639"/>
      <c r="O94" s="639"/>
      <c r="P94" s="639"/>
      <c r="Q94" s="639"/>
      <c r="R94" s="639"/>
      <c r="S94" s="639"/>
      <c r="T94" s="639"/>
      <c r="U94" s="639"/>
      <c r="V94" s="639"/>
      <c r="W94" s="639"/>
      <c r="X94" s="639"/>
      <c r="Y94" s="639"/>
      <c r="Z94" s="639"/>
      <c r="AA94" s="639"/>
      <c r="AB94" s="640"/>
      <c r="AC94" s="779"/>
      <c r="AD94" s="779"/>
      <c r="AE94" s="779"/>
      <c r="AF94" s="779"/>
      <c r="AG94" s="779"/>
      <c r="AH94" s="779"/>
      <c r="AI94" s="779"/>
      <c r="AJ94" s="779"/>
      <c r="AK94" s="779"/>
      <c r="AL94" s="779"/>
      <c r="AM94" s="779"/>
      <c r="AN94" s="779"/>
      <c r="AO94" s="779"/>
      <c r="AP94" s="779"/>
      <c r="AQ94" s="779"/>
      <c r="AR94" s="779"/>
      <c r="AS94" s="778"/>
      <c r="AT94" s="778"/>
      <c r="AU94" s="778"/>
      <c r="AV94" s="639"/>
    </row>
    <row r="95" spans="2:48" ht="17.5" thickBot="1" x14ac:dyDescent="0.5">
      <c r="B95" s="109"/>
      <c r="D95" s="647" t="s">
        <v>278</v>
      </c>
      <c r="E95" s="648" t="s">
        <v>279</v>
      </c>
      <c r="F95" s="648" t="s">
        <v>280</v>
      </c>
      <c r="G95" s="649" t="s">
        <v>270</v>
      </c>
      <c r="H95" s="650" t="s">
        <v>271</v>
      </c>
      <c r="I95" s="648" t="s">
        <v>281</v>
      </c>
      <c r="J95" s="648" t="s">
        <v>282</v>
      </c>
      <c r="K95" s="648" t="s">
        <v>283</v>
      </c>
      <c r="L95" s="648" t="s">
        <v>256</v>
      </c>
      <c r="M95" s="648" t="s">
        <v>257</v>
      </c>
      <c r="N95" s="648" t="s">
        <v>25</v>
      </c>
      <c r="O95" s="648" t="s">
        <v>26</v>
      </c>
      <c r="P95" s="648" t="s">
        <v>27</v>
      </c>
      <c r="Q95" s="648" t="s">
        <v>28</v>
      </c>
      <c r="R95" s="648" t="s">
        <v>29</v>
      </c>
      <c r="S95" s="648" t="s">
        <v>30</v>
      </c>
      <c r="T95" s="648" t="s">
        <v>31</v>
      </c>
      <c r="U95" s="648" t="s">
        <v>32</v>
      </c>
      <c r="V95" s="648" t="s">
        <v>33</v>
      </c>
      <c r="W95" s="649" t="s">
        <v>34</v>
      </c>
      <c r="X95" s="639"/>
      <c r="Y95" s="753" t="s">
        <v>288</v>
      </c>
      <c r="Z95" s="754" t="s">
        <v>286</v>
      </c>
      <c r="AA95" s="754" t="s">
        <v>275</v>
      </c>
      <c r="AB95" s="755" t="s">
        <v>276</v>
      </c>
      <c r="AC95" s="642" t="s">
        <v>256</v>
      </c>
      <c r="AD95" s="642" t="s">
        <v>257</v>
      </c>
      <c r="AE95" s="642" t="s">
        <v>25</v>
      </c>
      <c r="AF95" s="642" t="s">
        <v>26</v>
      </c>
      <c r="AG95" s="642" t="s">
        <v>27</v>
      </c>
      <c r="AH95" s="642" t="s">
        <v>28</v>
      </c>
      <c r="AI95" s="642" t="s">
        <v>29</v>
      </c>
      <c r="AJ95" s="642" t="s">
        <v>30</v>
      </c>
      <c r="AK95" s="642" t="s">
        <v>31</v>
      </c>
      <c r="AL95" s="642" t="s">
        <v>32</v>
      </c>
      <c r="AM95" s="642" t="s">
        <v>33</v>
      </c>
      <c r="AN95" s="643" t="s">
        <v>34</v>
      </c>
      <c r="AO95" s="660" t="s">
        <v>1505</v>
      </c>
      <c r="AP95" s="660"/>
      <c r="AQ95" s="660"/>
      <c r="AR95" s="660"/>
      <c r="AS95" s="778"/>
      <c r="AT95" s="778"/>
      <c r="AU95" s="778"/>
      <c r="AV95" s="639"/>
    </row>
    <row r="96" spans="2:48" ht="17.5" thickBot="1" x14ac:dyDescent="0.5">
      <c r="B96" s="633" t="s">
        <v>258</v>
      </c>
      <c r="D96" s="784" t="s">
        <v>259</v>
      </c>
      <c r="E96" s="785" t="s">
        <v>260</v>
      </c>
      <c r="F96" s="785"/>
      <c r="G96" s="786"/>
      <c r="H96" s="1284" t="s">
        <v>290</v>
      </c>
      <c r="I96" s="1284"/>
      <c r="J96" s="1284"/>
      <c r="K96" s="1284"/>
      <c r="L96" s="1284"/>
      <c r="M96" s="1284"/>
      <c r="N96" s="1284"/>
      <c r="O96" s="1284"/>
      <c r="P96" s="1284"/>
      <c r="Q96" s="1284"/>
      <c r="R96" s="1284"/>
      <c r="S96" s="1284"/>
      <c r="T96" s="1284"/>
      <c r="U96" s="1284"/>
      <c r="V96" s="1284"/>
      <c r="W96" s="1285"/>
      <c r="X96" s="639"/>
      <c r="Y96" s="756" t="s">
        <v>259</v>
      </c>
      <c r="Z96" s="1286" t="s">
        <v>260</v>
      </c>
      <c r="AA96" s="1287"/>
      <c r="AB96" s="1288"/>
      <c r="AC96" s="1277" t="s">
        <v>1409</v>
      </c>
      <c r="AD96" s="1275"/>
      <c r="AE96" s="1275"/>
      <c r="AF96" s="1275"/>
      <c r="AG96" s="1275"/>
      <c r="AH96" s="1275"/>
      <c r="AI96" s="1275"/>
      <c r="AJ96" s="1275"/>
      <c r="AK96" s="1275"/>
      <c r="AL96" s="1275"/>
      <c r="AM96" s="1275"/>
      <c r="AN96" s="1276"/>
      <c r="AO96" s="660"/>
      <c r="AP96" s="660"/>
      <c r="AQ96" s="660"/>
      <c r="AR96" s="660"/>
      <c r="AS96" s="778"/>
      <c r="AT96" s="778"/>
      <c r="AU96" s="778"/>
      <c r="AV96" s="639"/>
    </row>
    <row r="97" spans="2:55" ht="17.5" thickBot="1" x14ac:dyDescent="0.5">
      <c r="B97" s="109" t="s">
        <v>1498</v>
      </c>
      <c r="D97" s="659">
        <v>1</v>
      </c>
      <c r="E97" s="659">
        <v>1</v>
      </c>
      <c r="F97" s="659">
        <v>1</v>
      </c>
      <c r="G97" s="659">
        <v>1</v>
      </c>
      <c r="H97" s="639"/>
      <c r="I97" s="639"/>
      <c r="J97" s="639"/>
      <c r="K97" s="639"/>
      <c r="L97" s="639"/>
      <c r="M97" s="639"/>
      <c r="N97" s="639"/>
      <c r="O97" s="639"/>
      <c r="P97" s="639"/>
      <c r="Q97" s="639"/>
      <c r="R97" s="639"/>
      <c r="S97" s="639"/>
      <c r="T97" s="639"/>
      <c r="U97" s="639"/>
      <c r="V97" s="639"/>
      <c r="W97" s="639"/>
      <c r="X97" s="639"/>
      <c r="Y97" s="628">
        <v>1</v>
      </c>
      <c r="Z97" s="628">
        <v>1</v>
      </c>
      <c r="AA97" s="628">
        <v>1</v>
      </c>
      <c r="AB97" s="628">
        <v>1</v>
      </c>
      <c r="AC97" s="659"/>
      <c r="AD97" s="659"/>
      <c r="AE97" s="659"/>
      <c r="AF97" s="659"/>
      <c r="AG97" s="659"/>
      <c r="AH97" s="659"/>
      <c r="AI97" s="659"/>
      <c r="AJ97" s="659"/>
      <c r="AK97" s="659"/>
      <c r="AL97" s="659"/>
      <c r="AM97" s="659"/>
      <c r="AN97" s="659"/>
      <c r="AO97" s="659"/>
      <c r="AP97" s="659"/>
      <c r="AQ97" s="660"/>
      <c r="AR97" s="660"/>
      <c r="AS97" s="778"/>
      <c r="AT97" s="778"/>
      <c r="AU97" s="778"/>
      <c r="AV97" s="639"/>
    </row>
    <row r="98" spans="2:55" x14ac:dyDescent="0.45">
      <c r="B98" s="109"/>
      <c r="D98" s="775" t="s">
        <v>265</v>
      </c>
      <c r="E98" s="776" t="s">
        <v>266</v>
      </c>
      <c r="F98" s="776" t="s">
        <v>267</v>
      </c>
      <c r="G98" s="777" t="s">
        <v>268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641" t="s">
        <v>288</v>
      </c>
      <c r="Z98" s="642" t="s">
        <v>286</v>
      </c>
      <c r="AA98" s="642" t="s">
        <v>275</v>
      </c>
      <c r="AB98" s="643" t="s">
        <v>276</v>
      </c>
      <c r="AC98" s="642" t="s">
        <v>282</v>
      </c>
      <c r="AD98" s="642" t="s">
        <v>283</v>
      </c>
      <c r="AE98" s="642" t="s">
        <v>256</v>
      </c>
      <c r="AF98" s="642" t="s">
        <v>257</v>
      </c>
      <c r="AG98" s="642" t="s">
        <v>25</v>
      </c>
      <c r="AH98" s="642" t="s">
        <v>26</v>
      </c>
      <c r="AI98" s="642" t="s">
        <v>27</v>
      </c>
      <c r="AJ98" s="642" t="s">
        <v>28</v>
      </c>
      <c r="AK98" s="642" t="s">
        <v>29</v>
      </c>
      <c r="AL98" s="642" t="s">
        <v>30</v>
      </c>
      <c r="AM98" s="642" t="s">
        <v>31</v>
      </c>
      <c r="AN98" s="642" t="s">
        <v>32</v>
      </c>
      <c r="AO98" s="642" t="s">
        <v>33</v>
      </c>
      <c r="AP98" s="643" t="s">
        <v>34</v>
      </c>
      <c r="AQ98" s="660" t="s">
        <v>1506</v>
      </c>
      <c r="AR98" s="660"/>
      <c r="AS98" s="778"/>
      <c r="AT98" s="778"/>
      <c r="AU98" s="778"/>
      <c r="AV98" s="639"/>
    </row>
    <row r="99" spans="2:55" ht="17.5" thickBot="1" x14ac:dyDescent="0.5">
      <c r="B99" s="633" t="s">
        <v>258</v>
      </c>
      <c r="D99" s="774" t="s">
        <v>259</v>
      </c>
      <c r="E99" s="1269" t="s">
        <v>260</v>
      </c>
      <c r="F99" s="1269"/>
      <c r="G99" s="127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644" t="s">
        <v>259</v>
      </c>
      <c r="Z99" s="1274" t="s">
        <v>260</v>
      </c>
      <c r="AA99" s="1275"/>
      <c r="AB99" s="1276"/>
      <c r="AC99" s="1277" t="s">
        <v>1410</v>
      </c>
      <c r="AD99" s="1275"/>
      <c r="AE99" s="1275"/>
      <c r="AF99" s="1275"/>
      <c r="AG99" s="1275"/>
      <c r="AH99" s="1275"/>
      <c r="AI99" s="1275"/>
      <c r="AJ99" s="1275"/>
      <c r="AK99" s="1275"/>
      <c r="AL99" s="1275"/>
      <c r="AM99" s="1275"/>
      <c r="AN99" s="1275"/>
      <c r="AO99" s="1275"/>
      <c r="AP99" s="1276"/>
      <c r="AQ99" s="660"/>
      <c r="AR99" s="660"/>
      <c r="AS99" s="778"/>
      <c r="AT99" s="778"/>
      <c r="AU99" s="778"/>
      <c r="AV99" s="639"/>
    </row>
    <row r="100" spans="2:55" ht="17.5" thickBot="1" x14ac:dyDescent="0.5">
      <c r="B100" s="109" t="s">
        <v>291</v>
      </c>
      <c r="D100" s="126">
        <v>1</v>
      </c>
      <c r="E100" s="126">
        <v>0</v>
      </c>
      <c r="F100" s="126">
        <v>1</v>
      </c>
      <c r="G100" s="126">
        <v>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Y100" s="659">
        <v>1</v>
      </c>
      <c r="Z100" s="659">
        <v>1</v>
      </c>
      <c r="AA100" s="659">
        <v>1</v>
      </c>
      <c r="AB100" s="659">
        <v>1</v>
      </c>
      <c r="AC100" s="659"/>
      <c r="AD100" s="659"/>
      <c r="AE100" s="659"/>
      <c r="AF100" s="659"/>
      <c r="AG100" s="659"/>
      <c r="AH100" s="659"/>
      <c r="AI100" s="659"/>
      <c r="AJ100" s="659"/>
      <c r="AK100" s="659"/>
      <c r="AL100" s="659"/>
      <c r="AM100" s="659"/>
      <c r="AN100" s="659"/>
      <c r="AO100" s="659"/>
      <c r="AP100" s="659"/>
      <c r="AQ100" s="660"/>
      <c r="AR100" s="660"/>
      <c r="AS100" s="778"/>
      <c r="AT100" s="778"/>
      <c r="AU100" s="778"/>
      <c r="AV100" s="639"/>
    </row>
    <row r="101" spans="2:55" ht="17.5" thickBot="1" x14ac:dyDescent="0.5">
      <c r="B101" s="109"/>
      <c r="D101" s="641" t="s">
        <v>266</v>
      </c>
      <c r="E101" s="642" t="s">
        <v>267</v>
      </c>
      <c r="F101" s="642" t="s">
        <v>268</v>
      </c>
      <c r="G101" s="643" t="s">
        <v>292</v>
      </c>
      <c r="H101" s="635" t="s">
        <v>31</v>
      </c>
      <c r="I101" s="635" t="s">
        <v>32</v>
      </c>
      <c r="J101" s="635" t="s">
        <v>293</v>
      </c>
      <c r="K101" s="636" t="s">
        <v>294</v>
      </c>
      <c r="L101" s="639"/>
      <c r="M101" s="639"/>
      <c r="N101" s="639"/>
      <c r="O101" s="639"/>
      <c r="Y101" s="787" t="s">
        <v>278</v>
      </c>
      <c r="Z101" s="788" t="s">
        <v>279</v>
      </c>
      <c r="AA101" s="788" t="s">
        <v>280</v>
      </c>
      <c r="AB101" s="789" t="s">
        <v>270</v>
      </c>
      <c r="AC101" s="790" t="s">
        <v>271</v>
      </c>
      <c r="AD101" s="788" t="s">
        <v>281</v>
      </c>
      <c r="AE101" s="788" t="s">
        <v>282</v>
      </c>
      <c r="AF101" s="788" t="s">
        <v>283</v>
      </c>
      <c r="AG101" s="788" t="s">
        <v>256</v>
      </c>
      <c r="AH101" s="788" t="s">
        <v>257</v>
      </c>
      <c r="AI101" s="788" t="s">
        <v>25</v>
      </c>
      <c r="AJ101" s="788" t="s">
        <v>26</v>
      </c>
      <c r="AK101" s="788" t="s">
        <v>27</v>
      </c>
      <c r="AL101" s="788" t="s">
        <v>28</v>
      </c>
      <c r="AM101" s="788" t="s">
        <v>29</v>
      </c>
      <c r="AN101" s="788" t="s">
        <v>30</v>
      </c>
      <c r="AO101" s="788" t="s">
        <v>31</v>
      </c>
      <c r="AP101" s="788" t="s">
        <v>32</v>
      </c>
      <c r="AQ101" s="788" t="s">
        <v>33</v>
      </c>
      <c r="AR101" s="789" t="s">
        <v>34</v>
      </c>
      <c r="AS101" s="660" t="s">
        <v>1507</v>
      </c>
      <c r="AT101" s="778"/>
      <c r="AU101" s="778"/>
      <c r="AV101" s="639"/>
    </row>
    <row r="102" spans="2:55" ht="17.5" thickBot="1" x14ac:dyDescent="0.5">
      <c r="B102" s="633" t="s">
        <v>272</v>
      </c>
      <c r="D102" s="783" t="s">
        <v>259</v>
      </c>
      <c r="E102" s="1274" t="s">
        <v>260</v>
      </c>
      <c r="F102" s="1275"/>
      <c r="G102" s="1276"/>
      <c r="H102" s="657" t="s">
        <v>295</v>
      </c>
      <c r="I102" s="657" t="s">
        <v>296</v>
      </c>
      <c r="J102" s="657" t="s">
        <v>297</v>
      </c>
      <c r="K102" s="658" t="s">
        <v>298</v>
      </c>
      <c r="L102" s="639"/>
      <c r="M102" s="639"/>
      <c r="N102" s="639"/>
      <c r="O102" s="639"/>
      <c r="Y102" s="791" t="s">
        <v>259</v>
      </c>
      <c r="Z102" s="1291" t="s">
        <v>260</v>
      </c>
      <c r="AA102" s="1284"/>
      <c r="AB102" s="1285"/>
      <c r="AC102" s="1284" t="s">
        <v>290</v>
      </c>
      <c r="AD102" s="1284"/>
      <c r="AE102" s="1284"/>
      <c r="AF102" s="1284"/>
      <c r="AG102" s="1284"/>
      <c r="AH102" s="1284"/>
      <c r="AI102" s="1284"/>
      <c r="AJ102" s="1284"/>
      <c r="AK102" s="1284"/>
      <c r="AL102" s="1284"/>
      <c r="AM102" s="1284"/>
      <c r="AN102" s="1284"/>
      <c r="AO102" s="1284"/>
      <c r="AP102" s="1284"/>
      <c r="AQ102" s="1284"/>
      <c r="AR102" s="1285"/>
      <c r="AS102" s="640"/>
      <c r="AT102" s="778"/>
      <c r="AU102" s="778"/>
      <c r="AV102" s="639"/>
    </row>
    <row r="103" spans="2:55" ht="17.5" thickBot="1" x14ac:dyDescent="0.5">
      <c r="B103" s="109" t="s">
        <v>299</v>
      </c>
      <c r="D103" s="126">
        <v>1</v>
      </c>
      <c r="E103" s="126">
        <v>0</v>
      </c>
      <c r="F103" s="126">
        <v>1</v>
      </c>
      <c r="G103" s="126">
        <v>0</v>
      </c>
      <c r="H103" s="8"/>
      <c r="I103" s="8"/>
      <c r="J103" s="8"/>
      <c r="K103" s="8"/>
      <c r="L103" s="639"/>
      <c r="M103" s="639"/>
      <c r="N103" s="639"/>
      <c r="O103" s="639"/>
      <c r="Y103" s="8"/>
      <c r="Z103" s="8"/>
      <c r="AA103" s="8"/>
      <c r="AB103" s="640"/>
      <c r="AC103" s="727" t="s">
        <v>2001</v>
      </c>
      <c r="AD103" s="660"/>
      <c r="AE103" s="660"/>
      <c r="AF103" s="660"/>
      <c r="AG103" s="660"/>
      <c r="AH103" s="660"/>
      <c r="AI103" s="660"/>
      <c r="AJ103" s="660"/>
      <c r="AK103" s="660"/>
      <c r="AL103" s="660"/>
      <c r="AM103" s="660"/>
      <c r="AN103" s="660"/>
      <c r="AO103" s="660"/>
      <c r="AP103" s="660"/>
      <c r="AQ103" s="660"/>
      <c r="AR103" s="660"/>
      <c r="AS103" s="640"/>
      <c r="AT103" s="778"/>
      <c r="AU103" s="778"/>
      <c r="AV103" s="639"/>
    </row>
    <row r="104" spans="2:55" x14ac:dyDescent="0.45">
      <c r="B104" s="109"/>
      <c r="D104" s="775" t="s">
        <v>292</v>
      </c>
      <c r="E104" s="776" t="s">
        <v>300</v>
      </c>
      <c r="F104" s="776" t="s">
        <v>301</v>
      </c>
      <c r="G104" s="777" t="s">
        <v>293</v>
      </c>
      <c r="H104" s="8"/>
      <c r="I104" s="8"/>
      <c r="J104" s="8"/>
      <c r="K104" s="8"/>
      <c r="L104" s="639"/>
      <c r="M104" s="639"/>
      <c r="N104" s="639"/>
      <c r="O104" s="639"/>
      <c r="Y104" s="8"/>
      <c r="Z104" s="8"/>
      <c r="AA104" s="8"/>
      <c r="AB104" s="640" t="s">
        <v>2672</v>
      </c>
      <c r="AC104" s="992"/>
      <c r="AD104" s="994" t="s">
        <v>2679</v>
      </c>
      <c r="AE104" s="995"/>
      <c r="AF104" s="993" t="s">
        <v>1509</v>
      </c>
      <c r="AG104" s="660" t="s">
        <v>1942</v>
      </c>
      <c r="AH104" s="660"/>
      <c r="AI104" s="660"/>
      <c r="AJ104" s="660"/>
      <c r="AK104" s="660"/>
      <c r="AL104" s="660"/>
      <c r="AM104" s="660"/>
      <c r="AN104" s="660"/>
      <c r="AO104" s="660"/>
      <c r="AP104" s="660"/>
      <c r="AQ104" s="660"/>
      <c r="AR104" s="660"/>
      <c r="AS104" s="640"/>
      <c r="AT104" s="778"/>
      <c r="AU104" s="778"/>
      <c r="AV104" s="639"/>
    </row>
    <row r="105" spans="2:55" ht="17.5" thickBot="1" x14ac:dyDescent="0.5">
      <c r="B105" s="633" t="s">
        <v>258</v>
      </c>
      <c r="D105" s="774" t="s">
        <v>259</v>
      </c>
      <c r="E105" s="1266" t="s">
        <v>260</v>
      </c>
      <c r="F105" s="1267"/>
      <c r="G105" s="1268"/>
      <c r="H105" s="8"/>
      <c r="I105" s="8"/>
      <c r="J105" s="8"/>
      <c r="K105" s="8"/>
      <c r="L105" s="639"/>
      <c r="M105" s="639"/>
      <c r="N105" s="639"/>
      <c r="O105" s="639"/>
      <c r="Y105" s="8"/>
      <c r="Z105" s="8"/>
      <c r="AA105" s="8"/>
      <c r="AB105" s="779" t="s">
        <v>1947</v>
      </c>
      <c r="AC105" s="984"/>
      <c r="AD105" s="987" t="s">
        <v>2673</v>
      </c>
      <c r="AE105" s="986"/>
      <c r="AF105" s="987" t="s">
        <v>1503</v>
      </c>
      <c r="AG105" s="660" t="s">
        <v>1510</v>
      </c>
      <c r="AH105" s="660"/>
      <c r="AI105" s="660"/>
      <c r="AJ105" s="660"/>
      <c r="AK105" s="660"/>
      <c r="AL105" s="660"/>
      <c r="AM105" s="660"/>
      <c r="AN105" s="660"/>
      <c r="AO105" s="660"/>
      <c r="AP105" s="660"/>
      <c r="AQ105" s="660"/>
      <c r="AR105" s="660"/>
      <c r="AS105" s="660"/>
      <c r="AT105" s="792"/>
      <c r="AU105" s="792"/>
      <c r="AV105" s="639"/>
    </row>
    <row r="106" spans="2:55" ht="17.5" thickBot="1" x14ac:dyDescent="0.5">
      <c r="B106" s="109" t="s">
        <v>302</v>
      </c>
      <c r="D106" s="126">
        <v>1</v>
      </c>
      <c r="E106" s="126">
        <v>0</v>
      </c>
      <c r="F106" s="126">
        <v>0</v>
      </c>
      <c r="G106" s="126">
        <v>1</v>
      </c>
      <c r="H106" s="8"/>
      <c r="I106" s="8"/>
      <c r="J106" s="8"/>
      <c r="K106" s="8"/>
      <c r="L106" s="639"/>
      <c r="M106" s="639"/>
      <c r="N106" s="639"/>
      <c r="O106" s="639"/>
      <c r="Y106" s="8"/>
      <c r="Z106" s="8"/>
      <c r="AA106" s="8"/>
      <c r="AB106" s="779" t="s">
        <v>2372</v>
      </c>
      <c r="AC106" s="984"/>
      <c r="AD106" s="985"/>
      <c r="AE106" s="986"/>
      <c r="AF106" s="987" t="s">
        <v>1502</v>
      </c>
      <c r="AG106" s="660" t="s">
        <v>1511</v>
      </c>
      <c r="AH106" s="660"/>
      <c r="AI106" s="660" t="s">
        <v>2683</v>
      </c>
      <c r="AJ106" s="660"/>
      <c r="AK106" s="660"/>
      <c r="AL106" s="660"/>
      <c r="AM106" s="660"/>
      <c r="AN106" s="660"/>
      <c r="AO106" s="660"/>
      <c r="AP106" s="660"/>
      <c r="AQ106" s="660"/>
      <c r="AR106" s="660"/>
      <c r="AS106" s="660"/>
      <c r="AT106" s="792"/>
      <c r="AU106" s="792"/>
      <c r="AV106" s="639"/>
      <c r="AW106" s="1141" t="s">
        <v>2684</v>
      </c>
    </row>
    <row r="107" spans="2:55" x14ac:dyDescent="0.45">
      <c r="B107" s="109"/>
      <c r="D107" s="775" t="s">
        <v>292</v>
      </c>
      <c r="E107" s="776" t="s">
        <v>300</v>
      </c>
      <c r="F107" s="776" t="s">
        <v>301</v>
      </c>
      <c r="G107" s="777" t="s">
        <v>293</v>
      </c>
      <c r="H107" s="8"/>
      <c r="I107" s="8"/>
      <c r="J107" s="8"/>
      <c r="K107" s="8"/>
      <c r="L107" s="639"/>
      <c r="M107" s="639"/>
      <c r="N107" s="639"/>
      <c r="O107" s="639"/>
      <c r="Y107" s="8"/>
      <c r="Z107" s="8"/>
      <c r="AA107" s="8"/>
      <c r="AB107" s="640"/>
      <c r="AC107" s="988"/>
      <c r="AD107" s="989"/>
      <c r="AE107" s="986"/>
      <c r="AF107" s="987" t="s">
        <v>1501</v>
      </c>
      <c r="AG107" s="660" t="s">
        <v>1512</v>
      </c>
      <c r="AH107" s="660"/>
      <c r="AI107" s="660" t="s">
        <v>2570</v>
      </c>
      <c r="AJ107" s="660"/>
      <c r="AK107" s="660"/>
      <c r="AL107" s="660"/>
      <c r="AM107" s="660"/>
      <c r="AN107" s="660"/>
      <c r="AO107" s="660"/>
      <c r="AP107" s="660"/>
      <c r="AQ107" s="660"/>
      <c r="AR107" s="660"/>
      <c r="AS107" s="660"/>
      <c r="AT107" s="792"/>
      <c r="AU107" s="792"/>
      <c r="AV107" s="639"/>
    </row>
    <row r="108" spans="2:55" ht="17.5" thickBot="1" x14ac:dyDescent="0.5">
      <c r="B108" s="633" t="s">
        <v>258</v>
      </c>
      <c r="D108" s="774" t="s">
        <v>259</v>
      </c>
      <c r="E108" s="1266" t="s">
        <v>260</v>
      </c>
      <c r="F108" s="1267"/>
      <c r="G108" s="1268"/>
      <c r="H108" s="8"/>
      <c r="I108" s="8"/>
      <c r="J108" s="8"/>
      <c r="K108" s="8"/>
      <c r="L108" s="639"/>
      <c r="M108" s="639"/>
      <c r="N108" s="639"/>
      <c r="O108" s="639"/>
      <c r="Y108" s="8"/>
      <c r="Z108" s="8"/>
      <c r="AA108" s="8"/>
      <c r="AB108" s="640"/>
      <c r="AC108" s="729"/>
      <c r="AD108" s="730"/>
      <c r="AE108" s="990"/>
      <c r="AF108" s="991" t="s">
        <v>1500</v>
      </c>
      <c r="AG108" s="660" t="s">
        <v>1513</v>
      </c>
      <c r="AH108" s="660"/>
      <c r="AI108" s="660" t="s">
        <v>2568</v>
      </c>
      <c r="AJ108" s="660"/>
      <c r="AK108" s="660"/>
      <c r="AL108" s="660"/>
      <c r="AM108" s="660"/>
      <c r="AN108" s="660"/>
      <c r="AO108" s="660"/>
      <c r="AP108" s="660"/>
      <c r="AQ108" s="660"/>
      <c r="AR108" s="660"/>
      <c r="AS108" s="660"/>
      <c r="AT108" s="792"/>
      <c r="AU108" s="792"/>
      <c r="AV108" s="639"/>
    </row>
    <row r="109" spans="2:55" ht="17.5" x14ac:dyDescent="0.45">
      <c r="B109" s="109" t="s">
        <v>303</v>
      </c>
      <c r="D109" s="126">
        <v>1</v>
      </c>
      <c r="E109" s="126">
        <v>0</v>
      </c>
      <c r="F109" s="126">
        <v>0</v>
      </c>
      <c r="G109" s="126">
        <v>0</v>
      </c>
      <c r="H109" s="8"/>
      <c r="I109" s="8"/>
      <c r="J109" s="8"/>
      <c r="K109" s="8"/>
      <c r="L109" s="639"/>
      <c r="M109" s="639"/>
      <c r="N109" s="639"/>
      <c r="O109" s="639"/>
      <c r="Y109" s="8"/>
      <c r="Z109" s="8"/>
      <c r="AA109" s="8"/>
      <c r="AB109" s="779"/>
      <c r="AC109" s="728"/>
      <c r="AD109" s="724" t="s">
        <v>2676</v>
      </c>
      <c r="AE109" s="983"/>
      <c r="AF109" s="724" t="s">
        <v>1503</v>
      </c>
      <c r="AG109" s="660" t="s">
        <v>1510</v>
      </c>
      <c r="AH109" s="660"/>
      <c r="AI109" s="660"/>
      <c r="AJ109" s="660"/>
      <c r="AK109" s="660"/>
      <c r="AL109" s="660"/>
      <c r="AM109" s="660"/>
      <c r="AN109" s="660"/>
      <c r="AO109" s="660"/>
      <c r="AP109" s="660"/>
      <c r="AQ109" s="660"/>
      <c r="AR109" s="660"/>
      <c r="AS109" s="660"/>
      <c r="AT109" s="792"/>
      <c r="AU109" s="792"/>
      <c r="AV109" s="639"/>
      <c r="AW109" s="794" t="s">
        <v>2374</v>
      </c>
      <c r="AX109" s="792"/>
      <c r="AY109" s="792"/>
      <c r="AZ109" s="792"/>
      <c r="BA109" s="792"/>
      <c r="BB109" s="792"/>
      <c r="BC109" s="996"/>
    </row>
    <row r="110" spans="2:55" x14ac:dyDescent="0.45">
      <c r="D110" s="8"/>
      <c r="E110" s="8"/>
      <c r="F110" s="8"/>
      <c r="G110" s="8"/>
      <c r="H110" s="8"/>
      <c r="I110" s="8"/>
      <c r="J110" s="8"/>
      <c r="K110" s="8"/>
      <c r="L110" s="639"/>
      <c r="M110" s="639"/>
      <c r="N110" s="639"/>
      <c r="O110" s="639"/>
      <c r="Y110" s="8"/>
      <c r="Z110" s="8"/>
      <c r="AA110" s="8"/>
      <c r="AB110" s="779"/>
      <c r="AC110" s="984"/>
      <c r="AD110" s="985"/>
      <c r="AE110" s="986"/>
      <c r="AF110" s="987" t="s">
        <v>1502</v>
      </c>
      <c r="AG110" s="660" t="s">
        <v>1511</v>
      </c>
      <c r="AH110" s="660"/>
      <c r="AI110" s="660" t="s">
        <v>2569</v>
      </c>
      <c r="AJ110" s="660"/>
      <c r="AK110" s="660"/>
      <c r="AL110" s="660"/>
      <c r="AM110" s="660"/>
      <c r="AN110" s="660"/>
      <c r="AO110" s="660"/>
      <c r="AP110" s="660"/>
      <c r="AQ110" s="660"/>
      <c r="AR110" s="660"/>
      <c r="AS110" s="660"/>
      <c r="AT110" s="792"/>
      <c r="AU110" s="792"/>
      <c r="AV110" s="639"/>
      <c r="AW110" s="31"/>
    </row>
    <row r="111" spans="2:55" ht="17.5" thickBot="1" x14ac:dyDescent="0.5">
      <c r="D111" s="8"/>
      <c r="E111" s="8"/>
      <c r="F111" s="8"/>
      <c r="G111" s="8"/>
      <c r="H111" s="8"/>
      <c r="I111" s="8"/>
      <c r="J111" s="8"/>
      <c r="K111" s="8"/>
      <c r="L111" s="639"/>
      <c r="M111" s="639"/>
      <c r="N111" s="639"/>
      <c r="O111" s="639"/>
      <c r="Y111" s="8"/>
      <c r="Z111" s="8"/>
      <c r="AA111" s="8"/>
      <c r="AB111" s="779"/>
      <c r="AC111" s="988"/>
      <c r="AD111" s="989"/>
      <c r="AE111" s="986"/>
      <c r="AF111" s="987" t="s">
        <v>1501</v>
      </c>
      <c r="AG111" s="660" t="s">
        <v>1512</v>
      </c>
      <c r="AH111" s="660"/>
      <c r="AI111" s="660" t="s">
        <v>2574</v>
      </c>
      <c r="AJ111" s="660"/>
      <c r="AK111" s="660"/>
      <c r="AL111" s="660"/>
      <c r="AM111" s="660"/>
      <c r="AN111" s="660"/>
      <c r="AO111" s="660"/>
      <c r="AP111" s="660"/>
      <c r="AQ111" s="660"/>
      <c r="AR111" s="660"/>
      <c r="AS111" s="660"/>
      <c r="AT111" s="792"/>
      <c r="AU111" s="792"/>
      <c r="AV111" s="639"/>
      <c r="AW111" s="31"/>
    </row>
    <row r="112" spans="2:55" x14ac:dyDescent="0.45">
      <c r="D112" s="753" t="s">
        <v>266</v>
      </c>
      <c r="E112" s="754" t="s">
        <v>267</v>
      </c>
      <c r="F112" s="754" t="s">
        <v>268</v>
      </c>
      <c r="G112" s="755" t="s">
        <v>292</v>
      </c>
      <c r="H112" s="754" t="s">
        <v>31</v>
      </c>
      <c r="I112" s="754" t="s">
        <v>32</v>
      </c>
      <c r="J112" s="754" t="s">
        <v>293</v>
      </c>
      <c r="K112" s="755" t="s">
        <v>294</v>
      </c>
      <c r="L112" s="639"/>
      <c r="M112" s="639"/>
      <c r="N112" s="639"/>
      <c r="O112" s="639"/>
      <c r="Y112" s="8"/>
      <c r="Z112" s="8"/>
      <c r="AA112" s="8"/>
      <c r="AB112" s="779"/>
      <c r="AC112" s="729"/>
      <c r="AD112" s="730"/>
      <c r="AE112" s="990"/>
      <c r="AF112" s="991" t="s">
        <v>1500</v>
      </c>
      <c r="AG112" s="660" t="s">
        <v>1513</v>
      </c>
      <c r="AH112" s="660"/>
      <c r="AI112" s="660" t="s">
        <v>2575</v>
      </c>
      <c r="AJ112" s="660"/>
      <c r="AK112" s="660"/>
      <c r="AL112" s="660"/>
      <c r="AM112" s="660"/>
      <c r="AN112" s="660"/>
      <c r="AO112" s="660"/>
      <c r="AP112" s="660"/>
      <c r="AQ112" s="660"/>
      <c r="AR112" s="660"/>
      <c r="AS112" s="660"/>
      <c r="AT112" s="792"/>
      <c r="AU112" s="792"/>
      <c r="AV112" s="639"/>
      <c r="AW112" s="31"/>
    </row>
    <row r="113" spans="4:55" ht="17.5" thickBot="1" x14ac:dyDescent="0.5">
      <c r="D113" s="756" t="s">
        <v>259</v>
      </c>
      <c r="E113" s="1286" t="s">
        <v>260</v>
      </c>
      <c r="F113" s="1287"/>
      <c r="G113" s="1288"/>
      <c r="H113" s="770" t="s">
        <v>1408</v>
      </c>
      <c r="I113" s="770" t="s">
        <v>1407</v>
      </c>
      <c r="J113" s="770" t="s">
        <v>1406</v>
      </c>
      <c r="K113" s="771" t="s">
        <v>1405</v>
      </c>
      <c r="L113" s="639"/>
      <c r="M113" s="639"/>
      <c r="N113" s="639"/>
      <c r="O113" s="639"/>
      <c r="Y113" s="8"/>
      <c r="Z113" s="8"/>
      <c r="AA113" s="8"/>
      <c r="AB113" s="779"/>
      <c r="AC113" s="728"/>
      <c r="AD113" s="724" t="s">
        <v>2676</v>
      </c>
      <c r="AE113" s="983"/>
      <c r="AF113" s="724" t="s">
        <v>1503</v>
      </c>
      <c r="AG113" s="660" t="s">
        <v>1510</v>
      </c>
      <c r="AH113" s="660"/>
      <c r="AI113" s="660"/>
      <c r="AJ113" s="660"/>
      <c r="AK113" s="660"/>
      <c r="AL113" s="660"/>
      <c r="AM113" s="660"/>
      <c r="AN113" s="660"/>
      <c r="AO113" s="660"/>
      <c r="AP113" s="660"/>
      <c r="AQ113" s="660"/>
      <c r="AR113" s="660"/>
      <c r="AS113" s="660"/>
      <c r="AT113" s="792"/>
      <c r="AU113" s="792"/>
      <c r="AV113" s="639"/>
      <c r="AW113" s="31"/>
    </row>
    <row r="114" spans="4:55" ht="17.5" x14ac:dyDescent="0.45">
      <c r="D114" s="628">
        <v>1</v>
      </c>
      <c r="E114" s="628">
        <v>0</v>
      </c>
      <c r="F114" s="628">
        <v>1</v>
      </c>
      <c r="G114" s="628">
        <v>0</v>
      </c>
      <c r="H114" s="628"/>
      <c r="I114" s="628"/>
      <c r="J114" s="628"/>
      <c r="K114" s="628"/>
      <c r="L114" s="639"/>
      <c r="M114" s="639"/>
      <c r="N114" s="639"/>
      <c r="O114" s="639"/>
      <c r="Y114" s="8"/>
      <c r="Z114" s="8"/>
      <c r="AA114" s="8"/>
      <c r="AB114" s="779"/>
      <c r="AC114" s="984"/>
      <c r="AD114" s="985"/>
      <c r="AE114" s="986"/>
      <c r="AF114" s="987" t="s">
        <v>1502</v>
      </c>
      <c r="AG114" s="660" t="s">
        <v>1511</v>
      </c>
      <c r="AH114" s="660"/>
      <c r="AI114" s="660" t="s">
        <v>2569</v>
      </c>
      <c r="AJ114" s="660"/>
      <c r="AK114" s="660"/>
      <c r="AL114" s="660"/>
      <c r="AM114" s="660"/>
      <c r="AN114" s="660"/>
      <c r="AO114" s="660"/>
      <c r="AP114" s="660"/>
      <c r="AQ114" s="660"/>
      <c r="AR114" s="660"/>
      <c r="AS114" s="660"/>
      <c r="AT114" s="792"/>
      <c r="AU114" s="792"/>
      <c r="AV114" s="639"/>
      <c r="AW114" s="794" t="s">
        <v>2373</v>
      </c>
      <c r="AX114" s="792"/>
      <c r="AY114" s="792"/>
      <c r="AZ114" s="792"/>
      <c r="BA114" s="792"/>
      <c r="BB114" s="792"/>
      <c r="BC114" s="996"/>
    </row>
    <row r="115" spans="4:55" x14ac:dyDescent="0.45">
      <c r="D115" s="1237" t="s">
        <v>2857</v>
      </c>
      <c r="E115" s="1238"/>
      <c r="F115" s="1238"/>
      <c r="G115" s="1238"/>
      <c r="H115" s="1238"/>
      <c r="I115" s="1238"/>
      <c r="J115" s="1238"/>
      <c r="K115" s="1238"/>
      <c r="L115" s="1238"/>
      <c r="M115" s="1238"/>
      <c r="N115" s="1238"/>
      <c r="O115" s="1238"/>
      <c r="P115" s="639"/>
      <c r="Q115" s="793" t="s">
        <v>2864</v>
      </c>
      <c r="R115" s="639"/>
      <c r="S115" s="639"/>
      <c r="T115" s="639"/>
      <c r="U115" s="639"/>
      <c r="V115" s="639"/>
      <c r="Y115" s="8"/>
      <c r="Z115" s="8"/>
      <c r="AA115" s="8"/>
      <c r="AB115" s="779"/>
      <c r="AC115" s="988"/>
      <c r="AD115" s="989"/>
      <c r="AE115" s="986"/>
      <c r="AF115" s="987" t="s">
        <v>1501</v>
      </c>
      <c r="AG115" s="660" t="s">
        <v>1512</v>
      </c>
      <c r="AH115" s="660"/>
      <c r="AI115" s="660" t="s">
        <v>2574</v>
      </c>
      <c r="AJ115" s="660"/>
      <c r="AK115" s="660"/>
      <c r="AL115" s="660"/>
      <c r="AM115" s="660"/>
      <c r="AN115" s="660"/>
      <c r="AO115" s="660"/>
      <c r="AP115" s="660"/>
      <c r="AQ115" s="660"/>
      <c r="AR115" s="660"/>
      <c r="AS115" s="660"/>
      <c r="AT115" s="792"/>
      <c r="AU115" s="792"/>
      <c r="AV115" s="639"/>
      <c r="AW115" s="1067" t="s">
        <v>2376</v>
      </c>
      <c r="AX115" s="1067"/>
      <c r="AY115" s="1067"/>
      <c r="AZ115" s="1067"/>
      <c r="BA115" s="1067"/>
      <c r="BB115" s="1067"/>
    </row>
    <row r="116" spans="4:55" x14ac:dyDescent="0.45">
      <c r="D116" s="1239">
        <v>0</v>
      </c>
      <c r="E116" s="1237" t="s">
        <v>2859</v>
      </c>
      <c r="F116" s="1238"/>
      <c r="G116" s="1238"/>
      <c r="H116" s="1238"/>
      <c r="I116" s="1238"/>
      <c r="J116" s="1238"/>
      <c r="K116" s="1238"/>
      <c r="L116" s="1238"/>
      <c r="M116" s="1238"/>
      <c r="N116" s="1238"/>
      <c r="O116" s="1238"/>
      <c r="P116" s="639"/>
      <c r="Q116" s="640" t="s">
        <v>2865</v>
      </c>
      <c r="R116" s="639"/>
      <c r="S116" s="639"/>
      <c r="T116" s="639"/>
      <c r="U116" s="639"/>
      <c r="V116" s="639"/>
      <c r="Y116" s="8"/>
      <c r="Z116" s="8"/>
      <c r="AA116" s="8"/>
      <c r="AB116" s="779"/>
      <c r="AC116" s="729"/>
      <c r="AD116" s="730"/>
      <c r="AE116" s="990"/>
      <c r="AF116" s="991" t="s">
        <v>1500</v>
      </c>
      <c r="AG116" s="660" t="s">
        <v>1513</v>
      </c>
      <c r="AH116" s="660"/>
      <c r="AI116" s="660" t="s">
        <v>2575</v>
      </c>
      <c r="AJ116" s="660"/>
      <c r="AK116" s="660"/>
      <c r="AL116" s="660"/>
      <c r="AM116" s="660"/>
      <c r="AN116" s="660"/>
      <c r="AO116" s="660"/>
      <c r="AP116" s="660"/>
      <c r="AQ116" s="660"/>
      <c r="AR116" s="660"/>
      <c r="AS116" s="660"/>
      <c r="AT116" s="792"/>
      <c r="AU116" s="792"/>
      <c r="AV116" s="639"/>
      <c r="AW116" s="1068"/>
      <c r="AX116" s="1068"/>
      <c r="AY116" s="1068"/>
      <c r="AZ116" s="1068"/>
      <c r="BA116" s="1068"/>
      <c r="BB116" s="1068"/>
    </row>
    <row r="117" spans="4:55" x14ac:dyDescent="0.45">
      <c r="D117" s="1239">
        <v>1</v>
      </c>
      <c r="E117" s="1237" t="s">
        <v>2203</v>
      </c>
      <c r="F117" s="1238"/>
      <c r="G117" s="1238"/>
      <c r="H117" s="1238"/>
      <c r="I117" s="1238"/>
      <c r="J117" s="1238"/>
      <c r="K117" s="1238"/>
      <c r="L117" s="1238"/>
      <c r="M117" s="1238"/>
      <c r="N117" s="1238"/>
      <c r="O117" s="1238"/>
      <c r="P117" s="639"/>
      <c r="Q117" s="640" t="s">
        <v>2863</v>
      </c>
      <c r="R117" s="639"/>
      <c r="S117" s="639"/>
      <c r="T117" s="639"/>
      <c r="U117" s="639"/>
      <c r="V117" s="639"/>
      <c r="Y117" s="8"/>
      <c r="Z117" s="8"/>
      <c r="AA117" s="8"/>
      <c r="AB117" s="779"/>
      <c r="AC117" s="728"/>
      <c r="AD117" s="724" t="s">
        <v>2675</v>
      </c>
      <c r="AE117" s="983"/>
      <c r="AF117" s="724" t="s">
        <v>1503</v>
      </c>
      <c r="AG117" s="660" t="s">
        <v>1510</v>
      </c>
      <c r="AH117" s="660"/>
      <c r="AI117" s="660"/>
      <c r="AJ117" s="660"/>
      <c r="AK117" s="660"/>
      <c r="AL117" s="660"/>
      <c r="AM117" s="660"/>
      <c r="AN117" s="660"/>
      <c r="AO117" s="660"/>
      <c r="AP117" s="660"/>
      <c r="AQ117" s="660"/>
      <c r="AR117" s="660"/>
      <c r="AS117" s="660"/>
      <c r="AT117" s="792"/>
      <c r="AU117" s="792"/>
      <c r="AV117" s="639"/>
      <c r="AW117" s="31"/>
    </row>
    <row r="118" spans="4:55" ht="17.5" x14ac:dyDescent="0.45">
      <c r="D118" s="1239">
        <v>2</v>
      </c>
      <c r="E118" s="1237" t="s">
        <v>2867</v>
      </c>
      <c r="F118" s="1238"/>
      <c r="G118" s="1238"/>
      <c r="H118" s="1238"/>
      <c r="I118" s="1238"/>
      <c r="J118" s="1238"/>
      <c r="K118" s="1238"/>
      <c r="L118" s="1238"/>
      <c r="M118" s="1238"/>
      <c r="N118" s="1238"/>
      <c r="O118" s="1238"/>
      <c r="P118" s="639"/>
      <c r="Q118" s="640" t="s">
        <v>2866</v>
      </c>
      <c r="R118" s="639"/>
      <c r="S118" s="639"/>
      <c r="T118" s="639"/>
      <c r="U118" s="639"/>
      <c r="V118" s="639"/>
      <c r="Y118" s="8"/>
      <c r="Z118" s="8"/>
      <c r="AA118" s="8"/>
      <c r="AB118" s="779"/>
      <c r="AC118" s="984"/>
      <c r="AD118" s="985"/>
      <c r="AE118" s="986"/>
      <c r="AF118" s="987" t="s">
        <v>1502</v>
      </c>
      <c r="AG118" s="660" t="s">
        <v>1511</v>
      </c>
      <c r="AH118" s="660"/>
      <c r="AI118" s="660" t="s">
        <v>2571</v>
      </c>
      <c r="AJ118" s="660"/>
      <c r="AK118" s="660"/>
      <c r="AL118" s="660"/>
      <c r="AM118" s="660"/>
      <c r="AN118" s="660"/>
      <c r="AO118" s="660"/>
      <c r="AP118" s="660"/>
      <c r="AQ118" s="660"/>
      <c r="AR118" s="660"/>
      <c r="AS118" s="660"/>
      <c r="AT118" s="792"/>
      <c r="AU118" s="792"/>
      <c r="AV118" s="639"/>
      <c r="AW118" s="794" t="s">
        <v>2375</v>
      </c>
      <c r="AX118" s="640"/>
      <c r="AY118" s="640"/>
      <c r="AZ118" s="640"/>
      <c r="BA118" s="640"/>
      <c r="BB118" s="640"/>
    </row>
    <row r="119" spans="4:55" x14ac:dyDescent="0.45">
      <c r="D119" s="1239">
        <v>3</v>
      </c>
      <c r="E119" s="1237" t="s">
        <v>923</v>
      </c>
      <c r="F119" s="1238"/>
      <c r="G119" s="1238"/>
      <c r="H119" s="1238"/>
      <c r="I119" s="1238"/>
      <c r="J119" s="1238"/>
      <c r="K119" s="1238"/>
      <c r="L119" s="1238"/>
      <c r="M119" s="1238"/>
      <c r="N119" s="1238"/>
      <c r="O119" s="1238"/>
      <c r="P119" s="639"/>
      <c r="Q119" s="640"/>
      <c r="R119" s="639"/>
      <c r="S119" s="639"/>
      <c r="T119" s="639"/>
      <c r="U119" s="639"/>
      <c r="V119" s="639"/>
      <c r="Y119" s="8"/>
      <c r="Z119" s="8"/>
      <c r="AA119" s="8"/>
      <c r="AB119" s="779"/>
      <c r="AC119" s="984"/>
      <c r="AD119" s="989"/>
      <c r="AE119" s="986"/>
      <c r="AF119" s="987" t="s">
        <v>1501</v>
      </c>
      <c r="AG119" s="660" t="s">
        <v>1512</v>
      </c>
      <c r="AH119" s="660"/>
      <c r="AI119" s="660" t="s">
        <v>2572</v>
      </c>
      <c r="AJ119" s="660"/>
      <c r="AK119" s="660"/>
      <c r="AL119" s="660"/>
      <c r="AM119" s="660"/>
      <c r="AN119" s="660"/>
      <c r="AO119" s="660"/>
      <c r="AP119" s="660"/>
      <c r="AQ119" s="660"/>
      <c r="AR119" s="660"/>
      <c r="AS119" s="660"/>
      <c r="AT119" s="792"/>
      <c r="AU119" s="792"/>
      <c r="AV119" s="639"/>
    </row>
    <row r="120" spans="4:55" x14ac:dyDescent="0.45">
      <c r="D120" s="639"/>
      <c r="E120" s="639"/>
      <c r="F120" s="639"/>
      <c r="G120" s="639"/>
      <c r="H120" s="639"/>
      <c r="I120" s="639"/>
      <c r="J120" s="639"/>
      <c r="K120" s="639"/>
      <c r="L120" s="639"/>
      <c r="M120" s="639"/>
      <c r="N120" s="639"/>
      <c r="O120" s="639"/>
      <c r="P120" s="639"/>
      <c r="Q120" s="639"/>
      <c r="R120" s="639"/>
      <c r="S120" s="639"/>
      <c r="T120" s="639"/>
      <c r="U120" s="639"/>
      <c r="V120" s="639"/>
      <c r="Y120" s="8"/>
      <c r="Z120" s="8"/>
      <c r="AA120" s="8"/>
      <c r="AB120" s="779"/>
      <c r="AC120" s="729"/>
      <c r="AD120" s="730"/>
      <c r="AE120" s="990"/>
      <c r="AF120" s="991" t="s">
        <v>1500</v>
      </c>
      <c r="AG120" s="660" t="s">
        <v>1513</v>
      </c>
      <c r="AH120" s="660"/>
      <c r="AI120" s="660" t="s">
        <v>2573</v>
      </c>
      <c r="AJ120" s="660"/>
      <c r="AK120" s="660"/>
      <c r="AL120" s="660"/>
      <c r="AM120" s="660"/>
      <c r="AN120" s="660"/>
      <c r="AO120" s="660"/>
      <c r="AP120" s="660"/>
      <c r="AQ120" s="660"/>
      <c r="AR120" s="660"/>
      <c r="AS120" s="660"/>
      <c r="AT120" s="792"/>
      <c r="AU120" s="792"/>
      <c r="AV120" s="639"/>
    </row>
    <row r="121" spans="4:55" ht="17.5" x14ac:dyDescent="0.45">
      <c r="D121" s="758" t="s">
        <v>2377</v>
      </c>
      <c r="E121" s="659"/>
      <c r="F121" s="659"/>
      <c r="G121" s="659"/>
      <c r="H121" s="659"/>
      <c r="I121" s="639"/>
      <c r="J121" s="639"/>
      <c r="K121" s="639"/>
      <c r="L121" s="639"/>
      <c r="M121" s="639"/>
      <c r="N121" s="639"/>
      <c r="O121" s="639"/>
      <c r="P121" s="639"/>
      <c r="Q121" s="639"/>
      <c r="R121" s="639"/>
      <c r="S121" s="639"/>
      <c r="T121" s="639"/>
      <c r="U121" s="639"/>
      <c r="V121" s="639"/>
      <c r="Y121" s="8"/>
      <c r="Z121" s="8"/>
      <c r="AA121" s="8"/>
      <c r="AB121" s="639"/>
      <c r="AC121" s="639"/>
      <c r="AD121" s="725"/>
      <c r="AE121" s="725"/>
      <c r="AF121" s="725"/>
      <c r="AG121" s="1075" t="s">
        <v>2576</v>
      </c>
      <c r="AH121" s="725"/>
      <c r="AI121" s="725"/>
      <c r="AJ121" s="725"/>
      <c r="AK121" s="725"/>
      <c r="AL121" s="639"/>
      <c r="AM121" s="639"/>
      <c r="AN121" s="639"/>
      <c r="AO121" s="639"/>
      <c r="AP121" s="639"/>
      <c r="AQ121" s="639"/>
      <c r="AR121" s="639"/>
      <c r="AS121" s="639"/>
      <c r="AT121" s="639"/>
      <c r="AU121" s="639"/>
      <c r="AV121" s="639"/>
    </row>
    <row r="122" spans="4:55" x14ac:dyDescent="0.45">
      <c r="D122" s="758" t="s">
        <v>2861</v>
      </c>
      <c r="E122" s="725"/>
      <c r="F122" s="725"/>
      <c r="G122" s="659"/>
      <c r="H122" s="659"/>
      <c r="I122" s="968"/>
      <c r="J122" s="968"/>
      <c r="K122" s="968"/>
      <c r="L122" s="968"/>
      <c r="M122" s="968"/>
      <c r="N122" s="968"/>
      <c r="O122" s="968"/>
      <c r="P122" s="968"/>
      <c r="Q122" s="968"/>
      <c r="R122" s="968"/>
      <c r="S122" s="968"/>
      <c r="T122" s="968"/>
      <c r="U122" s="1236" t="s">
        <v>2858</v>
      </c>
      <c r="V122" s="1249" t="s">
        <v>29</v>
      </c>
      <c r="W122" s="1249" t="s">
        <v>30</v>
      </c>
      <c r="X122" s="1249" t="s">
        <v>300</v>
      </c>
      <c r="Y122" s="1249" t="s">
        <v>301</v>
      </c>
    </row>
    <row r="123" spans="4:55" x14ac:dyDescent="0.45">
      <c r="D123" s="659"/>
      <c r="E123" s="727" t="s">
        <v>1930</v>
      </c>
      <c r="F123" s="659"/>
      <c r="G123" s="659"/>
      <c r="H123" s="659"/>
      <c r="I123" s="968"/>
      <c r="J123" s="968"/>
      <c r="K123" s="968"/>
      <c r="L123" s="968"/>
      <c r="M123" s="968"/>
      <c r="N123" s="968"/>
      <c r="O123" s="968"/>
      <c r="P123" s="968"/>
      <c r="Q123" s="968"/>
      <c r="R123" s="968"/>
      <c r="S123" s="968"/>
      <c r="T123" s="968"/>
      <c r="U123" s="1236">
        <v>0</v>
      </c>
      <c r="V123" s="1249" t="s">
        <v>433</v>
      </c>
      <c r="W123" s="1249" t="s">
        <v>434</v>
      </c>
      <c r="X123" s="1249" t="s">
        <v>435</v>
      </c>
      <c r="Y123" s="1249" t="s">
        <v>2009</v>
      </c>
      <c r="AB123" s="640"/>
      <c r="AC123" s="1069"/>
      <c r="AD123" s="1076" t="s">
        <v>2674</v>
      </c>
      <c r="AE123" s="1069"/>
      <c r="AF123" s="1070"/>
      <c r="AG123" s="872" t="s">
        <v>923</v>
      </c>
      <c r="AH123" s="640"/>
      <c r="AI123" s="640"/>
      <c r="AJ123" s="640"/>
      <c r="AK123" s="640"/>
      <c r="AL123" s="640"/>
      <c r="AM123" s="640"/>
      <c r="AN123" s="640"/>
      <c r="AO123" s="640"/>
      <c r="AP123" s="640"/>
      <c r="AQ123" s="640"/>
      <c r="AR123" s="640"/>
      <c r="AS123" s="640"/>
      <c r="AT123" s="640"/>
      <c r="AU123" s="639"/>
      <c r="AV123" s="639"/>
    </row>
    <row r="124" spans="4:55" x14ac:dyDescent="0.45">
      <c r="D124" s="659"/>
      <c r="E124" s="727" t="s">
        <v>1701</v>
      </c>
      <c r="F124" s="659"/>
      <c r="G124" s="659"/>
      <c r="H124" s="659"/>
      <c r="I124" s="968"/>
      <c r="J124" s="968"/>
      <c r="K124" s="968"/>
      <c r="L124" s="968"/>
      <c r="M124" s="968"/>
      <c r="N124" s="968"/>
      <c r="O124" s="968"/>
      <c r="P124" s="968"/>
      <c r="Q124" s="968"/>
      <c r="R124" s="968"/>
      <c r="S124" s="968"/>
      <c r="T124" s="968"/>
      <c r="U124" s="1236">
        <v>1</v>
      </c>
      <c r="V124" s="1250" t="s">
        <v>2285</v>
      </c>
      <c r="X124" s="1249" t="s">
        <v>2010</v>
      </c>
      <c r="Y124" s="1249" t="s">
        <v>2009</v>
      </c>
      <c r="AB124" s="640"/>
      <c r="AC124" s="1071"/>
      <c r="AD124" s="1077" t="s">
        <v>2673</v>
      </c>
      <c r="AE124" s="1071"/>
      <c r="AF124" s="1072"/>
      <c r="AG124" s="872" t="s">
        <v>2680</v>
      </c>
      <c r="AH124" s="640"/>
      <c r="AI124" s="640"/>
      <c r="AJ124" s="640"/>
      <c r="AK124" s="640"/>
      <c r="AL124" s="640"/>
      <c r="AM124" s="640"/>
      <c r="AN124" s="640"/>
      <c r="AO124" s="640"/>
      <c r="AP124" s="640"/>
      <c r="AQ124" s="640"/>
      <c r="AR124" s="640"/>
      <c r="AS124" s="640"/>
      <c r="AT124" s="640"/>
      <c r="AU124" s="639"/>
      <c r="AV124" s="639"/>
    </row>
    <row r="125" spans="4:55" x14ac:dyDescent="0.45">
      <c r="D125" s="727"/>
      <c r="E125" s="727" t="s">
        <v>1702</v>
      </c>
      <c r="F125" s="659"/>
      <c r="G125" s="659"/>
      <c r="H125" s="727"/>
      <c r="I125" s="968"/>
      <c r="J125" s="968"/>
      <c r="K125" s="968"/>
      <c r="L125" s="968"/>
      <c r="M125" s="968"/>
      <c r="N125" s="968"/>
      <c r="O125" s="968"/>
      <c r="P125" s="968"/>
      <c r="Q125" s="968"/>
      <c r="R125" s="968"/>
      <c r="S125" s="968"/>
      <c r="T125" s="968"/>
      <c r="U125" s="1236">
        <v>2</v>
      </c>
      <c r="V125" s="1250" t="s">
        <v>2285</v>
      </c>
      <c r="W125" s="1249" t="s">
        <v>435</v>
      </c>
      <c r="X125" s="1249" t="s">
        <v>2010</v>
      </c>
      <c r="Y125" s="1249" t="s">
        <v>2009</v>
      </c>
      <c r="AB125" s="640"/>
      <c r="AC125" s="1071"/>
      <c r="AD125" s="1077" t="s">
        <v>2675</v>
      </c>
      <c r="AE125" s="1071"/>
      <c r="AF125" s="1072"/>
      <c r="AG125" s="872" t="s">
        <v>2682</v>
      </c>
      <c r="AH125" s="640"/>
      <c r="AI125" s="640"/>
      <c r="AJ125" s="640"/>
      <c r="AK125" s="640"/>
      <c r="AL125" s="640"/>
      <c r="AM125" s="640"/>
      <c r="AN125" s="640"/>
      <c r="AO125" s="640"/>
      <c r="AP125" s="640"/>
      <c r="AQ125" s="640"/>
      <c r="AR125" s="640"/>
      <c r="AS125" s="640"/>
      <c r="AT125" s="640"/>
      <c r="AU125" s="639"/>
      <c r="AV125" s="639"/>
    </row>
    <row r="126" spans="4:55" x14ac:dyDescent="0.45">
      <c r="D126" s="659"/>
      <c r="E126" s="727" t="s">
        <v>1929</v>
      </c>
      <c r="F126" s="659"/>
      <c r="G126" s="659"/>
      <c r="H126" s="659"/>
      <c r="I126" s="968"/>
      <c r="J126" s="968"/>
      <c r="K126" s="968"/>
      <c r="L126" s="968"/>
      <c r="M126" s="968"/>
      <c r="N126" s="968"/>
      <c r="O126" s="968"/>
      <c r="P126" s="968"/>
      <c r="Q126" s="968"/>
      <c r="R126" s="968"/>
      <c r="S126" s="968"/>
      <c r="T126" s="968"/>
      <c r="U126" s="1245">
        <v>3</v>
      </c>
      <c r="V126" s="1251" t="s">
        <v>433</v>
      </c>
      <c r="W126" s="1252" t="s">
        <v>2872</v>
      </c>
      <c r="X126" s="1251" t="s">
        <v>2008</v>
      </c>
      <c r="Y126" s="1251" t="s">
        <v>2010</v>
      </c>
      <c r="AB126" s="640"/>
      <c r="AC126" s="1071"/>
      <c r="AD126" s="1077" t="s">
        <v>2676</v>
      </c>
      <c r="AE126" s="1071"/>
      <c r="AF126" s="1072"/>
      <c r="AG126" s="872" t="s">
        <v>2681</v>
      </c>
      <c r="AH126" s="640"/>
      <c r="AI126" s="640"/>
      <c r="AJ126" s="640"/>
      <c r="AK126" s="640"/>
      <c r="AL126" s="640"/>
      <c r="AM126" s="640"/>
      <c r="AN126" s="640"/>
      <c r="AO126" s="640"/>
      <c r="AP126" s="640"/>
      <c r="AQ126" s="640"/>
      <c r="AR126" s="640"/>
      <c r="AS126" s="640"/>
      <c r="AT126" s="640"/>
      <c r="AU126" s="639"/>
      <c r="AV126" s="639"/>
    </row>
    <row r="127" spans="4:55" x14ac:dyDescent="0.45">
      <c r="D127" s="659"/>
      <c r="E127" s="727" t="s">
        <v>1928</v>
      </c>
      <c r="F127" s="659"/>
      <c r="G127" s="659"/>
      <c r="H127" s="659"/>
      <c r="I127" s="968"/>
      <c r="J127" s="968"/>
      <c r="K127" s="968"/>
      <c r="L127" s="968"/>
      <c r="M127" s="968"/>
      <c r="N127" s="968"/>
      <c r="O127" s="968"/>
      <c r="P127" s="968"/>
      <c r="Q127" s="968"/>
      <c r="R127" s="968"/>
      <c r="S127" s="968"/>
      <c r="T127" s="968"/>
      <c r="U127" s="968"/>
      <c r="V127" s="968"/>
      <c r="W127"/>
      <c r="X127"/>
      <c r="AB127" s="640"/>
      <c r="AC127" s="1071"/>
      <c r="AD127" s="1077" t="s">
        <v>2677</v>
      </c>
      <c r="AE127" s="1071"/>
      <c r="AF127" s="1072"/>
      <c r="AG127" s="872" t="s">
        <v>2686</v>
      </c>
      <c r="AH127" s="640"/>
      <c r="AI127" s="640"/>
      <c r="AJ127" s="640"/>
      <c r="AK127" s="640"/>
      <c r="AL127" s="640"/>
      <c r="AM127" s="640"/>
      <c r="AN127" s="640"/>
      <c r="AO127" s="640"/>
      <c r="AP127" s="640"/>
      <c r="AQ127" s="640"/>
      <c r="AR127" s="640"/>
      <c r="AS127" s="640"/>
      <c r="AT127" s="640"/>
      <c r="AU127" s="639"/>
      <c r="AV127" s="639"/>
    </row>
    <row r="128" spans="4:55" x14ac:dyDescent="0.45">
      <c r="D128" s="659"/>
      <c r="E128" s="727" t="s">
        <v>1927</v>
      </c>
      <c r="F128" s="659"/>
      <c r="G128" s="659"/>
      <c r="H128" s="659"/>
      <c r="I128" s="968"/>
      <c r="J128" s="968"/>
      <c r="K128" s="968"/>
      <c r="L128" s="968"/>
      <c r="M128" s="968"/>
      <c r="N128" s="968"/>
      <c r="O128" s="968"/>
      <c r="P128" s="968"/>
      <c r="Q128" s="968"/>
      <c r="R128" s="968"/>
      <c r="S128" s="968"/>
      <c r="T128" s="968"/>
      <c r="U128" s="968"/>
      <c r="V128" s="968"/>
      <c r="W128"/>
      <c r="X128"/>
      <c r="AB128" s="640"/>
      <c r="AC128" s="1073"/>
      <c r="AD128" s="1078" t="s">
        <v>2678</v>
      </c>
      <c r="AE128" s="1073"/>
      <c r="AF128" s="1074"/>
      <c r="AG128" s="872" t="s">
        <v>2685</v>
      </c>
      <c r="AH128" s="640"/>
      <c r="AI128" s="640"/>
      <c r="AJ128" s="640"/>
      <c r="AK128" s="640"/>
      <c r="AL128" s="640"/>
      <c r="AM128" s="640"/>
      <c r="AN128" s="640"/>
      <c r="AO128" s="640"/>
      <c r="AP128" s="640"/>
      <c r="AQ128" s="640"/>
      <c r="AR128" s="640"/>
      <c r="AS128" s="640"/>
      <c r="AT128" s="640"/>
      <c r="AU128" s="639"/>
      <c r="AV128" s="639"/>
    </row>
    <row r="129" spans="4:27" ht="48" x14ac:dyDescent="0.45">
      <c r="D129" s="659"/>
      <c r="E129" s="1240" t="s">
        <v>2860</v>
      </c>
      <c r="F129" s="1241"/>
      <c r="G129" s="1241"/>
      <c r="H129" s="1241"/>
      <c r="I129" s="1244"/>
      <c r="J129" s="1244"/>
      <c r="K129" s="1244"/>
      <c r="L129" s="1244"/>
      <c r="M129" s="1244"/>
      <c r="N129" s="968"/>
      <c r="O129" s="968"/>
      <c r="P129" s="968"/>
      <c r="Q129" s="968"/>
      <c r="R129" s="968"/>
      <c r="S129" s="968"/>
      <c r="T129" s="968"/>
      <c r="U129" s="968"/>
      <c r="V129" s="968"/>
      <c r="W129"/>
      <c r="X129"/>
      <c r="AA129" s="1249" t="s">
        <v>2008</v>
      </c>
    </row>
    <row r="130" spans="4:27" x14ac:dyDescent="0.45">
      <c r="D130" s="659"/>
      <c r="E130" s="1240" t="s">
        <v>2563</v>
      </c>
      <c r="F130" s="1241"/>
      <c r="G130" s="1241"/>
      <c r="H130" s="659"/>
      <c r="I130" s="968"/>
      <c r="J130" s="968"/>
      <c r="K130" s="968"/>
      <c r="L130" s="968"/>
      <c r="M130" s="968"/>
      <c r="N130" s="968"/>
      <c r="O130" s="968"/>
      <c r="P130" s="968"/>
      <c r="Q130" s="968"/>
      <c r="R130" s="968"/>
      <c r="S130" s="968"/>
      <c r="T130" s="968"/>
      <c r="U130" s="968"/>
      <c r="V130" s="968"/>
      <c r="W130"/>
      <c r="X130"/>
    </row>
    <row r="131" spans="4:27" x14ac:dyDescent="0.45">
      <c r="D131" s="758" t="s">
        <v>2862</v>
      </c>
      <c r="E131" s="725"/>
      <c r="F131" s="725"/>
      <c r="G131" s="725"/>
      <c r="H131" s="659"/>
      <c r="I131" s="968"/>
      <c r="J131" s="968"/>
      <c r="K131" s="968"/>
      <c r="L131" s="968"/>
      <c r="M131" s="968"/>
      <c r="N131" s="968"/>
      <c r="O131" s="968"/>
      <c r="P131" s="968"/>
      <c r="Q131" s="968"/>
      <c r="R131" s="968"/>
      <c r="S131" s="968"/>
      <c r="T131" s="968"/>
      <c r="U131" s="968"/>
      <c r="V131" s="968"/>
      <c r="Y131" s="8"/>
      <c r="Z131" s="4"/>
    </row>
    <row r="132" spans="4:27" x14ac:dyDescent="0.45">
      <c r="D132" s="659"/>
      <c r="E132" s="727" t="s">
        <v>1926</v>
      </c>
      <c r="F132" s="659"/>
      <c r="G132" s="659"/>
      <c r="H132" s="659"/>
      <c r="I132" s="968"/>
      <c r="J132" s="968"/>
      <c r="K132" s="968"/>
      <c r="L132" s="968"/>
      <c r="M132" s="968"/>
      <c r="N132" s="968"/>
      <c r="O132" s="968"/>
      <c r="P132" s="968"/>
      <c r="Q132" s="968"/>
      <c r="R132" s="968"/>
      <c r="S132" s="968"/>
      <c r="T132" s="968"/>
      <c r="U132" s="968"/>
      <c r="V132" s="968"/>
      <c r="Y132" s="8"/>
      <c r="Z132" s="4"/>
    </row>
    <row r="133" spans="4:27" x14ac:dyDescent="0.45">
      <c r="D133" s="727"/>
      <c r="E133" s="727" t="s">
        <v>1925</v>
      </c>
      <c r="F133" s="659"/>
      <c r="G133" s="659"/>
      <c r="H133" s="659"/>
      <c r="I133" s="968"/>
      <c r="J133" s="968"/>
      <c r="K133" s="968"/>
      <c r="L133" s="968"/>
      <c r="M133" s="968"/>
      <c r="N133" s="968"/>
      <c r="O133" s="968"/>
      <c r="P133" s="968"/>
      <c r="Q133" s="968"/>
      <c r="R133" s="968"/>
      <c r="S133" s="968"/>
      <c r="T133" s="968"/>
      <c r="U133" s="968"/>
      <c r="V133" s="968"/>
      <c r="Y133" s="8"/>
      <c r="Z133" s="4"/>
    </row>
    <row r="134" spans="4:27" x14ac:dyDescent="0.45">
      <c r="D134" s="659"/>
      <c r="E134" s="727" t="s">
        <v>2204</v>
      </c>
      <c r="F134" s="659"/>
      <c r="G134" s="659"/>
      <c r="H134" s="659"/>
      <c r="I134" s="968"/>
      <c r="J134" s="968"/>
      <c r="K134" s="968"/>
      <c r="L134" s="968"/>
      <c r="M134" s="968"/>
      <c r="N134" s="968"/>
      <c r="O134" s="968"/>
      <c r="P134" s="968"/>
      <c r="Q134" s="968"/>
      <c r="R134" s="968"/>
      <c r="S134" s="968"/>
      <c r="T134" s="968"/>
      <c r="U134" s="968"/>
      <c r="V134" s="968"/>
      <c r="Y134" s="8"/>
      <c r="Z134" s="4"/>
    </row>
    <row r="135" spans="4:27" x14ac:dyDescent="0.45">
      <c r="D135" s="659"/>
      <c r="E135" s="727" t="s">
        <v>1703</v>
      </c>
      <c r="F135" s="659"/>
      <c r="G135" s="659"/>
      <c r="H135" s="659"/>
      <c r="I135" s="968"/>
      <c r="J135" s="968"/>
      <c r="K135" s="968"/>
      <c r="L135" s="968"/>
      <c r="M135" s="968"/>
      <c r="N135" s="968"/>
      <c r="O135" s="968"/>
      <c r="P135" s="968"/>
      <c r="Q135" s="968"/>
      <c r="R135" s="968"/>
      <c r="S135" s="968"/>
      <c r="T135" s="968"/>
      <c r="U135" s="968"/>
      <c r="V135" s="968"/>
      <c r="Y135" s="8"/>
      <c r="Z135" s="8"/>
    </row>
    <row r="136" spans="4:27" x14ac:dyDescent="0.45">
      <c r="D136" s="659"/>
      <c r="E136" s="727" t="s">
        <v>1704</v>
      </c>
      <c r="F136" s="659"/>
      <c r="G136" s="659"/>
      <c r="H136" s="659"/>
      <c r="I136" s="968"/>
      <c r="J136" s="968"/>
      <c r="K136" s="968"/>
      <c r="L136" s="968"/>
      <c r="M136" s="968"/>
      <c r="N136" s="968"/>
      <c r="O136" s="968"/>
      <c r="P136" s="968"/>
      <c r="Q136" s="968"/>
      <c r="R136" s="968"/>
      <c r="S136" s="968"/>
      <c r="T136" s="968"/>
      <c r="U136" s="968"/>
      <c r="V136" s="968"/>
      <c r="Y136" s="8"/>
      <c r="Z136" s="8"/>
    </row>
    <row r="137" spans="4:27" x14ac:dyDescent="0.45">
      <c r="D137" s="659"/>
      <c r="E137" s="727" t="s">
        <v>2284</v>
      </c>
      <c r="F137" s="659"/>
      <c r="G137" s="659"/>
      <c r="H137" s="659"/>
      <c r="I137" s="968"/>
      <c r="J137" s="968"/>
      <c r="K137" s="968"/>
      <c r="L137" s="968"/>
      <c r="M137" s="968"/>
      <c r="N137" s="968"/>
      <c r="O137" s="968"/>
      <c r="P137" s="968"/>
      <c r="Q137" s="968"/>
      <c r="R137" s="968"/>
      <c r="S137" s="968"/>
      <c r="T137" s="968"/>
      <c r="U137" s="968"/>
      <c r="V137" s="968"/>
      <c r="Y137" s="8"/>
      <c r="Z137" s="8"/>
    </row>
    <row r="138" spans="4:27" x14ac:dyDescent="0.45">
      <c r="D138" s="659"/>
      <c r="E138" s="727" t="s">
        <v>2283</v>
      </c>
      <c r="F138" s="659"/>
      <c r="G138" s="659"/>
      <c r="H138" s="659"/>
      <c r="I138" s="968"/>
      <c r="J138" s="968"/>
      <c r="K138" s="968"/>
      <c r="L138" s="968"/>
      <c r="M138" s="968"/>
      <c r="N138" s="968"/>
      <c r="O138" s="968"/>
      <c r="P138" s="968"/>
      <c r="Q138" s="968"/>
      <c r="R138" s="968"/>
      <c r="S138" s="968"/>
      <c r="T138" s="968"/>
      <c r="U138" s="968"/>
      <c r="V138" s="968"/>
      <c r="Y138" s="8"/>
      <c r="Z138" s="8"/>
    </row>
    <row r="139" spans="4:27" x14ac:dyDescent="0.45">
      <c r="D139" s="659"/>
      <c r="E139" s="659" t="s">
        <v>1705</v>
      </c>
      <c r="F139" s="727" t="s">
        <v>2403</v>
      </c>
      <c r="G139" s="659"/>
      <c r="H139" s="659"/>
      <c r="I139" s="968"/>
      <c r="J139" s="968"/>
      <c r="K139" s="968"/>
      <c r="L139" s="968"/>
      <c r="M139" s="968"/>
      <c r="N139" s="968"/>
      <c r="O139" s="968"/>
      <c r="P139" s="968"/>
      <c r="Q139" s="968"/>
      <c r="R139" s="968"/>
      <c r="S139" s="968"/>
      <c r="T139" s="968"/>
      <c r="U139" s="968"/>
      <c r="V139" s="968"/>
      <c r="Y139" s="8"/>
      <c r="Z139" s="8"/>
    </row>
    <row r="140" spans="4:27" x14ac:dyDescent="0.45">
      <c r="D140" s="659"/>
      <c r="E140" s="1240" t="s">
        <v>2563</v>
      </c>
      <c r="F140" s="1248"/>
      <c r="G140" s="1241"/>
      <c r="H140" s="659"/>
      <c r="I140" s="968"/>
      <c r="J140" s="968"/>
      <c r="K140" s="968"/>
      <c r="L140" s="968"/>
      <c r="M140" s="968"/>
      <c r="N140" s="968"/>
      <c r="O140" s="968"/>
      <c r="P140" s="968"/>
      <c r="Q140" s="968"/>
      <c r="R140" s="968"/>
      <c r="S140" s="968"/>
      <c r="T140" s="968"/>
      <c r="U140" s="968"/>
      <c r="V140" s="968"/>
      <c r="Y140" s="8"/>
      <c r="Z140" s="8"/>
    </row>
    <row r="141" spans="4:27" x14ac:dyDescent="0.45">
      <c r="D141" s="659"/>
      <c r="E141" s="1048"/>
      <c r="F141" s="727"/>
      <c r="G141" s="659"/>
      <c r="H141" s="659"/>
      <c r="I141" s="968"/>
      <c r="J141" s="968"/>
      <c r="K141" s="968"/>
      <c r="L141" s="968"/>
      <c r="M141" s="968"/>
      <c r="N141" s="968"/>
      <c r="O141" s="968"/>
      <c r="P141" s="968"/>
      <c r="Q141" s="968"/>
      <c r="R141" s="968"/>
      <c r="S141" s="968"/>
      <c r="T141" s="968"/>
      <c r="U141" s="968"/>
      <c r="V141" s="968"/>
      <c r="Y141" s="8"/>
      <c r="Z141" s="8"/>
    </row>
    <row r="142" spans="4:27" x14ac:dyDescent="0.45">
      <c r="D142" s="1237" t="s">
        <v>2873</v>
      </c>
      <c r="E142" s="1238"/>
      <c r="F142" s="1238"/>
      <c r="G142" s="1238"/>
      <c r="H142" s="968"/>
      <c r="I142" s="968"/>
      <c r="J142" s="968"/>
      <c r="K142" s="968"/>
      <c r="L142" s="968"/>
      <c r="M142" s="968"/>
      <c r="N142" s="968"/>
      <c r="O142" s="968"/>
      <c r="P142" s="968"/>
      <c r="Q142" s="968"/>
      <c r="R142" s="968"/>
      <c r="S142" s="968"/>
      <c r="T142" s="968"/>
      <c r="U142" s="968"/>
      <c r="V142" s="968"/>
      <c r="Y142" s="8"/>
      <c r="Z142" s="8"/>
    </row>
    <row r="143" spans="4:27" x14ac:dyDescent="0.45">
      <c r="D143" s="968"/>
      <c r="E143" s="1235" t="s">
        <v>1926</v>
      </c>
      <c r="F143" s="968"/>
      <c r="G143" s="968"/>
      <c r="H143" s="968"/>
      <c r="I143" s="968"/>
      <c r="J143" s="968"/>
      <c r="K143" s="968"/>
      <c r="L143" s="968"/>
      <c r="M143" s="968"/>
      <c r="N143" s="968"/>
      <c r="O143" s="968"/>
      <c r="P143" s="968"/>
      <c r="Q143" s="968"/>
      <c r="R143" s="968"/>
      <c r="S143" s="968"/>
      <c r="T143" s="968"/>
      <c r="U143" s="968"/>
      <c r="V143" s="968"/>
      <c r="Y143" s="8"/>
      <c r="Z143" s="8"/>
    </row>
    <row r="144" spans="4:27" x14ac:dyDescent="0.45">
      <c r="D144" s="1235"/>
      <c r="E144" s="1235" t="s">
        <v>1925</v>
      </c>
      <c r="F144" s="968"/>
      <c r="G144" s="968"/>
      <c r="H144" s="968"/>
      <c r="I144" s="968"/>
      <c r="J144" s="968"/>
      <c r="K144" s="968"/>
      <c r="L144" s="968"/>
      <c r="M144" s="968"/>
      <c r="N144" s="968"/>
      <c r="O144" s="968"/>
      <c r="P144" s="968"/>
      <c r="Q144" s="968"/>
      <c r="R144" s="968"/>
      <c r="S144" s="968"/>
      <c r="T144" s="968"/>
      <c r="U144" s="968"/>
      <c r="V144" s="968"/>
      <c r="Y144" s="8"/>
      <c r="Z144" s="8"/>
    </row>
    <row r="145" spans="4:26" x14ac:dyDescent="0.45">
      <c r="D145" s="968"/>
      <c r="E145" s="1235" t="s">
        <v>1702</v>
      </c>
      <c r="F145" s="968"/>
      <c r="G145" s="968"/>
      <c r="H145" s="968"/>
      <c r="I145" s="968"/>
      <c r="J145" s="968"/>
      <c r="K145" s="968"/>
      <c r="L145" s="968"/>
      <c r="M145" s="968"/>
      <c r="N145" s="968"/>
      <c r="O145" s="968"/>
      <c r="P145" s="968"/>
      <c r="Q145" s="968"/>
      <c r="R145" s="968"/>
      <c r="S145" s="968"/>
      <c r="T145" s="968"/>
      <c r="U145" s="968"/>
      <c r="V145" s="968"/>
      <c r="Y145" s="8"/>
      <c r="Z145" s="8"/>
    </row>
    <row r="146" spans="4:26" x14ac:dyDescent="0.45">
      <c r="D146" s="968"/>
      <c r="E146" s="1235" t="s">
        <v>2874</v>
      </c>
      <c r="F146" s="968"/>
      <c r="G146" s="968"/>
      <c r="H146" s="968"/>
      <c r="I146" s="968"/>
      <c r="J146" s="968"/>
      <c r="K146" s="968"/>
      <c r="L146" s="968"/>
      <c r="M146" s="968"/>
      <c r="N146" s="968"/>
      <c r="O146" s="968"/>
      <c r="P146" s="968"/>
      <c r="Q146" s="968"/>
      <c r="R146" s="968"/>
      <c r="S146" s="968"/>
      <c r="T146" s="968"/>
      <c r="U146" s="968"/>
      <c r="V146" s="968"/>
      <c r="Y146" s="8"/>
      <c r="Z146" s="8"/>
    </row>
    <row r="147" spans="4:26" x14ac:dyDescent="0.45">
      <c r="D147" s="968"/>
      <c r="E147" s="1235" t="s">
        <v>1704</v>
      </c>
      <c r="F147" s="968"/>
      <c r="G147" s="968"/>
      <c r="H147" s="968"/>
      <c r="I147" s="968"/>
      <c r="J147" s="968"/>
      <c r="K147" s="968"/>
      <c r="L147" s="968"/>
      <c r="M147" s="968"/>
      <c r="N147" s="968"/>
      <c r="O147" s="968"/>
      <c r="P147" s="968"/>
      <c r="Q147" s="968"/>
      <c r="R147" s="968"/>
      <c r="S147" s="968"/>
      <c r="T147" s="968"/>
      <c r="U147" s="968"/>
      <c r="V147" s="968"/>
      <c r="Y147" s="8"/>
      <c r="Z147" s="8"/>
    </row>
    <row r="148" spans="4:26" x14ac:dyDescent="0.45">
      <c r="D148" s="968"/>
      <c r="E148" s="1235" t="s">
        <v>2284</v>
      </c>
      <c r="F148" s="968"/>
      <c r="G148" s="968"/>
      <c r="H148" s="968"/>
      <c r="I148" s="968"/>
      <c r="J148" s="968"/>
      <c r="K148" s="968"/>
      <c r="L148" s="968"/>
      <c r="M148" s="968"/>
      <c r="N148" s="968"/>
      <c r="O148" s="968"/>
      <c r="P148" s="968"/>
      <c r="Q148" s="968"/>
      <c r="R148" s="968"/>
      <c r="S148" s="968"/>
      <c r="T148" s="968"/>
      <c r="U148" s="968"/>
      <c r="V148" s="968"/>
      <c r="Y148" s="8"/>
      <c r="Z148" s="8"/>
    </row>
    <row r="149" spans="4:26" x14ac:dyDescent="0.45">
      <c r="D149" s="968"/>
      <c r="E149" s="1235" t="s">
        <v>2283</v>
      </c>
      <c r="F149" s="968"/>
      <c r="G149" s="968"/>
      <c r="H149" s="968"/>
      <c r="I149" s="968"/>
      <c r="J149" s="968"/>
      <c r="K149" s="968"/>
      <c r="L149" s="968"/>
      <c r="M149" s="968"/>
      <c r="N149" s="968"/>
      <c r="O149" s="968"/>
      <c r="P149" s="968"/>
      <c r="Q149" s="968"/>
      <c r="R149" s="968"/>
      <c r="S149" s="968"/>
      <c r="T149" s="968"/>
      <c r="U149" s="968"/>
      <c r="V149" s="968"/>
      <c r="Y149" s="8"/>
      <c r="Z149" s="8"/>
    </row>
    <row r="150" spans="4:26" x14ac:dyDescent="0.45">
      <c r="D150" s="968"/>
      <c r="E150" s="968" t="s">
        <v>1705</v>
      </c>
      <c r="F150" s="1235" t="s">
        <v>2403</v>
      </c>
      <c r="G150" s="968"/>
      <c r="H150" s="968"/>
      <c r="I150" s="968"/>
      <c r="J150" s="968"/>
      <c r="K150" s="968"/>
      <c r="L150" s="968"/>
      <c r="M150" s="968"/>
      <c r="N150" s="968"/>
      <c r="O150" s="968"/>
      <c r="P150" s="968"/>
      <c r="Q150" s="968"/>
      <c r="R150" s="968"/>
      <c r="S150" s="968"/>
      <c r="T150" s="968"/>
      <c r="U150" s="968"/>
      <c r="V150" s="968"/>
      <c r="Y150" s="8"/>
      <c r="Z150" s="8"/>
    </row>
    <row r="151" spans="4:26" x14ac:dyDescent="0.45">
      <c r="D151" s="659"/>
      <c r="E151" s="1048"/>
      <c r="F151" s="727"/>
      <c r="G151" s="659"/>
      <c r="H151" s="659"/>
      <c r="I151" s="968"/>
      <c r="J151" s="968"/>
      <c r="K151" s="968"/>
      <c r="L151" s="968"/>
      <c r="M151" s="968"/>
      <c r="N151" s="968"/>
      <c r="O151" s="968"/>
      <c r="P151" s="968"/>
      <c r="Q151" s="968"/>
      <c r="R151" s="968"/>
      <c r="S151" s="968"/>
      <c r="T151" s="968"/>
      <c r="U151" s="968"/>
      <c r="V151" s="968"/>
      <c r="Y151" s="8"/>
      <c r="Z151" s="8"/>
    </row>
    <row r="152" spans="4:26" x14ac:dyDescent="0.45">
      <c r="D152" s="1246" t="s">
        <v>2870</v>
      </c>
      <c r="E152" s="1247"/>
      <c r="F152" s="1247"/>
      <c r="G152" s="1247"/>
      <c r="H152" s="1241"/>
      <c r="I152" s="1244"/>
      <c r="J152" s="1244"/>
      <c r="K152" s="1244"/>
      <c r="L152" s="1244"/>
      <c r="M152" s="1244"/>
      <c r="N152" s="1244"/>
      <c r="O152" s="1244"/>
      <c r="P152" s="1244"/>
      <c r="Q152" s="1244"/>
      <c r="R152" s="1244"/>
      <c r="S152" s="1244"/>
      <c r="T152" s="1244"/>
      <c r="U152" s="1244"/>
      <c r="V152" s="1244"/>
      <c r="W152"/>
    </row>
    <row r="153" spans="4:26" x14ac:dyDescent="0.45">
      <c r="D153" s="1241"/>
      <c r="E153" s="1248" t="s">
        <v>2205</v>
      </c>
      <c r="F153" s="1241"/>
      <c r="G153" s="1241"/>
      <c r="H153" s="1241"/>
      <c r="I153" s="1244"/>
      <c r="J153" s="1244"/>
      <c r="K153" s="1244"/>
      <c r="L153" s="1244"/>
      <c r="M153" s="1244"/>
      <c r="N153" s="1244"/>
      <c r="O153" s="1244"/>
      <c r="P153" s="1244"/>
      <c r="Q153" s="1244"/>
      <c r="R153" s="1244"/>
      <c r="S153" s="1244"/>
      <c r="T153" s="1244"/>
      <c r="U153" s="1244"/>
      <c r="V153" s="1244"/>
      <c r="W153"/>
    </row>
    <row r="154" spans="4:26" x14ac:dyDescent="0.45">
      <c r="D154" s="1241"/>
      <c r="E154" s="1248" t="s">
        <v>2206</v>
      </c>
      <c r="F154" s="1241"/>
      <c r="G154" s="1241"/>
      <c r="H154" s="1241"/>
      <c r="I154" s="1244"/>
      <c r="J154" s="1244"/>
      <c r="K154" s="1244"/>
      <c r="L154" s="1244"/>
      <c r="M154" s="1244"/>
      <c r="N154" s="1244"/>
      <c r="O154" s="1244"/>
      <c r="P154" s="1244"/>
      <c r="Q154" s="1244"/>
      <c r="R154" s="1244"/>
      <c r="S154" s="1244"/>
      <c r="T154" s="1244"/>
      <c r="U154" s="1244"/>
      <c r="V154" s="1244"/>
      <c r="W154"/>
    </row>
    <row r="155" spans="4:26" x14ac:dyDescent="0.45">
      <c r="D155" s="1248"/>
      <c r="E155" s="1248" t="s">
        <v>2207</v>
      </c>
      <c r="F155" s="1241"/>
      <c r="G155" s="1241"/>
      <c r="H155" s="1241"/>
      <c r="I155" s="1244"/>
      <c r="J155" s="1244"/>
      <c r="K155" s="1244"/>
      <c r="L155" s="1244"/>
      <c r="M155" s="1244"/>
      <c r="N155" s="1244"/>
      <c r="O155" s="1244"/>
      <c r="P155" s="1244"/>
      <c r="Q155" s="1244"/>
      <c r="R155" s="1244"/>
      <c r="S155" s="1244"/>
      <c r="T155" s="1244"/>
      <c r="U155" s="1244"/>
      <c r="V155" s="1244"/>
      <c r="W155"/>
    </row>
    <row r="156" spans="4:26" x14ac:dyDescent="0.45">
      <c r="D156" s="1241"/>
      <c r="E156" s="1248" t="s">
        <v>2871</v>
      </c>
      <c r="F156" s="1241"/>
      <c r="G156" s="1241"/>
      <c r="H156" s="1241"/>
      <c r="I156" s="1244"/>
      <c r="J156" s="1244"/>
      <c r="K156" s="1244"/>
      <c r="L156" s="1244"/>
      <c r="M156" s="1244"/>
      <c r="N156" s="1244"/>
      <c r="O156" s="1244"/>
      <c r="P156" s="1244"/>
      <c r="Q156" s="1244"/>
      <c r="R156" s="1244"/>
      <c r="S156" s="1244"/>
      <c r="T156" s="1244"/>
      <c r="U156" s="1244"/>
      <c r="V156" s="1244"/>
      <c r="W156"/>
    </row>
    <row r="157" spans="4:26" x14ac:dyDescent="0.45">
      <c r="D157" s="1241"/>
      <c r="E157" s="1248" t="s">
        <v>1927</v>
      </c>
      <c r="F157" s="1241"/>
      <c r="G157" s="1241"/>
      <c r="H157" s="1241"/>
      <c r="I157" s="1244"/>
      <c r="J157" s="1244"/>
      <c r="K157" s="1244"/>
      <c r="L157" s="1244"/>
      <c r="M157" s="1244"/>
      <c r="N157" s="1244"/>
      <c r="O157" s="1244"/>
      <c r="P157" s="1244"/>
      <c r="Q157" s="1244"/>
      <c r="R157" s="1244"/>
      <c r="S157" s="1244"/>
      <c r="T157" s="1244"/>
      <c r="U157" s="1244"/>
      <c r="V157" s="1244"/>
      <c r="W157"/>
    </row>
    <row r="158" spans="4:26" x14ac:dyDescent="0.45">
      <c r="D158" s="1241"/>
      <c r="E158" s="1248" t="s">
        <v>1703</v>
      </c>
      <c r="F158" s="1241"/>
      <c r="G158" s="1241"/>
      <c r="H158" s="1241"/>
      <c r="I158" s="1244"/>
      <c r="J158" s="1244"/>
      <c r="K158" s="1244"/>
      <c r="L158" s="1244"/>
      <c r="M158" s="1244"/>
      <c r="N158" s="1244"/>
      <c r="O158" s="1244"/>
      <c r="P158" s="1244"/>
      <c r="Q158" s="1244"/>
      <c r="R158" s="1244"/>
      <c r="S158" s="1244"/>
      <c r="T158" s="1244"/>
      <c r="U158" s="1244"/>
      <c r="V158" s="1244"/>
      <c r="W158"/>
    </row>
    <row r="159" spans="4:26" x14ac:dyDescent="0.45">
      <c r="D159" s="1241"/>
      <c r="E159" s="1248" t="s">
        <v>1704</v>
      </c>
      <c r="F159" s="1241"/>
      <c r="G159" s="1241"/>
      <c r="H159" s="1241"/>
      <c r="I159" s="1244"/>
      <c r="J159" s="1244"/>
      <c r="K159" s="1244"/>
      <c r="L159" s="1244"/>
      <c r="M159" s="1244"/>
      <c r="N159" s="1244"/>
      <c r="O159" s="1244"/>
      <c r="P159" s="1244"/>
      <c r="Q159" s="1244"/>
      <c r="R159" s="1244"/>
      <c r="S159" s="1244"/>
      <c r="T159" s="1244"/>
      <c r="U159" s="1244"/>
      <c r="V159" s="1244"/>
      <c r="W159"/>
    </row>
    <row r="160" spans="4:26" x14ac:dyDescent="0.45">
      <c r="D160" s="1241"/>
      <c r="E160" s="1240" t="s">
        <v>2404</v>
      </c>
      <c r="F160" s="1241"/>
      <c r="G160" s="1241"/>
      <c r="H160" s="1241"/>
      <c r="I160" s="1244"/>
      <c r="J160" s="1244"/>
      <c r="K160" s="1244"/>
      <c r="L160" s="1244"/>
      <c r="M160" s="1244"/>
      <c r="N160" s="1244"/>
      <c r="O160" s="1244"/>
      <c r="P160" s="1244"/>
      <c r="Q160" s="1244"/>
      <c r="R160" s="1244"/>
      <c r="S160" s="1244"/>
      <c r="T160" s="1244"/>
      <c r="U160" s="1244"/>
      <c r="V160" s="1244"/>
      <c r="W160"/>
    </row>
    <row r="161" spans="2:24" x14ac:dyDescent="0.45">
      <c r="D161" s="639"/>
      <c r="E161" s="639"/>
      <c r="F161" s="639"/>
      <c r="G161" s="639"/>
      <c r="H161" s="639"/>
      <c r="I161" s="639"/>
      <c r="J161" s="639"/>
      <c r="K161" s="639"/>
      <c r="L161" s="639"/>
      <c r="M161" s="639"/>
      <c r="N161" s="639"/>
      <c r="O161" s="639"/>
      <c r="P161" s="639"/>
      <c r="Q161" s="639"/>
      <c r="R161" s="639"/>
      <c r="S161" s="639"/>
      <c r="T161" s="639"/>
      <c r="U161" s="639"/>
      <c r="V161" s="639"/>
      <c r="W161"/>
      <c r="X161"/>
    </row>
    <row r="162" spans="2:24" x14ac:dyDescent="0.45">
      <c r="D162" s="758" t="s">
        <v>2378</v>
      </c>
      <c r="E162" s="639"/>
      <c r="F162" s="639"/>
      <c r="G162" s="639"/>
      <c r="H162" s="639"/>
      <c r="I162" s="639"/>
      <c r="J162" s="639"/>
      <c r="K162" s="639"/>
      <c r="L162" s="639"/>
      <c r="M162" s="639"/>
      <c r="N162" s="639"/>
      <c r="O162" s="639"/>
      <c r="P162" s="639"/>
      <c r="Q162" s="639"/>
      <c r="R162" s="639"/>
      <c r="S162" s="639"/>
      <c r="T162" s="639"/>
      <c r="U162" s="639"/>
      <c r="V162" s="639"/>
      <c r="W162"/>
      <c r="X162"/>
    </row>
    <row r="163" spans="2:24" ht="17.5" x14ac:dyDescent="0.45">
      <c r="D163" s="779">
        <v>2.1</v>
      </c>
      <c r="E163" s="999" t="s">
        <v>2386</v>
      </c>
      <c r="F163" s="639"/>
      <c r="G163" s="639"/>
      <c r="H163" s="639"/>
      <c r="I163" s="639"/>
      <c r="J163" s="639"/>
      <c r="K163" s="639"/>
      <c r="L163" s="639"/>
      <c r="M163" s="639"/>
      <c r="N163" s="639"/>
      <c r="O163" s="639"/>
      <c r="P163" s="639"/>
      <c r="Q163" s="639"/>
      <c r="R163" s="639"/>
      <c r="S163" s="639"/>
      <c r="T163" s="639"/>
      <c r="U163" s="639"/>
      <c r="V163" s="639"/>
      <c r="W163"/>
      <c r="X163"/>
    </row>
    <row r="164" spans="2:24" ht="17.5" x14ac:dyDescent="0.45">
      <c r="D164" s="779">
        <v>2.2000000000000002</v>
      </c>
      <c r="E164" s="999" t="s">
        <v>2379</v>
      </c>
      <c r="F164" s="639"/>
      <c r="G164" s="639"/>
      <c r="H164" s="639"/>
      <c r="I164" s="639"/>
      <c r="J164" s="639"/>
      <c r="K164" s="639"/>
      <c r="L164" s="639"/>
      <c r="M164" s="639"/>
      <c r="N164" s="639"/>
      <c r="O164" s="639"/>
      <c r="P164" s="639"/>
      <c r="Q164" s="639"/>
      <c r="R164" s="639"/>
      <c r="S164" s="639"/>
      <c r="T164" s="639"/>
      <c r="U164" s="639"/>
      <c r="V164" s="639"/>
      <c r="W164"/>
      <c r="X164"/>
    </row>
    <row r="165" spans="2:24" ht="17.5" x14ac:dyDescent="0.45">
      <c r="D165" s="779">
        <v>2.2999999999999998</v>
      </c>
      <c r="E165" s="1000" t="s">
        <v>2382</v>
      </c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/>
      <c r="X165"/>
    </row>
    <row r="166" spans="2:24" ht="17.5" x14ac:dyDescent="0.45">
      <c r="D166" s="779"/>
      <c r="E166" s="1001" t="s">
        <v>2383</v>
      </c>
      <c r="F166" s="793" t="s">
        <v>2381</v>
      </c>
      <c r="G166" s="640"/>
      <c r="H166" s="639"/>
      <c r="I166" s="639"/>
      <c r="J166" s="639"/>
      <c r="K166" s="639"/>
      <c r="L166" s="639"/>
      <c r="M166" s="639"/>
      <c r="N166" s="639"/>
      <c r="O166" s="639"/>
      <c r="P166" s="639"/>
      <c r="Q166" s="639"/>
      <c r="R166" s="639"/>
      <c r="S166" s="639"/>
      <c r="T166" s="639"/>
      <c r="U166" s="639"/>
      <c r="V166" s="639"/>
      <c r="W166"/>
      <c r="X166"/>
    </row>
    <row r="167" spans="2:24" ht="17.5" x14ac:dyDescent="0.45">
      <c r="D167" s="779"/>
      <c r="E167" s="1001" t="s">
        <v>2384</v>
      </c>
      <c r="F167" s="793" t="s">
        <v>2285</v>
      </c>
      <c r="G167" s="640"/>
      <c r="H167" s="639"/>
      <c r="I167" s="639"/>
      <c r="J167" s="639"/>
      <c r="K167" s="639"/>
      <c r="L167" s="639"/>
      <c r="M167" s="639"/>
      <c r="N167" s="639"/>
      <c r="O167" s="639"/>
      <c r="P167" s="639"/>
      <c r="Q167" s="639"/>
      <c r="R167" s="639"/>
      <c r="S167" s="639"/>
      <c r="T167" s="639"/>
      <c r="U167" s="639"/>
      <c r="V167" s="639"/>
      <c r="W167"/>
      <c r="X167"/>
    </row>
    <row r="168" spans="2:24" ht="17.5" x14ac:dyDescent="0.45">
      <c r="D168" s="1242">
        <v>2.4</v>
      </c>
      <c r="E168" s="1243" t="s">
        <v>2868</v>
      </c>
      <c r="F168" s="968"/>
      <c r="G168" s="968"/>
      <c r="H168" s="968"/>
      <c r="I168" s="968"/>
      <c r="J168" s="968"/>
      <c r="K168" s="968"/>
      <c r="L168" s="968"/>
      <c r="M168" s="968"/>
      <c r="N168" s="968"/>
      <c r="O168" s="968"/>
      <c r="P168" s="968"/>
      <c r="Q168" s="639"/>
      <c r="R168" s="639"/>
      <c r="S168" s="639"/>
      <c r="T168" s="639"/>
      <c r="U168" s="639"/>
      <c r="V168" s="639"/>
      <c r="W168"/>
      <c r="X168"/>
    </row>
    <row r="169" spans="2:24" x14ac:dyDescent="0.45">
      <c r="D169" s="639"/>
      <c r="E169" s="639"/>
      <c r="F169" s="639"/>
      <c r="G169" s="639"/>
      <c r="H169" s="639"/>
      <c r="I169" s="639"/>
      <c r="J169" s="639"/>
      <c r="K169" s="639"/>
      <c r="L169" s="639"/>
      <c r="M169" s="639"/>
      <c r="N169" s="639"/>
      <c r="O169" s="639"/>
      <c r="P169" s="639"/>
      <c r="Q169" s="639"/>
      <c r="R169" s="639"/>
      <c r="S169" s="639"/>
      <c r="T169" s="639"/>
      <c r="U169" s="639"/>
      <c r="V169" s="639"/>
      <c r="W169"/>
      <c r="X169"/>
    </row>
    <row r="170" spans="2:24" x14ac:dyDescent="0.45">
      <c r="D170" s="998" t="s">
        <v>2380</v>
      </c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/>
      <c r="X170"/>
    </row>
    <row r="171" spans="2:24" ht="17.5" x14ac:dyDescent="0.45">
      <c r="D171" s="779">
        <v>3.1</v>
      </c>
      <c r="E171" s="999" t="s">
        <v>2869</v>
      </c>
      <c r="F171" s="639"/>
      <c r="G171" s="639"/>
      <c r="H171" s="639"/>
      <c r="I171" s="639"/>
      <c r="J171" s="639"/>
      <c r="K171" s="639"/>
      <c r="L171" s="639"/>
      <c r="M171" s="639"/>
      <c r="N171" s="639"/>
      <c r="O171" s="639"/>
      <c r="P171" s="639"/>
      <c r="Q171" s="639"/>
      <c r="R171" s="639"/>
      <c r="S171" s="999" t="s">
        <v>2385</v>
      </c>
      <c r="T171" s="639"/>
      <c r="U171" s="639"/>
      <c r="V171" s="639"/>
      <c r="W171"/>
      <c r="X171"/>
    </row>
    <row r="172" spans="2:24" x14ac:dyDescent="0.45">
      <c r="D172" s="793"/>
      <c r="E172" s="793"/>
      <c r="F172" s="793"/>
      <c r="G172" s="793"/>
      <c r="H172" s="793"/>
      <c r="I172" s="793"/>
      <c r="J172" s="639"/>
      <c r="K172" s="639"/>
      <c r="L172" s="639"/>
      <c r="M172" s="639"/>
      <c r="N172" s="639"/>
      <c r="O172" s="639"/>
      <c r="P172" s="639"/>
      <c r="Q172" s="639"/>
      <c r="R172" s="639"/>
      <c r="S172" s="639"/>
      <c r="T172" s="639"/>
      <c r="U172" s="639"/>
      <c r="V172" s="639"/>
      <c r="W172"/>
      <c r="X172"/>
    </row>
    <row r="173" spans="2:24" x14ac:dyDescent="0.45">
      <c r="D173" s="758" t="s">
        <v>2402</v>
      </c>
      <c r="E173" s="793"/>
      <c r="F173" s="793"/>
      <c r="G173" s="793"/>
      <c r="H173" s="793"/>
      <c r="I173" s="793"/>
      <c r="J173" s="639"/>
      <c r="K173" s="639"/>
      <c r="L173" s="639"/>
      <c r="M173" s="639"/>
      <c r="N173" s="639"/>
      <c r="O173" s="639"/>
      <c r="P173" s="639"/>
      <c r="Q173" s="639"/>
      <c r="R173" s="639"/>
      <c r="S173" s="639"/>
      <c r="T173" s="639"/>
      <c r="U173" s="639"/>
      <c r="V173" s="639"/>
      <c r="W173"/>
      <c r="X173"/>
    </row>
    <row r="174" spans="2:24" s="31" customFormat="1" x14ac:dyDescent="0.45">
      <c r="B174" s="55"/>
      <c r="C174" s="129"/>
      <c r="D174" s="1002">
        <v>4.0999999999999996</v>
      </c>
      <c r="E174" s="727" t="s">
        <v>2326</v>
      </c>
      <c r="F174" s="727"/>
      <c r="G174" s="727"/>
      <c r="H174" s="727"/>
      <c r="I174" s="727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</row>
    <row r="175" spans="2:24" x14ac:dyDescent="0.45">
      <c r="D175" s="793"/>
      <c r="E175" s="793"/>
      <c r="F175" s="793"/>
      <c r="G175" s="793"/>
      <c r="H175" s="793"/>
      <c r="I175" s="793"/>
      <c r="J175" s="793"/>
      <c r="K175" s="793"/>
      <c r="L175" s="793"/>
      <c r="M175" s="793"/>
      <c r="N175" s="793"/>
      <c r="O175" s="793"/>
      <c r="P175" s="793"/>
      <c r="Q175" s="793"/>
      <c r="R175" s="793"/>
      <c r="S175" s="793"/>
      <c r="T175" s="793"/>
      <c r="U175" s="793"/>
      <c r="V175" s="793"/>
      <c r="W175"/>
      <c r="X175"/>
    </row>
    <row r="176" spans="2:24" s="31" customFormat="1" x14ac:dyDescent="0.45">
      <c r="B176" s="55"/>
      <c r="C176" s="129"/>
      <c r="D176" s="758" t="s">
        <v>2387</v>
      </c>
      <c r="E176" s="727"/>
      <c r="F176" s="727"/>
      <c r="G176" s="727"/>
      <c r="H176" s="727"/>
      <c r="I176" s="727"/>
      <c r="J176" s="727"/>
      <c r="K176" s="727"/>
      <c r="L176" s="727"/>
      <c r="M176" s="727"/>
      <c r="N176" s="727"/>
      <c r="O176" s="727"/>
      <c r="P176" s="727"/>
      <c r="Q176" s="727"/>
      <c r="R176" s="727"/>
      <c r="S176" s="727"/>
      <c r="T176" s="727"/>
      <c r="U176" s="727"/>
      <c r="V176" s="727"/>
    </row>
    <row r="177" spans="2:24" s="31" customFormat="1" x14ac:dyDescent="0.45">
      <c r="B177" s="55"/>
      <c r="C177" s="129"/>
      <c r="D177" s="727"/>
      <c r="E177" s="727" t="s">
        <v>2208</v>
      </c>
      <c r="F177" s="727"/>
      <c r="G177" s="727"/>
      <c r="H177" s="727"/>
      <c r="I177" s="727"/>
      <c r="J177" s="727"/>
      <c r="K177" s="727"/>
      <c r="L177" s="727"/>
      <c r="M177" s="727"/>
      <c r="N177" s="727"/>
      <c r="O177" s="727"/>
      <c r="P177" s="727"/>
      <c r="Q177" s="727"/>
      <c r="R177" s="727"/>
      <c r="S177" s="727"/>
      <c r="T177" s="727"/>
      <c r="U177" s="727"/>
      <c r="V177" s="727"/>
    </row>
    <row r="178" spans="2:24" s="31" customFormat="1" x14ac:dyDescent="0.45">
      <c r="B178" s="55"/>
      <c r="C178" s="129"/>
      <c r="D178" s="727"/>
      <c r="E178" s="727" t="s">
        <v>2209</v>
      </c>
      <c r="F178" s="727"/>
      <c r="G178" s="727"/>
      <c r="H178" s="727"/>
      <c r="I178" s="727"/>
      <c r="J178" s="727"/>
      <c r="K178" s="727"/>
      <c r="L178" s="727"/>
      <c r="M178" s="727"/>
      <c r="N178" s="727"/>
      <c r="O178" s="727"/>
      <c r="P178" s="727"/>
      <c r="Q178" s="727"/>
      <c r="R178" s="727"/>
      <c r="S178" s="727"/>
      <c r="T178" s="727"/>
      <c r="U178" s="727"/>
      <c r="V178" s="727"/>
    </row>
    <row r="179" spans="2:24" s="31" customFormat="1" x14ac:dyDescent="0.45">
      <c r="B179" s="55"/>
      <c r="C179" s="129"/>
      <c r="D179" s="727"/>
      <c r="E179" s="727" t="s">
        <v>2210</v>
      </c>
      <c r="F179" s="727"/>
      <c r="G179" s="727"/>
      <c r="H179" s="727"/>
      <c r="I179" s="727"/>
      <c r="J179" s="727"/>
      <c r="K179" s="727"/>
      <c r="L179" s="727"/>
      <c r="M179" s="727"/>
      <c r="N179" s="727"/>
      <c r="O179" s="727"/>
      <c r="P179" s="727"/>
      <c r="Q179" s="727"/>
      <c r="R179" s="727"/>
      <c r="S179" s="727"/>
      <c r="T179" s="727"/>
      <c r="U179" s="727"/>
      <c r="V179" s="727"/>
    </row>
    <row r="180" spans="2:24" x14ac:dyDescent="0.45">
      <c r="W180"/>
      <c r="X180"/>
    </row>
    <row r="181" spans="2:24" x14ac:dyDescent="0.45">
      <c r="B181" s="625" t="s">
        <v>1528</v>
      </c>
      <c r="C181" s="129"/>
      <c r="D181" s="31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Q181" s="31"/>
      <c r="R181" s="31"/>
      <c r="S181" s="31"/>
      <c r="T181" s="31"/>
      <c r="U181" s="31"/>
    </row>
    <row r="182" spans="2:24" x14ac:dyDescent="0.45">
      <c r="C182" s="129"/>
      <c r="D182" s="31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89" t="s">
        <v>1936</v>
      </c>
      <c r="P182" s="1290"/>
      <c r="Q182" s="31"/>
      <c r="R182" s="31"/>
      <c r="S182" s="31"/>
      <c r="T182" s="31"/>
      <c r="U182" s="31"/>
    </row>
    <row r="183" spans="2:24" ht="17.5" thickBot="1" x14ac:dyDescent="0.5">
      <c r="C183" s="663"/>
      <c r="D183" s="665" t="s">
        <v>1275</v>
      </c>
      <c r="E183" s="665" t="s">
        <v>1276</v>
      </c>
      <c r="F183" s="665" t="s">
        <v>1277</v>
      </c>
      <c r="G183" s="665" t="s">
        <v>1278</v>
      </c>
      <c r="H183" s="665" t="s">
        <v>1279</v>
      </c>
      <c r="I183" s="665" t="s">
        <v>1402</v>
      </c>
      <c r="J183" s="665" t="s">
        <v>1280</v>
      </c>
      <c r="K183" s="665" t="s">
        <v>1281</v>
      </c>
      <c r="L183" s="665" t="s">
        <v>1282</v>
      </c>
      <c r="M183" s="665" t="s">
        <v>1283</v>
      </c>
      <c r="N183" s="665"/>
      <c r="O183" s="1003" t="s">
        <v>1937</v>
      </c>
      <c r="P183" s="1003" t="s">
        <v>1502</v>
      </c>
      <c r="Q183" s="1003" t="s">
        <v>1501</v>
      </c>
      <c r="R183" s="1004" t="s">
        <v>1500</v>
      </c>
      <c r="S183" s="666"/>
      <c r="T183" s="666"/>
      <c r="U183" s="666"/>
      <c r="V183" s="666"/>
      <c r="W183" s="666"/>
    </row>
    <row r="184" spans="2:24" ht="17.5" thickTop="1" x14ac:dyDescent="0.45">
      <c r="C184" s="664">
        <v>1</v>
      </c>
      <c r="D184" s="450"/>
      <c r="E184" s="450"/>
      <c r="F184" s="450"/>
      <c r="G184" s="450"/>
      <c r="H184" s="450"/>
      <c r="I184" s="31"/>
      <c r="J184" s="450"/>
      <c r="K184" s="450"/>
      <c r="L184" s="450"/>
      <c r="M184" s="450"/>
      <c r="N184" s="453"/>
      <c r="O184" s="723"/>
      <c r="P184" s="454"/>
      <c r="Q184" s="454"/>
      <c r="R184" s="454"/>
      <c r="S184" s="31"/>
      <c r="T184" s="31"/>
      <c r="U184" s="31"/>
    </row>
    <row r="185" spans="2:24" x14ac:dyDescent="0.45">
      <c r="C185" s="664">
        <v>2</v>
      </c>
      <c r="D185" s="451"/>
      <c r="E185" s="451"/>
      <c r="F185" s="451"/>
      <c r="G185" s="451"/>
      <c r="H185" s="451"/>
      <c r="I185" s="31"/>
      <c r="J185" s="451"/>
      <c r="K185" s="451"/>
      <c r="L185" s="451"/>
      <c r="M185" s="451"/>
      <c r="N185" s="453"/>
      <c r="O185" s="454"/>
      <c r="P185" s="454"/>
      <c r="Q185" s="454"/>
      <c r="R185" s="454"/>
      <c r="S185" s="31"/>
      <c r="T185" s="31"/>
      <c r="U185" s="31"/>
    </row>
    <row r="186" spans="2:24" ht="17.5" thickBot="1" x14ac:dyDescent="0.5">
      <c r="C186" s="664">
        <v>3</v>
      </c>
      <c r="D186" s="452"/>
      <c r="E186" s="452"/>
      <c r="F186" s="452"/>
      <c r="G186" s="452"/>
      <c r="H186" s="452"/>
      <c r="I186" s="31"/>
      <c r="J186" s="452"/>
      <c r="K186" s="452"/>
      <c r="L186" s="452"/>
      <c r="M186" s="452"/>
      <c r="N186" s="453"/>
      <c r="O186" s="454"/>
      <c r="P186" s="454"/>
      <c r="Q186" s="454"/>
      <c r="R186" s="454"/>
      <c r="S186" s="31"/>
      <c r="T186" s="31"/>
      <c r="U186" s="31"/>
    </row>
    <row r="187" spans="2:24" ht="17.5" thickTop="1" x14ac:dyDescent="0.45">
      <c r="C187" s="664">
        <v>4</v>
      </c>
      <c r="D187" s="450"/>
      <c r="E187" s="450"/>
      <c r="F187" s="450"/>
      <c r="G187" s="450"/>
      <c r="H187" s="450"/>
      <c r="I187" s="31"/>
      <c r="J187" s="450"/>
      <c r="K187" s="450"/>
      <c r="L187" s="450"/>
      <c r="M187" s="450"/>
      <c r="N187" s="453"/>
      <c r="O187" s="454"/>
      <c r="P187" s="454"/>
      <c r="Q187" s="454"/>
      <c r="R187" s="454"/>
      <c r="S187" s="31"/>
      <c r="T187" s="31"/>
      <c r="U187" s="31"/>
    </row>
    <row r="188" spans="2:24" x14ac:dyDescent="0.45">
      <c r="C188" s="664">
        <v>5</v>
      </c>
      <c r="D188" s="451"/>
      <c r="E188" s="451"/>
      <c r="F188" s="451"/>
      <c r="G188" s="451"/>
      <c r="H188" s="451"/>
      <c r="I188" s="31"/>
      <c r="J188" s="451"/>
      <c r="K188" s="451"/>
      <c r="L188" s="451"/>
      <c r="M188" s="451"/>
      <c r="N188" s="453"/>
      <c r="O188" s="454"/>
      <c r="P188" s="454"/>
      <c r="Q188" s="454"/>
      <c r="R188" s="454"/>
      <c r="S188" s="31"/>
      <c r="T188" s="31"/>
      <c r="U188" s="31"/>
    </row>
    <row r="189" spans="2:24" ht="17.5" thickBot="1" x14ac:dyDescent="0.5">
      <c r="C189" s="664">
        <v>6</v>
      </c>
      <c r="D189" s="452"/>
      <c r="E189" s="452"/>
      <c r="F189" s="452"/>
      <c r="G189" s="452"/>
      <c r="H189" s="452"/>
      <c r="I189" s="31"/>
      <c r="J189" s="452"/>
      <c r="K189" s="452"/>
      <c r="L189" s="452"/>
      <c r="M189" s="452"/>
      <c r="N189" s="453"/>
      <c r="O189" s="454"/>
      <c r="P189" s="454"/>
      <c r="Q189" s="454"/>
      <c r="R189" s="454"/>
      <c r="S189" s="31"/>
      <c r="T189" s="31"/>
      <c r="U189" s="31"/>
    </row>
    <row r="190" spans="2:24" ht="18" thickTop="1" thickBot="1" x14ac:dyDescent="0.5">
      <c r="C190" s="664" t="s">
        <v>1402</v>
      </c>
      <c r="D190" s="31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31"/>
      <c r="P190" s="31"/>
      <c r="Q190" s="31"/>
      <c r="R190" s="31"/>
      <c r="S190" s="31"/>
      <c r="T190" s="31"/>
      <c r="U190" s="31"/>
    </row>
    <row r="191" spans="2:24" ht="17.5" thickTop="1" x14ac:dyDescent="0.45">
      <c r="C191" s="664">
        <v>52</v>
      </c>
      <c r="D191" s="450"/>
      <c r="E191" s="450"/>
      <c r="F191" s="450"/>
      <c r="G191" s="450"/>
      <c r="H191" s="450"/>
      <c r="I191" s="31"/>
      <c r="J191" s="450"/>
      <c r="K191" s="450"/>
      <c r="L191" s="450"/>
      <c r="M191" s="450"/>
      <c r="N191" s="453"/>
      <c r="O191" s="454"/>
      <c r="P191" s="454"/>
      <c r="Q191" s="454"/>
      <c r="R191" s="454"/>
      <c r="S191" s="31"/>
      <c r="T191" s="31"/>
      <c r="U191" s="31"/>
    </row>
    <row r="192" spans="2:24" x14ac:dyDescent="0.45">
      <c r="C192" s="664">
        <v>53</v>
      </c>
      <c r="D192" s="451"/>
      <c r="E192" s="451"/>
      <c r="F192" s="451"/>
      <c r="G192" s="451"/>
      <c r="H192" s="451"/>
      <c r="I192" s="31"/>
      <c r="J192" s="451"/>
      <c r="K192" s="451"/>
      <c r="L192" s="451"/>
      <c r="M192" s="451"/>
      <c r="N192" s="453"/>
      <c r="O192" s="454"/>
      <c r="P192" s="454"/>
      <c r="Q192" s="454"/>
      <c r="R192" s="454"/>
      <c r="S192" s="31"/>
      <c r="T192" s="31"/>
      <c r="U192" s="31"/>
    </row>
    <row r="193" spans="2:22" ht="17.5" thickBot="1" x14ac:dyDescent="0.5">
      <c r="C193" s="664">
        <v>54</v>
      </c>
      <c r="D193" s="452"/>
      <c r="E193" s="452"/>
      <c r="F193" s="452"/>
      <c r="G193" s="452"/>
      <c r="H193" s="452"/>
      <c r="I193" s="31"/>
      <c r="J193" s="452"/>
      <c r="K193" s="452"/>
      <c r="L193" s="452"/>
      <c r="M193" s="452"/>
      <c r="N193" s="453"/>
      <c r="O193" s="454"/>
      <c r="P193" s="454"/>
      <c r="Q193" s="454"/>
      <c r="R193" s="454"/>
      <c r="S193" s="31"/>
      <c r="T193" s="31"/>
      <c r="U193" s="31"/>
    </row>
    <row r="194" spans="2:22" ht="18" thickTop="1" thickBot="1" x14ac:dyDescent="0.5">
      <c r="C194" s="664" t="s">
        <v>1402</v>
      </c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</row>
    <row r="195" spans="2:22" ht="17.5" thickTop="1" x14ac:dyDescent="0.45">
      <c r="C195" s="664">
        <v>253</v>
      </c>
      <c r="D195" s="450"/>
      <c r="E195" s="450"/>
      <c r="F195" s="450"/>
      <c r="G195" s="450"/>
      <c r="H195" s="450"/>
      <c r="I195" s="31"/>
      <c r="J195" s="450"/>
      <c r="K195" s="450"/>
      <c r="L195" s="450"/>
      <c r="M195" s="450"/>
      <c r="N195" s="453"/>
      <c r="O195" s="454"/>
      <c r="P195" s="454"/>
      <c r="Q195" s="454"/>
      <c r="R195" s="454"/>
      <c r="S195" s="31"/>
      <c r="T195" s="31"/>
      <c r="U195" s="31"/>
    </row>
    <row r="196" spans="2:22" x14ac:dyDescent="0.45">
      <c r="C196" s="664">
        <v>254</v>
      </c>
      <c r="D196" s="451"/>
      <c r="E196" s="451"/>
      <c r="F196" s="451"/>
      <c r="G196" s="451"/>
      <c r="H196" s="451"/>
      <c r="I196" s="31"/>
      <c r="J196" s="451"/>
      <c r="K196" s="451"/>
      <c r="L196" s="451"/>
      <c r="M196" s="451"/>
      <c r="N196" s="453"/>
      <c r="O196" s="454"/>
      <c r="P196" s="454"/>
      <c r="Q196" s="454"/>
      <c r="R196" s="454"/>
      <c r="S196" s="31"/>
      <c r="T196" s="31"/>
      <c r="U196" s="31"/>
    </row>
    <row r="197" spans="2:22" ht="17.5" thickBot="1" x14ac:dyDescent="0.5">
      <c r="C197" s="664">
        <v>255</v>
      </c>
      <c r="D197" s="452"/>
      <c r="E197" s="452"/>
      <c r="F197" s="452"/>
      <c r="G197" s="452"/>
      <c r="H197" s="452"/>
      <c r="I197" s="31"/>
      <c r="J197" s="452"/>
      <c r="K197" s="452"/>
      <c r="L197" s="452"/>
      <c r="M197" s="452"/>
      <c r="N197" s="453"/>
      <c r="O197" s="454"/>
      <c r="P197" s="454"/>
      <c r="Q197" s="454"/>
      <c r="R197" s="454"/>
      <c r="S197" s="31"/>
      <c r="T197" s="31"/>
      <c r="U197" s="31"/>
    </row>
    <row r="198" spans="2:22" ht="17.5" thickTop="1" x14ac:dyDescent="0.45">
      <c r="B198"/>
      <c r="C198" s="129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</row>
    <row r="199" spans="2:22" x14ac:dyDescent="0.45">
      <c r="B199"/>
      <c r="C199" s="129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</row>
    <row r="200" spans="2:22" x14ac:dyDescent="0.45">
      <c r="B200"/>
      <c r="C200" s="129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</row>
    <row r="201" spans="2:22" x14ac:dyDescent="0.45">
      <c r="B201"/>
      <c r="D201" s="129">
        <f>E201*F201*G201</f>
        <v>16896</v>
      </c>
      <c r="E201" s="31">
        <v>22</v>
      </c>
      <c r="F201" s="31">
        <v>24</v>
      </c>
      <c r="G201" s="1005">
        <v>32</v>
      </c>
      <c r="H201" s="126"/>
      <c r="I201" s="126"/>
      <c r="J201" s="126"/>
      <c r="K201" s="126"/>
      <c r="L201" s="126"/>
      <c r="M201" s="126"/>
      <c r="N201" s="126"/>
      <c r="O201" s="126"/>
      <c r="P201" s="31"/>
      <c r="Q201" s="31"/>
      <c r="R201" s="31"/>
      <c r="S201" s="31"/>
      <c r="T201" s="31"/>
      <c r="U201" s="31"/>
      <c r="V201" s="31"/>
    </row>
    <row r="202" spans="2:22" x14ac:dyDescent="0.45">
      <c r="B202" s="795">
        <f>(D202-D201)/D201</f>
        <v>0.22727272727272727</v>
      </c>
      <c r="D202" s="129">
        <f>E202*F202*G202</f>
        <v>20736</v>
      </c>
      <c r="E202" s="31">
        <v>16</v>
      </c>
      <c r="F202" s="31">
        <v>24</v>
      </c>
      <c r="G202" s="1005">
        <v>54</v>
      </c>
      <c r="H202" s="126"/>
      <c r="I202" s="126"/>
      <c r="J202" s="126"/>
      <c r="K202" s="126"/>
      <c r="L202" s="126"/>
      <c r="M202" s="126"/>
      <c r="N202" s="126"/>
      <c r="O202" s="126"/>
      <c r="P202" s="31"/>
      <c r="Q202" s="31"/>
      <c r="R202" s="31"/>
      <c r="S202" s="31"/>
      <c r="T202" s="31"/>
      <c r="U202" s="31"/>
      <c r="V202" s="31"/>
    </row>
    <row r="203" spans="2:22" x14ac:dyDescent="0.45">
      <c r="B203"/>
      <c r="D203" s="129">
        <f>G202/3</f>
        <v>18</v>
      </c>
      <c r="E203" s="31"/>
      <c r="F203" s="31"/>
      <c r="G203" s="126"/>
      <c r="H203" s="126"/>
      <c r="I203" s="126"/>
      <c r="J203" s="126"/>
      <c r="K203" s="126"/>
      <c r="L203" s="126"/>
      <c r="M203" s="126"/>
      <c r="N203" s="126"/>
      <c r="O203" s="126"/>
      <c r="P203" s="31"/>
      <c r="Q203" s="31"/>
      <c r="R203" s="31"/>
      <c r="S203" s="31"/>
      <c r="T203" s="31"/>
      <c r="U203" s="31"/>
      <c r="V203" s="31"/>
    </row>
    <row r="204" spans="2:22" x14ac:dyDescent="0.45">
      <c r="B204"/>
      <c r="D204" s="129"/>
      <c r="E204" s="31"/>
      <c r="F204" s="31"/>
      <c r="G204" s="126"/>
      <c r="H204" s="126"/>
      <c r="I204" s="126"/>
      <c r="J204" s="126"/>
      <c r="K204" s="126"/>
      <c r="L204" s="126"/>
      <c r="M204" s="126"/>
      <c r="N204" s="126"/>
      <c r="O204" s="126"/>
      <c r="P204" s="31"/>
      <c r="Q204" s="31"/>
      <c r="R204" s="31"/>
      <c r="S204" s="31"/>
      <c r="T204" s="31"/>
      <c r="U204" s="31"/>
      <c r="V204" s="31"/>
    </row>
    <row r="205" spans="2:22" x14ac:dyDescent="0.45">
      <c r="B205"/>
      <c r="D205" s="129"/>
      <c r="E205" s="31"/>
      <c r="F205" s="31"/>
      <c r="G205" s="126"/>
      <c r="H205" s="126"/>
      <c r="I205" s="126"/>
      <c r="J205" s="126"/>
      <c r="K205" s="126"/>
      <c r="L205" s="126"/>
      <c r="M205" s="126"/>
      <c r="N205" s="126"/>
      <c r="O205" s="126"/>
      <c r="P205" s="31"/>
      <c r="Q205" s="31"/>
      <c r="R205" s="31"/>
      <c r="S205" s="31"/>
      <c r="T205" s="31"/>
      <c r="U205" s="31"/>
      <c r="V205" s="31"/>
    </row>
    <row r="206" spans="2:22" x14ac:dyDescent="0.45">
      <c r="B206" s="625" t="s">
        <v>1549</v>
      </c>
      <c r="D206" s="875" t="s">
        <v>2388</v>
      </c>
      <c r="E206" s="875"/>
      <c r="F206" s="875"/>
      <c r="G206" s="875"/>
      <c r="H206" s="875"/>
      <c r="I206" s="875"/>
      <c r="J206" s="875"/>
      <c r="K206" s="875"/>
    </row>
    <row r="208" spans="2:22" x14ac:dyDescent="0.45">
      <c r="B208" s="625" t="s">
        <v>1548</v>
      </c>
      <c r="D208" s="875" t="s">
        <v>2137</v>
      </c>
      <c r="E208" s="875"/>
      <c r="F208" s="875"/>
      <c r="G208" s="875"/>
      <c r="H208" s="875"/>
      <c r="I208" s="875"/>
      <c r="J208" s="875"/>
      <c r="K208" s="875"/>
      <c r="L208" s="875"/>
      <c r="M208" s="875"/>
      <c r="N208" s="875"/>
      <c r="O208" s="875"/>
      <c r="P208" s="875"/>
      <c r="Q208" s="875"/>
      <c r="R208" s="875"/>
      <c r="S208" s="8"/>
      <c r="T208" s="8"/>
    </row>
    <row r="209" spans="2:23" x14ac:dyDescent="0.45">
      <c r="S209" s="8"/>
      <c r="T209" s="8"/>
    </row>
    <row r="210" spans="2:23" x14ac:dyDescent="0.45">
      <c r="B210" s="751" t="s">
        <v>2055</v>
      </c>
      <c r="C210" s="79"/>
      <c r="D210" s="660" t="s">
        <v>2138</v>
      </c>
      <c r="E210" s="634"/>
      <c r="F210" s="634"/>
      <c r="G210" s="634"/>
      <c r="H210" s="634"/>
      <c r="I210" s="634"/>
      <c r="J210" s="634"/>
      <c r="K210" s="634"/>
      <c r="L210" s="634"/>
      <c r="M210" s="634"/>
      <c r="N210" s="634"/>
      <c r="O210" s="634"/>
      <c r="P210" s="634"/>
      <c r="Q210" s="634"/>
      <c r="R210" s="634"/>
      <c r="S210" s="8"/>
      <c r="T210" s="8"/>
    </row>
    <row r="211" spans="2:23" x14ac:dyDescent="0.45">
      <c r="S211" s="8"/>
      <c r="T211" s="8"/>
    </row>
    <row r="212" spans="2:23" x14ac:dyDescent="0.45">
      <c r="B212" s="625" t="s">
        <v>2056</v>
      </c>
      <c r="D212" s="875" t="s">
        <v>2141</v>
      </c>
      <c r="E212" s="875"/>
      <c r="F212" s="875"/>
      <c r="G212" s="875"/>
      <c r="H212" s="875"/>
      <c r="I212" s="875"/>
      <c r="J212" s="875"/>
      <c r="K212" s="875"/>
      <c r="L212" s="875"/>
      <c r="M212" s="875"/>
      <c r="N212" s="875"/>
      <c r="O212" s="875"/>
      <c r="P212" s="875"/>
      <c r="Q212" s="875"/>
      <c r="R212" s="875"/>
      <c r="S212" s="8"/>
      <c r="T212" s="8"/>
    </row>
    <row r="216" spans="2:23" x14ac:dyDescent="0.45">
      <c r="D216" s="7"/>
      <c r="E216" s="91"/>
      <c r="F216" s="7"/>
      <c r="G216" s="878"/>
      <c r="H216" s="879"/>
      <c r="I216" s="878"/>
      <c r="J216" s="879"/>
      <c r="K216" s="878"/>
      <c r="L216" s="879"/>
      <c r="M216" s="91"/>
      <c r="N216" s="7"/>
      <c r="O216" s="910"/>
      <c r="P216" s="911"/>
      <c r="Q216" s="91"/>
      <c r="R216" s="7"/>
      <c r="S216" s="91"/>
      <c r="T216" s="7"/>
      <c r="U216" s="91"/>
      <c r="V216" s="7"/>
      <c r="W216" s="91"/>
    </row>
    <row r="217" spans="2:23" x14ac:dyDescent="0.45">
      <c r="O217" s="21"/>
      <c r="P217" s="21"/>
    </row>
    <row r="218" spans="2:23" x14ac:dyDescent="0.45">
      <c r="C218" s="1006">
        <v>0</v>
      </c>
      <c r="D218" s="876"/>
      <c r="E218" s="876"/>
      <c r="F218" s="876"/>
      <c r="G218" s="10"/>
      <c r="H218" s="877"/>
      <c r="I218" s="877"/>
      <c r="J218" s="877"/>
      <c r="K218" s="877"/>
      <c r="L218" s="877"/>
      <c r="M218" s="877"/>
      <c r="N218" s="877"/>
      <c r="O218" s="912"/>
      <c r="P218" s="912"/>
      <c r="Q218" s="877"/>
      <c r="R218" s="877"/>
      <c r="S218" s="877"/>
      <c r="T218" s="877"/>
      <c r="U218" s="877"/>
      <c r="V218" s="877"/>
      <c r="W218" s="877"/>
    </row>
    <row r="219" spans="2:23" x14ac:dyDescent="0.45">
      <c r="C219" s="1"/>
      <c r="O219" s="21"/>
      <c r="P219" s="21"/>
    </row>
    <row r="220" spans="2:23" x14ac:dyDescent="0.45">
      <c r="C220" s="446">
        <v>1</v>
      </c>
      <c r="D220" s="876"/>
      <c r="E220" s="876"/>
      <c r="F220" s="876"/>
      <c r="G220" s="876"/>
      <c r="H220" s="876"/>
      <c r="I220" s="10"/>
      <c r="J220" s="877"/>
      <c r="K220" s="877"/>
      <c r="L220" s="877"/>
      <c r="M220" s="877"/>
      <c r="N220" s="877"/>
      <c r="O220" s="912"/>
      <c r="P220" s="912"/>
      <c r="Q220" s="877"/>
      <c r="R220" s="877"/>
      <c r="S220" s="877"/>
      <c r="T220" s="877"/>
      <c r="U220" s="877"/>
      <c r="V220" s="877"/>
      <c r="W220" s="877"/>
    </row>
    <row r="221" spans="2:23" x14ac:dyDescent="0.45">
      <c r="C221" s="1"/>
      <c r="O221" s="21"/>
      <c r="P221" s="21"/>
    </row>
    <row r="222" spans="2:23" x14ac:dyDescent="0.45">
      <c r="C222" s="1">
        <v>2</v>
      </c>
      <c r="D222" s="876"/>
      <c r="E222" s="876"/>
      <c r="F222" s="876"/>
      <c r="G222" s="876"/>
      <c r="H222" s="876"/>
      <c r="I222" s="876"/>
      <c r="J222" s="876"/>
      <c r="K222" s="10"/>
      <c r="L222" s="877"/>
      <c r="M222" s="877"/>
      <c r="N222" s="877"/>
      <c r="O222" s="912"/>
      <c r="P222" s="912"/>
      <c r="Q222" s="877"/>
      <c r="R222" s="877"/>
      <c r="S222" s="877"/>
      <c r="T222" s="877"/>
      <c r="U222" s="877"/>
      <c r="V222" s="877"/>
    </row>
    <row r="223" spans="2:23" x14ac:dyDescent="0.45">
      <c r="C223" s="1"/>
      <c r="O223" s="21"/>
      <c r="P223" s="21"/>
      <c r="U223"/>
      <c r="V223"/>
    </row>
    <row r="224" spans="2:23" x14ac:dyDescent="0.45">
      <c r="C224" s="1">
        <v>3</v>
      </c>
      <c r="D224" s="876"/>
      <c r="E224" s="876"/>
      <c r="F224" s="876"/>
      <c r="G224" s="876"/>
      <c r="H224" s="876"/>
      <c r="I224" s="876"/>
      <c r="J224" s="876"/>
      <c r="K224" s="876"/>
      <c r="L224" s="876"/>
      <c r="M224" s="10"/>
      <c r="N224" s="877"/>
      <c r="O224" s="912"/>
      <c r="P224" s="912"/>
      <c r="Q224" s="877"/>
      <c r="R224" s="877"/>
      <c r="S224" s="877"/>
      <c r="T224" s="877"/>
      <c r="U224" s="877"/>
      <c r="V224" s="877"/>
    </row>
    <row r="225" spans="2:23" x14ac:dyDescent="0.45">
      <c r="O225" s="21"/>
      <c r="P225" s="21"/>
    </row>
    <row r="226" spans="2:23" x14ac:dyDescent="0.45">
      <c r="C226" s="446">
        <v>4</v>
      </c>
      <c r="D226" s="876"/>
      <c r="E226" s="876"/>
      <c r="F226" s="876"/>
      <c r="G226" s="876"/>
      <c r="H226" s="876"/>
      <c r="I226" s="876"/>
      <c r="J226" s="876"/>
      <c r="K226" s="876"/>
      <c r="L226" s="876"/>
      <c r="M226" s="876"/>
      <c r="N226" s="876"/>
      <c r="O226" s="913"/>
      <c r="P226" s="912"/>
      <c r="Q226" s="877"/>
      <c r="R226" s="877"/>
      <c r="S226" s="877"/>
      <c r="T226" s="877"/>
      <c r="U226" s="877"/>
      <c r="V226" s="877"/>
      <c r="W226" s="877"/>
    </row>
    <row r="227" spans="2:23" x14ac:dyDescent="0.45">
      <c r="O227" s="21"/>
      <c r="P227" s="21"/>
    </row>
    <row r="228" spans="2:23" x14ac:dyDescent="0.45">
      <c r="B228" s="1" t="s">
        <v>9</v>
      </c>
      <c r="D228" s="876"/>
      <c r="E228" s="876"/>
      <c r="F228" s="876"/>
      <c r="G228" s="876"/>
      <c r="H228" s="876"/>
      <c r="I228" s="876"/>
      <c r="J228" s="876"/>
      <c r="K228" s="876"/>
      <c r="L228" s="876" t="s">
        <v>2139</v>
      </c>
      <c r="M228" s="876"/>
      <c r="N228" s="7"/>
      <c r="O228" s="913"/>
      <c r="P228" s="912"/>
      <c r="Q228" s="697" t="s">
        <v>2140</v>
      </c>
      <c r="R228" s="45"/>
      <c r="S228" s="45"/>
      <c r="T228" s="45"/>
      <c r="U228" s="45"/>
      <c r="V228" s="45"/>
    </row>
    <row r="230" spans="2:23" x14ac:dyDescent="0.45">
      <c r="D230" s="31"/>
      <c r="E230" s="31"/>
      <c r="F230" s="31"/>
      <c r="G230" s="31"/>
      <c r="H230" s="31"/>
      <c r="I230" s="31"/>
      <c r="J230" s="31"/>
      <c r="K230" s="31"/>
      <c r="L230" s="31"/>
      <c r="M230" s="31"/>
    </row>
    <row r="231" spans="2:23" x14ac:dyDescent="0.45">
      <c r="B231" s="1066" t="s">
        <v>2277</v>
      </c>
      <c r="D231" s="875" t="s">
        <v>2278</v>
      </c>
      <c r="E231" s="772"/>
      <c r="F231" s="772"/>
      <c r="G231" s="772"/>
      <c r="H231" s="772"/>
      <c r="I231" s="772"/>
      <c r="J231" s="772"/>
      <c r="K231" s="772"/>
      <c r="L231" s="772"/>
      <c r="M231" s="772"/>
      <c r="N231" s="772"/>
      <c r="O231" s="772"/>
      <c r="P231" s="772"/>
      <c r="Q231" s="772"/>
      <c r="R231" s="772"/>
      <c r="S231" s="772"/>
      <c r="T231" s="772"/>
      <c r="U231" s="688"/>
      <c r="V231" s="688"/>
    </row>
    <row r="232" spans="2:23" x14ac:dyDescent="0.45">
      <c r="D232" s="688">
        <v>1</v>
      </c>
      <c r="E232" s="875" t="s">
        <v>2389</v>
      </c>
      <c r="F232" s="875"/>
      <c r="G232" s="875"/>
      <c r="H232" s="875"/>
      <c r="I232" s="875"/>
      <c r="J232" s="875"/>
      <c r="K232" s="875"/>
      <c r="L232" s="875"/>
      <c r="M232" s="875"/>
      <c r="N232" s="875"/>
      <c r="O232" s="875"/>
      <c r="P232" s="875"/>
      <c r="Q232" s="875"/>
      <c r="R232" s="875"/>
      <c r="S232" s="875"/>
      <c r="T232" s="875"/>
      <c r="U232" s="875"/>
      <c r="V232" s="875"/>
    </row>
    <row r="233" spans="2:23" x14ac:dyDescent="0.45">
      <c r="D233" s="688">
        <v>2</v>
      </c>
      <c r="E233" s="875" t="s">
        <v>2279</v>
      </c>
      <c r="F233" s="875"/>
      <c r="G233" s="875"/>
      <c r="H233" s="875"/>
      <c r="I233" s="875"/>
      <c r="J233" s="875"/>
      <c r="K233" s="875"/>
      <c r="L233" s="875"/>
      <c r="M233" s="875"/>
      <c r="N233" s="875"/>
      <c r="O233" s="875"/>
      <c r="P233" s="875"/>
      <c r="Q233" s="875"/>
      <c r="R233" s="875"/>
      <c r="S233" s="875"/>
      <c r="T233" s="875"/>
      <c r="U233" s="875"/>
      <c r="V233" s="875"/>
    </row>
    <row r="235" spans="2:23" x14ac:dyDescent="0.45">
      <c r="B235" s="625" t="s">
        <v>2280</v>
      </c>
      <c r="D235" s="1007" t="s">
        <v>2390</v>
      </c>
      <c r="E235" s="772"/>
      <c r="F235" s="772"/>
      <c r="G235" s="772"/>
      <c r="H235" s="772"/>
      <c r="I235" s="772"/>
      <c r="J235" s="772"/>
      <c r="K235" s="772"/>
      <c r="L235" s="772"/>
      <c r="M235" s="772"/>
      <c r="N235" s="772"/>
      <c r="O235" s="772"/>
      <c r="P235" s="772"/>
      <c r="Q235" s="772"/>
      <c r="R235" s="772"/>
      <c r="S235" s="772"/>
      <c r="T235" s="772"/>
      <c r="U235" s="688"/>
      <c r="V235" s="688"/>
    </row>
    <row r="237" spans="2:23" x14ac:dyDescent="0.45">
      <c r="B237" s="625" t="s">
        <v>2281</v>
      </c>
      <c r="D237" s="875" t="s">
        <v>2282</v>
      </c>
      <c r="E237" s="772"/>
      <c r="F237" s="772"/>
      <c r="G237" s="772"/>
      <c r="H237" s="772"/>
      <c r="I237" s="772"/>
      <c r="J237" s="772"/>
      <c r="K237" s="772"/>
      <c r="L237" s="772"/>
      <c r="M237" s="772"/>
      <c r="N237" s="772"/>
      <c r="O237" s="772"/>
      <c r="P237" s="772"/>
      <c r="Q237" s="772"/>
      <c r="R237" s="772"/>
      <c r="S237" s="772"/>
      <c r="T237" s="772"/>
      <c r="U237" s="688"/>
      <c r="V237" s="688"/>
    </row>
  </sheetData>
  <mergeCells count="40">
    <mergeCell ref="O182:P182"/>
    <mergeCell ref="E102:G102"/>
    <mergeCell ref="Z102:AB102"/>
    <mergeCell ref="AC102:AR102"/>
    <mergeCell ref="E105:G105"/>
    <mergeCell ref="E108:G108"/>
    <mergeCell ref="E113:G113"/>
    <mergeCell ref="E99:G99"/>
    <mergeCell ref="Z99:AB99"/>
    <mergeCell ref="AC99:AP99"/>
    <mergeCell ref="E84:G84"/>
    <mergeCell ref="H84:L84"/>
    <mergeCell ref="M84:X84"/>
    <mergeCell ref="H87:Q87"/>
    <mergeCell ref="R87:AA87"/>
    <mergeCell ref="H90:Q90"/>
    <mergeCell ref="R90:AB90"/>
    <mergeCell ref="H93:Q93"/>
    <mergeCell ref="R93:AC93"/>
    <mergeCell ref="H96:W96"/>
    <mergeCell ref="Z96:AB96"/>
    <mergeCell ref="AC96:AN96"/>
    <mergeCell ref="C75:AC75"/>
    <mergeCell ref="E78:G78"/>
    <mergeCell ref="H78:M78"/>
    <mergeCell ref="N78:Y78"/>
    <mergeCell ref="E81:G81"/>
    <mergeCell ref="H81:M81"/>
    <mergeCell ref="D68:S68"/>
    <mergeCell ref="C58:S58"/>
    <mergeCell ref="D61:E61"/>
    <mergeCell ref="F61:M61"/>
    <mergeCell ref="N61:S61"/>
    <mergeCell ref="F62:M62"/>
    <mergeCell ref="N62:S62"/>
    <mergeCell ref="F63:M63"/>
    <mergeCell ref="N63:S63"/>
    <mergeCell ref="F64:M64"/>
    <mergeCell ref="N64:S64"/>
    <mergeCell ref="J65:S65"/>
  </mergeCells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8E1E-5C8F-4DA3-AE81-68ABB3A449B2}">
  <sheetPr>
    <tabColor rgb="FFFFFF00"/>
  </sheetPr>
  <dimension ref="B11:FA79"/>
  <sheetViews>
    <sheetView showGridLines="0" zoomScaleNormal="100" workbookViewId="0"/>
  </sheetViews>
  <sheetFormatPr defaultRowHeight="17" x14ac:dyDescent="0.45"/>
  <cols>
    <col min="2" max="2" width="1.58203125" style="1" customWidth="1"/>
    <col min="3" max="159" width="1.58203125" customWidth="1"/>
  </cols>
  <sheetData>
    <row r="11" spans="105:157" x14ac:dyDescent="0.45">
      <c r="DA11" s="632"/>
      <c r="EA11" s="632"/>
      <c r="FA11" s="632"/>
    </row>
    <row r="13" spans="105:157" x14ac:dyDescent="0.45">
      <c r="DA13" s="683"/>
      <c r="EA13" s="683"/>
      <c r="FA13" s="683"/>
    </row>
    <row r="21" spans="104:156" x14ac:dyDescent="0.45">
      <c r="CZ21" s="683"/>
      <c r="DH21" s="4"/>
      <c r="DZ21" s="683"/>
      <c r="EZ21" s="683"/>
    </row>
    <row r="34" spans="2:2" s="31" customFormat="1" x14ac:dyDescent="0.45">
      <c r="B34" s="55"/>
    </row>
    <row r="79" spans="111:111" x14ac:dyDescent="0.45">
      <c r="DG79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7872-2802-478F-91AA-0AB23A6BFEA4}">
  <sheetPr>
    <tabColor rgb="FFFFFF00"/>
  </sheetPr>
  <dimension ref="B11:FA79"/>
  <sheetViews>
    <sheetView showGridLines="0" zoomScaleNormal="100" workbookViewId="0"/>
  </sheetViews>
  <sheetFormatPr defaultRowHeight="17" x14ac:dyDescent="0.45"/>
  <cols>
    <col min="2" max="2" width="1.58203125" style="1" customWidth="1"/>
    <col min="3" max="159" width="1.58203125" customWidth="1"/>
  </cols>
  <sheetData>
    <row r="11" spans="105:157" x14ac:dyDescent="0.45">
      <c r="DA11" s="632"/>
      <c r="EA11" s="632"/>
      <c r="FA11" s="632"/>
    </row>
    <row r="13" spans="105:157" x14ac:dyDescent="0.45">
      <c r="DA13" s="683"/>
      <c r="EA13" s="683"/>
      <c r="FA13" s="683"/>
    </row>
    <row r="21" spans="104:156" x14ac:dyDescent="0.45">
      <c r="CZ21" s="683"/>
      <c r="DH21" s="4"/>
      <c r="DZ21" s="683"/>
      <c r="EZ21" s="683"/>
    </row>
    <row r="34" spans="2:2" s="31" customFormat="1" x14ac:dyDescent="0.45">
      <c r="B34" s="55"/>
    </row>
    <row r="79" spans="111:111" x14ac:dyDescent="0.45">
      <c r="DG79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C38A-7FF2-449A-A832-9D6F518C90CC}">
  <sheetPr>
    <tabColor rgb="FFFFFF00"/>
  </sheetPr>
  <dimension ref="A2:AT116"/>
  <sheetViews>
    <sheetView showGridLines="0" topLeftCell="A60" zoomScaleNormal="100" workbookViewId="0"/>
  </sheetViews>
  <sheetFormatPr defaultRowHeight="17" x14ac:dyDescent="0.45"/>
  <cols>
    <col min="2" max="2" width="27.83203125" style="1" bestFit="1" customWidth="1"/>
    <col min="3" max="3" width="1.58203125" style="1" customWidth="1"/>
    <col min="4" max="4" width="12.25" customWidth="1"/>
    <col min="5" max="5" width="9.58203125" customWidth="1"/>
    <col min="6" max="6" width="6.83203125" bestFit="1" customWidth="1"/>
    <col min="7" max="7" width="5.58203125" customWidth="1"/>
    <col min="8" max="8" width="6.83203125" customWidth="1"/>
    <col min="9" max="17" width="5.58203125" customWidth="1"/>
    <col min="18" max="19" width="5.33203125" bestFit="1" customWidth="1"/>
    <col min="20" max="20" width="5.58203125" bestFit="1" customWidth="1"/>
    <col min="21" max="24" width="8.58203125" style="8"/>
    <col min="25" max="25" width="8.75" bestFit="1" customWidth="1"/>
    <col min="26" max="44" width="5.58203125" customWidth="1"/>
    <col min="45" max="46" width="6.08203125" customWidth="1"/>
  </cols>
  <sheetData>
    <row r="2" spans="1:46" x14ac:dyDescent="0.45">
      <c r="B2" s="625" t="s">
        <v>1519</v>
      </c>
      <c r="D2" s="660" t="s">
        <v>1654</v>
      </c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8"/>
      <c r="S2" s="8"/>
      <c r="T2" s="8"/>
    </row>
    <row r="3" spans="1:46" x14ac:dyDescent="0.45">
      <c r="R3" s="8"/>
      <c r="S3" s="8"/>
      <c r="T3" s="8"/>
    </row>
    <row r="4" spans="1:46" s="8" customFormat="1" x14ac:dyDescent="0.45">
      <c r="A4"/>
      <c r="B4" s="625" t="s">
        <v>2</v>
      </c>
      <c r="C4" s="1"/>
      <c r="D4" s="872" t="s">
        <v>2331</v>
      </c>
      <c r="E4" s="660"/>
      <c r="F4" s="660"/>
      <c r="G4" s="660"/>
      <c r="H4" s="660"/>
      <c r="I4" s="660"/>
      <c r="J4" s="660"/>
      <c r="K4" s="660"/>
      <c r="L4" s="660"/>
      <c r="M4" s="660"/>
      <c r="N4" s="660"/>
      <c r="O4" s="660"/>
      <c r="P4" s="660"/>
      <c r="Q4" s="660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s="126" customFormat="1" x14ac:dyDescent="0.45">
      <c r="A5" s="31"/>
      <c r="B5" s="55"/>
      <c r="C5" s="55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s="126" customFormat="1" x14ac:dyDescent="0.45">
      <c r="A6" s="31"/>
      <c r="B6" s="55"/>
      <c r="C6" s="55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s="126" customFormat="1" x14ac:dyDescent="0.45">
      <c r="A7" s="31"/>
      <c r="B7" s="55"/>
      <c r="C7" s="55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s="126" customFormat="1" x14ac:dyDescent="0.45">
      <c r="A8" s="31"/>
      <c r="B8" s="55"/>
      <c r="C8" s="55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s="126" customFormat="1" x14ac:dyDescent="0.45">
      <c r="A9" s="31"/>
      <c r="B9" s="55"/>
      <c r="C9" s="55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s="126" customFormat="1" x14ac:dyDescent="0.45">
      <c r="A10" s="31"/>
      <c r="B10" s="55"/>
      <c r="C10" s="55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s="8" customFormat="1" x14ac:dyDescent="0.45">
      <c r="A11"/>
      <c r="B11" s="625" t="s">
        <v>1457</v>
      </c>
      <c r="C11" s="1"/>
      <c r="D11" s="626" t="s">
        <v>2050</v>
      </c>
      <c r="E11" s="626"/>
      <c r="F11" s="626"/>
      <c r="G11" s="626"/>
      <c r="H11" s="626"/>
      <c r="I11" s="626"/>
      <c r="J11" s="626"/>
      <c r="K11" s="626"/>
      <c r="L11" s="660"/>
      <c r="M11" s="660"/>
      <c r="N11" s="640"/>
      <c r="O11" s="640"/>
      <c r="P11" s="640"/>
      <c r="Q11" s="639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46" s="8" customFormat="1" x14ac:dyDescent="0.45">
      <c r="A12"/>
      <c r="B12" s="1"/>
      <c r="C12" s="1"/>
      <c r="D12" s="626" t="s">
        <v>1462</v>
      </c>
      <c r="E12" s="626" t="s">
        <v>1973</v>
      </c>
      <c r="F12" s="626"/>
      <c r="G12" s="627"/>
      <c r="H12" s="626" t="s">
        <v>1514</v>
      </c>
      <c r="I12" s="626"/>
      <c r="J12" s="626"/>
      <c r="K12" s="626"/>
      <c r="L12" s="660"/>
      <c r="M12" s="660"/>
      <c r="N12" s="640"/>
      <c r="O12" s="640"/>
      <c r="P12" s="640"/>
      <c r="Q12" s="639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46" s="8" customFormat="1" x14ac:dyDescent="0.45">
      <c r="A13"/>
      <c r="B13" s="1"/>
      <c r="C13" s="1"/>
      <c r="D13" s="626"/>
      <c r="E13" s="626" t="s">
        <v>1974</v>
      </c>
      <c r="F13" s="626"/>
      <c r="G13" s="626"/>
      <c r="H13" s="626"/>
      <c r="I13" s="626"/>
      <c r="J13" s="626"/>
      <c r="K13" s="626"/>
      <c r="L13" s="660"/>
      <c r="M13" s="660"/>
      <c r="N13" s="640"/>
      <c r="O13" s="640"/>
      <c r="P13" s="640"/>
      <c r="Q13" s="639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 spans="1:46" s="8" customFormat="1" x14ac:dyDescent="0.45">
      <c r="A14"/>
      <c r="B14" s="1"/>
      <c r="C14" s="1"/>
      <c r="D14" s="626"/>
      <c r="E14" s="750" t="s">
        <v>2332</v>
      </c>
      <c r="F14" s="626"/>
      <c r="G14" s="626"/>
      <c r="H14" s="626"/>
      <c r="I14" s="626"/>
      <c r="J14" s="626"/>
      <c r="K14" s="626"/>
      <c r="L14" s="660"/>
      <c r="M14" s="660"/>
      <c r="N14" s="640"/>
      <c r="O14" s="640"/>
      <c r="P14" s="640"/>
      <c r="Q14" s="639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 spans="1:46" s="8" customFormat="1" x14ac:dyDescent="0.45">
      <c r="A15"/>
      <c r="B15" s="1"/>
      <c r="C15" s="1"/>
      <c r="D15" s="626" t="s">
        <v>1466</v>
      </c>
      <c r="E15" s="626" t="s">
        <v>1459</v>
      </c>
      <c r="F15" s="626"/>
      <c r="G15" s="626"/>
      <c r="H15" s="626"/>
      <c r="I15" s="626"/>
      <c r="J15" s="626"/>
      <c r="K15" s="626"/>
      <c r="L15" s="660"/>
      <c r="M15" s="660"/>
      <c r="N15" s="640"/>
      <c r="O15" s="640"/>
      <c r="P15" s="640"/>
      <c r="Q15" s="639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 spans="1:46" s="8" customFormat="1" x14ac:dyDescent="0.45">
      <c r="A16"/>
      <c r="B16" s="1"/>
      <c r="C16" s="1"/>
      <c r="D16" s="626" t="s">
        <v>1467</v>
      </c>
      <c r="E16" s="626" t="s">
        <v>1459</v>
      </c>
      <c r="F16" s="626"/>
      <c r="G16" s="626"/>
      <c r="H16" s="626"/>
      <c r="I16" s="626"/>
      <c r="J16" s="626"/>
      <c r="K16" s="626"/>
      <c r="L16" s="660"/>
      <c r="M16" s="660"/>
      <c r="N16" s="640"/>
      <c r="O16" s="640"/>
      <c r="P16" s="640"/>
      <c r="Q16" s="639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 spans="1:46" s="8" customFormat="1" x14ac:dyDescent="0.45">
      <c r="D17" s="126"/>
      <c r="E17" s="126"/>
      <c r="F17" s="126"/>
      <c r="G17" s="126"/>
      <c r="H17" s="126"/>
      <c r="I17" s="126"/>
      <c r="J17" s="126"/>
      <c r="K17" s="126"/>
      <c r="L17" s="31"/>
      <c r="M17" s="31"/>
      <c r="N17"/>
      <c r="O17"/>
      <c r="P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 spans="1:46" s="8" customFormat="1" x14ac:dyDescent="0.45">
      <c r="A18"/>
      <c r="B18" s="625" t="s">
        <v>1515</v>
      </c>
      <c r="C18" s="1"/>
      <c r="D18" s="626" t="s">
        <v>2333</v>
      </c>
      <c r="E18" s="626"/>
      <c r="F18" s="626"/>
      <c r="G18" s="626"/>
      <c r="H18" s="626"/>
      <c r="I18" s="626"/>
      <c r="J18" s="626"/>
      <c r="K18" s="626"/>
      <c r="L18" s="626"/>
      <c r="M18" s="626"/>
      <c r="N18"/>
      <c r="O18"/>
      <c r="P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 spans="1:46" s="126" customFormat="1" x14ac:dyDescent="0.45">
      <c r="A19" s="31"/>
      <c r="C19" s="55"/>
      <c r="D19" s="626" t="s">
        <v>2338</v>
      </c>
      <c r="E19" s="626"/>
      <c r="F19" s="626"/>
      <c r="G19" s="626"/>
      <c r="H19" s="626"/>
      <c r="I19" s="626"/>
      <c r="J19" s="626"/>
      <c r="K19" s="626"/>
      <c r="L19" s="626"/>
      <c r="M19" s="626"/>
      <c r="N19" s="31"/>
      <c r="O19" s="31"/>
      <c r="P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s="8" customFormat="1" x14ac:dyDescent="0.45"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 spans="1:46" s="8" customFormat="1" x14ac:dyDescent="0.45">
      <c r="A21"/>
      <c r="B21" s="625" t="s">
        <v>1520</v>
      </c>
      <c r="C21" s="1"/>
      <c r="D21" s="661" t="s">
        <v>1521</v>
      </c>
      <c r="E21" s="629" t="s">
        <v>1522</v>
      </c>
      <c r="F21" s="629"/>
      <c r="G21" s="629" t="s">
        <v>2346</v>
      </c>
      <c r="H21" s="980"/>
      <c r="I21" s="980"/>
      <c r="J21" s="980"/>
      <c r="K21" s="980"/>
      <c r="L21" s="980"/>
      <c r="M21" s="980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 spans="1:46" s="8" customFormat="1" x14ac:dyDescent="0.45"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</row>
    <row r="23" spans="1:46" s="31" customFormat="1" x14ac:dyDescent="0.45">
      <c r="A23" s="126"/>
      <c r="B23" s="751" t="s">
        <v>1697</v>
      </c>
      <c r="C23" s="129"/>
      <c r="D23" s="749" t="s">
        <v>2347</v>
      </c>
      <c r="E23" s="626"/>
      <c r="F23" s="626"/>
      <c r="G23" s="626"/>
      <c r="H23" s="626"/>
      <c r="I23" s="626"/>
      <c r="J23" s="626"/>
      <c r="K23" s="626"/>
      <c r="L23" s="626"/>
      <c r="M23" s="6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</row>
    <row r="24" spans="1:46" s="8" customFormat="1" x14ac:dyDescent="0.45"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 spans="1:46" s="8" customFormat="1" x14ac:dyDescent="0.45">
      <c r="B25" s="625" t="s">
        <v>1699</v>
      </c>
      <c r="C25" s="4"/>
      <c r="D25" s="749" t="s">
        <v>2348</v>
      </c>
      <c r="E25" s="626"/>
      <c r="F25" s="626"/>
      <c r="G25" s="626"/>
      <c r="H25" s="626"/>
      <c r="I25" s="626"/>
      <c r="J25" s="626"/>
      <c r="K25" s="626"/>
      <c r="L25" s="626"/>
      <c r="M25" s="626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</row>
    <row r="26" spans="1:46" s="8" customFormat="1" x14ac:dyDescent="0.45"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 spans="1:46" s="8" customFormat="1" x14ac:dyDescent="0.45">
      <c r="A27"/>
      <c r="B27" s="625" t="s">
        <v>1486</v>
      </c>
      <c r="C27" s="1"/>
      <c r="D27" s="626" t="s">
        <v>1487</v>
      </c>
      <c r="E27" s="626" t="s">
        <v>2334</v>
      </c>
      <c r="F27" s="626"/>
      <c r="G27" s="126"/>
      <c r="H27" s="126"/>
      <c r="I27" s="126"/>
      <c r="J27" s="126"/>
      <c r="K27" s="126"/>
      <c r="L27" s="126"/>
      <c r="M27" s="126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28" spans="1:46" s="8" customFormat="1" x14ac:dyDescent="0.45">
      <c r="A28"/>
      <c r="B28" s="126"/>
      <c r="C28" s="126"/>
      <c r="D28" s="126"/>
      <c r="E28" s="126"/>
      <c r="F28" s="126"/>
      <c r="G28" s="126"/>
      <c r="H28" s="126"/>
      <c r="I28" s="126"/>
      <c r="J28" s="126"/>
      <c r="L28" s="126"/>
      <c r="M28" s="126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 spans="1:46" s="8" customFormat="1" x14ac:dyDescent="0.45">
      <c r="A29"/>
      <c r="B29" s="625" t="s">
        <v>1648</v>
      </c>
      <c r="C29" s="1"/>
      <c r="D29" s="626" t="s">
        <v>1981</v>
      </c>
      <c r="E29" s="627" t="s">
        <v>919</v>
      </c>
      <c r="F29" s="626" t="s">
        <v>1652</v>
      </c>
      <c r="G29" s="626" t="s">
        <v>1649</v>
      </c>
      <c r="H29" s="126"/>
      <c r="I29" s="126"/>
      <c r="J29" s="126"/>
      <c r="L29" s="126"/>
      <c r="M29" s="126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 spans="1:46" s="8" customFormat="1" x14ac:dyDescent="0.45">
      <c r="A30"/>
      <c r="B30" s="126"/>
      <c r="C30" s="126"/>
      <c r="D30" s="626"/>
      <c r="E30" s="627" t="s">
        <v>920</v>
      </c>
      <c r="F30" s="626" t="s">
        <v>1653</v>
      </c>
      <c r="G30" s="626" t="s">
        <v>1650</v>
      </c>
      <c r="H30" s="126"/>
      <c r="I30" s="126"/>
      <c r="J30" s="126"/>
      <c r="L30" s="126"/>
      <c r="M30" s="126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s="8" customFormat="1" x14ac:dyDescent="0.45">
      <c r="A31"/>
      <c r="B31" s="126"/>
      <c r="C31" s="126"/>
      <c r="D31" s="626"/>
      <c r="E31" s="627" t="s">
        <v>921</v>
      </c>
      <c r="F31" s="626" t="s">
        <v>1975</v>
      </c>
      <c r="G31" s="626" t="s">
        <v>1651</v>
      </c>
      <c r="H31" s="126"/>
      <c r="I31" s="126"/>
      <c r="J31" s="126"/>
      <c r="L31" s="126"/>
      <c r="M31" s="126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 spans="1:46" s="8" customFormat="1" x14ac:dyDescent="0.45">
      <c r="A32"/>
      <c r="B32" s="126"/>
      <c r="C32" s="126"/>
      <c r="D32" s="626"/>
      <c r="E32" s="627" t="s">
        <v>922</v>
      </c>
      <c r="F32" s="626" t="s">
        <v>1976</v>
      </c>
      <c r="G32" s="626" t="s">
        <v>1977</v>
      </c>
      <c r="H32" s="126"/>
      <c r="I32" s="126"/>
      <c r="J32" s="126"/>
      <c r="L32" s="126"/>
      <c r="M32" s="126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 spans="1:46" s="8" customFormat="1" x14ac:dyDescent="0.45">
      <c r="A33"/>
      <c r="B33" s="126"/>
      <c r="C33" s="126"/>
      <c r="D33" s="126"/>
      <c r="E33" s="126"/>
      <c r="F33" s="126"/>
      <c r="G33" s="126"/>
      <c r="H33" s="126"/>
      <c r="I33" s="126"/>
      <c r="J33" s="126"/>
      <c r="L33" s="126"/>
      <c r="M33" s="126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</row>
    <row r="34" spans="1:46" s="8" customFormat="1" x14ac:dyDescent="0.45">
      <c r="A34"/>
      <c r="B34" s="625" t="s">
        <v>1489</v>
      </c>
      <c r="C34" s="1"/>
      <c r="D34" s="626" t="s">
        <v>2325</v>
      </c>
      <c r="E34" s="626"/>
      <c r="F34" s="626"/>
      <c r="G34" s="626"/>
      <c r="H34" s="626"/>
      <c r="I34" s="626"/>
      <c r="J34" s="626"/>
      <c r="K34" s="626"/>
      <c r="L34" s="626"/>
      <c r="M34" s="626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 spans="1:46" s="8" customFormat="1" x14ac:dyDescent="0.45">
      <c r="A35"/>
      <c r="B35"/>
      <c r="C35" s="1"/>
      <c r="D35" s="626" t="s">
        <v>2349</v>
      </c>
      <c r="E35" s="626"/>
      <c r="F35" s="626"/>
      <c r="G35" s="626"/>
      <c r="H35" s="626"/>
      <c r="I35" s="626"/>
      <c r="J35" s="626"/>
      <c r="K35" s="626"/>
      <c r="L35" s="626"/>
      <c r="M35" s="626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 spans="1:46" s="8" customFormat="1" x14ac:dyDescent="0.45">
      <c r="A36"/>
      <c r="B36"/>
      <c r="C36" s="1"/>
      <c r="D36" s="626" t="s">
        <v>1524</v>
      </c>
      <c r="E36" s="626"/>
      <c r="F36" s="626"/>
      <c r="G36" s="626"/>
      <c r="H36" s="626"/>
      <c r="I36" s="626"/>
      <c r="J36" s="626"/>
      <c r="K36" s="626"/>
      <c r="L36" s="626"/>
      <c r="M36" s="62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 spans="1:46" s="31" customFormat="1" x14ac:dyDescent="0.45">
      <c r="A37" s="126"/>
      <c r="B37" s="126"/>
      <c r="C37" s="126"/>
      <c r="D37" s="626" t="s">
        <v>2350</v>
      </c>
      <c r="E37" s="626"/>
      <c r="F37" s="626"/>
      <c r="G37" s="626"/>
      <c r="H37" s="626"/>
      <c r="I37" s="626"/>
      <c r="J37" s="626"/>
      <c r="K37" s="626"/>
      <c r="L37" s="626"/>
      <c r="M37" s="6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</row>
    <row r="38" spans="1:46" x14ac:dyDescent="0.45">
      <c r="A38" s="8"/>
      <c r="B38" s="8"/>
      <c r="C38" s="8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8"/>
      <c r="O38" s="8"/>
      <c r="P38" s="8"/>
      <c r="Q38" s="8"/>
      <c r="R38" s="8"/>
      <c r="S38" s="8"/>
      <c r="T38" s="8"/>
    </row>
    <row r="39" spans="1:46" s="31" customFormat="1" x14ac:dyDescent="0.45">
      <c r="B39" s="751" t="s">
        <v>1516</v>
      </c>
      <c r="C39" s="55"/>
      <c r="D39" s="626" t="s">
        <v>1518</v>
      </c>
      <c r="E39" s="626" t="s">
        <v>1523</v>
      </c>
      <c r="F39" s="626"/>
      <c r="G39" s="626"/>
      <c r="H39" s="626"/>
      <c r="I39" s="626"/>
      <c r="J39" s="626"/>
      <c r="K39" s="626"/>
      <c r="L39" s="626"/>
      <c r="M39" s="6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</row>
    <row r="40" spans="1:46" x14ac:dyDescent="0.45">
      <c r="A40" s="8"/>
      <c r="B40" s="8"/>
      <c r="C40" s="8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8"/>
      <c r="O40" s="8"/>
      <c r="P40" s="8"/>
      <c r="Q40" s="8"/>
      <c r="R40" s="8"/>
      <c r="S40" s="8"/>
      <c r="T40" s="8"/>
    </row>
    <row r="41" spans="1:46" x14ac:dyDescent="0.45">
      <c r="B41" s="978" t="s">
        <v>1488</v>
      </c>
      <c r="D41" s="448" t="s">
        <v>2335</v>
      </c>
      <c r="E41" s="448"/>
      <c r="F41" s="448"/>
      <c r="G41" s="448"/>
      <c r="H41" s="448"/>
      <c r="I41" s="448"/>
      <c r="J41" s="448"/>
      <c r="K41" s="448"/>
      <c r="L41" s="448"/>
      <c r="M41" s="448"/>
      <c r="N41" s="8"/>
      <c r="O41" s="8"/>
      <c r="P41" s="8"/>
      <c r="Q41" s="8"/>
      <c r="R41" s="8"/>
      <c r="S41" s="8"/>
      <c r="T41" s="8"/>
    </row>
    <row r="42" spans="1:46" s="31" customFormat="1" x14ac:dyDescent="0.45">
      <c r="B42" s="55"/>
      <c r="C42" s="55"/>
      <c r="D42" s="448"/>
      <c r="E42" s="448" t="s">
        <v>2351</v>
      </c>
      <c r="F42" s="448"/>
      <c r="G42" s="448"/>
      <c r="H42" s="448"/>
      <c r="I42" s="448"/>
      <c r="J42" s="448"/>
      <c r="K42" s="448"/>
      <c r="L42" s="448"/>
      <c r="M42" s="448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</row>
    <row r="43" spans="1:46" s="31" customFormat="1" x14ac:dyDescent="0.45">
      <c r="B43" s="55"/>
      <c r="C43" s="55"/>
      <c r="D43" s="448"/>
      <c r="E43" s="448" t="s">
        <v>2336</v>
      </c>
      <c r="F43" s="448"/>
      <c r="G43" s="448"/>
      <c r="H43" s="448"/>
      <c r="I43" s="448"/>
      <c r="J43" s="448"/>
      <c r="K43" s="448"/>
      <c r="L43" s="448"/>
      <c r="M43" s="448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</row>
    <row r="44" spans="1:46" s="31" customFormat="1" x14ac:dyDescent="0.45">
      <c r="B44" s="55"/>
      <c r="C44" s="55"/>
      <c r="D44" s="448"/>
      <c r="E44" s="448" t="s">
        <v>2337</v>
      </c>
      <c r="F44" s="448"/>
      <c r="G44" s="448"/>
      <c r="H44" s="448"/>
      <c r="I44" s="448"/>
      <c r="J44" s="448"/>
      <c r="K44" s="448"/>
      <c r="L44" s="448"/>
      <c r="M44" s="448"/>
      <c r="U44" s="126"/>
      <c r="V44" s="126"/>
      <c r="W44" s="126"/>
      <c r="X44" s="126"/>
    </row>
    <row r="45" spans="1:46" x14ac:dyDescent="0.45">
      <c r="B45"/>
      <c r="C45"/>
      <c r="D45" s="632"/>
    </row>
    <row r="46" spans="1:46" x14ac:dyDescent="0.45">
      <c r="B46" s="625" t="s">
        <v>1525</v>
      </c>
      <c r="D46" s="626" t="s">
        <v>1979</v>
      </c>
      <c r="E46" s="640" t="s">
        <v>1978</v>
      </c>
      <c r="F46" s="640"/>
      <c r="G46" s="640"/>
      <c r="H46" s="640"/>
      <c r="I46" s="640"/>
      <c r="J46" s="640"/>
      <c r="K46" s="640"/>
      <c r="L46" s="640"/>
      <c r="M46" s="640"/>
    </row>
    <row r="47" spans="1:46" x14ac:dyDescent="0.45">
      <c r="D47" s="626" t="s">
        <v>1980</v>
      </c>
      <c r="E47" s="626" t="s">
        <v>2352</v>
      </c>
      <c r="F47" s="640"/>
      <c r="G47" s="640"/>
      <c r="H47" s="640"/>
      <c r="I47" s="640"/>
      <c r="J47" s="640"/>
      <c r="K47" s="640"/>
      <c r="L47" s="640"/>
      <c r="M47" s="640"/>
    </row>
    <row r="48" spans="1:46" s="31" customFormat="1" x14ac:dyDescent="0.45">
      <c r="D48" s="752" t="s">
        <v>2353</v>
      </c>
      <c r="E48" s="660"/>
      <c r="F48" s="660"/>
      <c r="G48" s="660"/>
      <c r="H48" s="660"/>
      <c r="I48" s="660"/>
      <c r="J48" s="660"/>
      <c r="K48" s="660"/>
      <c r="L48" s="660"/>
      <c r="M48" s="660"/>
      <c r="U48" s="126"/>
      <c r="V48" s="126"/>
      <c r="W48" s="126"/>
      <c r="X48" s="126"/>
    </row>
    <row r="50" spans="2:46" x14ac:dyDescent="0.45">
      <c r="B50" s="30" t="s">
        <v>1493</v>
      </c>
      <c r="C50" s="1264" t="s">
        <v>245</v>
      </c>
      <c r="D50" s="1265"/>
      <c r="E50" s="1265"/>
      <c r="F50" s="1265"/>
      <c r="G50" s="1265"/>
      <c r="H50" s="1265"/>
      <c r="I50" s="1265"/>
      <c r="J50" s="1265"/>
      <c r="K50" s="1265"/>
      <c r="L50" s="1265"/>
      <c r="M50" s="1265"/>
      <c r="N50" s="1265"/>
      <c r="O50" s="1265"/>
      <c r="P50" s="1265"/>
      <c r="Q50" s="1265"/>
      <c r="R50" s="1265"/>
      <c r="S50" s="1265"/>
      <c r="T50" s="1265"/>
      <c r="U50" s="1265"/>
      <c r="V50" s="1265"/>
      <c r="W50" s="1265"/>
      <c r="X50" s="1265"/>
      <c r="Y50" s="1265"/>
      <c r="Z50" s="1265"/>
      <c r="AA50" s="1265"/>
      <c r="AB50" s="1265"/>
      <c r="AC50" s="1265"/>
      <c r="AD50" s="60"/>
    </row>
    <row r="51" spans="2:46" ht="17.5" thickBot="1" x14ac:dyDescent="0.5">
      <c r="B51" s="2"/>
      <c r="C51" s="8"/>
      <c r="D51" s="8"/>
      <c r="E51" s="8"/>
      <c r="F51" s="32"/>
      <c r="G51" s="8"/>
      <c r="H51" s="8"/>
      <c r="I51" s="32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Y51" s="8"/>
      <c r="Z51" s="8"/>
      <c r="AA51" s="8"/>
      <c r="AC51" s="1"/>
      <c r="AD51" s="1"/>
    </row>
    <row r="52" spans="2:46" x14ac:dyDescent="0.45">
      <c r="B52" s="2"/>
      <c r="C52" s="8"/>
      <c r="D52" s="33" t="s">
        <v>246</v>
      </c>
      <c r="E52" s="34" t="s">
        <v>247</v>
      </c>
      <c r="F52" s="34" t="s">
        <v>248</v>
      </c>
      <c r="G52" s="35" t="s">
        <v>249</v>
      </c>
      <c r="H52" s="33" t="s">
        <v>250</v>
      </c>
      <c r="I52" s="34" t="s">
        <v>251</v>
      </c>
      <c r="J52" s="34" t="s">
        <v>252</v>
      </c>
      <c r="K52" s="34" t="s">
        <v>253</v>
      </c>
      <c r="L52" s="34" t="s">
        <v>254</v>
      </c>
      <c r="M52" s="35" t="s">
        <v>255</v>
      </c>
      <c r="N52" s="33" t="s">
        <v>256</v>
      </c>
      <c r="O52" s="34" t="s">
        <v>257</v>
      </c>
      <c r="P52" s="34" t="s">
        <v>25</v>
      </c>
      <c r="Q52" s="34" t="s">
        <v>26</v>
      </c>
      <c r="R52" s="34" t="s">
        <v>27</v>
      </c>
      <c r="S52" s="34" t="s">
        <v>28</v>
      </c>
      <c r="T52" s="34" t="s">
        <v>29</v>
      </c>
      <c r="U52" s="34" t="s">
        <v>30</v>
      </c>
      <c r="V52" s="34" t="s">
        <v>31</v>
      </c>
      <c r="W52" s="34" t="s">
        <v>32</v>
      </c>
      <c r="X52" s="34" t="s">
        <v>33</v>
      </c>
      <c r="Y52" s="35" t="s">
        <v>34</v>
      </c>
      <c r="Z52" s="1"/>
      <c r="AA52" s="1"/>
      <c r="AB52" s="1"/>
      <c r="AC52" s="1"/>
      <c r="AD52" s="1"/>
    </row>
    <row r="53" spans="2:46" ht="17.5" thickBot="1" x14ac:dyDescent="0.5">
      <c r="B53" s="36" t="s">
        <v>258</v>
      </c>
      <c r="C53" s="8"/>
      <c r="D53" s="37" t="s">
        <v>259</v>
      </c>
      <c r="E53" s="1295" t="s">
        <v>260</v>
      </c>
      <c r="F53" s="1296"/>
      <c r="G53" s="1297"/>
      <c r="H53" s="1253" t="s">
        <v>261</v>
      </c>
      <c r="I53" s="1254"/>
      <c r="J53" s="1254"/>
      <c r="K53" s="1254"/>
      <c r="L53" s="1254"/>
      <c r="M53" s="1255"/>
      <c r="N53" s="1253" t="s">
        <v>262</v>
      </c>
      <c r="O53" s="1254"/>
      <c r="P53" s="1254"/>
      <c r="Q53" s="1254"/>
      <c r="R53" s="1254"/>
      <c r="S53" s="1254"/>
      <c r="T53" s="1254"/>
      <c r="U53" s="1254"/>
      <c r="V53" s="1254"/>
      <c r="W53" s="1254"/>
      <c r="X53" s="1254"/>
      <c r="Y53" s="1255"/>
      <c r="Z53" s="1"/>
      <c r="AA53" s="1"/>
      <c r="AB53" s="1"/>
      <c r="AC53" s="1"/>
      <c r="AD53" s="1"/>
    </row>
    <row r="54" spans="2:46" ht="17.5" thickBot="1" x14ac:dyDescent="0.5">
      <c r="B54" s="24" t="s">
        <v>263</v>
      </c>
      <c r="C54" s="8"/>
      <c r="D54" s="25">
        <v>1</v>
      </c>
      <c r="E54" s="25">
        <v>1</v>
      </c>
      <c r="F54" s="25">
        <v>0</v>
      </c>
      <c r="G54" s="25">
        <v>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Y54" s="8"/>
      <c r="Z54" s="8"/>
      <c r="AA54" s="8"/>
      <c r="AC54" s="1"/>
      <c r="AD54" s="1"/>
    </row>
    <row r="55" spans="2:46" x14ac:dyDescent="0.45">
      <c r="B55" s="24"/>
      <c r="C55" s="8"/>
      <c r="D55" s="38" t="s">
        <v>264</v>
      </c>
      <c r="E55" s="39" t="s">
        <v>265</v>
      </c>
      <c r="F55" s="39" t="s">
        <v>266</v>
      </c>
      <c r="G55" s="40" t="s">
        <v>267</v>
      </c>
      <c r="H55" s="41" t="s">
        <v>268</v>
      </c>
      <c r="I55" s="34" t="s">
        <v>30</v>
      </c>
      <c r="J55" s="34" t="s">
        <v>31</v>
      </c>
      <c r="K55" s="34" t="s">
        <v>32</v>
      </c>
      <c r="L55" s="34" t="s">
        <v>33</v>
      </c>
      <c r="M55" s="35" t="s">
        <v>34</v>
      </c>
      <c r="N55" s="8"/>
      <c r="O55" s="8"/>
      <c r="P55" s="8"/>
      <c r="Q55" s="8"/>
      <c r="R55" s="8"/>
      <c r="S55" s="8"/>
      <c r="T55" s="8"/>
      <c r="Y55" s="8"/>
      <c r="Z55" s="8"/>
      <c r="AA55" s="8"/>
      <c r="AC55" s="42"/>
      <c r="AD55" s="42"/>
    </row>
    <row r="56" spans="2:46" ht="17.5" thickBot="1" x14ac:dyDescent="0.5">
      <c r="B56" s="36" t="s">
        <v>258</v>
      </c>
      <c r="C56" s="8"/>
      <c r="D56" s="37" t="s">
        <v>259</v>
      </c>
      <c r="E56" s="1298" t="s">
        <v>260</v>
      </c>
      <c r="F56" s="1298"/>
      <c r="G56" s="1299"/>
      <c r="H56" s="1271" t="s">
        <v>261</v>
      </c>
      <c r="I56" s="1272"/>
      <c r="J56" s="1272"/>
      <c r="K56" s="1272"/>
      <c r="L56" s="1272"/>
      <c r="M56" s="1273"/>
      <c r="N56" s="8"/>
      <c r="O56" s="8"/>
      <c r="P56" s="8"/>
      <c r="Q56" s="8"/>
      <c r="R56" s="8"/>
      <c r="S56" s="8"/>
      <c r="T56" s="8"/>
      <c r="Y56" s="8"/>
      <c r="Z56" s="8"/>
      <c r="AA56" s="8"/>
      <c r="AC56" s="42"/>
      <c r="AD56" s="42"/>
    </row>
    <row r="57" spans="2:46" ht="17.5" thickBot="1" x14ac:dyDescent="0.5">
      <c r="B57" s="24" t="s">
        <v>269</v>
      </c>
      <c r="C57" s="43"/>
      <c r="D57" s="25">
        <v>1</v>
      </c>
      <c r="E57" s="25">
        <v>1</v>
      </c>
      <c r="F57" s="25">
        <v>1</v>
      </c>
      <c r="G57" s="25">
        <v>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Y57" s="8"/>
      <c r="Z57" s="8"/>
      <c r="AA57" s="8"/>
      <c r="AC57" s="42"/>
      <c r="AD57" s="42"/>
    </row>
    <row r="58" spans="2:46" x14ac:dyDescent="0.45">
      <c r="B58" s="24"/>
      <c r="C58" s="8"/>
      <c r="D58" s="38" t="s">
        <v>247</v>
      </c>
      <c r="E58" s="39" t="s">
        <v>248</v>
      </c>
      <c r="F58" s="39" t="s">
        <v>249</v>
      </c>
      <c r="G58" s="40" t="s">
        <v>250</v>
      </c>
      <c r="H58" s="33" t="s">
        <v>270</v>
      </c>
      <c r="I58" s="34" t="s">
        <v>271</v>
      </c>
      <c r="J58" s="34" t="s">
        <v>253</v>
      </c>
      <c r="K58" s="34" t="s">
        <v>254</v>
      </c>
      <c r="L58" s="35" t="s">
        <v>255</v>
      </c>
      <c r="M58" s="41" t="s">
        <v>256</v>
      </c>
      <c r="N58" s="34" t="s">
        <v>257</v>
      </c>
      <c r="O58" s="34" t="s">
        <v>25</v>
      </c>
      <c r="P58" s="34" t="s">
        <v>26</v>
      </c>
      <c r="Q58" s="34" t="s">
        <v>27</v>
      </c>
      <c r="R58" s="34" t="s">
        <v>28</v>
      </c>
      <c r="S58" s="34" t="s">
        <v>29</v>
      </c>
      <c r="T58" s="34" t="s">
        <v>30</v>
      </c>
      <c r="U58" s="34" t="s">
        <v>31</v>
      </c>
      <c r="V58" s="34" t="s">
        <v>32</v>
      </c>
      <c r="W58" s="34" t="s">
        <v>33</v>
      </c>
      <c r="X58" s="35" t="s">
        <v>34</v>
      </c>
      <c r="Y58" s="8"/>
      <c r="Z58" s="8"/>
      <c r="AA58" s="8"/>
      <c r="AC58" s="42"/>
      <c r="AD58" s="42"/>
    </row>
    <row r="59" spans="2:46" ht="17.5" thickBot="1" x14ac:dyDescent="0.5">
      <c r="B59" s="36" t="s">
        <v>272</v>
      </c>
      <c r="C59" s="8"/>
      <c r="D59" s="37" t="s">
        <v>259</v>
      </c>
      <c r="E59" s="1298" t="s">
        <v>260</v>
      </c>
      <c r="F59" s="1298"/>
      <c r="G59" s="1299"/>
      <c r="H59" s="1302" t="s">
        <v>273</v>
      </c>
      <c r="I59" s="1303"/>
      <c r="J59" s="1303"/>
      <c r="K59" s="1303"/>
      <c r="L59" s="1304"/>
      <c r="M59" s="1281" t="s">
        <v>262</v>
      </c>
      <c r="N59" s="1282"/>
      <c r="O59" s="1282"/>
      <c r="P59" s="1282"/>
      <c r="Q59" s="1282"/>
      <c r="R59" s="1282"/>
      <c r="S59" s="1282"/>
      <c r="T59" s="1282"/>
      <c r="U59" s="1282"/>
      <c r="V59" s="1282"/>
      <c r="W59" s="1282"/>
      <c r="X59" s="1283"/>
      <c r="Y59" s="8"/>
      <c r="Z59" s="8"/>
      <c r="AA59" s="8"/>
      <c r="AC59" s="42"/>
      <c r="AD59" s="42"/>
    </row>
    <row r="60" spans="2:46" ht="17.5" thickBot="1" x14ac:dyDescent="0.5">
      <c r="B60" s="24" t="s">
        <v>274</v>
      </c>
      <c r="C60" s="8"/>
      <c r="D60" s="25">
        <v>1</v>
      </c>
      <c r="E60" s="25">
        <v>1</v>
      </c>
      <c r="F60" s="25">
        <v>1</v>
      </c>
      <c r="G60" s="25">
        <v>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Y60" s="8"/>
      <c r="Z60" s="8"/>
      <c r="AA60" s="8"/>
      <c r="AC60" s="42"/>
      <c r="AD60" s="42"/>
    </row>
    <row r="61" spans="2:46" ht="17.5" thickBot="1" x14ac:dyDescent="0.5">
      <c r="B61" s="109"/>
      <c r="C61" s="8"/>
      <c r="D61" s="647" t="s">
        <v>278</v>
      </c>
      <c r="E61" s="648" t="s">
        <v>279</v>
      </c>
      <c r="F61" s="648" t="s">
        <v>280</v>
      </c>
      <c r="G61" s="649" t="s">
        <v>270</v>
      </c>
      <c r="H61" s="650" t="s">
        <v>271</v>
      </c>
      <c r="I61" s="648" t="s">
        <v>281</v>
      </c>
      <c r="J61" s="648" t="s">
        <v>282</v>
      </c>
      <c r="K61" s="648" t="s">
        <v>283</v>
      </c>
      <c r="L61" s="648" t="s">
        <v>256</v>
      </c>
      <c r="M61" s="648" t="s">
        <v>257</v>
      </c>
      <c r="N61" s="648" t="s">
        <v>25</v>
      </c>
      <c r="O61" s="648" t="s">
        <v>26</v>
      </c>
      <c r="P61" s="648" t="s">
        <v>27</v>
      </c>
      <c r="Q61" s="648" t="s">
        <v>28</v>
      </c>
      <c r="R61" s="648" t="s">
        <v>29</v>
      </c>
      <c r="S61" s="648" t="s">
        <v>30</v>
      </c>
      <c r="T61" s="648" t="s">
        <v>31</v>
      </c>
      <c r="U61" s="648" t="s">
        <v>32</v>
      </c>
      <c r="V61" s="648" t="s">
        <v>33</v>
      </c>
      <c r="W61" s="649" t="s">
        <v>34</v>
      </c>
      <c r="X61" s="639"/>
      <c r="Y61" s="753" t="s">
        <v>288</v>
      </c>
      <c r="Z61" s="754" t="s">
        <v>286</v>
      </c>
      <c r="AA61" s="754" t="s">
        <v>275</v>
      </c>
      <c r="AB61" s="755" t="s">
        <v>276</v>
      </c>
      <c r="AC61" s="642" t="s">
        <v>256</v>
      </c>
      <c r="AD61" s="642" t="s">
        <v>257</v>
      </c>
      <c r="AE61" s="642" t="s">
        <v>25</v>
      </c>
      <c r="AF61" s="642" t="s">
        <v>26</v>
      </c>
      <c r="AG61" s="642" t="s">
        <v>27</v>
      </c>
      <c r="AH61" s="642" t="s">
        <v>28</v>
      </c>
      <c r="AI61" s="642" t="s">
        <v>29</v>
      </c>
      <c r="AJ61" s="642" t="s">
        <v>30</v>
      </c>
      <c r="AK61" s="642" t="s">
        <v>31</v>
      </c>
      <c r="AL61" s="642" t="s">
        <v>32</v>
      </c>
      <c r="AM61" s="642" t="s">
        <v>33</v>
      </c>
      <c r="AN61" s="643" t="s">
        <v>34</v>
      </c>
      <c r="AO61" s="660" t="s">
        <v>1643</v>
      </c>
      <c r="AP61" s="660"/>
      <c r="AQ61" s="660"/>
      <c r="AR61" s="660"/>
      <c r="AS61" s="660"/>
      <c r="AT61" s="660"/>
    </row>
    <row r="62" spans="2:46" ht="17.5" thickBot="1" x14ac:dyDescent="0.5">
      <c r="B62" s="633" t="s">
        <v>258</v>
      </c>
      <c r="C62" s="8"/>
      <c r="D62" s="651" t="s">
        <v>259</v>
      </c>
      <c r="E62" s="652" t="s">
        <v>260</v>
      </c>
      <c r="F62" s="652"/>
      <c r="G62" s="653"/>
      <c r="H62" s="1300" t="s">
        <v>290</v>
      </c>
      <c r="I62" s="1300"/>
      <c r="J62" s="1300"/>
      <c r="K62" s="1300"/>
      <c r="L62" s="1300"/>
      <c r="M62" s="1300"/>
      <c r="N62" s="1300"/>
      <c r="O62" s="1300"/>
      <c r="P62" s="1300"/>
      <c r="Q62" s="1300"/>
      <c r="R62" s="1300"/>
      <c r="S62" s="1300"/>
      <c r="T62" s="1300"/>
      <c r="U62" s="1300"/>
      <c r="V62" s="1300"/>
      <c r="W62" s="1301"/>
      <c r="X62" s="639"/>
      <c r="Y62" s="756" t="s">
        <v>259</v>
      </c>
      <c r="Z62" s="1286" t="s">
        <v>260</v>
      </c>
      <c r="AA62" s="1287"/>
      <c r="AB62" s="1288"/>
      <c r="AC62" s="1277" t="s">
        <v>1409</v>
      </c>
      <c r="AD62" s="1275"/>
      <c r="AE62" s="1275"/>
      <c r="AF62" s="1275"/>
      <c r="AG62" s="1275"/>
      <c r="AH62" s="1275"/>
      <c r="AI62" s="1275"/>
      <c r="AJ62" s="1275"/>
      <c r="AK62" s="1275"/>
      <c r="AL62" s="1275"/>
      <c r="AM62" s="1275"/>
      <c r="AN62" s="1276"/>
      <c r="AO62" s="660"/>
      <c r="AP62" s="660"/>
      <c r="AQ62" s="660"/>
      <c r="AR62" s="660"/>
      <c r="AS62" s="660"/>
      <c r="AT62" s="660"/>
    </row>
    <row r="63" spans="2:46" ht="17.5" thickBot="1" x14ac:dyDescent="0.5">
      <c r="B63" s="109" t="s">
        <v>1498</v>
      </c>
      <c r="C63" s="8"/>
      <c r="D63" s="638">
        <v>1</v>
      </c>
      <c r="E63" s="638">
        <v>1</v>
      </c>
      <c r="F63" s="638">
        <v>1</v>
      </c>
      <c r="G63" s="638">
        <v>1</v>
      </c>
      <c r="H63" s="639"/>
      <c r="I63" s="639"/>
      <c r="J63" s="639"/>
      <c r="K63" s="639"/>
      <c r="L63" s="639"/>
      <c r="M63" s="639"/>
      <c r="N63" s="639"/>
      <c r="O63" s="639"/>
      <c r="P63" s="639"/>
      <c r="Q63" s="639"/>
      <c r="R63" s="639"/>
      <c r="S63" s="639"/>
      <c r="T63" s="639"/>
      <c r="U63" s="639"/>
      <c r="V63" s="639"/>
      <c r="W63" s="639"/>
      <c r="X63" s="639"/>
      <c r="Y63" s="628">
        <v>1</v>
      </c>
      <c r="Z63" s="628">
        <v>1</v>
      </c>
      <c r="AA63" s="628">
        <v>1</v>
      </c>
      <c r="AB63" s="628">
        <v>1</v>
      </c>
      <c r="AC63" s="659"/>
      <c r="AD63" s="659"/>
      <c r="AE63" s="659"/>
      <c r="AF63" s="659"/>
      <c r="AG63" s="659"/>
      <c r="AH63" s="659"/>
      <c r="AI63" s="659"/>
      <c r="AJ63" s="659"/>
      <c r="AK63" s="659"/>
      <c r="AL63" s="659"/>
      <c r="AM63" s="659"/>
      <c r="AN63" s="659"/>
      <c r="AO63" s="659"/>
      <c r="AP63" s="659"/>
      <c r="AQ63" s="660"/>
      <c r="AR63" s="660"/>
      <c r="AS63" s="660"/>
      <c r="AT63" s="660"/>
    </row>
    <row r="64" spans="2:46" x14ac:dyDescent="0.45">
      <c r="B64" s="24"/>
      <c r="C64" s="8"/>
      <c r="D64" s="38" t="s">
        <v>265</v>
      </c>
      <c r="E64" s="39" t="s">
        <v>266</v>
      </c>
      <c r="F64" s="39" t="s">
        <v>267</v>
      </c>
      <c r="G64" s="40" t="s">
        <v>268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Y64" s="641" t="s">
        <v>288</v>
      </c>
      <c r="Z64" s="642" t="s">
        <v>286</v>
      </c>
      <c r="AA64" s="642" t="s">
        <v>275</v>
      </c>
      <c r="AB64" s="643" t="s">
        <v>276</v>
      </c>
      <c r="AC64" s="642" t="s">
        <v>282</v>
      </c>
      <c r="AD64" s="642" t="s">
        <v>283</v>
      </c>
      <c r="AE64" s="642" t="s">
        <v>256</v>
      </c>
      <c r="AF64" s="642" t="s">
        <v>257</v>
      </c>
      <c r="AG64" s="642" t="s">
        <v>25</v>
      </c>
      <c r="AH64" s="642" t="s">
        <v>26</v>
      </c>
      <c r="AI64" s="642" t="s">
        <v>27</v>
      </c>
      <c r="AJ64" s="642" t="s">
        <v>28</v>
      </c>
      <c r="AK64" s="642" t="s">
        <v>29</v>
      </c>
      <c r="AL64" s="642" t="s">
        <v>30</v>
      </c>
      <c r="AM64" s="642" t="s">
        <v>31</v>
      </c>
      <c r="AN64" s="642" t="s">
        <v>32</v>
      </c>
      <c r="AO64" s="642" t="s">
        <v>33</v>
      </c>
      <c r="AP64" s="643" t="s">
        <v>34</v>
      </c>
      <c r="AQ64" s="660" t="s">
        <v>1644</v>
      </c>
      <c r="AR64" s="660"/>
      <c r="AS64" s="660"/>
      <c r="AT64" s="660"/>
    </row>
    <row r="65" spans="2:46" ht="17.5" thickBot="1" x14ac:dyDescent="0.5">
      <c r="B65" s="36" t="s">
        <v>258</v>
      </c>
      <c r="C65" s="8"/>
      <c r="D65" s="37" t="s">
        <v>259</v>
      </c>
      <c r="E65" s="1298" t="s">
        <v>260</v>
      </c>
      <c r="F65" s="1298"/>
      <c r="G65" s="129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Y65" s="644" t="s">
        <v>259</v>
      </c>
      <c r="Z65" s="1274" t="s">
        <v>260</v>
      </c>
      <c r="AA65" s="1275"/>
      <c r="AB65" s="1276"/>
      <c r="AC65" s="1277" t="s">
        <v>1410</v>
      </c>
      <c r="AD65" s="1275"/>
      <c r="AE65" s="1275"/>
      <c r="AF65" s="1275"/>
      <c r="AG65" s="1275"/>
      <c r="AH65" s="1275"/>
      <c r="AI65" s="1275"/>
      <c r="AJ65" s="1275"/>
      <c r="AK65" s="1275"/>
      <c r="AL65" s="1275"/>
      <c r="AM65" s="1275"/>
      <c r="AN65" s="1275"/>
      <c r="AO65" s="1275"/>
      <c r="AP65" s="1276"/>
      <c r="AQ65" s="660"/>
      <c r="AR65" s="660"/>
      <c r="AS65" s="660"/>
      <c r="AT65" s="660"/>
    </row>
    <row r="66" spans="2:46" ht="17.5" thickBot="1" x14ac:dyDescent="0.5">
      <c r="B66" s="24" t="s">
        <v>291</v>
      </c>
      <c r="C66" s="8"/>
      <c r="D66" s="25">
        <v>1</v>
      </c>
      <c r="E66" s="25">
        <v>0</v>
      </c>
      <c r="F66" s="25">
        <v>1</v>
      </c>
      <c r="G66" s="25">
        <v>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Y66" s="659">
        <v>1</v>
      </c>
      <c r="Z66" s="659">
        <v>1</v>
      </c>
      <c r="AA66" s="659">
        <v>1</v>
      </c>
      <c r="AB66" s="659">
        <v>1</v>
      </c>
      <c r="AC66" s="659"/>
      <c r="AD66" s="659"/>
      <c r="AE66" s="659"/>
      <c r="AF66" s="659"/>
      <c r="AG66" s="659"/>
      <c r="AH66" s="659"/>
      <c r="AI66" s="659"/>
      <c r="AJ66" s="659"/>
      <c r="AK66" s="659"/>
      <c r="AL66" s="659"/>
      <c r="AM66" s="659"/>
      <c r="AN66" s="659"/>
      <c r="AO66" s="659"/>
      <c r="AP66" s="659"/>
      <c r="AQ66" s="660"/>
      <c r="AR66" s="660"/>
      <c r="AS66" s="660"/>
      <c r="AT66" s="660"/>
    </row>
    <row r="67" spans="2:46" x14ac:dyDescent="0.45">
      <c r="B67" s="24"/>
      <c r="C67" s="8"/>
      <c r="D67" s="654" t="s">
        <v>266</v>
      </c>
      <c r="E67" s="655" t="s">
        <v>267</v>
      </c>
      <c r="F67" s="655" t="s">
        <v>268</v>
      </c>
      <c r="G67" s="656" t="s">
        <v>292</v>
      </c>
      <c r="H67" s="635" t="s">
        <v>31</v>
      </c>
      <c r="I67" s="635" t="s">
        <v>32</v>
      </c>
      <c r="J67" s="635" t="s">
        <v>293</v>
      </c>
      <c r="K67" s="636" t="s">
        <v>294</v>
      </c>
      <c r="L67" s="639"/>
      <c r="M67" s="753" t="s">
        <v>266</v>
      </c>
      <c r="N67" s="754" t="s">
        <v>267</v>
      </c>
      <c r="O67" s="754" t="s">
        <v>268</v>
      </c>
      <c r="P67" s="755" t="s">
        <v>292</v>
      </c>
      <c r="Q67" s="754" t="s">
        <v>31</v>
      </c>
      <c r="R67" s="754" t="s">
        <v>32</v>
      </c>
      <c r="S67" s="754" t="s">
        <v>293</v>
      </c>
      <c r="T67" s="755" t="s">
        <v>294</v>
      </c>
      <c r="U67" s="639"/>
      <c r="V67" s="639"/>
      <c r="Y67" s="660"/>
      <c r="Z67" s="660"/>
      <c r="AA67" s="660"/>
      <c r="AB67" s="660"/>
      <c r="AC67" s="757"/>
      <c r="AD67" s="660"/>
      <c r="AE67" s="660"/>
      <c r="AF67" s="660"/>
      <c r="AG67" s="660"/>
      <c r="AH67" s="660"/>
      <c r="AI67" s="660"/>
      <c r="AJ67" s="660"/>
      <c r="AK67" s="660"/>
      <c r="AL67" s="660"/>
      <c r="AM67" s="660"/>
      <c r="AN67" s="660"/>
      <c r="AO67" s="660"/>
      <c r="AP67" s="660"/>
      <c r="AQ67" s="660"/>
      <c r="AR67" s="660"/>
      <c r="AS67" s="660"/>
      <c r="AT67" s="660"/>
    </row>
    <row r="68" spans="2:46" ht="17.5" thickBot="1" x14ac:dyDescent="0.5">
      <c r="B68" s="36" t="s">
        <v>272</v>
      </c>
      <c r="C68" s="8"/>
      <c r="D68" s="637" t="s">
        <v>259</v>
      </c>
      <c r="E68" s="1292" t="s">
        <v>260</v>
      </c>
      <c r="F68" s="1293"/>
      <c r="G68" s="1294"/>
      <c r="H68" s="657" t="s">
        <v>295</v>
      </c>
      <c r="I68" s="657" t="s">
        <v>296</v>
      </c>
      <c r="J68" s="657" t="s">
        <v>297</v>
      </c>
      <c r="K68" s="658" t="s">
        <v>298</v>
      </c>
      <c r="L68" s="639"/>
      <c r="M68" s="756" t="s">
        <v>259</v>
      </c>
      <c r="N68" s="1286" t="s">
        <v>260</v>
      </c>
      <c r="O68" s="1287"/>
      <c r="P68" s="1288"/>
      <c r="Q68" s="770" t="s">
        <v>1408</v>
      </c>
      <c r="R68" s="770" t="s">
        <v>1575</v>
      </c>
      <c r="S68" s="770" t="s">
        <v>1574</v>
      </c>
      <c r="T68" s="771" t="s">
        <v>1573</v>
      </c>
      <c r="U68" s="639"/>
      <c r="V68" s="639"/>
      <c r="Y68" s="981" t="s">
        <v>1936</v>
      </c>
      <c r="Z68" s="982"/>
      <c r="AA68" s="981" t="s">
        <v>1411</v>
      </c>
      <c r="AB68" s="982"/>
      <c r="AC68" s="660"/>
      <c r="AD68" s="660"/>
      <c r="AE68" s="660"/>
      <c r="AF68" s="660"/>
      <c r="AG68" s="660"/>
      <c r="AH68" s="660"/>
      <c r="AI68" s="660"/>
      <c r="AJ68" s="660"/>
      <c r="AK68" s="660"/>
      <c r="AL68" s="660"/>
      <c r="AM68" s="660"/>
      <c r="AN68" s="660"/>
      <c r="AO68" s="660"/>
      <c r="AP68" s="660"/>
      <c r="AQ68" s="660"/>
      <c r="AR68" s="660"/>
      <c r="AS68" s="660"/>
      <c r="AT68" s="660"/>
    </row>
    <row r="69" spans="2:46" ht="17.5" thickBot="1" x14ac:dyDescent="0.5">
      <c r="B69" s="24" t="s">
        <v>299</v>
      </c>
      <c r="C69" s="8"/>
      <c r="D69" s="25">
        <v>1</v>
      </c>
      <c r="E69" s="25">
        <v>0</v>
      </c>
      <c r="F69" s="25">
        <v>1</v>
      </c>
      <c r="G69" s="25">
        <v>0</v>
      </c>
      <c r="H69" s="8"/>
      <c r="I69" s="8"/>
      <c r="J69" s="8"/>
      <c r="K69" s="8"/>
      <c r="L69" s="8"/>
      <c r="M69" s="628">
        <v>1</v>
      </c>
      <c r="N69" s="628">
        <v>0</v>
      </c>
      <c r="O69" s="628">
        <v>1</v>
      </c>
      <c r="P69" s="628">
        <v>0</v>
      </c>
      <c r="Q69" s="628"/>
      <c r="R69" s="628"/>
      <c r="S69" s="628"/>
      <c r="T69" s="628"/>
      <c r="U69" s="639"/>
      <c r="V69" s="639"/>
      <c r="Y69" s="731"/>
      <c r="Z69" s="726" t="s">
        <v>1937</v>
      </c>
      <c r="AA69" s="731"/>
      <c r="AB69" s="726" t="s">
        <v>1940</v>
      </c>
      <c r="AC69" s="660" t="s">
        <v>923</v>
      </c>
      <c r="AD69" s="660"/>
      <c r="AE69" s="660"/>
      <c r="AF69" s="660"/>
      <c r="AG69" s="660"/>
      <c r="AH69" s="660"/>
      <c r="AI69" s="660"/>
      <c r="AJ69" s="660"/>
      <c r="AK69" s="660"/>
      <c r="AL69" s="660"/>
      <c r="AM69" s="660"/>
      <c r="AN69" s="660"/>
      <c r="AO69" s="660"/>
      <c r="AP69" s="660"/>
      <c r="AQ69" s="660"/>
      <c r="AR69" s="660"/>
      <c r="AS69" s="660"/>
      <c r="AT69" s="660"/>
    </row>
    <row r="70" spans="2:46" x14ac:dyDescent="0.45">
      <c r="B70" s="24"/>
      <c r="C70" s="8"/>
      <c r="D70" s="38" t="s">
        <v>292</v>
      </c>
      <c r="E70" s="39" t="s">
        <v>300</v>
      </c>
      <c r="F70" s="39" t="s">
        <v>301</v>
      </c>
      <c r="G70" s="40" t="s">
        <v>293</v>
      </c>
      <c r="H70" s="8"/>
      <c r="I70" s="8"/>
      <c r="J70" s="8"/>
      <c r="K70" s="8"/>
      <c r="L70" s="8"/>
      <c r="M70" s="727"/>
      <c r="N70" s="659"/>
      <c r="O70" s="659"/>
      <c r="P70" s="659"/>
      <c r="Q70" s="659"/>
      <c r="R70" s="659"/>
      <c r="S70" s="659"/>
      <c r="T70" s="659"/>
      <c r="U70" s="659"/>
      <c r="V70" s="659"/>
      <c r="Y70" s="728"/>
      <c r="Z70" s="724" t="s">
        <v>1938</v>
      </c>
      <c r="AA70" s="728"/>
      <c r="AB70" s="724">
        <v>0</v>
      </c>
      <c r="AC70" s="660" t="s">
        <v>1511</v>
      </c>
      <c r="AD70" s="660"/>
      <c r="AE70" s="660" t="s">
        <v>1949</v>
      </c>
      <c r="AF70" s="660"/>
      <c r="AG70" s="660"/>
      <c r="AH70" s="660"/>
      <c r="AI70" s="660"/>
      <c r="AJ70" s="660"/>
      <c r="AK70" s="660"/>
      <c r="AL70" s="660"/>
      <c r="AM70" s="660"/>
      <c r="AN70" s="660"/>
      <c r="AO70" s="660"/>
      <c r="AP70" s="660"/>
      <c r="AQ70" s="660"/>
      <c r="AR70" s="660"/>
      <c r="AS70" s="660"/>
      <c r="AT70" s="660"/>
    </row>
    <row r="71" spans="2:46" ht="17.5" thickBot="1" x14ac:dyDescent="0.5">
      <c r="B71" s="36" t="s">
        <v>258</v>
      </c>
      <c r="C71" s="8"/>
      <c r="D71" s="37" t="s">
        <v>259</v>
      </c>
      <c r="E71" s="1295" t="s">
        <v>260</v>
      </c>
      <c r="F71" s="1296"/>
      <c r="G71" s="1297"/>
      <c r="H71" s="8"/>
      <c r="I71" s="8"/>
      <c r="J71" s="8"/>
      <c r="K71" s="8"/>
      <c r="L71" s="8"/>
      <c r="M71" s="727" t="s">
        <v>1935</v>
      </c>
      <c r="N71" s="659"/>
      <c r="O71" s="659"/>
      <c r="P71" s="659"/>
      <c r="Q71" s="659"/>
      <c r="R71" s="659"/>
      <c r="S71" s="659"/>
      <c r="T71" s="659"/>
      <c r="U71" s="659"/>
      <c r="V71" s="659"/>
      <c r="Y71" s="729" t="s">
        <v>2356</v>
      </c>
      <c r="Z71" s="730"/>
      <c r="AA71" s="729"/>
      <c r="AB71" s="730">
        <v>1</v>
      </c>
      <c r="AC71" s="660" t="s">
        <v>1512</v>
      </c>
      <c r="AD71" s="660"/>
      <c r="AE71" s="660" t="s">
        <v>1948</v>
      </c>
      <c r="AF71" s="660"/>
      <c r="AG71" s="660"/>
      <c r="AH71" s="659"/>
      <c r="AI71" s="659"/>
      <c r="AJ71" s="659"/>
      <c r="AK71" s="659"/>
      <c r="AL71" s="659"/>
      <c r="AM71" s="659"/>
      <c r="AN71" s="659"/>
      <c r="AO71" s="659"/>
      <c r="AP71" s="660"/>
      <c r="AQ71" s="660"/>
      <c r="AR71" s="660"/>
      <c r="AS71" s="660"/>
      <c r="AT71" s="660"/>
    </row>
    <row r="72" spans="2:46" ht="17.5" thickBot="1" x14ac:dyDescent="0.5">
      <c r="B72" s="24" t="s">
        <v>302</v>
      </c>
      <c r="C72" s="8"/>
      <c r="D72" s="25">
        <v>1</v>
      </c>
      <c r="E72" s="25">
        <v>0</v>
      </c>
      <c r="F72" s="25">
        <v>0</v>
      </c>
      <c r="G72" s="25">
        <v>1</v>
      </c>
      <c r="H72" s="8"/>
      <c r="I72" s="8"/>
      <c r="J72" s="8"/>
      <c r="K72" s="8"/>
      <c r="L72" s="8"/>
      <c r="M72" s="727"/>
      <c r="N72" s="764" t="s">
        <v>1937</v>
      </c>
      <c r="O72" s="727" t="s">
        <v>1984</v>
      </c>
      <c r="P72" s="659"/>
      <c r="Q72" s="659"/>
      <c r="R72" s="659"/>
      <c r="S72" s="659"/>
      <c r="T72" s="659"/>
      <c r="U72" s="659"/>
      <c r="V72" s="659"/>
      <c r="Y72" s="728"/>
      <c r="Z72" s="724" t="s">
        <v>1501</v>
      </c>
      <c r="AA72" s="728"/>
      <c r="AB72" s="724">
        <v>0</v>
      </c>
      <c r="AC72" s="660" t="s">
        <v>1511</v>
      </c>
      <c r="AD72" s="660"/>
      <c r="AE72" s="660" t="s">
        <v>2358</v>
      </c>
      <c r="AF72" s="660"/>
      <c r="AG72" s="660"/>
      <c r="AH72" s="659"/>
      <c r="AI72" s="659"/>
      <c r="AJ72" s="659"/>
      <c r="AK72" s="659"/>
      <c r="AL72" s="659"/>
      <c r="AM72" s="659"/>
      <c r="AN72" s="659"/>
      <c r="AO72" s="659"/>
      <c r="AP72" s="660"/>
      <c r="AQ72" s="660"/>
      <c r="AR72" s="660"/>
      <c r="AS72" s="660"/>
      <c r="AT72" s="872"/>
    </row>
    <row r="73" spans="2:46" x14ac:dyDescent="0.45">
      <c r="B73" s="24"/>
      <c r="C73" s="8"/>
      <c r="D73" s="38" t="s">
        <v>292</v>
      </c>
      <c r="E73" s="39" t="s">
        <v>300</v>
      </c>
      <c r="F73" s="39" t="s">
        <v>301</v>
      </c>
      <c r="G73" s="40" t="s">
        <v>293</v>
      </c>
      <c r="H73" s="8"/>
      <c r="I73" s="8"/>
      <c r="J73" s="8"/>
      <c r="K73" s="8"/>
      <c r="L73" s="8"/>
      <c r="M73" s="727"/>
      <c r="N73" s="764" t="s">
        <v>1502</v>
      </c>
      <c r="O73" s="727" t="s">
        <v>1985</v>
      </c>
      <c r="P73" s="659"/>
      <c r="Q73" s="659"/>
      <c r="R73" s="659"/>
      <c r="S73" s="659"/>
      <c r="T73" s="659"/>
      <c r="U73" s="659"/>
      <c r="V73" s="659"/>
      <c r="Y73" s="729" t="s">
        <v>2172</v>
      </c>
      <c r="Z73" s="730"/>
      <c r="AA73" s="729"/>
      <c r="AB73" s="730">
        <v>1</v>
      </c>
      <c r="AC73" s="660" t="s">
        <v>1512</v>
      </c>
      <c r="AD73" s="660"/>
      <c r="AE73" s="660" t="s">
        <v>2359</v>
      </c>
      <c r="AF73" s="660"/>
      <c r="AG73" s="660"/>
      <c r="AH73" s="659"/>
      <c r="AI73" s="659"/>
      <c r="AJ73" s="659"/>
      <c r="AK73" s="659"/>
      <c r="AL73" s="659"/>
      <c r="AM73" s="659"/>
      <c r="AN73" s="659"/>
      <c r="AO73" s="659"/>
      <c r="AP73" s="660"/>
      <c r="AQ73" s="660"/>
      <c r="AR73" s="660"/>
      <c r="AS73" s="660"/>
      <c r="AT73" s="872"/>
    </row>
    <row r="74" spans="2:46" ht="17.5" thickBot="1" x14ac:dyDescent="0.5">
      <c r="B74" s="36" t="s">
        <v>258</v>
      </c>
      <c r="C74" s="8"/>
      <c r="D74" s="37" t="s">
        <v>259</v>
      </c>
      <c r="E74" s="1295" t="s">
        <v>260</v>
      </c>
      <c r="F74" s="1296"/>
      <c r="G74" s="1297"/>
      <c r="H74" s="8"/>
      <c r="I74" s="8"/>
      <c r="J74" s="8"/>
      <c r="K74" s="8"/>
      <c r="L74" s="8"/>
      <c r="M74" s="727"/>
      <c r="N74" s="764" t="s">
        <v>1501</v>
      </c>
      <c r="O74" s="727" t="s">
        <v>1985</v>
      </c>
      <c r="P74" s="659"/>
      <c r="Q74" s="659"/>
      <c r="R74" s="659"/>
      <c r="S74" s="659"/>
      <c r="T74" s="659"/>
      <c r="U74" s="659"/>
      <c r="V74" s="659"/>
      <c r="Y74" s="728"/>
      <c r="Z74" s="724" t="s">
        <v>1500</v>
      </c>
      <c r="AA74" s="728"/>
      <c r="AB74" s="724">
        <v>0</v>
      </c>
      <c r="AC74" s="660" t="s">
        <v>1511</v>
      </c>
      <c r="AD74" s="660"/>
      <c r="AE74" s="660" t="s">
        <v>1950</v>
      </c>
      <c r="AF74" s="660"/>
      <c r="AG74" s="660"/>
      <c r="AH74" s="659"/>
      <c r="AI74" s="659"/>
      <c r="AJ74" s="659"/>
      <c r="AK74" s="659"/>
      <c r="AL74" s="659"/>
      <c r="AM74" s="659"/>
      <c r="AN74" s="659"/>
      <c r="AO74" s="659"/>
      <c r="AP74" s="660"/>
      <c r="AQ74" s="660"/>
      <c r="AR74" s="660"/>
      <c r="AS74" s="660"/>
      <c r="AT74" s="660"/>
    </row>
    <row r="75" spans="2:46" x14ac:dyDescent="0.45">
      <c r="B75" s="24" t="s">
        <v>303</v>
      </c>
      <c r="C75" s="8"/>
      <c r="D75" s="25">
        <v>1</v>
      </c>
      <c r="E75" s="25">
        <v>0</v>
      </c>
      <c r="F75" s="25">
        <v>0</v>
      </c>
      <c r="G75" s="25">
        <v>0</v>
      </c>
      <c r="H75" s="8"/>
      <c r="I75" s="8"/>
      <c r="J75" s="8"/>
      <c r="K75" s="8"/>
      <c r="L75" s="8"/>
      <c r="M75" s="727"/>
      <c r="N75" s="764" t="s">
        <v>1500</v>
      </c>
      <c r="O75" s="727" t="s">
        <v>2354</v>
      </c>
      <c r="P75" s="659"/>
      <c r="Q75" s="659"/>
      <c r="R75" s="659"/>
      <c r="S75" s="659"/>
      <c r="T75" s="659"/>
      <c r="U75" s="659"/>
      <c r="V75" s="659"/>
      <c r="Y75" s="729" t="s">
        <v>2357</v>
      </c>
      <c r="Z75" s="730"/>
      <c r="AA75" s="729"/>
      <c r="AB75" s="730">
        <v>1</v>
      </c>
      <c r="AC75" s="660" t="s">
        <v>1512</v>
      </c>
      <c r="AD75" s="660"/>
      <c r="AE75" s="660" t="s">
        <v>1951</v>
      </c>
      <c r="AF75" s="660"/>
      <c r="AG75" s="660"/>
      <c r="AH75" s="659"/>
      <c r="AI75" s="659"/>
      <c r="AJ75" s="659"/>
      <c r="AK75" s="659"/>
      <c r="AL75" s="659"/>
      <c r="AM75" s="659"/>
      <c r="AN75" s="659"/>
      <c r="AO75" s="659"/>
      <c r="AP75" s="660"/>
      <c r="AQ75" s="660"/>
      <c r="AR75" s="660"/>
      <c r="AS75" s="660"/>
      <c r="AT75" s="660"/>
    </row>
    <row r="76" spans="2:46" x14ac:dyDescent="0.45">
      <c r="M76" s="727"/>
      <c r="N76" s="659"/>
      <c r="O76" s="659"/>
      <c r="P76" s="659"/>
      <c r="Q76" s="659"/>
      <c r="R76" s="659"/>
      <c r="S76" s="659"/>
      <c r="T76" s="659"/>
      <c r="U76" s="659"/>
      <c r="V76" s="659"/>
      <c r="Y76" s="659"/>
      <c r="Z76" s="659"/>
      <c r="AA76" s="659"/>
      <c r="AB76" s="659"/>
      <c r="AC76" s="659"/>
      <c r="AD76" s="659"/>
      <c r="AE76" s="659"/>
      <c r="AF76" s="659"/>
      <c r="AG76" s="659"/>
      <c r="AH76" s="659"/>
      <c r="AI76" s="659"/>
      <c r="AJ76" s="659"/>
      <c r="AK76" s="659"/>
      <c r="AL76" s="659"/>
      <c r="AM76" s="659"/>
      <c r="AN76" s="659"/>
      <c r="AO76" s="659"/>
      <c r="AP76" s="660"/>
      <c r="AQ76" s="660"/>
      <c r="AR76" s="660"/>
      <c r="AS76" s="660"/>
      <c r="AT76" s="660"/>
    </row>
    <row r="77" spans="2:46" ht="17.5" x14ac:dyDescent="0.45">
      <c r="B77" s="625" t="s">
        <v>1933</v>
      </c>
      <c r="D77" s="660" t="s">
        <v>2355</v>
      </c>
      <c r="E77" s="660"/>
      <c r="F77" s="660"/>
      <c r="G77" s="660"/>
      <c r="M77" s="794" t="s">
        <v>2361</v>
      </c>
      <c r="N77" s="659"/>
      <c r="O77" s="659"/>
      <c r="P77" s="659"/>
      <c r="Q77" s="659"/>
      <c r="R77" s="659"/>
      <c r="S77" s="659"/>
      <c r="T77" s="659"/>
      <c r="U77" s="659"/>
      <c r="V77" s="659"/>
      <c r="Y77" s="758" t="s">
        <v>1982</v>
      </c>
      <c r="Z77" s="659"/>
      <c r="AA77" s="659"/>
      <c r="AB77" s="659"/>
      <c r="AC77" s="659"/>
      <c r="AD77" s="659"/>
      <c r="AE77" s="659"/>
      <c r="AF77" s="659"/>
      <c r="AG77" s="659"/>
      <c r="AH77" s="659"/>
      <c r="AI77" s="659"/>
      <c r="AJ77" s="659"/>
      <c r="AK77" s="659"/>
      <c r="AL77" s="659"/>
      <c r="AM77" s="659"/>
      <c r="AN77" s="659"/>
      <c r="AO77" s="659"/>
      <c r="AP77" s="660"/>
      <c r="AQ77" s="660"/>
      <c r="AR77" s="660"/>
      <c r="AS77" s="660"/>
      <c r="AT77" s="660"/>
    </row>
    <row r="78" spans="2:46" x14ac:dyDescent="0.45">
      <c r="D78" s="660" t="s">
        <v>1934</v>
      </c>
      <c r="E78" s="660"/>
      <c r="F78" s="660"/>
      <c r="G78" s="660"/>
      <c r="M78" s="727" t="s">
        <v>2360</v>
      </c>
      <c r="N78" s="659"/>
      <c r="O78" s="659"/>
      <c r="P78" s="659"/>
      <c r="Q78" s="659"/>
      <c r="R78" s="659"/>
      <c r="S78" s="659"/>
      <c r="T78" s="659"/>
      <c r="U78" s="659"/>
      <c r="V78" s="659"/>
      <c r="X78"/>
      <c r="Y78" s="727"/>
      <c r="Z78" s="659"/>
      <c r="AA78" s="659"/>
      <c r="AB78" s="659"/>
      <c r="AC78" s="659"/>
      <c r="AD78" s="659"/>
      <c r="AE78" s="659"/>
      <c r="AF78" s="659"/>
      <c r="AG78" s="659"/>
      <c r="AH78" s="659"/>
      <c r="AI78" s="659"/>
      <c r="AJ78" s="659"/>
      <c r="AK78" s="659"/>
      <c r="AL78" s="659"/>
      <c r="AM78" s="659"/>
      <c r="AN78" s="659"/>
      <c r="AO78" s="659"/>
      <c r="AP78" s="660"/>
      <c r="AQ78" s="660"/>
      <c r="AR78" s="660"/>
      <c r="AS78" s="660"/>
      <c r="AT78" s="660"/>
    </row>
    <row r="79" spans="2:46" x14ac:dyDescent="0.45">
      <c r="Y79" s="660"/>
      <c r="Z79" s="660"/>
      <c r="AA79" s="660"/>
      <c r="AB79" s="660"/>
      <c r="AC79" s="759"/>
      <c r="AD79" s="760" t="s">
        <v>1528</v>
      </c>
      <c r="AE79" s="626"/>
      <c r="AF79" s="626"/>
      <c r="AG79" s="761" t="s">
        <v>1529</v>
      </c>
      <c r="AH79" s="626"/>
      <c r="AI79" s="660"/>
      <c r="AJ79" s="660"/>
      <c r="AK79" s="660"/>
      <c r="AL79" s="660"/>
      <c r="AM79" s="660"/>
      <c r="AN79" s="660"/>
      <c r="AO79" s="660"/>
      <c r="AP79" s="660"/>
      <c r="AQ79" s="660"/>
      <c r="AR79" s="660"/>
      <c r="AS79" s="660"/>
      <c r="AT79" s="660"/>
    </row>
    <row r="80" spans="2:46" ht="17.5" x14ac:dyDescent="0.45">
      <c r="Y80" s="659"/>
      <c r="Z80" s="660"/>
      <c r="AA80" s="660"/>
      <c r="AB80" s="660"/>
      <c r="AC80" s="628"/>
      <c r="AD80" s="628"/>
      <c r="AE80" s="626"/>
      <c r="AF80" s="627"/>
      <c r="AG80" s="727" t="s">
        <v>1983</v>
      </c>
      <c r="AH80" s="626"/>
      <c r="AI80" s="660"/>
      <c r="AJ80" s="660"/>
      <c r="AK80" s="660"/>
      <c r="AL80" s="660"/>
      <c r="AM80" s="660"/>
      <c r="AN80" s="660"/>
      <c r="AO80" s="660"/>
      <c r="AP80" s="660"/>
      <c r="AQ80" s="660"/>
      <c r="AR80" s="660"/>
      <c r="AS80" s="660"/>
      <c r="AT80" s="660"/>
    </row>
    <row r="81" spans="25:46" ht="17.5" thickBot="1" x14ac:dyDescent="0.5">
      <c r="Y81" s="659"/>
      <c r="Z81" s="660"/>
      <c r="AA81" s="660"/>
      <c r="AB81" s="660"/>
      <c r="AC81" s="660"/>
      <c r="AD81" s="660"/>
      <c r="AE81" s="660"/>
      <c r="AF81" s="660"/>
      <c r="AG81" s="660"/>
      <c r="AH81" s="660" t="s">
        <v>1530</v>
      </c>
      <c r="AI81" s="660"/>
      <c r="AJ81" s="660"/>
      <c r="AK81" s="660"/>
      <c r="AL81" s="660"/>
      <c r="AM81" s="660"/>
      <c r="AN81" s="660" t="s">
        <v>1943</v>
      </c>
      <c r="AO81" s="660"/>
      <c r="AP81" s="660"/>
      <c r="AQ81" s="660"/>
      <c r="AR81" s="660"/>
      <c r="AS81" s="660"/>
      <c r="AT81" s="660"/>
    </row>
    <row r="82" spans="25:46" ht="17.5" thickTop="1" x14ac:dyDescent="0.45">
      <c r="Y82" s="659"/>
      <c r="Z82" s="660"/>
      <c r="AA82" s="660"/>
      <c r="AB82" s="660"/>
      <c r="AC82" s="660"/>
      <c r="AD82" s="660"/>
      <c r="AE82" s="660"/>
      <c r="AF82" s="660"/>
      <c r="AG82" s="660"/>
      <c r="AH82" s="762" t="s">
        <v>1275</v>
      </c>
      <c r="AI82" s="660"/>
      <c r="AJ82" s="762" t="s">
        <v>1275</v>
      </c>
      <c r="AK82" s="660"/>
      <c r="AL82" s="762" t="s">
        <v>1275</v>
      </c>
      <c r="AM82" s="660"/>
      <c r="AN82" s="763" t="s">
        <v>1275</v>
      </c>
      <c r="AO82" s="660"/>
      <c r="AP82" s="763" t="s">
        <v>1275</v>
      </c>
      <c r="AQ82" s="660"/>
      <c r="AR82" s="763" t="s">
        <v>1275</v>
      </c>
      <c r="AS82" s="660"/>
      <c r="AT82" s="660"/>
    </row>
    <row r="83" spans="25:46" x14ac:dyDescent="0.45">
      <c r="Y83" s="659"/>
      <c r="Z83" s="660"/>
      <c r="AA83" s="660"/>
      <c r="AB83" s="660"/>
      <c r="AC83" s="659"/>
      <c r="AD83" s="659"/>
      <c r="AE83" s="660"/>
      <c r="AF83" s="764"/>
      <c r="AG83" s="660"/>
      <c r="AH83" s="762" t="s">
        <v>1276</v>
      </c>
      <c r="AI83" s="660"/>
      <c r="AJ83" s="762" t="s">
        <v>1276</v>
      </c>
      <c r="AK83" s="660"/>
      <c r="AL83" s="762" t="s">
        <v>1276</v>
      </c>
      <c r="AM83" s="660"/>
      <c r="AN83" s="765" t="s">
        <v>1275</v>
      </c>
      <c r="AO83" s="660"/>
      <c r="AP83" s="765" t="s">
        <v>1275</v>
      </c>
      <c r="AQ83" s="660"/>
      <c r="AR83" s="765" t="s">
        <v>1275</v>
      </c>
      <c r="AS83" s="660"/>
      <c r="AT83" s="660"/>
    </row>
    <row r="84" spans="25:46" ht="17.5" thickBot="1" x14ac:dyDescent="0.5">
      <c r="Y84" s="660"/>
      <c r="Z84" s="660"/>
      <c r="AA84" s="660"/>
      <c r="AB84" s="660"/>
      <c r="AC84" s="660"/>
      <c r="AD84" s="660"/>
      <c r="AE84" s="660"/>
      <c r="AF84" s="660"/>
      <c r="AG84" s="660"/>
      <c r="AH84" s="762" t="s">
        <v>1277</v>
      </c>
      <c r="AI84" s="660"/>
      <c r="AJ84" s="762" t="s">
        <v>1277</v>
      </c>
      <c r="AK84" s="660"/>
      <c r="AL84" s="762" t="s">
        <v>1277</v>
      </c>
      <c r="AM84" s="660"/>
      <c r="AN84" s="766" t="s">
        <v>1275</v>
      </c>
      <c r="AO84" s="660"/>
      <c r="AP84" s="766" t="s">
        <v>1275</v>
      </c>
      <c r="AQ84" s="660"/>
      <c r="AR84" s="766" t="s">
        <v>1275</v>
      </c>
      <c r="AS84" s="660"/>
      <c r="AT84" s="660"/>
    </row>
    <row r="85" spans="25:46" ht="17.5" thickTop="1" x14ac:dyDescent="0.45">
      <c r="Y85" s="660"/>
      <c r="Z85" s="660"/>
      <c r="AA85" s="660"/>
      <c r="AB85" s="660"/>
      <c r="AC85" s="660"/>
      <c r="AD85" s="660"/>
      <c r="AE85" s="660"/>
      <c r="AF85" s="660"/>
      <c r="AG85" s="660"/>
      <c r="AH85" s="762" t="s">
        <v>1278</v>
      </c>
      <c r="AI85" s="660"/>
      <c r="AJ85" s="762" t="s">
        <v>1278</v>
      </c>
      <c r="AK85" s="660"/>
      <c r="AL85" s="762" t="s">
        <v>1278</v>
      </c>
      <c r="AM85" s="660"/>
      <c r="AN85" s="763" t="s">
        <v>1276</v>
      </c>
      <c r="AO85" s="660"/>
      <c r="AP85" s="763" t="s">
        <v>1276</v>
      </c>
      <c r="AQ85" s="660"/>
      <c r="AR85" s="763" t="s">
        <v>1276</v>
      </c>
      <c r="AS85" s="660"/>
      <c r="AT85" s="660"/>
    </row>
    <row r="86" spans="25:46" x14ac:dyDescent="0.45">
      <c r="Y86" s="660"/>
      <c r="Z86" s="660"/>
      <c r="AA86" s="660"/>
      <c r="AB86" s="660"/>
      <c r="AC86" s="660"/>
      <c r="AD86" s="660"/>
      <c r="AE86" s="660"/>
      <c r="AF86" s="660"/>
      <c r="AG86" s="660"/>
      <c r="AH86" s="762" t="s">
        <v>1279</v>
      </c>
      <c r="AI86" s="660"/>
      <c r="AJ86" s="762" t="s">
        <v>1279</v>
      </c>
      <c r="AK86" s="660"/>
      <c r="AL86" s="762" t="s">
        <v>1279</v>
      </c>
      <c r="AM86" s="660"/>
      <c r="AN86" s="765" t="s">
        <v>1276</v>
      </c>
      <c r="AO86" s="660"/>
      <c r="AP86" s="765" t="s">
        <v>1276</v>
      </c>
      <c r="AQ86" s="660"/>
      <c r="AR86" s="765" t="s">
        <v>1276</v>
      </c>
      <c r="AS86" s="660"/>
      <c r="AT86" s="660"/>
    </row>
    <row r="87" spans="25:46" ht="17.5" thickBot="1" x14ac:dyDescent="0.5">
      <c r="Y87" s="660"/>
      <c r="Z87" s="660"/>
      <c r="AA87" s="660"/>
      <c r="AB87" s="660"/>
      <c r="AC87" s="660"/>
      <c r="AD87" s="660"/>
      <c r="AE87" s="660"/>
      <c r="AF87" s="660"/>
      <c r="AG87" s="660"/>
      <c r="AH87" s="762" t="s">
        <v>1469</v>
      </c>
      <c r="AI87" s="752" t="s">
        <v>1531</v>
      </c>
      <c r="AJ87" s="762" t="s">
        <v>1469</v>
      </c>
      <c r="AK87" s="752" t="s">
        <v>1531</v>
      </c>
      <c r="AL87" s="762" t="s">
        <v>1469</v>
      </c>
      <c r="AM87" s="660"/>
      <c r="AN87" s="766" t="s">
        <v>1276</v>
      </c>
      <c r="AO87" s="752" t="s">
        <v>1531</v>
      </c>
      <c r="AP87" s="766" t="s">
        <v>1276</v>
      </c>
      <c r="AQ87" s="752" t="s">
        <v>1531</v>
      </c>
      <c r="AR87" s="766" t="s">
        <v>1276</v>
      </c>
      <c r="AS87" s="660"/>
      <c r="AT87" s="660"/>
    </row>
    <row r="88" spans="25:46" ht="18" thickTop="1" thickBot="1" x14ac:dyDescent="0.5">
      <c r="Y88" s="660"/>
      <c r="Z88" s="660"/>
      <c r="AA88" s="660"/>
      <c r="AB88" s="660"/>
      <c r="AC88" s="660"/>
      <c r="AD88" s="660"/>
      <c r="AE88" s="660"/>
      <c r="AF88" s="660"/>
      <c r="AG88" s="660"/>
      <c r="AH88" s="762" t="s">
        <v>1470</v>
      </c>
      <c r="AI88" s="660"/>
      <c r="AJ88" s="762" t="s">
        <v>1470</v>
      </c>
      <c r="AK88" s="660"/>
      <c r="AL88" s="762" t="s">
        <v>1470</v>
      </c>
      <c r="AM88" s="660"/>
      <c r="AN88" s="660" t="s">
        <v>1402</v>
      </c>
      <c r="AO88" s="660"/>
      <c r="AP88" s="660" t="s">
        <v>1402</v>
      </c>
      <c r="AQ88" s="660"/>
      <c r="AR88" s="660" t="s">
        <v>1402</v>
      </c>
      <c r="AS88" s="660"/>
      <c r="AT88" s="660"/>
    </row>
    <row r="89" spans="25:46" ht="17.5" thickTop="1" x14ac:dyDescent="0.45">
      <c r="Y89" s="660"/>
      <c r="Z89" s="660"/>
      <c r="AA89" s="660"/>
      <c r="AB89" s="660"/>
      <c r="AC89" s="660"/>
      <c r="AD89" s="660"/>
      <c r="AE89" s="660"/>
      <c r="AF89" s="660"/>
      <c r="AG89" s="660"/>
      <c r="AH89" s="762" t="s">
        <v>1471</v>
      </c>
      <c r="AI89" s="660"/>
      <c r="AJ89" s="762" t="s">
        <v>1471</v>
      </c>
      <c r="AK89" s="660"/>
      <c r="AL89" s="762" t="s">
        <v>1471</v>
      </c>
      <c r="AM89" s="660"/>
      <c r="AN89" s="763" t="s">
        <v>1475</v>
      </c>
      <c r="AO89" s="660"/>
      <c r="AP89" s="763" t="s">
        <v>1475</v>
      </c>
      <c r="AQ89" s="660"/>
      <c r="AR89" s="763" t="s">
        <v>1475</v>
      </c>
      <c r="AS89" s="660"/>
      <c r="AT89" s="660"/>
    </row>
    <row r="90" spans="25:46" x14ac:dyDescent="0.45">
      <c r="Y90" s="660"/>
      <c r="Z90" s="660"/>
      <c r="AA90" s="660"/>
      <c r="AB90" s="660"/>
      <c r="AC90" s="660"/>
      <c r="AD90" s="660"/>
      <c r="AE90" s="660"/>
      <c r="AF90" s="660"/>
      <c r="AG90" s="660"/>
      <c r="AH90" s="762" t="s">
        <v>1472</v>
      </c>
      <c r="AI90" s="660"/>
      <c r="AJ90" s="762" t="s">
        <v>1472</v>
      </c>
      <c r="AK90" s="660"/>
      <c r="AL90" s="762" t="s">
        <v>1472</v>
      </c>
      <c r="AM90" s="660"/>
      <c r="AN90" s="765" t="s">
        <v>1475</v>
      </c>
      <c r="AO90" s="660"/>
      <c r="AP90" s="765" t="s">
        <v>1475</v>
      </c>
      <c r="AQ90" s="660"/>
      <c r="AR90" s="765" t="s">
        <v>1475</v>
      </c>
      <c r="AS90" s="660"/>
      <c r="AT90" s="660"/>
    </row>
    <row r="91" spans="25:46" ht="17.5" thickBot="1" x14ac:dyDescent="0.5">
      <c r="Y91" s="660"/>
      <c r="Z91" s="660"/>
      <c r="AA91" s="660"/>
      <c r="AB91" s="660"/>
      <c r="AC91" s="660"/>
      <c r="AD91" s="660"/>
      <c r="AE91" s="660"/>
      <c r="AF91" s="660"/>
      <c r="AG91" s="660"/>
      <c r="AH91" s="762" t="s">
        <v>1473</v>
      </c>
      <c r="AI91" s="660"/>
      <c r="AJ91" s="762" t="s">
        <v>1473</v>
      </c>
      <c r="AK91" s="660"/>
      <c r="AL91" s="762" t="s">
        <v>1473</v>
      </c>
      <c r="AM91" s="660"/>
      <c r="AN91" s="766" t="s">
        <v>1475</v>
      </c>
      <c r="AO91" s="660"/>
      <c r="AP91" s="766" t="s">
        <v>1475</v>
      </c>
      <c r="AQ91" s="660"/>
      <c r="AR91" s="766" t="s">
        <v>1475</v>
      </c>
      <c r="AS91" s="660"/>
      <c r="AT91" s="660"/>
    </row>
    <row r="92" spans="25:46" ht="17.5" thickTop="1" x14ac:dyDescent="0.45">
      <c r="Y92" s="660"/>
      <c r="Z92" s="660"/>
      <c r="AA92" s="660"/>
      <c r="AB92" s="660"/>
      <c r="AC92" s="660"/>
      <c r="AD92" s="660"/>
      <c r="AE92" s="660"/>
      <c r="AF92" s="660"/>
      <c r="AG92" s="660"/>
      <c r="AH92" s="762" t="s">
        <v>1474</v>
      </c>
      <c r="AI92" s="660"/>
      <c r="AJ92" s="762" t="s">
        <v>1474</v>
      </c>
      <c r="AK92" s="660"/>
      <c r="AL92" s="762" t="s">
        <v>1474</v>
      </c>
      <c r="AM92" s="660"/>
      <c r="AN92" s="660"/>
      <c r="AO92" s="660"/>
      <c r="AP92" s="660"/>
      <c r="AQ92" s="660"/>
      <c r="AR92" s="660"/>
      <c r="AS92" s="660"/>
      <c r="AT92" s="660"/>
    </row>
    <row r="93" spans="25:46" ht="17.5" thickBot="1" x14ac:dyDescent="0.5">
      <c r="Y93" s="660"/>
      <c r="Z93" s="660"/>
      <c r="AA93" s="660"/>
      <c r="AB93" s="660"/>
      <c r="AC93" s="660"/>
      <c r="AD93" s="660"/>
      <c r="AE93" s="660"/>
      <c r="AF93" s="660"/>
      <c r="AG93" s="660"/>
      <c r="AH93" s="762" t="s">
        <v>1475</v>
      </c>
      <c r="AI93" s="660"/>
      <c r="AJ93" s="762" t="s">
        <v>1475</v>
      </c>
      <c r="AK93" s="660"/>
      <c r="AL93" s="762" t="s">
        <v>1475</v>
      </c>
      <c r="AM93" s="660"/>
      <c r="AN93" s="660" t="s">
        <v>1944</v>
      </c>
      <c r="AO93" s="660"/>
      <c r="AP93" s="660"/>
      <c r="AQ93" s="660"/>
      <c r="AR93" s="660"/>
      <c r="AS93" s="660"/>
      <c r="AT93" s="660"/>
    </row>
    <row r="94" spans="25:46" ht="17.5" thickTop="1" x14ac:dyDescent="0.45">
      <c r="Y94" s="660"/>
      <c r="Z94" s="660"/>
      <c r="AA94" s="660"/>
      <c r="AB94" s="660"/>
      <c r="AC94" s="660"/>
      <c r="AD94" s="660"/>
      <c r="AE94" s="660"/>
      <c r="AF94" s="660"/>
      <c r="AG94" s="660"/>
      <c r="AH94" s="660"/>
      <c r="AI94" s="660"/>
      <c r="AJ94" s="660"/>
      <c r="AK94" s="660"/>
      <c r="AL94" s="660"/>
      <c r="AM94" s="660"/>
      <c r="AN94" s="763" t="s">
        <v>1275</v>
      </c>
      <c r="AO94" s="660"/>
      <c r="AP94" s="763" t="s">
        <v>1275</v>
      </c>
      <c r="AQ94" s="660"/>
      <c r="AR94" s="763" t="s">
        <v>1275</v>
      </c>
      <c r="AS94" s="660"/>
      <c r="AT94" s="660"/>
    </row>
    <row r="95" spans="25:46" x14ac:dyDescent="0.45">
      <c r="Y95" s="660"/>
      <c r="Z95" s="660"/>
      <c r="AA95" s="660"/>
      <c r="AB95" s="660"/>
      <c r="AC95" s="660"/>
      <c r="AD95" s="660"/>
      <c r="AE95" s="660"/>
      <c r="AF95" s="660"/>
      <c r="AG95" s="660"/>
      <c r="AH95" s="660"/>
      <c r="AI95" s="660"/>
      <c r="AJ95" s="660"/>
      <c r="AK95" s="660"/>
      <c r="AL95" s="660"/>
      <c r="AM95" s="660"/>
      <c r="AN95" s="767" t="s">
        <v>1559</v>
      </c>
      <c r="AO95" s="660"/>
      <c r="AP95" s="767" t="s">
        <v>1559</v>
      </c>
      <c r="AQ95" s="660"/>
      <c r="AR95" s="767" t="s">
        <v>1559</v>
      </c>
      <c r="AS95" s="660"/>
      <c r="AT95" s="660"/>
    </row>
    <row r="96" spans="25:46" ht="17.5" thickBot="1" x14ac:dyDescent="0.5">
      <c r="Y96" s="660"/>
      <c r="Z96" s="660"/>
      <c r="AA96" s="660"/>
      <c r="AB96" s="660"/>
      <c r="AC96" s="660"/>
      <c r="AD96" s="660"/>
      <c r="AE96" s="660"/>
      <c r="AF96" s="660"/>
      <c r="AG96" s="660"/>
      <c r="AH96" s="660"/>
      <c r="AI96" s="660"/>
      <c r="AJ96" s="660"/>
      <c r="AK96" s="660"/>
      <c r="AL96" s="660"/>
      <c r="AM96" s="660"/>
      <c r="AN96" s="766" t="s">
        <v>1559</v>
      </c>
      <c r="AO96" s="660"/>
      <c r="AP96" s="766" t="s">
        <v>1559</v>
      </c>
      <c r="AQ96" s="660"/>
      <c r="AR96" s="766" t="s">
        <v>1559</v>
      </c>
      <c r="AS96" s="660"/>
      <c r="AT96" s="660"/>
    </row>
    <row r="97" spans="25:46" ht="17.5" thickTop="1" x14ac:dyDescent="0.45">
      <c r="Y97" s="660"/>
      <c r="Z97" s="660"/>
      <c r="AA97" s="660"/>
      <c r="AB97" s="660"/>
      <c r="AC97" s="660"/>
      <c r="AD97" s="660"/>
      <c r="AE97" s="660"/>
      <c r="AF97" s="660"/>
      <c r="AG97" s="660"/>
      <c r="AH97" s="660"/>
      <c r="AI97" s="660"/>
      <c r="AJ97" s="660"/>
      <c r="AK97" s="660"/>
      <c r="AL97" s="660"/>
      <c r="AM97" s="660"/>
      <c r="AN97" s="768" t="s">
        <v>1560</v>
      </c>
      <c r="AO97" s="660"/>
      <c r="AP97" s="768" t="s">
        <v>1560</v>
      </c>
      <c r="AQ97" s="660"/>
      <c r="AR97" s="768" t="s">
        <v>1560</v>
      </c>
      <c r="AS97" s="660"/>
      <c r="AT97" s="660"/>
    </row>
    <row r="98" spans="25:46" x14ac:dyDescent="0.45">
      <c r="Y98" s="660"/>
      <c r="Z98" s="660"/>
      <c r="AA98" s="660"/>
      <c r="AB98" s="660"/>
      <c r="AC98" s="660"/>
      <c r="AD98" s="660"/>
      <c r="AE98" s="660"/>
      <c r="AF98" s="660"/>
      <c r="AG98" s="660"/>
      <c r="AH98" s="660"/>
      <c r="AI98" s="660"/>
      <c r="AJ98" s="660"/>
      <c r="AK98" s="660"/>
      <c r="AL98" s="660"/>
      <c r="AM98" s="660"/>
      <c r="AN98" s="765" t="s">
        <v>1561</v>
      </c>
      <c r="AO98" s="660"/>
      <c r="AP98" s="765" t="s">
        <v>1561</v>
      </c>
      <c r="AQ98" s="660"/>
      <c r="AR98" s="765" t="s">
        <v>1561</v>
      </c>
      <c r="AS98" s="660"/>
      <c r="AT98" s="660"/>
    </row>
    <row r="99" spans="25:46" ht="17.5" thickBot="1" x14ac:dyDescent="0.5">
      <c r="Y99" s="660"/>
      <c r="Z99" s="660"/>
      <c r="AA99" s="660"/>
      <c r="AB99" s="660"/>
      <c r="AC99" s="660"/>
      <c r="AD99" s="660"/>
      <c r="AE99" s="660"/>
      <c r="AF99" s="660"/>
      <c r="AG99" s="660"/>
      <c r="AH99" s="660"/>
      <c r="AI99" s="660"/>
      <c r="AJ99" s="660"/>
      <c r="AK99" s="660"/>
      <c r="AL99" s="660"/>
      <c r="AM99" s="660"/>
      <c r="AN99" s="766" t="s">
        <v>1561</v>
      </c>
      <c r="AO99" s="752" t="s">
        <v>1531</v>
      </c>
      <c r="AP99" s="766" t="s">
        <v>1561</v>
      </c>
      <c r="AQ99" s="752" t="s">
        <v>1531</v>
      </c>
      <c r="AR99" s="766" t="s">
        <v>1561</v>
      </c>
      <c r="AS99" s="660"/>
      <c r="AT99" s="660"/>
    </row>
    <row r="100" spans="25:46" ht="18" thickTop="1" thickBot="1" x14ac:dyDescent="0.5">
      <c r="Y100" s="660"/>
      <c r="Z100" s="660"/>
      <c r="AA100" s="660"/>
      <c r="AB100" s="660"/>
      <c r="AC100" s="660"/>
      <c r="AD100" s="660"/>
      <c r="AE100" s="660"/>
      <c r="AF100" s="660"/>
      <c r="AG100" s="660"/>
      <c r="AH100" s="660"/>
      <c r="AI100" s="660"/>
      <c r="AJ100" s="660"/>
      <c r="AK100" s="660"/>
      <c r="AL100" s="660"/>
      <c r="AM100" s="660"/>
      <c r="AN100" s="660" t="s">
        <v>1402</v>
      </c>
      <c r="AO100" s="660"/>
      <c r="AP100" s="660" t="s">
        <v>1402</v>
      </c>
      <c r="AQ100" s="660"/>
      <c r="AR100" s="660" t="s">
        <v>1402</v>
      </c>
      <c r="AS100" s="660"/>
      <c r="AT100" s="660"/>
    </row>
    <row r="101" spans="25:46" ht="17.5" thickTop="1" x14ac:dyDescent="0.45">
      <c r="Y101" s="660"/>
      <c r="Z101" s="660"/>
      <c r="AA101" s="660"/>
      <c r="AB101" s="660"/>
      <c r="AC101" s="660"/>
      <c r="AD101" s="660"/>
      <c r="AE101" s="660"/>
      <c r="AF101" s="660"/>
      <c r="AG101" s="660"/>
      <c r="AH101" s="660"/>
      <c r="AI101" s="660"/>
      <c r="AJ101" s="660"/>
      <c r="AK101" s="660"/>
      <c r="AL101" s="660"/>
      <c r="AM101" s="660"/>
      <c r="AN101" s="768" t="s">
        <v>1569</v>
      </c>
      <c r="AO101" s="660"/>
      <c r="AP101" s="768" t="s">
        <v>1569</v>
      </c>
      <c r="AQ101" s="660"/>
      <c r="AR101" s="768" t="s">
        <v>1569</v>
      </c>
      <c r="AS101" s="660"/>
      <c r="AT101" s="660"/>
    </row>
    <row r="102" spans="25:46" x14ac:dyDescent="0.45">
      <c r="Y102" s="660"/>
      <c r="Z102" s="660"/>
      <c r="AA102" s="660"/>
      <c r="AB102" s="660"/>
      <c r="AC102" s="660"/>
      <c r="AD102" s="660"/>
      <c r="AE102" s="660"/>
      <c r="AF102" s="660"/>
      <c r="AG102" s="660"/>
      <c r="AH102" s="660"/>
      <c r="AI102" s="660"/>
      <c r="AJ102" s="660"/>
      <c r="AK102" s="660"/>
      <c r="AL102" s="660"/>
      <c r="AM102" s="660"/>
      <c r="AN102" s="765" t="s">
        <v>1544</v>
      </c>
      <c r="AO102" s="660"/>
      <c r="AP102" s="765" t="s">
        <v>1544</v>
      </c>
      <c r="AQ102" s="660"/>
      <c r="AR102" s="765" t="s">
        <v>1544</v>
      </c>
      <c r="AS102" s="660"/>
      <c r="AT102" s="660"/>
    </row>
    <row r="103" spans="25:46" ht="17.5" thickBot="1" x14ac:dyDescent="0.5">
      <c r="Y103" s="660"/>
      <c r="Z103" s="660"/>
      <c r="AA103" s="660"/>
      <c r="AB103" s="660"/>
      <c r="AC103" s="660"/>
      <c r="AD103" s="660"/>
      <c r="AE103" s="660"/>
      <c r="AF103" s="660"/>
      <c r="AG103" s="660"/>
      <c r="AH103" s="660"/>
      <c r="AI103" s="660"/>
      <c r="AJ103" s="660"/>
      <c r="AK103" s="660"/>
      <c r="AL103" s="660"/>
      <c r="AM103" s="660"/>
      <c r="AN103" s="766" t="s">
        <v>1544</v>
      </c>
      <c r="AO103" s="660"/>
      <c r="AP103" s="766" t="s">
        <v>1544</v>
      </c>
      <c r="AQ103" s="660"/>
      <c r="AR103" s="766" t="s">
        <v>1544</v>
      </c>
      <c r="AS103" s="660"/>
      <c r="AT103" s="660"/>
    </row>
    <row r="104" spans="25:46" ht="17.5" thickTop="1" x14ac:dyDescent="0.45">
      <c r="Y104" s="660"/>
      <c r="Z104" s="660"/>
      <c r="AA104" s="660"/>
      <c r="AB104" s="660"/>
      <c r="AC104" s="660"/>
      <c r="AD104" s="660"/>
      <c r="AE104" s="660"/>
      <c r="AF104" s="660"/>
      <c r="AG104" s="660"/>
      <c r="AH104" s="660"/>
      <c r="AI104" s="660"/>
      <c r="AJ104" s="660"/>
      <c r="AK104" s="660"/>
      <c r="AL104" s="660"/>
      <c r="AM104" s="660"/>
      <c r="AN104" s="660"/>
      <c r="AO104" s="660"/>
      <c r="AP104" s="660"/>
      <c r="AQ104" s="660"/>
      <c r="AR104" s="660"/>
      <c r="AS104" s="660"/>
      <c r="AT104" s="660"/>
    </row>
    <row r="105" spans="25:46" ht="17.5" thickBot="1" x14ac:dyDescent="0.5">
      <c r="Y105" s="660"/>
      <c r="Z105" s="660"/>
      <c r="AA105" s="660"/>
      <c r="AB105" s="660"/>
      <c r="AC105" s="660"/>
      <c r="AD105" s="660"/>
      <c r="AE105" s="660"/>
      <c r="AF105" s="660"/>
      <c r="AG105" s="660"/>
      <c r="AH105" s="660"/>
      <c r="AI105" s="660"/>
      <c r="AJ105" s="660"/>
      <c r="AK105" s="660"/>
      <c r="AL105" s="660"/>
      <c r="AM105" s="660"/>
      <c r="AN105" s="660" t="s">
        <v>1945</v>
      </c>
      <c r="AO105" s="660"/>
      <c r="AP105" s="660"/>
      <c r="AQ105" s="660"/>
      <c r="AR105" s="660"/>
      <c r="AS105" s="660"/>
      <c r="AT105" s="660"/>
    </row>
    <row r="106" spans="25:46" ht="17.5" thickTop="1" x14ac:dyDescent="0.45">
      <c r="Y106" s="660"/>
      <c r="Z106" s="660"/>
      <c r="AA106" s="660"/>
      <c r="AB106" s="660"/>
      <c r="AC106" s="660"/>
      <c r="AD106" s="660"/>
      <c r="AE106" s="660"/>
      <c r="AF106" s="660"/>
      <c r="AG106" s="660"/>
      <c r="AH106" s="660"/>
      <c r="AI106" s="660"/>
      <c r="AJ106" s="660"/>
      <c r="AK106" s="660"/>
      <c r="AL106" s="660"/>
      <c r="AM106" s="660"/>
      <c r="AN106" s="768" t="s">
        <v>1275</v>
      </c>
      <c r="AO106" s="660"/>
      <c r="AP106" s="768" t="s">
        <v>1275</v>
      </c>
      <c r="AQ106" s="660"/>
      <c r="AR106" s="768" t="s">
        <v>1275</v>
      </c>
      <c r="AS106" s="660"/>
      <c r="AT106" s="660"/>
    </row>
    <row r="107" spans="25:46" ht="17.5" thickBot="1" x14ac:dyDescent="0.5">
      <c r="Y107" s="660"/>
      <c r="Z107" s="660"/>
      <c r="AA107" s="660"/>
      <c r="AB107" s="660"/>
      <c r="AC107" s="660"/>
      <c r="AD107" s="660"/>
      <c r="AE107" s="660"/>
      <c r="AF107" s="660"/>
      <c r="AG107" s="660"/>
      <c r="AH107" s="660"/>
      <c r="AI107" s="660"/>
      <c r="AJ107" s="660"/>
      <c r="AK107" s="660"/>
      <c r="AL107" s="660"/>
      <c r="AM107" s="660"/>
      <c r="AN107" s="769" t="s">
        <v>1275</v>
      </c>
      <c r="AO107" s="660"/>
      <c r="AP107" s="769" t="s">
        <v>1275</v>
      </c>
      <c r="AQ107" s="660"/>
      <c r="AR107" s="769" t="s">
        <v>1275</v>
      </c>
      <c r="AS107" s="660"/>
      <c r="AT107" s="660"/>
    </row>
    <row r="108" spans="25:46" ht="17.5" thickTop="1" x14ac:dyDescent="0.45">
      <c r="Y108" s="660"/>
      <c r="Z108" s="660"/>
      <c r="AA108" s="660"/>
      <c r="AB108" s="660"/>
      <c r="AC108" s="660"/>
      <c r="AD108" s="660"/>
      <c r="AE108" s="660"/>
      <c r="AF108" s="660"/>
      <c r="AG108" s="660"/>
      <c r="AH108" s="660"/>
      <c r="AI108" s="660"/>
      <c r="AJ108" s="660"/>
      <c r="AK108" s="660"/>
      <c r="AL108" s="660"/>
      <c r="AM108" s="660"/>
      <c r="AN108" s="768" t="s">
        <v>1559</v>
      </c>
      <c r="AO108" s="660"/>
      <c r="AP108" s="768" t="s">
        <v>1559</v>
      </c>
      <c r="AQ108" s="660"/>
      <c r="AR108" s="768" t="s">
        <v>1559</v>
      </c>
      <c r="AS108" s="660"/>
      <c r="AT108" s="660"/>
    </row>
    <row r="109" spans="25:46" ht="17.5" thickBot="1" x14ac:dyDescent="0.5">
      <c r="Y109" s="660"/>
      <c r="Z109" s="660"/>
      <c r="AA109" s="660"/>
      <c r="AB109" s="660"/>
      <c r="AC109" s="660"/>
      <c r="AD109" s="660"/>
      <c r="AE109" s="660"/>
      <c r="AF109" s="660"/>
      <c r="AG109" s="660"/>
      <c r="AH109" s="660"/>
      <c r="AI109" s="660"/>
      <c r="AJ109" s="660"/>
      <c r="AK109" s="660"/>
      <c r="AL109" s="660"/>
      <c r="AM109" s="660"/>
      <c r="AN109" s="769" t="s">
        <v>1559</v>
      </c>
      <c r="AO109" s="660"/>
      <c r="AP109" s="769" t="s">
        <v>1559</v>
      </c>
      <c r="AQ109" s="660"/>
      <c r="AR109" s="769" t="s">
        <v>1559</v>
      </c>
      <c r="AS109" s="660"/>
      <c r="AT109" s="660"/>
    </row>
    <row r="110" spans="25:46" ht="17.5" thickTop="1" x14ac:dyDescent="0.45">
      <c r="Y110" s="660"/>
      <c r="Z110" s="660"/>
      <c r="AA110" s="660"/>
      <c r="AB110" s="660"/>
      <c r="AC110" s="660"/>
      <c r="AD110" s="660"/>
      <c r="AE110" s="660"/>
      <c r="AF110" s="660"/>
      <c r="AG110" s="660"/>
      <c r="AH110" s="660"/>
      <c r="AI110" s="660"/>
      <c r="AJ110" s="660"/>
      <c r="AK110" s="660"/>
      <c r="AL110" s="660"/>
      <c r="AM110" s="660"/>
      <c r="AN110" s="768" t="s">
        <v>1560</v>
      </c>
      <c r="AO110" s="660"/>
      <c r="AP110" s="768" t="s">
        <v>1560</v>
      </c>
      <c r="AQ110" s="660"/>
      <c r="AR110" s="768" t="s">
        <v>1560</v>
      </c>
      <c r="AS110" s="660"/>
      <c r="AT110" s="660"/>
    </row>
    <row r="111" spans="25:46" ht="17.5" thickBot="1" x14ac:dyDescent="0.5">
      <c r="Y111" s="660"/>
      <c r="Z111" s="660"/>
      <c r="AA111" s="660"/>
      <c r="AB111" s="660"/>
      <c r="AC111" s="660"/>
      <c r="AD111" s="660"/>
      <c r="AE111" s="660"/>
      <c r="AF111" s="660"/>
      <c r="AG111" s="660"/>
      <c r="AH111" s="660"/>
      <c r="AI111" s="660"/>
      <c r="AJ111" s="660"/>
      <c r="AK111" s="660"/>
      <c r="AL111" s="660"/>
      <c r="AM111" s="660"/>
      <c r="AN111" s="769" t="s">
        <v>1560</v>
      </c>
      <c r="AO111" s="752" t="s">
        <v>1531</v>
      </c>
      <c r="AP111" s="769" t="s">
        <v>1560</v>
      </c>
      <c r="AQ111" s="752" t="s">
        <v>1531</v>
      </c>
      <c r="AR111" s="769" t="s">
        <v>1560</v>
      </c>
      <c r="AS111" s="660"/>
      <c r="AT111" s="660"/>
    </row>
    <row r="112" spans="25:46" ht="17.5" thickTop="1" x14ac:dyDescent="0.45">
      <c r="Y112" s="660"/>
      <c r="Z112" s="660"/>
      <c r="AA112" s="660"/>
      <c r="AB112" s="660"/>
      <c r="AC112" s="660"/>
      <c r="AD112" s="660"/>
      <c r="AE112" s="660"/>
      <c r="AF112" s="660"/>
      <c r="AG112" s="660"/>
      <c r="AH112" s="660"/>
      <c r="AI112" s="660"/>
      <c r="AJ112" s="660"/>
      <c r="AK112" s="660"/>
      <c r="AL112" s="660"/>
      <c r="AM112" s="660"/>
      <c r="AN112" s="660" t="s">
        <v>1402</v>
      </c>
      <c r="AO112" s="660"/>
      <c r="AP112" s="660" t="s">
        <v>1402</v>
      </c>
      <c r="AQ112" s="660"/>
      <c r="AR112" s="660" t="s">
        <v>1402</v>
      </c>
      <c r="AS112" s="660"/>
      <c r="AT112" s="660"/>
    </row>
    <row r="113" spans="25:46" ht="17.5" thickBot="1" x14ac:dyDescent="0.5">
      <c r="Y113" s="660"/>
      <c r="Z113" s="660"/>
      <c r="AA113" s="660"/>
      <c r="AB113" s="660"/>
      <c r="AC113" s="660"/>
      <c r="AD113" s="660"/>
      <c r="AE113" s="660"/>
      <c r="AF113" s="660"/>
      <c r="AG113" s="660"/>
      <c r="AH113" s="660"/>
      <c r="AI113" s="660"/>
      <c r="AJ113" s="660"/>
      <c r="AK113" s="660"/>
      <c r="AL113" s="660"/>
      <c r="AM113" s="660"/>
      <c r="AN113" s="660"/>
      <c r="AO113" s="660"/>
      <c r="AP113" s="660"/>
      <c r="AQ113" s="660"/>
      <c r="AR113" s="660"/>
      <c r="AS113" s="660"/>
      <c r="AT113" s="660"/>
    </row>
    <row r="114" spans="25:46" ht="17.5" thickTop="1" x14ac:dyDescent="0.45">
      <c r="Y114" s="660"/>
      <c r="Z114" s="660"/>
      <c r="AA114" s="660"/>
      <c r="AB114" s="660"/>
      <c r="AC114" s="660"/>
      <c r="AD114" s="660"/>
      <c r="AE114" s="660"/>
      <c r="AF114" s="660"/>
      <c r="AG114" s="660"/>
      <c r="AH114" s="660"/>
      <c r="AI114" s="660"/>
      <c r="AJ114" s="660"/>
      <c r="AK114" s="660"/>
      <c r="AL114" s="660"/>
      <c r="AM114" s="660"/>
      <c r="AN114" s="768" t="s">
        <v>1544</v>
      </c>
      <c r="AO114" s="660"/>
      <c r="AP114" s="768" t="s">
        <v>1544</v>
      </c>
      <c r="AQ114" s="660"/>
      <c r="AR114" s="768" t="s">
        <v>1544</v>
      </c>
      <c r="AS114" s="660"/>
      <c r="AT114" s="660"/>
    </row>
    <row r="115" spans="25:46" ht="17.5" thickBot="1" x14ac:dyDescent="0.5">
      <c r="Y115" s="660"/>
      <c r="Z115" s="660"/>
      <c r="AA115" s="660"/>
      <c r="AB115" s="660"/>
      <c r="AC115" s="660"/>
      <c r="AD115" s="660"/>
      <c r="AE115" s="660"/>
      <c r="AF115" s="660"/>
      <c r="AG115" s="660"/>
      <c r="AH115" s="660"/>
      <c r="AI115" s="660"/>
      <c r="AJ115" s="660"/>
      <c r="AK115" s="660"/>
      <c r="AL115" s="660"/>
      <c r="AM115" s="660"/>
      <c r="AN115" s="769" t="s">
        <v>1544</v>
      </c>
      <c r="AO115" s="660"/>
      <c r="AP115" s="769" t="s">
        <v>1544</v>
      </c>
      <c r="AQ115" s="660"/>
      <c r="AR115" s="769" t="s">
        <v>1544</v>
      </c>
      <c r="AS115" s="660"/>
      <c r="AT115" s="660"/>
    </row>
    <row r="116" spans="25:46" ht="17.5" thickTop="1" x14ac:dyDescent="0.45">
      <c r="Y116" s="660"/>
      <c r="Z116" s="660"/>
      <c r="AA116" s="660"/>
      <c r="AB116" s="660"/>
      <c r="AC116" s="660"/>
      <c r="AD116" s="660"/>
      <c r="AE116" s="660"/>
      <c r="AF116" s="660"/>
      <c r="AG116" s="660"/>
      <c r="AH116" s="660"/>
      <c r="AI116" s="660"/>
      <c r="AJ116" s="660"/>
      <c r="AK116" s="660"/>
      <c r="AL116" s="660"/>
      <c r="AM116" s="660"/>
      <c r="AN116" s="660"/>
      <c r="AO116" s="660"/>
      <c r="AP116" s="660"/>
      <c r="AQ116" s="660"/>
      <c r="AR116" s="660"/>
      <c r="AS116" s="660"/>
      <c r="AT116" s="660"/>
    </row>
  </sheetData>
  <mergeCells count="19">
    <mergeCell ref="C50:AC50"/>
    <mergeCell ref="E53:G53"/>
    <mergeCell ref="H53:M53"/>
    <mergeCell ref="N53:Y53"/>
    <mergeCell ref="AC62:AN62"/>
    <mergeCell ref="H62:W62"/>
    <mergeCell ref="Z62:AB62"/>
    <mergeCell ref="E56:G56"/>
    <mergeCell ref="H56:M56"/>
    <mergeCell ref="E59:G59"/>
    <mergeCell ref="H59:L59"/>
    <mergeCell ref="M59:X59"/>
    <mergeCell ref="AC65:AP65"/>
    <mergeCell ref="E68:G68"/>
    <mergeCell ref="N68:P68"/>
    <mergeCell ref="E71:G71"/>
    <mergeCell ref="E74:G74"/>
    <mergeCell ref="Z65:AB65"/>
    <mergeCell ref="E65:G65"/>
  </mergeCells>
  <phoneticPr fontId="2" type="noConversion"/>
  <pageMargins left="0.7" right="0.7" top="0.75" bottom="0.75" header="0.3" footer="0.3"/>
  <ignoredErrors>
    <ignoredError sqref="E29:E32" numberStoredAsText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50EA-0107-4CE5-86E0-BFA339C50488}">
  <sheetPr>
    <tabColor rgb="FFFFFF00"/>
  </sheetPr>
  <dimension ref="B2:EO497"/>
  <sheetViews>
    <sheetView showGridLines="0" topLeftCell="A405" zoomScale="160" zoomScaleNormal="160" zoomScaleSheetLayoutView="95" workbookViewId="0">
      <selection activeCell="DU427" sqref="DU427"/>
    </sheetView>
  </sheetViews>
  <sheetFormatPr defaultColWidth="8.58203125" defaultRowHeight="14.5" x14ac:dyDescent="0.45"/>
  <cols>
    <col min="1" max="1" width="8.58203125" style="234"/>
    <col min="2" max="2" width="15.83203125" style="521" customWidth="1"/>
    <col min="3" max="3" width="0.83203125" style="521" customWidth="1"/>
    <col min="4" max="75" width="0.83203125" style="246" customWidth="1"/>
    <col min="76" max="124" width="0.83203125" style="234" customWidth="1"/>
    <col min="125" max="125" width="7.5" style="234" bestFit="1" customWidth="1"/>
    <col min="126" max="126" width="10.5" style="235" bestFit="1" customWidth="1"/>
    <col min="127" max="127" width="13.4140625" style="235" bestFit="1" customWidth="1"/>
    <col min="128" max="128" width="5.75" style="235" bestFit="1" customWidth="1"/>
    <col min="129" max="129" width="4.83203125" style="235" bestFit="1" customWidth="1"/>
    <col min="130" max="132" width="3.83203125" style="235" customWidth="1"/>
    <col min="133" max="144" width="3.83203125" style="234" bestFit="1" customWidth="1"/>
    <col min="145" max="16384" width="8.58203125" style="234"/>
  </cols>
  <sheetData>
    <row r="2" spans="2:145" ht="15" thickBot="1" x14ac:dyDescent="0.5">
      <c r="B2" s="608" t="s">
        <v>2011</v>
      </c>
      <c r="C2" s="608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4"/>
      <c r="U2" s="614"/>
      <c r="V2" s="614"/>
      <c r="W2" s="614"/>
      <c r="X2" s="614"/>
      <c r="Y2" s="614"/>
      <c r="Z2" s="614"/>
      <c r="AA2" s="614"/>
      <c r="AB2" s="614"/>
      <c r="AC2" s="614"/>
      <c r="AD2" s="614"/>
      <c r="AE2" s="614"/>
      <c r="AF2" s="614"/>
      <c r="AG2" s="614"/>
      <c r="AH2" s="614"/>
      <c r="AI2" s="614"/>
      <c r="AJ2" s="614"/>
      <c r="AK2" s="614"/>
      <c r="AL2" s="614"/>
      <c r="AM2" s="614"/>
      <c r="AN2" s="614"/>
      <c r="AO2" s="614"/>
      <c r="AP2" s="614"/>
      <c r="AQ2" s="614"/>
      <c r="AR2" s="614"/>
      <c r="AS2" s="614"/>
      <c r="AT2" s="614"/>
      <c r="AU2" s="614"/>
      <c r="AV2" s="614"/>
      <c r="AW2" s="614"/>
      <c r="AX2" s="614"/>
      <c r="AY2" s="614"/>
      <c r="AZ2" s="614"/>
      <c r="BA2" s="614"/>
      <c r="BB2" s="614"/>
      <c r="BC2" s="614"/>
      <c r="BD2" s="614"/>
      <c r="BE2" s="614"/>
      <c r="BF2" s="614"/>
      <c r="BG2" s="614"/>
      <c r="BH2" s="614"/>
      <c r="BI2" s="614"/>
      <c r="BJ2" s="614"/>
      <c r="BK2" s="614"/>
      <c r="BL2" s="614"/>
      <c r="BM2" s="614"/>
      <c r="BN2" s="614"/>
      <c r="BO2" s="614"/>
      <c r="BP2" s="614"/>
      <c r="BQ2" s="614"/>
      <c r="BR2" s="614"/>
      <c r="BS2" s="614"/>
      <c r="BT2" s="614"/>
      <c r="BU2" s="614"/>
      <c r="BV2" s="614"/>
      <c r="BW2" s="614"/>
      <c r="BX2" s="614"/>
      <c r="BY2" s="614"/>
      <c r="BZ2" s="614"/>
      <c r="CA2" s="614"/>
      <c r="CB2" s="614"/>
      <c r="CC2" s="614"/>
      <c r="CD2" s="614"/>
      <c r="CE2" s="614"/>
      <c r="CF2" s="614"/>
      <c r="CG2" s="614"/>
      <c r="CH2" s="614"/>
      <c r="CI2" s="614"/>
      <c r="CJ2" s="614"/>
      <c r="CK2" s="614"/>
      <c r="CL2" s="614"/>
      <c r="CM2" s="614"/>
      <c r="CN2" s="614"/>
      <c r="CO2" s="614"/>
      <c r="CP2" s="614"/>
      <c r="CQ2" s="614"/>
      <c r="CR2" s="614"/>
      <c r="CS2" s="614"/>
      <c r="CT2" s="614"/>
      <c r="CU2" s="614"/>
      <c r="CV2" s="614"/>
      <c r="CW2" s="614"/>
      <c r="CX2" s="614"/>
      <c r="CY2" s="614"/>
      <c r="CZ2" s="614"/>
      <c r="DA2" s="614"/>
      <c r="DB2" s="614"/>
      <c r="DC2" s="614"/>
      <c r="DD2" s="614"/>
      <c r="DE2" s="614"/>
      <c r="DF2" s="614"/>
      <c r="DG2" s="614"/>
      <c r="DH2" s="614"/>
      <c r="DI2" s="614"/>
      <c r="DJ2" s="614"/>
      <c r="DK2" s="614"/>
      <c r="DL2" s="614"/>
      <c r="DM2" s="614"/>
      <c r="DN2" s="614"/>
      <c r="DO2" s="614"/>
      <c r="DP2" s="614"/>
      <c r="DQ2" s="614"/>
      <c r="DR2" s="614"/>
      <c r="DS2" s="614"/>
      <c r="DT2" s="614"/>
      <c r="DV2" s="234"/>
      <c r="DW2" s="234"/>
      <c r="DX2" s="234"/>
      <c r="DY2" s="234"/>
      <c r="DZ2" s="234"/>
      <c r="EA2" s="234"/>
      <c r="EB2" s="234"/>
      <c r="EC2" s="393"/>
      <c r="EE2" s="447"/>
    </row>
    <row r="3" spans="2:145" ht="15.5" thickTop="1" thickBot="1" x14ac:dyDescent="0.5">
      <c r="B3" s="521" t="s">
        <v>1426</v>
      </c>
      <c r="D3" s="247"/>
      <c r="E3" s="247"/>
      <c r="F3" s="258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34"/>
      <c r="U3" s="234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Q3" s="256"/>
      <c r="AR3" s="256"/>
      <c r="AS3" s="256"/>
      <c r="AT3" s="256"/>
      <c r="AU3" s="256"/>
      <c r="AV3" s="256"/>
      <c r="AW3" s="256"/>
      <c r="AX3" s="256"/>
      <c r="AY3" s="256"/>
      <c r="AZ3" s="256"/>
      <c r="BA3" s="256"/>
      <c r="BB3" s="256"/>
      <c r="BC3" s="256"/>
      <c r="BD3" s="256"/>
      <c r="BE3" s="256"/>
      <c r="BF3" s="256"/>
      <c r="BG3" s="256"/>
      <c r="BH3" s="256"/>
      <c r="BI3" s="256"/>
      <c r="BJ3" s="256"/>
      <c r="BK3" s="256"/>
      <c r="BL3" s="256"/>
      <c r="BM3" s="256"/>
      <c r="BN3" s="256"/>
      <c r="BO3" s="256"/>
      <c r="BP3" s="256"/>
      <c r="BQ3" s="256"/>
      <c r="BR3" s="256"/>
      <c r="BS3" s="256"/>
      <c r="BT3" s="256"/>
      <c r="BU3" s="256"/>
      <c r="BV3" s="256"/>
      <c r="BW3" s="256"/>
      <c r="BX3" s="256"/>
      <c r="BY3" s="256"/>
      <c r="BZ3" s="256"/>
      <c r="CA3" s="256"/>
      <c r="CB3" s="256"/>
      <c r="CC3" s="256"/>
      <c r="CD3" s="256"/>
      <c r="CE3" s="256"/>
      <c r="CF3" s="256"/>
      <c r="CG3" s="256"/>
      <c r="CH3" s="258"/>
      <c r="CI3" s="256"/>
      <c r="CJ3" s="256"/>
      <c r="CK3" s="256"/>
      <c r="CL3" s="256"/>
      <c r="CM3" s="256"/>
      <c r="CN3" s="256"/>
      <c r="CO3" s="256"/>
      <c r="CP3" s="256"/>
      <c r="CQ3" s="247"/>
      <c r="CR3" s="247"/>
      <c r="CS3" s="247"/>
      <c r="CT3" s="247"/>
      <c r="CU3" s="247"/>
      <c r="CV3" s="247"/>
      <c r="CW3" s="247"/>
      <c r="CX3" s="247"/>
      <c r="CY3" s="247"/>
      <c r="CZ3" s="247"/>
      <c r="DA3" s="247"/>
      <c r="DB3" s="247"/>
      <c r="DC3" s="247"/>
      <c r="DD3" s="247"/>
      <c r="DE3" s="247"/>
      <c r="DF3" s="247"/>
      <c r="DG3" s="247"/>
      <c r="DH3" s="247"/>
      <c r="DI3" s="247"/>
      <c r="DJ3" s="247"/>
      <c r="DK3" s="247"/>
      <c r="DL3" s="247"/>
      <c r="DM3" s="247"/>
      <c r="DN3" s="247"/>
      <c r="DO3" s="247"/>
      <c r="DP3" s="247"/>
      <c r="DQ3" s="247"/>
      <c r="DR3" s="247"/>
      <c r="DS3" s="247"/>
      <c r="DT3" s="247"/>
      <c r="DV3" s="236"/>
      <c r="DW3" s="236" t="s">
        <v>1290</v>
      </c>
      <c r="DX3" s="236" t="s">
        <v>18</v>
      </c>
      <c r="DY3" s="354">
        <v>12</v>
      </c>
      <c r="DZ3" s="236"/>
      <c r="EA3" s="369" t="s">
        <v>1321</v>
      </c>
      <c r="EB3" s="371" t="s">
        <v>1301</v>
      </c>
      <c r="EC3" s="369" t="s">
        <v>1300</v>
      </c>
      <c r="ED3" s="370" t="s">
        <v>1302</v>
      </c>
      <c r="EE3" s="370" t="s">
        <v>1329</v>
      </c>
      <c r="EF3" s="371" t="s">
        <v>1328</v>
      </c>
      <c r="EG3" s="369" t="s">
        <v>1327</v>
      </c>
      <c r="EH3" s="370" t="s">
        <v>1326</v>
      </c>
      <c r="EI3" s="370" t="s">
        <v>1330</v>
      </c>
      <c r="EJ3" s="371" t="s">
        <v>1325</v>
      </c>
      <c r="EK3" s="369" t="s">
        <v>1331</v>
      </c>
      <c r="EL3" s="370" t="s">
        <v>1322</v>
      </c>
      <c r="EM3" s="370" t="s">
        <v>1323</v>
      </c>
      <c r="EN3" s="371" t="s">
        <v>1324</v>
      </c>
    </row>
    <row r="4" spans="2:145" ht="15" thickTop="1" x14ac:dyDescent="0.45">
      <c r="T4" s="234"/>
      <c r="U4" s="234"/>
      <c r="DV4" s="236"/>
      <c r="DW4" s="236"/>
      <c r="DX4" s="236"/>
      <c r="DZ4" s="234"/>
      <c r="EA4" s="234"/>
      <c r="EB4" s="234"/>
    </row>
    <row r="5" spans="2:145" x14ac:dyDescent="0.45">
      <c r="D5" s="248"/>
      <c r="E5" s="248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7"/>
      <c r="BN5" s="257"/>
      <c r="BO5" s="257"/>
      <c r="BP5" s="257"/>
      <c r="BQ5" s="257"/>
      <c r="BR5" s="257"/>
      <c r="BS5" s="257"/>
      <c r="BT5" s="257"/>
      <c r="BU5" s="257"/>
      <c r="BV5" s="257"/>
      <c r="BW5" s="257"/>
      <c r="BX5" s="257"/>
      <c r="BY5" s="257"/>
      <c r="BZ5" s="257"/>
      <c r="CA5" s="257"/>
      <c r="CB5" s="257"/>
      <c r="CC5" s="257"/>
      <c r="CD5" s="257"/>
      <c r="CE5" s="257"/>
      <c r="CF5" s="257"/>
      <c r="CG5" s="257"/>
      <c r="CH5" s="257"/>
      <c r="CI5" s="257"/>
      <c r="CJ5" s="257"/>
      <c r="CK5" s="257"/>
      <c r="CL5" s="257"/>
      <c r="CM5" s="257"/>
      <c r="CN5" s="257"/>
      <c r="CO5" s="257"/>
      <c r="CP5" s="257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48"/>
      <c r="DD5" s="248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V5" s="372" t="s">
        <v>933</v>
      </c>
      <c r="DW5" s="376" t="s">
        <v>1299</v>
      </c>
      <c r="DX5" s="377" t="s">
        <v>5</v>
      </c>
      <c r="DY5" s="235">
        <v>4</v>
      </c>
      <c r="EC5" s="388" t="s">
        <v>1300</v>
      </c>
      <c r="ED5" s="389" t="s">
        <v>1302</v>
      </c>
      <c r="EE5" s="390" t="s">
        <v>1303</v>
      </c>
      <c r="EF5" s="391" t="s">
        <v>1304</v>
      </c>
      <c r="EG5" s="390" t="s">
        <v>1305</v>
      </c>
      <c r="EH5" s="391" t="s">
        <v>1306</v>
      </c>
      <c r="EI5" s="390" t="s">
        <v>1307</v>
      </c>
      <c r="EJ5" s="391" t="s">
        <v>1308</v>
      </c>
      <c r="EK5" s="390" t="s">
        <v>1309</v>
      </c>
      <c r="EL5" s="391" t="s">
        <v>1310</v>
      </c>
      <c r="EM5" s="390" t="s">
        <v>1311</v>
      </c>
      <c r="EN5" s="390" t="s">
        <v>1312</v>
      </c>
    </row>
    <row r="6" spans="2:145" x14ac:dyDescent="0.45">
      <c r="B6" s="521" t="s">
        <v>2076</v>
      </c>
      <c r="D6" s="362"/>
      <c r="E6" s="362"/>
      <c r="F6" s="889">
        <v>1</v>
      </c>
      <c r="G6" s="256"/>
      <c r="H6" s="256"/>
      <c r="I6" s="256"/>
      <c r="J6" s="256"/>
      <c r="K6" s="256"/>
      <c r="L6" s="258">
        <v>1</v>
      </c>
      <c r="M6" s="256"/>
      <c r="N6" s="258">
        <v>1</v>
      </c>
      <c r="O6" s="256"/>
      <c r="P6" s="258">
        <v>2</v>
      </c>
      <c r="Q6" s="256"/>
      <c r="R6" s="256"/>
      <c r="S6" s="256"/>
      <c r="T6" s="257"/>
      <c r="U6" s="257"/>
      <c r="V6" s="258"/>
      <c r="W6" s="256"/>
      <c r="X6" s="258"/>
      <c r="Y6" s="256"/>
      <c r="Z6" s="258"/>
      <c r="AA6" s="256"/>
      <c r="AB6" s="256"/>
      <c r="AC6" s="256"/>
      <c r="AD6" s="256"/>
      <c r="AE6" s="256"/>
      <c r="AF6" s="258"/>
      <c r="AG6" s="256"/>
      <c r="AH6" s="258"/>
      <c r="AI6" s="256"/>
      <c r="AJ6" s="258"/>
      <c r="AK6" s="256"/>
      <c r="AL6" s="256"/>
      <c r="AM6" s="256"/>
      <c r="AN6" s="256"/>
      <c r="AO6" s="256"/>
      <c r="AP6" s="258"/>
      <c r="AQ6" s="256"/>
      <c r="AR6" s="258"/>
      <c r="AS6" s="256"/>
      <c r="AT6" s="258"/>
      <c r="AU6" s="256"/>
      <c r="AV6" s="256"/>
      <c r="AW6" s="256"/>
      <c r="AX6" s="256"/>
      <c r="AY6" s="256"/>
      <c r="AZ6" s="258"/>
      <c r="BA6" s="256"/>
      <c r="BB6" s="258"/>
      <c r="BC6" s="256"/>
      <c r="BD6" s="258"/>
      <c r="BE6" s="256"/>
      <c r="BF6" s="256"/>
      <c r="BG6" s="256"/>
      <c r="BH6" s="256"/>
      <c r="BI6" s="256"/>
      <c r="BJ6" s="258"/>
      <c r="BK6" s="256"/>
      <c r="BL6" s="258"/>
      <c r="BM6" s="256"/>
      <c r="BN6" s="258"/>
      <c r="BO6" s="256"/>
      <c r="BP6" s="256"/>
      <c r="BQ6" s="256"/>
      <c r="BR6" s="256"/>
      <c r="BS6" s="256"/>
      <c r="BT6" s="258"/>
      <c r="BU6" s="256"/>
      <c r="BV6" s="258"/>
      <c r="BW6" s="256"/>
      <c r="BX6" s="258"/>
      <c r="BY6" s="256"/>
      <c r="BZ6" s="256"/>
      <c r="CA6" s="256"/>
      <c r="CB6" s="256"/>
      <c r="CC6" s="256"/>
      <c r="CD6" s="258"/>
      <c r="CE6" s="256"/>
      <c r="CF6" s="258"/>
      <c r="CG6" s="256"/>
      <c r="CH6" s="889">
        <v>1</v>
      </c>
      <c r="CI6" s="256"/>
      <c r="CJ6" s="256"/>
      <c r="CK6" s="256"/>
      <c r="CL6" s="256"/>
      <c r="CM6" s="256"/>
      <c r="CN6" s="258">
        <v>1</v>
      </c>
      <c r="CO6" s="256"/>
      <c r="CP6" s="258">
        <v>1</v>
      </c>
      <c r="CQ6" s="256"/>
      <c r="CR6" s="258">
        <v>2</v>
      </c>
      <c r="CS6" s="256"/>
      <c r="CT6" s="256"/>
      <c r="CU6" s="256"/>
      <c r="CV6" s="256"/>
      <c r="CW6" s="256"/>
      <c r="CX6" s="258">
        <v>2</v>
      </c>
      <c r="CY6" s="256"/>
      <c r="CZ6" s="258">
        <v>2</v>
      </c>
      <c r="DA6" s="256"/>
      <c r="DB6" s="258">
        <v>3</v>
      </c>
      <c r="DC6" s="256"/>
      <c r="DD6" s="256"/>
      <c r="DE6" s="256"/>
      <c r="DF6" s="256"/>
      <c r="DG6" s="256"/>
      <c r="DH6" s="258">
        <v>3</v>
      </c>
      <c r="DI6" s="256"/>
      <c r="DJ6" s="258">
        <v>3</v>
      </c>
      <c r="DK6" s="256"/>
      <c r="DL6" s="258">
        <v>4</v>
      </c>
      <c r="DM6" s="256"/>
      <c r="DN6" s="256"/>
      <c r="DO6" s="256"/>
      <c r="DP6" s="256"/>
      <c r="DQ6" s="256"/>
      <c r="DR6" s="258">
        <v>4</v>
      </c>
      <c r="DS6" s="256"/>
      <c r="DT6" s="258">
        <v>4</v>
      </c>
      <c r="DV6" s="373"/>
      <c r="DW6" s="378"/>
      <c r="DX6" s="379" t="s">
        <v>1158</v>
      </c>
      <c r="DY6" s="235">
        <f>2^$DY$3/DY5</f>
        <v>1024</v>
      </c>
      <c r="EC6" s="235"/>
      <c r="ED6" s="235"/>
      <c r="EE6" s="235"/>
      <c r="EF6" s="235"/>
      <c r="EG6" s="235"/>
      <c r="EH6" s="235"/>
      <c r="EI6" s="235"/>
      <c r="EJ6" s="235"/>
      <c r="EK6" s="235"/>
      <c r="EL6" s="235"/>
      <c r="EM6" s="235"/>
      <c r="EN6" s="235"/>
    </row>
    <row r="7" spans="2:145" x14ac:dyDescent="0.45"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7"/>
      <c r="BK7" s="257"/>
      <c r="BL7" s="257"/>
      <c r="BM7" s="257"/>
      <c r="BN7" s="257"/>
      <c r="BO7" s="257"/>
      <c r="BP7" s="257"/>
      <c r="BQ7" s="257"/>
      <c r="BR7" s="257"/>
      <c r="BS7" s="257"/>
      <c r="BT7" s="257"/>
      <c r="BU7" s="257"/>
      <c r="BV7" s="257"/>
      <c r="BW7" s="257"/>
      <c r="BY7" s="257"/>
      <c r="BZ7" s="257"/>
      <c r="CA7" s="257"/>
      <c r="CB7" s="257"/>
      <c r="CC7" s="257"/>
      <c r="CD7" s="348"/>
      <c r="CE7" s="348"/>
      <c r="CF7" s="348"/>
      <c r="CG7" s="348"/>
      <c r="CH7" s="257"/>
      <c r="CI7" s="257"/>
      <c r="CJ7" s="257"/>
      <c r="CK7" s="257"/>
      <c r="CL7" s="257"/>
      <c r="CM7" s="257"/>
      <c r="CN7" s="257"/>
      <c r="DV7" s="373"/>
      <c r="DW7" s="376" t="s">
        <v>1299</v>
      </c>
      <c r="DX7" s="377" t="s">
        <v>5</v>
      </c>
      <c r="DY7" s="235">
        <v>8</v>
      </c>
      <c r="EC7" s="388" t="s">
        <v>1300</v>
      </c>
      <c r="ED7" s="389" t="s">
        <v>1302</v>
      </c>
      <c r="EE7" s="388" t="s">
        <v>1303</v>
      </c>
      <c r="EF7" s="391" t="s">
        <v>1304</v>
      </c>
      <c r="EG7" s="390" t="s">
        <v>1305</v>
      </c>
      <c r="EH7" s="391" t="s">
        <v>1306</v>
      </c>
      <c r="EI7" s="390" t="s">
        <v>1307</v>
      </c>
      <c r="EJ7" s="391" t="s">
        <v>1308</v>
      </c>
      <c r="EK7" s="390" t="s">
        <v>1309</v>
      </c>
      <c r="EL7" s="391" t="s">
        <v>1310</v>
      </c>
      <c r="EM7" s="390" t="s">
        <v>1311</v>
      </c>
      <c r="EN7" s="390" t="s">
        <v>1312</v>
      </c>
    </row>
    <row r="8" spans="2:145" ht="15" thickBot="1" x14ac:dyDescent="0.5">
      <c r="D8" s="248"/>
      <c r="E8" s="248"/>
      <c r="F8" s="257"/>
      <c r="G8" s="257"/>
      <c r="H8" s="257"/>
      <c r="I8" s="257"/>
      <c r="J8" s="257"/>
      <c r="K8" s="257"/>
      <c r="L8" s="257"/>
      <c r="M8" s="257"/>
      <c r="N8" s="257"/>
      <c r="O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W8" s="257"/>
      <c r="CX8" s="248"/>
      <c r="CY8" s="248"/>
      <c r="CZ8" s="248"/>
      <c r="DA8" s="248"/>
      <c r="DG8" s="257"/>
      <c r="DH8" s="248"/>
      <c r="DI8" s="248"/>
      <c r="DJ8" s="248"/>
      <c r="DK8" s="248"/>
      <c r="DQ8" s="257"/>
      <c r="DR8" s="248"/>
      <c r="DS8" s="248"/>
      <c r="DT8" s="248"/>
      <c r="DV8" s="373"/>
      <c r="DW8" s="378"/>
      <c r="DX8" s="379" t="s">
        <v>1158</v>
      </c>
      <c r="DY8" s="235">
        <f>2^$DY$3/DY7</f>
        <v>512</v>
      </c>
    </row>
    <row r="9" spans="2:145" ht="15" thickBot="1" x14ac:dyDescent="0.5">
      <c r="B9" s="521" t="s">
        <v>1423</v>
      </c>
      <c r="D9" s="250"/>
      <c r="E9" s="250"/>
      <c r="F9" s="540"/>
      <c r="G9" s="541"/>
      <c r="H9" s="542"/>
      <c r="I9" s="541"/>
      <c r="J9" s="542"/>
      <c r="K9" s="587"/>
      <c r="L9" s="544"/>
      <c r="M9" s="544"/>
      <c r="N9" s="545"/>
      <c r="O9" s="546"/>
      <c r="P9" s="540"/>
      <c r="Q9" s="541"/>
      <c r="R9" s="542"/>
      <c r="S9" s="541"/>
      <c r="T9" s="542"/>
      <c r="U9" s="587"/>
      <c r="V9" s="543"/>
      <c r="W9" s="544"/>
      <c r="X9" s="545"/>
      <c r="Y9" s="546"/>
      <c r="Z9" s="540"/>
      <c r="AA9" s="541"/>
      <c r="AB9" s="542"/>
      <c r="AC9" s="541"/>
      <c r="AD9" s="542"/>
      <c r="AE9" s="587"/>
      <c r="AF9" s="543"/>
      <c r="AG9" s="544"/>
      <c r="AH9" s="545"/>
      <c r="AI9" s="546"/>
      <c r="AJ9" s="540"/>
      <c r="AK9" s="541"/>
      <c r="AL9" s="542"/>
      <c r="AM9" s="541"/>
      <c r="AN9" s="542"/>
      <c r="AO9" s="587"/>
      <c r="AP9" s="547"/>
      <c r="AQ9" s="548"/>
      <c r="AR9" s="549"/>
      <c r="AS9" s="550"/>
      <c r="AT9" s="541"/>
      <c r="AU9" s="541"/>
      <c r="AV9" s="541"/>
      <c r="AW9" s="552"/>
      <c r="AX9" s="553"/>
      <c r="AY9" s="609"/>
      <c r="AZ9" s="612"/>
      <c r="BA9" s="610"/>
      <c r="BB9" s="611"/>
      <c r="BC9" s="550"/>
      <c r="BD9" s="613"/>
      <c r="BE9" s="552"/>
      <c r="BF9" s="552"/>
      <c r="BG9" s="552"/>
      <c r="BH9" s="553"/>
      <c r="BI9" s="609"/>
      <c r="BJ9" s="612"/>
      <c r="BK9" s="610"/>
      <c r="BL9" s="611"/>
      <c r="BM9" s="550"/>
      <c r="BN9" s="613"/>
      <c r="BO9" s="552"/>
      <c r="BP9" s="552"/>
      <c r="BQ9" s="552"/>
      <c r="BR9" s="553"/>
      <c r="BS9" s="609"/>
      <c r="BT9" s="612"/>
      <c r="BU9" s="610"/>
      <c r="BV9" s="611"/>
      <c r="BW9" s="550"/>
      <c r="BX9" s="613"/>
      <c r="BY9" s="552"/>
      <c r="BZ9" s="552"/>
      <c r="CA9" s="552"/>
      <c r="CB9" s="553"/>
      <c r="CC9" s="609"/>
      <c r="CD9" s="612"/>
      <c r="CE9" s="610"/>
      <c r="CF9" s="611"/>
      <c r="CG9" s="550"/>
      <c r="CH9" s="540"/>
      <c r="CI9" s="541"/>
      <c r="CJ9" s="542"/>
      <c r="CK9" s="541"/>
      <c r="CL9" s="542"/>
      <c r="CM9" s="587"/>
      <c r="CN9" s="543"/>
      <c r="CO9" s="544"/>
      <c r="CP9" s="545"/>
      <c r="CQ9" s="546"/>
      <c r="CR9" s="540"/>
      <c r="CS9" s="541"/>
      <c r="CT9" s="542"/>
      <c r="CU9" s="541"/>
      <c r="CV9" s="542"/>
      <c r="CW9" s="587"/>
      <c r="CX9" s="543"/>
      <c r="CY9" s="544"/>
      <c r="CZ9" s="545"/>
      <c r="DA9" s="546"/>
      <c r="DB9" s="540"/>
      <c r="DC9" s="541"/>
      <c r="DD9" s="542"/>
      <c r="DE9" s="541"/>
      <c r="DF9" s="542"/>
      <c r="DG9" s="587"/>
      <c r="DH9" s="543"/>
      <c r="DI9" s="544"/>
      <c r="DJ9" s="545"/>
      <c r="DK9" s="546"/>
      <c r="DL9" s="540"/>
      <c r="DM9" s="541"/>
      <c r="DN9" s="542"/>
      <c r="DO9" s="541"/>
      <c r="DP9" s="542"/>
      <c r="DQ9" s="587"/>
      <c r="DR9" s="543"/>
      <c r="DS9" s="544"/>
      <c r="DT9" s="545"/>
      <c r="DV9" s="373"/>
      <c r="DW9" s="376" t="s">
        <v>1299</v>
      </c>
      <c r="DX9" s="377" t="s">
        <v>5</v>
      </c>
      <c r="DY9" s="235">
        <v>16</v>
      </c>
      <c r="EC9" s="388" t="s">
        <v>1300</v>
      </c>
      <c r="ED9" s="389" t="s">
        <v>1302</v>
      </c>
      <c r="EE9" s="388" t="s">
        <v>1303</v>
      </c>
      <c r="EF9" s="389" t="s">
        <v>1304</v>
      </c>
      <c r="EG9" s="390" t="s">
        <v>1305</v>
      </c>
      <c r="EH9" s="391" t="s">
        <v>1306</v>
      </c>
      <c r="EI9" s="390" t="s">
        <v>1307</v>
      </c>
      <c r="EJ9" s="391" t="s">
        <v>1308</v>
      </c>
      <c r="EK9" s="390" t="s">
        <v>1309</v>
      </c>
      <c r="EL9" s="391" t="s">
        <v>1310</v>
      </c>
      <c r="EM9" s="390" t="s">
        <v>1311</v>
      </c>
      <c r="EN9" s="390" t="s">
        <v>1312</v>
      </c>
    </row>
    <row r="10" spans="2:145" x14ac:dyDescent="0.45"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  <c r="BA10" s="257"/>
      <c r="BB10" s="257"/>
      <c r="BC10" s="257"/>
      <c r="BD10" s="257"/>
      <c r="BE10" s="257"/>
      <c r="BF10" s="257"/>
      <c r="BG10" s="257"/>
      <c r="BH10" s="257"/>
      <c r="BI10" s="257"/>
      <c r="BJ10" s="257"/>
      <c r="BK10" s="257"/>
      <c r="BL10" s="257"/>
      <c r="BM10" s="257"/>
      <c r="BN10" s="257"/>
      <c r="BO10" s="257"/>
      <c r="BP10" s="257"/>
      <c r="BQ10" s="257"/>
      <c r="BR10" s="257"/>
      <c r="BS10" s="257"/>
      <c r="BT10" s="257"/>
      <c r="BU10" s="257"/>
      <c r="BV10" s="257"/>
      <c r="BW10" s="257"/>
      <c r="BX10" s="257"/>
      <c r="BY10" s="257"/>
      <c r="BZ10" s="257"/>
      <c r="CA10" s="257"/>
      <c r="CB10" s="257"/>
      <c r="CC10" s="257"/>
      <c r="CD10" s="257"/>
      <c r="CE10" s="257"/>
      <c r="CF10" s="257"/>
      <c r="CG10" s="257"/>
      <c r="CH10" s="348"/>
      <c r="CI10" s="348"/>
      <c r="CJ10" s="348"/>
      <c r="CK10" s="348"/>
      <c r="CL10" s="348"/>
      <c r="CM10" s="348"/>
      <c r="CN10" s="348"/>
      <c r="CO10" s="468"/>
      <c r="CP10" s="468"/>
      <c r="CQ10" s="468"/>
      <c r="CR10" s="468"/>
      <c r="CS10" s="468"/>
      <c r="CT10" s="468"/>
      <c r="CU10" s="468"/>
      <c r="CW10" s="257"/>
      <c r="DV10" s="373"/>
      <c r="DW10" s="378"/>
      <c r="DX10" s="379" t="s">
        <v>1158</v>
      </c>
      <c r="DY10" s="235">
        <f>2^$DY$3/DY9</f>
        <v>256</v>
      </c>
      <c r="EO10" s="235"/>
    </row>
    <row r="11" spans="2:145" x14ac:dyDescent="0.45">
      <c r="T11" s="257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W11" s="246"/>
      <c r="DV11" s="373"/>
      <c r="DW11" s="376" t="s">
        <v>1299</v>
      </c>
      <c r="DX11" s="377" t="s">
        <v>5</v>
      </c>
      <c r="DY11" s="235">
        <v>32</v>
      </c>
      <c r="EC11" s="388" t="s">
        <v>1300</v>
      </c>
      <c r="ED11" s="389" t="s">
        <v>1302</v>
      </c>
      <c r="EE11" s="388" t="s">
        <v>1303</v>
      </c>
      <c r="EF11" s="389" t="s">
        <v>1304</v>
      </c>
      <c r="EG11" s="388" t="s">
        <v>1305</v>
      </c>
      <c r="EH11" s="391" t="s">
        <v>1306</v>
      </c>
      <c r="EI11" s="390" t="s">
        <v>1307</v>
      </c>
      <c r="EJ11" s="391" t="s">
        <v>1308</v>
      </c>
      <c r="EK11" s="390" t="s">
        <v>1309</v>
      </c>
      <c r="EL11" s="391" t="s">
        <v>1310</v>
      </c>
      <c r="EM11" s="390" t="s">
        <v>1311</v>
      </c>
      <c r="EN11" s="390" t="s">
        <v>1312</v>
      </c>
    </row>
    <row r="12" spans="2:145" x14ac:dyDescent="0.45">
      <c r="T12" s="257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W12" s="246"/>
      <c r="DV12" s="373"/>
      <c r="DW12" s="378"/>
      <c r="DX12" s="379" t="s">
        <v>1158</v>
      </c>
      <c r="DY12" s="235">
        <f>2^$DY$3/DY11</f>
        <v>128</v>
      </c>
      <c r="EC12" s="235"/>
      <c r="ED12" s="235"/>
      <c r="EE12" s="235"/>
      <c r="EF12" s="235"/>
      <c r="EG12" s="235"/>
      <c r="EH12" s="235"/>
      <c r="EI12" s="235"/>
      <c r="EJ12" s="235"/>
      <c r="EK12" s="235"/>
      <c r="EL12" s="235"/>
      <c r="EM12" s="235"/>
      <c r="EN12" s="235"/>
      <c r="EO12" s="235"/>
    </row>
    <row r="13" spans="2:145" x14ac:dyDescent="0.45">
      <c r="T13" s="257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W13" s="246"/>
      <c r="DV13" s="373"/>
      <c r="DW13" s="376" t="s">
        <v>1299</v>
      </c>
      <c r="DX13" s="377" t="s">
        <v>5</v>
      </c>
      <c r="DY13" s="235">
        <v>64</v>
      </c>
      <c r="EC13" s="388" t="s">
        <v>1300</v>
      </c>
      <c r="ED13" s="389" t="s">
        <v>1302</v>
      </c>
      <c r="EE13" s="388" t="s">
        <v>1303</v>
      </c>
      <c r="EF13" s="389" t="s">
        <v>1304</v>
      </c>
      <c r="EG13" s="388" t="s">
        <v>1305</v>
      </c>
      <c r="EH13" s="389" t="s">
        <v>1306</v>
      </c>
      <c r="EI13" s="390" t="s">
        <v>1307</v>
      </c>
      <c r="EJ13" s="391" t="s">
        <v>1308</v>
      </c>
      <c r="EK13" s="390" t="s">
        <v>1309</v>
      </c>
      <c r="EL13" s="391" t="s">
        <v>1310</v>
      </c>
      <c r="EM13" s="390" t="s">
        <v>1311</v>
      </c>
      <c r="EN13" s="390" t="s">
        <v>1312</v>
      </c>
    </row>
    <row r="14" spans="2:145" x14ac:dyDescent="0.45">
      <c r="B14" s="608" t="s">
        <v>2012</v>
      </c>
      <c r="C14" s="608"/>
      <c r="D14" s="614"/>
      <c r="E14" s="614"/>
      <c r="F14" s="614"/>
      <c r="G14" s="614"/>
      <c r="H14" s="614"/>
      <c r="I14" s="614"/>
      <c r="J14" s="614"/>
      <c r="K14" s="614"/>
      <c r="L14" s="614"/>
      <c r="M14" s="614"/>
      <c r="N14" s="614"/>
      <c r="O14" s="614"/>
      <c r="P14" s="614"/>
      <c r="Q14" s="614"/>
      <c r="R14" s="614"/>
      <c r="S14" s="614"/>
      <c r="T14" s="614"/>
      <c r="U14" s="614"/>
      <c r="V14" s="614"/>
      <c r="W14" s="614"/>
      <c r="X14" s="614"/>
      <c r="Y14" s="614"/>
      <c r="Z14" s="614"/>
      <c r="AA14" s="614"/>
      <c r="AB14" s="614"/>
      <c r="AC14" s="614"/>
      <c r="AD14" s="614"/>
      <c r="AE14" s="614"/>
      <c r="AF14" s="614"/>
      <c r="AG14" s="614"/>
      <c r="AH14" s="614"/>
      <c r="AI14" s="614"/>
      <c r="AJ14" s="614"/>
      <c r="AK14" s="614"/>
      <c r="AL14" s="614"/>
      <c r="AM14" s="614"/>
      <c r="AN14" s="614"/>
      <c r="AO14" s="614"/>
      <c r="AP14" s="614"/>
      <c r="AQ14" s="614"/>
      <c r="AR14" s="614"/>
      <c r="AS14" s="614"/>
      <c r="AT14" s="614"/>
      <c r="AU14" s="614"/>
      <c r="AV14" s="614"/>
      <c r="AW14" s="614"/>
      <c r="AX14" s="614"/>
      <c r="AY14" s="614"/>
      <c r="AZ14" s="614"/>
      <c r="BA14" s="614"/>
      <c r="BB14" s="614"/>
      <c r="BC14" s="614"/>
      <c r="BD14" s="614"/>
      <c r="BE14" s="614"/>
      <c r="BF14" s="614"/>
      <c r="BG14" s="614"/>
      <c r="BH14" s="614"/>
      <c r="BI14" s="614"/>
      <c r="BJ14" s="614"/>
      <c r="BK14" s="614"/>
      <c r="BL14" s="614"/>
      <c r="BM14" s="614"/>
      <c r="BN14" s="614"/>
      <c r="BO14" s="614"/>
      <c r="BP14" s="614"/>
      <c r="BQ14" s="614"/>
      <c r="BR14" s="614"/>
      <c r="BS14" s="614"/>
      <c r="BT14" s="614"/>
      <c r="BU14" s="614"/>
      <c r="BV14" s="614"/>
      <c r="BW14" s="614"/>
      <c r="BX14" s="614"/>
      <c r="BY14" s="614"/>
      <c r="BZ14" s="614"/>
      <c r="CA14" s="614"/>
      <c r="CB14" s="614"/>
      <c r="CC14" s="614"/>
      <c r="CD14" s="614"/>
      <c r="CE14" s="614"/>
      <c r="CF14" s="614"/>
      <c r="CG14" s="614"/>
      <c r="CH14" s="614"/>
      <c r="CI14" s="614"/>
      <c r="CJ14" s="614"/>
      <c r="CK14" s="614"/>
      <c r="CL14" s="614"/>
      <c r="CM14" s="614"/>
      <c r="CN14" s="614"/>
      <c r="CO14" s="614"/>
      <c r="CP14" s="614"/>
      <c r="CQ14" s="614"/>
      <c r="CR14" s="614"/>
      <c r="CS14" s="614"/>
      <c r="CT14" s="614"/>
      <c r="CU14" s="614"/>
      <c r="CV14" s="614"/>
      <c r="CW14" s="614"/>
      <c r="CX14" s="614"/>
      <c r="CY14" s="614"/>
      <c r="CZ14" s="614"/>
      <c r="DA14" s="614"/>
      <c r="DB14" s="614"/>
      <c r="DC14" s="614"/>
      <c r="DD14" s="614"/>
      <c r="DE14" s="614"/>
      <c r="DF14" s="614"/>
      <c r="DG14" s="614"/>
      <c r="DH14" s="614"/>
      <c r="DI14" s="614"/>
      <c r="DJ14" s="614"/>
      <c r="DK14" s="614"/>
      <c r="DL14" s="614"/>
      <c r="DM14" s="614"/>
      <c r="DN14" s="614"/>
      <c r="DO14" s="614"/>
      <c r="DP14" s="614"/>
      <c r="DQ14" s="614"/>
      <c r="DR14" s="614"/>
      <c r="DS14" s="614"/>
      <c r="DT14" s="614"/>
      <c r="DV14" s="378"/>
      <c r="DW14" s="378"/>
      <c r="DX14" s="379" t="s">
        <v>1158</v>
      </c>
      <c r="DY14" s="235">
        <f>2^$DY$3/DY13</f>
        <v>64</v>
      </c>
      <c r="EC14" s="235"/>
      <c r="ED14" s="235"/>
      <c r="EE14" s="235"/>
      <c r="EF14" s="235"/>
      <c r="EG14" s="235"/>
      <c r="EH14" s="235"/>
      <c r="EI14" s="235"/>
      <c r="EJ14" s="235"/>
      <c r="EK14" s="235"/>
      <c r="EL14" s="235"/>
      <c r="EM14" s="235"/>
      <c r="EN14" s="235"/>
    </row>
    <row r="15" spans="2:145" x14ac:dyDescent="0.45">
      <c r="B15" s="521" t="s">
        <v>1426</v>
      </c>
      <c r="D15" s="247"/>
      <c r="E15" s="247"/>
      <c r="F15" s="258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34"/>
      <c r="U15" s="234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6"/>
      <c r="BK15" s="256"/>
      <c r="BL15" s="256"/>
      <c r="BM15" s="256"/>
      <c r="BN15" s="256"/>
      <c r="BO15" s="256"/>
      <c r="BP15" s="256"/>
      <c r="BQ15" s="256"/>
      <c r="BR15" s="256"/>
      <c r="BS15" s="256"/>
      <c r="BT15" s="256"/>
      <c r="BU15" s="256"/>
      <c r="BV15" s="256"/>
      <c r="BW15" s="256"/>
      <c r="BX15" s="256"/>
      <c r="BY15" s="256"/>
      <c r="BZ15" s="256"/>
      <c r="CA15" s="256"/>
      <c r="CB15" s="256"/>
      <c r="CC15" s="256"/>
      <c r="CD15" s="256"/>
      <c r="CE15" s="256"/>
      <c r="CF15" s="256"/>
      <c r="CG15" s="256"/>
      <c r="CH15" s="258"/>
      <c r="CI15" s="256"/>
      <c r="CJ15" s="256"/>
      <c r="CK15" s="256"/>
      <c r="CL15" s="256"/>
      <c r="CM15" s="256"/>
      <c r="CN15" s="256"/>
      <c r="CO15" s="256"/>
      <c r="CP15" s="256"/>
      <c r="CQ15" s="247"/>
      <c r="CR15" s="247"/>
      <c r="CS15" s="247"/>
      <c r="CT15" s="247"/>
      <c r="CU15" s="247"/>
      <c r="CV15" s="247"/>
      <c r="CW15" s="247"/>
      <c r="CX15" s="247"/>
      <c r="CY15" s="247"/>
      <c r="CZ15" s="247"/>
      <c r="DA15" s="247"/>
      <c r="DB15" s="247"/>
      <c r="DC15" s="247"/>
      <c r="DV15" s="372" t="s">
        <v>1316</v>
      </c>
      <c r="DW15" s="386" t="s">
        <v>1332</v>
      </c>
      <c r="DX15" s="377"/>
      <c r="DY15" s="606"/>
      <c r="DZ15" s="606"/>
      <c r="EA15" s="606"/>
      <c r="EB15" s="606"/>
      <c r="EC15" s="606"/>
      <c r="ED15" s="606"/>
      <c r="EE15" s="606"/>
      <c r="EF15" s="606"/>
      <c r="EG15" s="606"/>
      <c r="EH15" s="606"/>
      <c r="EI15" s="606"/>
      <c r="EJ15" s="606"/>
      <c r="EK15" s="606"/>
      <c r="EL15" s="606"/>
      <c r="EM15" s="606"/>
      <c r="EN15" s="606"/>
      <c r="EO15" s="606"/>
    </row>
    <row r="16" spans="2:145" x14ac:dyDescent="0.45">
      <c r="T16" s="234"/>
      <c r="U16" s="234"/>
      <c r="DV16" s="392">
        <v>0.25</v>
      </c>
      <c r="DW16" s="236" t="s">
        <v>1436</v>
      </c>
      <c r="DX16" s="379"/>
      <c r="DY16" s="606"/>
      <c r="DZ16" s="606"/>
      <c r="EA16" s="606"/>
      <c r="EB16" s="606"/>
      <c r="ED16" s="384"/>
      <c r="EF16" s="384"/>
      <c r="EG16" s="384"/>
      <c r="EH16" s="384"/>
      <c r="EI16" s="384"/>
      <c r="EJ16" s="384"/>
      <c r="EK16" s="384"/>
      <c r="EL16" s="384"/>
      <c r="EM16" s="384"/>
      <c r="EN16" s="384"/>
    </row>
    <row r="17" spans="2:145" ht="16" x14ac:dyDescent="0.45">
      <c r="D17" s="248"/>
      <c r="E17" s="248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  <c r="AF17" s="257"/>
      <c r="AG17" s="257"/>
      <c r="AH17" s="257"/>
      <c r="AI17" s="257"/>
      <c r="AJ17" s="257"/>
      <c r="AK17" s="257"/>
      <c r="AL17" s="257"/>
      <c r="AM17" s="257"/>
      <c r="AN17" s="257"/>
      <c r="AO17" s="257"/>
      <c r="AP17" s="257"/>
      <c r="AQ17" s="257"/>
      <c r="AR17" s="257"/>
      <c r="AS17" s="257"/>
      <c r="AT17" s="257"/>
      <c r="AU17" s="257"/>
      <c r="AV17" s="257"/>
      <c r="AW17" s="257"/>
      <c r="AX17" s="257"/>
      <c r="AY17" s="257"/>
      <c r="AZ17" s="257"/>
      <c r="BA17" s="257"/>
      <c r="BB17" s="257"/>
      <c r="BC17" s="257"/>
      <c r="BD17" s="257"/>
      <c r="BE17" s="257"/>
      <c r="BF17" s="257"/>
      <c r="BG17" s="257"/>
      <c r="BH17" s="257"/>
      <c r="BI17" s="257"/>
      <c r="BJ17" s="257"/>
      <c r="BK17" s="257"/>
      <c r="BL17" s="257"/>
      <c r="BM17" s="257"/>
      <c r="BN17" s="257"/>
      <c r="BO17" s="257"/>
      <c r="BP17" s="257"/>
      <c r="BQ17" s="257"/>
      <c r="BR17" s="257"/>
      <c r="BS17" s="257"/>
      <c r="BT17" s="257"/>
      <c r="BU17" s="257"/>
      <c r="BV17" s="257"/>
      <c r="BW17" s="257"/>
      <c r="BX17" s="257"/>
      <c r="BY17" s="257"/>
      <c r="BZ17" s="257"/>
      <c r="CA17" s="257"/>
      <c r="CB17" s="257"/>
      <c r="CC17" s="257"/>
      <c r="CD17" s="257"/>
      <c r="CE17" s="257"/>
      <c r="CF17" s="257"/>
      <c r="CG17" s="257"/>
      <c r="CH17" s="257"/>
      <c r="CI17" s="257"/>
      <c r="CJ17" s="257"/>
      <c r="CK17" s="257"/>
      <c r="CL17" s="257"/>
      <c r="CM17" s="257"/>
      <c r="CN17" s="257"/>
      <c r="CO17" s="257"/>
      <c r="CP17" s="257"/>
      <c r="CQ17" s="248"/>
      <c r="CR17" s="248"/>
      <c r="CS17" s="248"/>
      <c r="CT17" s="248"/>
      <c r="CU17" s="248"/>
      <c r="CV17" s="248"/>
      <c r="CW17" s="248"/>
      <c r="CX17" s="248"/>
      <c r="CY17" s="248"/>
      <c r="CZ17" s="248"/>
      <c r="DA17" s="248"/>
      <c r="DB17" s="248"/>
      <c r="DC17" s="248"/>
      <c r="DV17" s="372" t="s">
        <v>1317</v>
      </c>
      <c r="DW17" s="376" t="s">
        <v>1299</v>
      </c>
      <c r="DX17" s="377" t="s">
        <v>5</v>
      </c>
      <c r="DY17" s="235">
        <v>8</v>
      </c>
      <c r="EC17" s="235"/>
      <c r="ED17" s="235"/>
      <c r="EE17" s="235"/>
      <c r="EF17" s="390" t="s">
        <v>1300</v>
      </c>
      <c r="EG17" s="391" t="s">
        <v>1302</v>
      </c>
      <c r="EH17" s="390" t="s">
        <v>1303</v>
      </c>
      <c r="EI17" s="391" t="s">
        <v>1304</v>
      </c>
      <c r="EJ17" s="390" t="s">
        <v>1305</v>
      </c>
      <c r="EK17" s="391" t="s">
        <v>1306</v>
      </c>
      <c r="EL17" s="390" t="s">
        <v>1307</v>
      </c>
      <c r="EM17" s="391" t="s">
        <v>1308</v>
      </c>
      <c r="EN17" s="390" t="s">
        <v>1309</v>
      </c>
      <c r="EO17" s="554" t="s">
        <v>2537</v>
      </c>
    </row>
    <row r="18" spans="2:145" ht="16" x14ac:dyDescent="0.45">
      <c r="B18" s="521" t="s">
        <v>2076</v>
      </c>
      <c r="D18" s="362"/>
      <c r="E18" s="362"/>
      <c r="F18" s="538">
        <v>1</v>
      </c>
      <c r="G18" s="362"/>
      <c r="H18" s="362"/>
      <c r="I18" s="362"/>
      <c r="J18" s="362"/>
      <c r="K18" s="362"/>
      <c r="L18" s="362"/>
      <c r="M18" s="362"/>
      <c r="N18" s="362"/>
      <c r="O18" s="362"/>
      <c r="P18" s="538">
        <v>2</v>
      </c>
      <c r="Q18" s="362"/>
      <c r="R18" s="362"/>
      <c r="S18" s="362"/>
      <c r="T18" s="536"/>
      <c r="U18" s="536"/>
      <c r="V18" s="362"/>
      <c r="W18" s="362"/>
      <c r="X18" s="362"/>
      <c r="Y18" s="362"/>
      <c r="Z18" s="538"/>
      <c r="AA18" s="362"/>
      <c r="AB18" s="362"/>
      <c r="AC18" s="362"/>
      <c r="AD18" s="362"/>
      <c r="AE18" s="362"/>
      <c r="AF18" s="362"/>
      <c r="AG18" s="362"/>
      <c r="AH18" s="362"/>
      <c r="AI18" s="362"/>
      <c r="AJ18" s="538"/>
      <c r="AK18" s="362"/>
      <c r="AL18" s="362"/>
      <c r="AM18" s="362"/>
      <c r="AN18" s="362"/>
      <c r="AO18" s="362"/>
      <c r="AP18" s="538"/>
      <c r="AQ18" s="362"/>
      <c r="AR18" s="538"/>
      <c r="AS18" s="362"/>
      <c r="AT18" s="538"/>
      <c r="AU18" s="362"/>
      <c r="AV18" s="362"/>
      <c r="AW18" s="362"/>
      <c r="AX18" s="362"/>
      <c r="AY18" s="362"/>
      <c r="AZ18" s="538"/>
      <c r="BA18" s="362"/>
      <c r="BB18" s="538"/>
      <c r="BC18" s="362"/>
      <c r="BD18" s="258"/>
      <c r="BE18" s="256"/>
      <c r="BF18" s="256"/>
      <c r="BG18" s="256"/>
      <c r="BH18" s="256"/>
      <c r="BI18" s="256"/>
      <c r="BJ18" s="258"/>
      <c r="BK18" s="256"/>
      <c r="BL18" s="258"/>
      <c r="BM18" s="256"/>
      <c r="BN18" s="258"/>
      <c r="BO18" s="256"/>
      <c r="BP18" s="256"/>
      <c r="BQ18" s="256"/>
      <c r="BR18" s="256"/>
      <c r="BS18" s="256"/>
      <c r="BT18" s="258"/>
      <c r="BU18" s="256"/>
      <c r="BV18" s="258"/>
      <c r="BW18" s="256"/>
      <c r="BX18" s="258"/>
      <c r="BY18" s="256"/>
      <c r="BZ18" s="256"/>
      <c r="CA18" s="256"/>
      <c r="CB18" s="256"/>
      <c r="CC18" s="256"/>
      <c r="CD18" s="258"/>
      <c r="CE18" s="256"/>
      <c r="CF18" s="258"/>
      <c r="CG18" s="256"/>
      <c r="CH18" s="889">
        <v>1</v>
      </c>
      <c r="CI18" s="256"/>
      <c r="CJ18" s="256"/>
      <c r="CK18" s="256"/>
      <c r="CL18" s="256"/>
      <c r="CM18" s="256"/>
      <c r="CN18" s="258">
        <v>1</v>
      </c>
      <c r="CO18" s="256"/>
      <c r="CP18" s="258">
        <v>1</v>
      </c>
      <c r="CQ18" s="256"/>
      <c r="CR18" s="258">
        <v>2</v>
      </c>
      <c r="CS18" s="256"/>
      <c r="CT18" s="256"/>
      <c r="CU18" s="256"/>
      <c r="CV18" s="256"/>
      <c r="CW18" s="256"/>
      <c r="CX18" s="258">
        <v>2</v>
      </c>
      <c r="CY18" s="256"/>
      <c r="CZ18" s="258">
        <v>2</v>
      </c>
      <c r="DA18" s="256"/>
      <c r="DB18" s="258">
        <v>3</v>
      </c>
      <c r="DC18" s="256"/>
      <c r="DD18" s="256"/>
      <c r="DE18" s="256"/>
      <c r="DF18" s="256"/>
      <c r="DG18" s="256"/>
      <c r="DH18" s="258">
        <v>3</v>
      </c>
      <c r="DI18" s="256"/>
      <c r="DJ18" s="258">
        <v>3</v>
      </c>
      <c r="DK18" s="256"/>
      <c r="DL18" s="258">
        <v>4</v>
      </c>
      <c r="DM18" s="256"/>
      <c r="DN18" s="256"/>
      <c r="DO18" s="256"/>
      <c r="DP18" s="256"/>
      <c r="DQ18" s="256"/>
      <c r="DR18" s="258">
        <v>4</v>
      </c>
      <c r="DS18" s="256"/>
      <c r="DT18" s="258">
        <v>4</v>
      </c>
      <c r="DV18" s="374"/>
      <c r="DW18" s="380"/>
      <c r="DX18" s="381" t="s">
        <v>1158</v>
      </c>
      <c r="DY18" s="235">
        <f>2^$DY$3/DY17</f>
        <v>512</v>
      </c>
      <c r="EC18" s="387">
        <v>0</v>
      </c>
      <c r="ED18" s="387">
        <v>0</v>
      </c>
      <c r="EE18" s="387">
        <v>0</v>
      </c>
      <c r="EF18" s="607" t="s">
        <v>1304</v>
      </c>
      <c r="EG18" s="390" t="s">
        <v>1305</v>
      </c>
      <c r="EH18" s="391" t="s">
        <v>1306</v>
      </c>
      <c r="EI18" s="390" t="s">
        <v>1307</v>
      </c>
      <c r="EJ18" s="391" t="s">
        <v>1308</v>
      </c>
      <c r="EK18" s="390" t="s">
        <v>1309</v>
      </c>
      <c r="EL18" s="391" t="s">
        <v>1310</v>
      </c>
      <c r="EM18" s="390" t="s">
        <v>1311</v>
      </c>
      <c r="EN18" s="390" t="s">
        <v>1312</v>
      </c>
      <c r="EO18" s="554" t="s">
        <v>2538</v>
      </c>
    </row>
    <row r="19" spans="2:145" ht="15" thickBot="1" x14ac:dyDescent="0.5"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  <c r="AF19" s="257"/>
      <c r="AG19" s="257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AY19" s="257"/>
      <c r="AZ19" s="257"/>
      <c r="BA19" s="257"/>
      <c r="BB19" s="257"/>
      <c r="BC19" s="257"/>
      <c r="BD19" s="257"/>
      <c r="BE19" s="257"/>
      <c r="BF19" s="257"/>
      <c r="BG19" s="257"/>
      <c r="BH19" s="257"/>
      <c r="BI19" s="257"/>
      <c r="BJ19" s="257"/>
      <c r="BK19" s="257"/>
      <c r="BL19" s="257"/>
      <c r="BM19" s="257"/>
      <c r="BN19" s="257"/>
      <c r="BO19" s="257"/>
      <c r="BP19" s="257"/>
      <c r="BQ19" s="257"/>
      <c r="BR19" s="257"/>
      <c r="BS19" s="257"/>
      <c r="BT19" s="257"/>
      <c r="BU19" s="257"/>
      <c r="BV19" s="257"/>
      <c r="BW19" s="257"/>
      <c r="BY19" s="257"/>
      <c r="BZ19" s="257"/>
      <c r="CA19" s="257"/>
      <c r="CB19" s="257"/>
      <c r="CC19" s="257"/>
      <c r="CD19" s="348"/>
      <c r="CE19" s="348"/>
      <c r="CF19" s="348"/>
      <c r="CG19" s="348"/>
      <c r="CH19" s="257"/>
      <c r="CI19" s="257"/>
      <c r="CJ19" s="257"/>
      <c r="CK19" s="257"/>
      <c r="CL19" s="257"/>
      <c r="CM19" s="257"/>
      <c r="CN19" s="257"/>
      <c r="CR19" s="257"/>
      <c r="CS19" s="257"/>
      <c r="CT19" s="257"/>
      <c r="CU19" s="257"/>
      <c r="CV19" s="257"/>
      <c r="CW19" s="257"/>
      <c r="CX19" s="257"/>
      <c r="DB19" s="257"/>
      <c r="DC19" s="257"/>
      <c r="DD19" s="257"/>
      <c r="DE19" s="257"/>
      <c r="DF19" s="257"/>
      <c r="DG19" s="257"/>
      <c r="DH19" s="257"/>
      <c r="DL19" s="257"/>
      <c r="DM19" s="257"/>
      <c r="DN19" s="257"/>
      <c r="DO19" s="257"/>
      <c r="DP19" s="257"/>
      <c r="DQ19" s="257"/>
      <c r="DR19" s="257"/>
    </row>
    <row r="20" spans="2:145" ht="15.5" thickTop="1" thickBot="1" x14ac:dyDescent="0.5">
      <c r="D20" s="248"/>
      <c r="E20" s="248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257"/>
      <c r="AG20" s="257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T20" s="257"/>
      <c r="AU20" s="257"/>
      <c r="AV20" s="257"/>
      <c r="AW20" s="257"/>
      <c r="AX20" s="257"/>
      <c r="AY20" s="257"/>
      <c r="AZ20" s="257"/>
      <c r="BA20" s="257"/>
      <c r="BB20" s="257"/>
      <c r="BC20" s="257"/>
      <c r="BD20" s="257"/>
      <c r="BE20" s="257"/>
      <c r="BF20" s="257"/>
      <c r="BG20" s="257"/>
      <c r="BH20" s="257"/>
      <c r="BI20" s="257"/>
      <c r="BJ20" s="257"/>
      <c r="BK20" s="257"/>
      <c r="BL20" s="257"/>
      <c r="BM20" s="257"/>
      <c r="BN20" s="257"/>
      <c r="BO20" s="257"/>
      <c r="BP20" s="257"/>
      <c r="BQ20" s="257"/>
      <c r="BR20" s="257"/>
      <c r="BS20" s="257"/>
      <c r="BT20" s="539"/>
      <c r="BU20" s="539"/>
      <c r="BV20" s="539"/>
      <c r="BW20" s="539"/>
      <c r="BX20" s="257"/>
      <c r="BY20" s="257"/>
      <c r="BZ20" s="257"/>
      <c r="CA20" s="257"/>
      <c r="CB20" s="257"/>
      <c r="CC20" s="257"/>
      <c r="CD20" s="257"/>
      <c r="CE20" s="257"/>
      <c r="CF20" s="257"/>
      <c r="CG20" s="257"/>
      <c r="CH20" s="257"/>
      <c r="CI20" s="257"/>
      <c r="CJ20" s="257"/>
      <c r="CK20" s="257"/>
      <c r="CL20" s="257"/>
      <c r="CM20" s="257"/>
      <c r="CN20" s="257"/>
      <c r="CR20" s="257"/>
      <c r="CS20" s="257"/>
      <c r="CT20" s="257"/>
      <c r="CU20" s="257"/>
      <c r="CV20" s="257"/>
      <c r="CW20" s="257"/>
      <c r="CX20" s="257"/>
      <c r="DB20" s="257"/>
      <c r="DC20" s="257"/>
      <c r="DD20" s="257"/>
      <c r="DE20" s="257"/>
      <c r="DF20" s="257"/>
      <c r="DG20" s="257"/>
      <c r="DH20" s="257"/>
      <c r="DL20" s="257"/>
      <c r="DM20" s="257"/>
      <c r="DN20" s="257"/>
      <c r="DO20" s="257"/>
      <c r="DP20" s="257"/>
      <c r="DQ20" s="257"/>
      <c r="DR20" s="257"/>
      <c r="DV20" s="236"/>
      <c r="DW20" s="236" t="s">
        <v>1290</v>
      </c>
      <c r="DX20" s="236" t="s">
        <v>18</v>
      </c>
      <c r="DY20" s="354">
        <v>14</v>
      </c>
      <c r="DZ20" s="236"/>
      <c r="EA20" s="395" t="s">
        <v>1321</v>
      </c>
      <c r="EB20" s="396" t="s">
        <v>1301</v>
      </c>
      <c r="EC20" s="395" t="s">
        <v>1300</v>
      </c>
      <c r="ED20" s="397" t="s">
        <v>1302</v>
      </c>
      <c r="EE20" s="397" t="s">
        <v>1341</v>
      </c>
      <c r="EF20" s="396" t="s">
        <v>1340</v>
      </c>
      <c r="EG20" s="395" t="s">
        <v>1339</v>
      </c>
      <c r="EH20" s="397" t="s">
        <v>1338</v>
      </c>
      <c r="EI20" s="397" t="s">
        <v>1337</v>
      </c>
      <c r="EJ20" s="396" t="s">
        <v>1336</v>
      </c>
      <c r="EK20" s="395" t="s">
        <v>1333</v>
      </c>
      <c r="EL20" s="397" t="s">
        <v>1334</v>
      </c>
      <c r="EM20" s="397" t="s">
        <v>1335</v>
      </c>
      <c r="EN20" s="396" t="s">
        <v>1313</v>
      </c>
    </row>
    <row r="21" spans="2:145" ht="15.5" thickTop="1" thickBot="1" x14ac:dyDescent="0.5">
      <c r="B21" s="521" t="s">
        <v>1423</v>
      </c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551"/>
      <c r="AK21" s="552"/>
      <c r="AL21" s="553"/>
      <c r="AM21" s="541"/>
      <c r="AN21" s="542"/>
      <c r="AO21" s="541"/>
      <c r="AP21" s="547"/>
      <c r="AQ21" s="548"/>
      <c r="AR21" s="549"/>
      <c r="AS21" s="550"/>
      <c r="AT21" s="540"/>
      <c r="AU21" s="541"/>
      <c r="AV21" s="542"/>
      <c r="AW21" s="541"/>
      <c r="AX21" s="542"/>
      <c r="AY21" s="541"/>
      <c r="AZ21" s="547"/>
      <c r="BA21" s="548"/>
      <c r="BB21" s="549"/>
      <c r="BC21" s="550"/>
      <c r="BD21" s="540"/>
      <c r="BE21" s="541"/>
      <c r="BF21" s="542"/>
      <c r="BG21" s="541"/>
      <c r="BH21" s="542"/>
      <c r="BI21" s="541"/>
      <c r="BJ21" s="543"/>
      <c r="BK21" s="544"/>
      <c r="BL21" s="545"/>
      <c r="BM21" s="546"/>
      <c r="BN21" s="540"/>
      <c r="BO21" s="541"/>
      <c r="BP21" s="542"/>
      <c r="BQ21" s="541"/>
      <c r="BR21" s="542"/>
      <c r="BS21" s="541"/>
      <c r="BT21" s="543"/>
      <c r="BU21" s="544"/>
      <c r="BV21" s="545"/>
      <c r="BW21" s="546"/>
      <c r="BX21" s="540"/>
      <c r="BY21" s="541"/>
      <c r="BZ21" s="542"/>
      <c r="CA21" s="541"/>
      <c r="CB21" s="542"/>
      <c r="CC21" s="541"/>
      <c r="CD21" s="543"/>
      <c r="CE21" s="544"/>
      <c r="CF21" s="545"/>
      <c r="CG21" s="676"/>
      <c r="CH21" s="551"/>
      <c r="CI21" s="552"/>
      <c r="CJ21" s="553"/>
      <c r="CK21" s="553"/>
      <c r="CL21" s="553"/>
      <c r="CM21" s="553"/>
      <c r="CN21" s="547"/>
      <c r="CO21" s="548"/>
      <c r="CP21" s="549"/>
      <c r="CQ21" s="550"/>
      <c r="CR21" s="551"/>
      <c r="CS21" s="552"/>
      <c r="CT21" s="553"/>
      <c r="CU21" s="553"/>
      <c r="CV21" s="553"/>
      <c r="CW21" s="553"/>
      <c r="CX21" s="547"/>
      <c r="CY21" s="548"/>
      <c r="CZ21" s="549"/>
      <c r="DA21" s="550"/>
      <c r="DB21" s="551"/>
      <c r="DC21" s="552"/>
      <c r="DD21" s="553"/>
      <c r="DE21" s="553"/>
      <c r="DF21" s="553"/>
      <c r="DG21" s="553"/>
      <c r="DH21" s="547"/>
      <c r="DI21" s="548"/>
      <c r="DJ21" s="549"/>
      <c r="DK21" s="550"/>
      <c r="DL21" s="551"/>
      <c r="DM21" s="552"/>
      <c r="DN21" s="553"/>
      <c r="DO21" s="553"/>
      <c r="DP21" s="553"/>
      <c r="DQ21" s="553"/>
      <c r="DR21" s="547"/>
      <c r="DS21" s="548"/>
      <c r="DT21" s="549"/>
      <c r="DV21" s="236"/>
      <c r="DW21" s="236"/>
      <c r="DX21" s="236"/>
      <c r="DZ21" s="234"/>
      <c r="EA21" s="246"/>
      <c r="EB21" s="246"/>
      <c r="EC21" s="246"/>
      <c r="ED21" s="246"/>
      <c r="EE21" s="246"/>
      <c r="EF21" s="246"/>
      <c r="EG21" s="246"/>
      <c r="EH21" s="246"/>
      <c r="EI21" s="246"/>
      <c r="EJ21" s="246"/>
      <c r="EK21" s="246"/>
      <c r="EL21" s="246"/>
      <c r="EM21" s="246"/>
      <c r="EN21" s="246"/>
    </row>
    <row r="22" spans="2:145" x14ac:dyDescent="0.45"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  <c r="AF22" s="257"/>
      <c r="AG22" s="257"/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7"/>
      <c r="AS22" s="257"/>
      <c r="AT22" s="257"/>
      <c r="AU22" s="257"/>
      <c r="AV22" s="257"/>
      <c r="AW22" s="257"/>
      <c r="AX22" s="257"/>
      <c r="AY22" s="257"/>
      <c r="AZ22" s="257"/>
      <c r="BA22" s="257"/>
      <c r="BB22" s="257"/>
      <c r="BC22" s="257"/>
      <c r="BD22" s="257"/>
      <c r="BE22" s="257"/>
      <c r="BF22" s="257"/>
      <c r="BG22" s="257"/>
      <c r="BH22" s="257"/>
      <c r="BI22" s="257"/>
      <c r="BJ22" s="257"/>
      <c r="BK22" s="257"/>
      <c r="BL22" s="257"/>
      <c r="BM22" s="257"/>
      <c r="BN22" s="257"/>
      <c r="BO22" s="257"/>
      <c r="BP22" s="257"/>
      <c r="BQ22" s="257"/>
      <c r="BR22" s="257"/>
      <c r="BS22" s="257"/>
      <c r="BT22" s="257"/>
      <c r="BU22" s="348"/>
      <c r="BV22" s="348"/>
      <c r="BW22" s="348"/>
      <c r="BX22" s="257"/>
      <c r="BY22" s="257"/>
      <c r="BZ22" s="257"/>
      <c r="CA22" s="257"/>
      <c r="CB22" s="257"/>
      <c r="CC22" s="257"/>
      <c r="CD22" s="257"/>
      <c r="CE22" s="257"/>
      <c r="CF22" s="257"/>
      <c r="CG22" s="257"/>
      <c r="CH22" s="348"/>
      <c r="CI22" s="348"/>
      <c r="CJ22" s="348"/>
      <c r="CK22" s="348"/>
      <c r="CL22" s="348"/>
      <c r="CM22" s="348"/>
      <c r="CN22" s="348"/>
      <c r="CO22" s="468"/>
      <c r="CP22" s="468"/>
      <c r="CQ22" s="468"/>
      <c r="CR22" s="468"/>
      <c r="CS22" s="468"/>
      <c r="CT22" s="468"/>
      <c r="CU22" s="468"/>
      <c r="CW22" s="257"/>
      <c r="DV22" s="372" t="s">
        <v>933</v>
      </c>
      <c r="DW22" s="376" t="s">
        <v>1299</v>
      </c>
      <c r="DX22" s="377" t="s">
        <v>5</v>
      </c>
      <c r="DY22" s="235">
        <v>4</v>
      </c>
      <c r="EA22" s="388" t="s">
        <v>1321</v>
      </c>
      <c r="EB22" s="389" t="s">
        <v>1301</v>
      </c>
      <c r="EC22" s="390" t="s">
        <v>1300</v>
      </c>
      <c r="ED22" s="391" t="s">
        <v>1302</v>
      </c>
      <c r="EE22" s="390" t="s">
        <v>1303</v>
      </c>
      <c r="EF22" s="391" t="s">
        <v>1304</v>
      </c>
      <c r="EG22" s="390" t="s">
        <v>1305</v>
      </c>
      <c r="EH22" s="391" t="s">
        <v>1306</v>
      </c>
      <c r="EI22" s="390" t="s">
        <v>1307</v>
      </c>
      <c r="EJ22" s="391" t="s">
        <v>1308</v>
      </c>
      <c r="EK22" s="390" t="s">
        <v>1309</v>
      </c>
      <c r="EL22" s="391" t="s">
        <v>1310</v>
      </c>
      <c r="EM22" s="390" t="s">
        <v>1311</v>
      </c>
      <c r="EN22" s="390" t="s">
        <v>1312</v>
      </c>
    </row>
    <row r="23" spans="2:145" x14ac:dyDescent="0.45">
      <c r="T23" s="257"/>
      <c r="BX23" s="246"/>
      <c r="BY23" s="246"/>
      <c r="BZ23" s="246"/>
      <c r="CA23" s="246"/>
      <c r="CB23" s="246"/>
      <c r="CC23" s="246"/>
      <c r="CD23" s="246"/>
      <c r="CE23" s="246"/>
      <c r="CF23" s="246"/>
      <c r="CG23" s="246"/>
      <c r="CH23" s="246"/>
      <c r="CI23" s="246"/>
      <c r="CJ23" s="246"/>
      <c r="CK23" s="246"/>
      <c r="CL23" s="246"/>
      <c r="CM23" s="246"/>
      <c r="CN23" s="246"/>
      <c r="CW23" s="246"/>
      <c r="DV23" s="373"/>
      <c r="DW23" s="378"/>
      <c r="DX23" s="379" t="s">
        <v>1158</v>
      </c>
      <c r="DY23" s="235">
        <f>2^$DY$20/DY22</f>
        <v>4096</v>
      </c>
      <c r="EA23" s="246"/>
      <c r="EB23" s="246"/>
      <c r="EC23" s="246"/>
      <c r="ED23" s="246"/>
      <c r="EE23" s="246"/>
      <c r="EF23" s="246"/>
      <c r="EG23" s="246"/>
      <c r="EH23" s="246"/>
      <c r="EI23" s="246"/>
      <c r="EJ23" s="246"/>
      <c r="EK23" s="246"/>
      <c r="EL23" s="246"/>
      <c r="EM23" s="246"/>
      <c r="EN23" s="246"/>
    </row>
    <row r="24" spans="2:145" x14ac:dyDescent="0.45"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234"/>
      <c r="AT24" s="234"/>
      <c r="AU24" s="234"/>
      <c r="AV24" s="234"/>
      <c r="AW24" s="234"/>
      <c r="AX24" s="234"/>
      <c r="AY24" s="234"/>
      <c r="AZ24" s="234"/>
      <c r="BA24" s="234"/>
      <c r="BB24" s="234"/>
      <c r="BC24" s="234"/>
      <c r="BD24" s="234"/>
      <c r="BE24" s="234"/>
      <c r="BF24" s="234"/>
      <c r="BG24" s="234"/>
      <c r="BH24" s="234"/>
      <c r="BI24" s="234"/>
      <c r="BJ24" s="234"/>
      <c r="BK24" s="234"/>
      <c r="BL24" s="234"/>
      <c r="BM24" s="234"/>
      <c r="BN24" s="234"/>
      <c r="BO24" s="234"/>
      <c r="BP24" s="234"/>
      <c r="BQ24" s="234"/>
      <c r="BR24" s="234"/>
      <c r="BS24" s="234"/>
      <c r="BT24" s="234"/>
      <c r="BU24" s="234"/>
      <c r="BV24" s="234"/>
      <c r="BW24" s="234"/>
      <c r="DV24" s="373"/>
      <c r="DW24" s="376" t="s">
        <v>1299</v>
      </c>
      <c r="DX24" s="377" t="s">
        <v>5</v>
      </c>
      <c r="DY24" s="235">
        <v>8</v>
      </c>
      <c r="EA24" s="388" t="s">
        <v>1321</v>
      </c>
      <c r="EB24" s="389" t="s">
        <v>1301</v>
      </c>
      <c r="EC24" s="388" t="s">
        <v>1300</v>
      </c>
      <c r="ED24" s="391" t="s">
        <v>1302</v>
      </c>
      <c r="EE24" s="390" t="s">
        <v>1303</v>
      </c>
      <c r="EF24" s="391" t="s">
        <v>1304</v>
      </c>
      <c r="EG24" s="390" t="s">
        <v>1305</v>
      </c>
      <c r="EH24" s="391" t="s">
        <v>1306</v>
      </c>
      <c r="EI24" s="390" t="s">
        <v>1307</v>
      </c>
      <c r="EJ24" s="391" t="s">
        <v>1308</v>
      </c>
      <c r="EK24" s="390" t="s">
        <v>1309</v>
      </c>
      <c r="EL24" s="391" t="s">
        <v>1310</v>
      </c>
      <c r="EM24" s="390" t="s">
        <v>1311</v>
      </c>
      <c r="EN24" s="390" t="s">
        <v>1312</v>
      </c>
    </row>
    <row r="25" spans="2:145" x14ac:dyDescent="0.45"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  <c r="AM25" s="234"/>
      <c r="AN25" s="234"/>
      <c r="AO25" s="234"/>
      <c r="AP25" s="234"/>
      <c r="AQ25" s="234"/>
      <c r="AR25" s="234"/>
      <c r="AS25" s="234"/>
      <c r="AT25" s="234"/>
      <c r="AU25" s="234"/>
      <c r="AV25" s="234"/>
      <c r="AW25" s="234"/>
      <c r="AX25" s="234"/>
      <c r="AY25" s="234"/>
      <c r="AZ25" s="234"/>
      <c r="BA25" s="234"/>
      <c r="BB25" s="234"/>
      <c r="BC25" s="234"/>
      <c r="BD25" s="234"/>
      <c r="BE25" s="234"/>
      <c r="BF25" s="234"/>
      <c r="BG25" s="234"/>
      <c r="BH25" s="234"/>
      <c r="BI25" s="234"/>
      <c r="BJ25" s="234"/>
      <c r="BK25" s="234"/>
      <c r="BL25" s="234"/>
      <c r="BM25" s="234"/>
      <c r="BN25" s="234"/>
      <c r="BO25" s="234"/>
      <c r="BP25" s="234"/>
      <c r="BQ25" s="234"/>
      <c r="BR25" s="234"/>
      <c r="BS25" s="234"/>
      <c r="BT25" s="234"/>
      <c r="BU25" s="234"/>
      <c r="BV25" s="234"/>
      <c r="BW25" s="234"/>
      <c r="DV25" s="373"/>
      <c r="DW25" s="378"/>
      <c r="DX25" s="379" t="s">
        <v>1158</v>
      </c>
      <c r="DY25" s="235">
        <f>2^$DY$20/DY24</f>
        <v>2048</v>
      </c>
      <c r="EA25" s="246"/>
      <c r="EB25" s="246"/>
      <c r="EC25" s="246"/>
      <c r="ED25" s="246"/>
      <c r="EE25" s="246"/>
      <c r="EF25" s="246"/>
      <c r="EG25" s="246"/>
      <c r="EH25" s="246"/>
      <c r="EI25" s="246"/>
      <c r="EJ25" s="246"/>
      <c r="EK25" s="246"/>
      <c r="EL25" s="246"/>
      <c r="EM25" s="246"/>
      <c r="EN25" s="246"/>
    </row>
    <row r="26" spans="2:145" x14ac:dyDescent="0.45"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/>
      <c r="AP26" s="234"/>
      <c r="AQ26" s="234"/>
      <c r="AR26" s="234"/>
      <c r="AS26" s="234"/>
      <c r="AT26" s="234"/>
      <c r="AU26" s="234"/>
      <c r="AV26" s="234"/>
      <c r="AW26" s="234"/>
      <c r="AX26" s="234"/>
      <c r="AY26" s="234"/>
      <c r="AZ26" s="234"/>
      <c r="BA26" s="234"/>
      <c r="BB26" s="234"/>
      <c r="BC26" s="234"/>
      <c r="BD26" s="234"/>
      <c r="BE26" s="234"/>
      <c r="BF26" s="234"/>
      <c r="BG26" s="234"/>
      <c r="BH26" s="234"/>
      <c r="BI26" s="234"/>
      <c r="BJ26" s="234"/>
      <c r="BK26" s="234"/>
      <c r="BL26" s="234"/>
      <c r="BM26" s="234"/>
      <c r="BN26" s="234"/>
      <c r="BO26" s="234"/>
      <c r="BP26" s="234"/>
      <c r="BQ26" s="234"/>
      <c r="BR26" s="234"/>
      <c r="BS26" s="234"/>
      <c r="BT26" s="234"/>
      <c r="BU26" s="234"/>
      <c r="BV26" s="234"/>
      <c r="BW26" s="234"/>
      <c r="DV26" s="373"/>
      <c r="DW26" s="376" t="s">
        <v>1299</v>
      </c>
      <c r="DX26" s="377" t="s">
        <v>5</v>
      </c>
      <c r="DY26" s="235">
        <v>16</v>
      </c>
      <c r="EA26" s="388" t="s">
        <v>1321</v>
      </c>
      <c r="EB26" s="389" t="s">
        <v>1301</v>
      </c>
      <c r="EC26" s="388" t="s">
        <v>1300</v>
      </c>
      <c r="ED26" s="389" t="s">
        <v>1302</v>
      </c>
      <c r="EE26" s="390" t="s">
        <v>1303</v>
      </c>
      <c r="EF26" s="391" t="s">
        <v>1304</v>
      </c>
      <c r="EG26" s="390" t="s">
        <v>1305</v>
      </c>
      <c r="EH26" s="391" t="s">
        <v>1306</v>
      </c>
      <c r="EI26" s="390" t="s">
        <v>1307</v>
      </c>
      <c r="EJ26" s="391" t="s">
        <v>1308</v>
      </c>
      <c r="EK26" s="390" t="s">
        <v>1309</v>
      </c>
      <c r="EL26" s="391" t="s">
        <v>1310</v>
      </c>
      <c r="EM26" s="390" t="s">
        <v>1311</v>
      </c>
      <c r="EN26" s="390" t="s">
        <v>1312</v>
      </c>
    </row>
    <row r="27" spans="2:145" x14ac:dyDescent="0.45">
      <c r="DV27" s="373"/>
      <c r="DW27" s="378"/>
      <c r="DX27" s="379" t="s">
        <v>1158</v>
      </c>
      <c r="DY27" s="235">
        <f>2^$DY$20/DY26</f>
        <v>1024</v>
      </c>
      <c r="EA27" s="246"/>
      <c r="EB27" s="246"/>
      <c r="EC27" s="246"/>
      <c r="ED27" s="246"/>
      <c r="EE27" s="246"/>
      <c r="EF27" s="246"/>
      <c r="EG27" s="246"/>
      <c r="EH27" s="246"/>
      <c r="EI27" s="246"/>
      <c r="EJ27" s="246"/>
      <c r="EK27" s="246"/>
      <c r="EL27" s="246"/>
      <c r="EM27" s="246"/>
      <c r="EN27" s="246"/>
    </row>
    <row r="28" spans="2:145" x14ac:dyDescent="0.45">
      <c r="DV28" s="373"/>
      <c r="DW28" s="376" t="s">
        <v>1299</v>
      </c>
      <c r="DX28" s="377" t="s">
        <v>5</v>
      </c>
      <c r="DY28" s="235">
        <v>32</v>
      </c>
      <c r="EA28" s="388" t="s">
        <v>1321</v>
      </c>
      <c r="EB28" s="389" t="s">
        <v>1301</v>
      </c>
      <c r="EC28" s="388" t="s">
        <v>1300</v>
      </c>
      <c r="ED28" s="389" t="s">
        <v>1302</v>
      </c>
      <c r="EE28" s="388" t="s">
        <v>1303</v>
      </c>
      <c r="EF28" s="391" t="s">
        <v>1304</v>
      </c>
      <c r="EG28" s="390" t="s">
        <v>1305</v>
      </c>
      <c r="EH28" s="391" t="s">
        <v>1306</v>
      </c>
      <c r="EI28" s="390" t="s">
        <v>1307</v>
      </c>
      <c r="EJ28" s="391" t="s">
        <v>1308</v>
      </c>
      <c r="EK28" s="390" t="s">
        <v>1309</v>
      </c>
      <c r="EL28" s="391" t="s">
        <v>1310</v>
      </c>
      <c r="EM28" s="390" t="s">
        <v>1311</v>
      </c>
      <c r="EN28" s="390" t="s">
        <v>1312</v>
      </c>
    </row>
    <row r="29" spans="2:145" x14ac:dyDescent="0.45">
      <c r="B29" s="623" t="s">
        <v>2016</v>
      </c>
      <c r="C29" s="615"/>
      <c r="D29" s="616"/>
      <c r="E29" s="616"/>
      <c r="F29" s="616"/>
      <c r="G29" s="616"/>
      <c r="H29" s="616"/>
      <c r="I29" s="616"/>
      <c r="J29" s="616"/>
      <c r="K29" s="616"/>
      <c r="L29" s="616"/>
      <c r="M29" s="616"/>
      <c r="N29" s="616"/>
      <c r="O29" s="616"/>
      <c r="P29" s="616"/>
      <c r="Q29" s="616"/>
      <c r="R29" s="616"/>
      <c r="S29" s="616"/>
      <c r="T29" s="616"/>
      <c r="U29" s="616"/>
      <c r="V29" s="616"/>
      <c r="W29" s="616"/>
      <c r="X29" s="616"/>
      <c r="Y29" s="616"/>
      <c r="Z29" s="616"/>
      <c r="AA29" s="616"/>
      <c r="AB29" s="616"/>
      <c r="AC29" s="616"/>
      <c r="AD29" s="616"/>
      <c r="AE29" s="616"/>
      <c r="AF29" s="616"/>
      <c r="AG29" s="616"/>
      <c r="AH29" s="616"/>
      <c r="AI29" s="616"/>
      <c r="AJ29" s="616"/>
      <c r="AK29" s="616"/>
      <c r="AL29" s="616"/>
      <c r="AM29" s="616"/>
      <c r="AN29" s="616"/>
      <c r="AO29" s="616"/>
      <c r="AP29" s="616"/>
      <c r="AQ29" s="616"/>
      <c r="AR29" s="616"/>
      <c r="AS29" s="616"/>
      <c r="AT29" s="616"/>
      <c r="AU29" s="616"/>
      <c r="AV29" s="616"/>
      <c r="AW29" s="616"/>
      <c r="AX29" s="616"/>
      <c r="AY29" s="616"/>
      <c r="AZ29" s="616"/>
      <c r="BA29" s="616"/>
      <c r="BB29" s="616"/>
      <c r="BC29" s="616"/>
      <c r="BD29" s="616"/>
      <c r="BE29" s="616"/>
      <c r="BF29" s="616"/>
      <c r="BG29" s="616"/>
      <c r="BH29" s="616"/>
      <c r="BI29" s="616"/>
      <c r="BJ29" s="616"/>
      <c r="BK29" s="616"/>
      <c r="BL29" s="616"/>
      <c r="BM29" s="616"/>
      <c r="BN29" s="616"/>
      <c r="BO29" s="616"/>
      <c r="BP29" s="616"/>
      <c r="BQ29" s="616"/>
      <c r="BR29" s="616"/>
      <c r="BS29" s="616"/>
      <c r="BT29" s="616"/>
      <c r="BU29" s="616"/>
      <c r="BV29" s="616"/>
      <c r="BW29" s="616"/>
      <c r="BX29" s="614"/>
      <c r="BY29" s="614"/>
      <c r="BZ29" s="614"/>
      <c r="CA29" s="614"/>
      <c r="CB29" s="614"/>
      <c r="CC29" s="614"/>
      <c r="CD29" s="614"/>
      <c r="CE29" s="614"/>
      <c r="CF29" s="614"/>
      <c r="CG29" s="614"/>
      <c r="CH29" s="614"/>
      <c r="CI29" s="614"/>
      <c r="CJ29" s="614"/>
      <c r="CK29" s="614"/>
      <c r="CL29" s="614"/>
      <c r="CM29" s="614"/>
      <c r="CN29" s="614"/>
      <c r="CO29" s="614"/>
      <c r="CP29" s="614"/>
      <c r="CQ29" s="614"/>
      <c r="CR29" s="614"/>
      <c r="CS29" s="614"/>
      <c r="CT29" s="614"/>
      <c r="CU29" s="614"/>
      <c r="CV29" s="614"/>
      <c r="CW29" s="614"/>
      <c r="CX29" s="614"/>
      <c r="CY29" s="614"/>
      <c r="CZ29" s="614"/>
      <c r="DA29" s="614"/>
      <c r="DB29" s="614"/>
      <c r="DC29" s="614"/>
      <c r="DD29" s="614"/>
      <c r="DE29" s="614"/>
      <c r="DF29" s="614"/>
      <c r="DG29" s="614"/>
      <c r="DH29" s="614"/>
      <c r="DI29" s="614"/>
      <c r="DJ29" s="614"/>
      <c r="DK29" s="614"/>
      <c r="DL29" s="614"/>
      <c r="DM29" s="614"/>
      <c r="DN29" s="614"/>
      <c r="DO29" s="614"/>
      <c r="DP29" s="614"/>
      <c r="DQ29" s="614"/>
      <c r="DR29" s="614"/>
      <c r="DS29" s="614"/>
      <c r="DT29" s="614"/>
      <c r="DV29" s="373"/>
      <c r="DW29" s="378"/>
      <c r="DX29" s="379" t="s">
        <v>1158</v>
      </c>
      <c r="DY29" s="235">
        <f>2^$DY$20/DY28</f>
        <v>512</v>
      </c>
      <c r="EA29" s="246"/>
      <c r="EB29" s="246"/>
      <c r="EC29" s="246"/>
      <c r="ED29" s="246"/>
      <c r="EE29" s="246"/>
      <c r="EF29" s="246"/>
      <c r="EG29" s="246"/>
      <c r="EH29" s="246"/>
      <c r="EI29" s="246"/>
      <c r="EJ29" s="246"/>
      <c r="EK29" s="246"/>
      <c r="EL29" s="246"/>
      <c r="EM29" s="246"/>
      <c r="EN29" s="246"/>
    </row>
    <row r="30" spans="2:145" x14ac:dyDescent="0.45">
      <c r="B30" s="521" t="s">
        <v>1432</v>
      </c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7"/>
      <c r="BD30" s="247"/>
      <c r="BE30" s="247"/>
      <c r="BF30" s="247"/>
      <c r="BG30" s="247"/>
      <c r="BH30" s="247"/>
      <c r="BI30" s="247"/>
      <c r="BJ30" s="247"/>
      <c r="BK30" s="247"/>
      <c r="BL30" s="247"/>
      <c r="BM30" s="247"/>
      <c r="BN30" s="247"/>
      <c r="BO30" s="247"/>
      <c r="BP30" s="247"/>
      <c r="BQ30" s="247"/>
      <c r="BR30" s="247"/>
      <c r="BS30" s="247"/>
      <c r="BT30" s="247"/>
      <c r="BU30" s="247"/>
      <c r="BV30" s="247"/>
      <c r="BW30" s="247"/>
      <c r="BX30" s="247"/>
      <c r="BY30" s="247"/>
      <c r="BZ30" s="347"/>
      <c r="CA30" s="323"/>
      <c r="CB30" s="247"/>
      <c r="CC30" s="247"/>
      <c r="CD30" s="247"/>
      <c r="CE30" s="247"/>
      <c r="CF30" s="247"/>
      <c r="CG30" s="247"/>
      <c r="CH30" s="247"/>
      <c r="CI30" s="247"/>
      <c r="CJ30" s="247"/>
      <c r="CK30" s="247"/>
      <c r="CL30" s="247"/>
      <c r="CM30" s="247"/>
      <c r="CN30" s="247"/>
      <c r="CO30" s="247"/>
      <c r="CP30" s="247"/>
      <c r="CQ30" s="247"/>
      <c r="CR30" s="247"/>
      <c r="CS30" s="247"/>
      <c r="CT30" s="247"/>
      <c r="CU30" s="247"/>
      <c r="CV30" s="247"/>
      <c r="CW30" s="247"/>
      <c r="CX30" s="247"/>
      <c r="CY30" s="247"/>
      <c r="CZ30" s="247"/>
      <c r="DA30" s="247"/>
      <c r="DB30" s="247"/>
      <c r="DC30" s="247"/>
      <c r="DV30" s="373"/>
      <c r="DW30" s="376" t="s">
        <v>1299</v>
      </c>
      <c r="DX30" s="377" t="s">
        <v>5</v>
      </c>
      <c r="DY30" s="235">
        <v>64</v>
      </c>
      <c r="EA30" s="388" t="s">
        <v>1321</v>
      </c>
      <c r="EB30" s="389" t="s">
        <v>1301</v>
      </c>
      <c r="EC30" s="388" t="s">
        <v>1300</v>
      </c>
      <c r="ED30" s="389" t="s">
        <v>1302</v>
      </c>
      <c r="EE30" s="388" t="s">
        <v>1303</v>
      </c>
      <c r="EF30" s="389" t="s">
        <v>1304</v>
      </c>
      <c r="EG30" s="390" t="s">
        <v>1305</v>
      </c>
      <c r="EH30" s="391" t="s">
        <v>1306</v>
      </c>
      <c r="EI30" s="390" t="s">
        <v>1307</v>
      </c>
      <c r="EJ30" s="391" t="s">
        <v>1308</v>
      </c>
      <c r="EK30" s="390" t="s">
        <v>1309</v>
      </c>
      <c r="EL30" s="391" t="s">
        <v>1310</v>
      </c>
      <c r="EM30" s="390" t="s">
        <v>1311</v>
      </c>
      <c r="EN30" s="390" t="s">
        <v>1312</v>
      </c>
    </row>
    <row r="31" spans="2:145" x14ac:dyDescent="0.45">
      <c r="D31" s="235"/>
      <c r="E31" s="235"/>
      <c r="F31" s="235"/>
      <c r="G31" s="235"/>
      <c r="BK31" s="234"/>
      <c r="BL31" s="234"/>
      <c r="BM31" s="234"/>
      <c r="BN31" s="234"/>
      <c r="BO31" s="234"/>
      <c r="BP31" s="234"/>
      <c r="BQ31" s="234"/>
      <c r="BR31" s="234"/>
      <c r="BS31" s="234"/>
      <c r="BT31" s="234"/>
      <c r="BU31" s="234"/>
      <c r="BV31" s="234"/>
      <c r="BW31" s="234"/>
      <c r="BY31" s="261"/>
      <c r="DV31" s="378"/>
      <c r="DW31" s="378"/>
      <c r="DX31" s="379" t="s">
        <v>1158</v>
      </c>
      <c r="DY31" s="235">
        <f>2^$DY$20/DY30</f>
        <v>256</v>
      </c>
      <c r="EA31" s="246"/>
      <c r="EB31" s="246"/>
      <c r="EC31" s="246"/>
      <c r="ED31" s="246"/>
      <c r="EE31" s="246"/>
      <c r="EF31" s="246"/>
      <c r="EG31" s="246"/>
      <c r="EH31" s="246"/>
      <c r="EI31" s="246"/>
      <c r="EJ31" s="246"/>
      <c r="EK31" s="246"/>
      <c r="EL31" s="246"/>
      <c r="EM31" s="246"/>
      <c r="EN31" s="246"/>
    </row>
    <row r="32" spans="2:145" x14ac:dyDescent="0.45">
      <c r="D32" s="234"/>
      <c r="E32" s="234"/>
      <c r="F32" s="234"/>
      <c r="G32" s="234"/>
      <c r="H32" s="234"/>
      <c r="BK32" s="234"/>
      <c r="BL32" s="234"/>
      <c r="BM32" s="234"/>
      <c r="BN32" s="234"/>
      <c r="BO32" s="234"/>
      <c r="BP32" s="234"/>
      <c r="BQ32" s="234"/>
      <c r="BR32" s="234"/>
      <c r="BS32" s="234"/>
      <c r="BT32" s="234"/>
      <c r="BU32" s="234"/>
      <c r="BV32" s="234"/>
      <c r="BW32" s="234"/>
      <c r="BY32" s="261"/>
      <c r="DV32" s="372" t="s">
        <v>1316</v>
      </c>
      <c r="DW32" s="386" t="s">
        <v>1332</v>
      </c>
      <c r="DX32" s="377"/>
      <c r="EC32" s="235"/>
      <c r="ED32" s="235"/>
      <c r="EE32" s="235"/>
      <c r="EF32" s="235"/>
      <c r="EG32" s="235"/>
      <c r="EH32" s="235"/>
      <c r="EI32" s="235"/>
      <c r="EJ32" s="235"/>
      <c r="EK32" s="235"/>
      <c r="EL32" s="235"/>
      <c r="EM32" s="235"/>
      <c r="EN32" s="235"/>
      <c r="EO32" s="235"/>
    </row>
    <row r="33" spans="2:145" x14ac:dyDescent="0.45">
      <c r="B33" s="521" t="s">
        <v>1423</v>
      </c>
      <c r="D33" s="234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  <c r="AA33" s="271"/>
      <c r="AB33" s="257"/>
      <c r="AC33" s="257"/>
      <c r="AD33" s="257"/>
      <c r="AE33" s="257"/>
      <c r="AF33" s="257"/>
      <c r="AG33" s="257"/>
      <c r="AH33" s="257"/>
      <c r="AI33" s="257"/>
      <c r="AJ33" s="257"/>
      <c r="AK33" s="257"/>
      <c r="AL33" s="272"/>
      <c r="AM33" s="273"/>
      <c r="AN33" s="273"/>
      <c r="AO33" s="273"/>
      <c r="AP33" s="273"/>
      <c r="AQ33" s="273"/>
      <c r="AR33" s="273"/>
      <c r="AS33" s="273"/>
      <c r="AT33" s="273"/>
      <c r="AU33" s="273"/>
      <c r="AV33" s="273"/>
      <c r="AW33" s="273"/>
      <c r="AX33" s="273"/>
      <c r="AY33" s="264"/>
      <c r="AZ33" s="265"/>
      <c r="BA33" s="257"/>
      <c r="BB33" s="257"/>
      <c r="BC33" s="257"/>
      <c r="BD33" s="257"/>
      <c r="BE33" s="257"/>
      <c r="BF33" s="257"/>
      <c r="BG33" s="257"/>
      <c r="BH33" s="257"/>
      <c r="BI33" s="257"/>
      <c r="BJ33" s="257"/>
      <c r="BK33" s="274"/>
      <c r="BL33" s="275"/>
      <c r="BM33" s="275"/>
      <c r="BN33" s="275"/>
      <c r="BO33" s="275"/>
      <c r="BP33" s="275"/>
      <c r="BQ33" s="275"/>
      <c r="BR33" s="275"/>
      <c r="BS33" s="275"/>
      <c r="BT33" s="275"/>
      <c r="BU33" s="275"/>
      <c r="BV33" s="266"/>
      <c r="BW33" s="266"/>
      <c r="BX33" s="266"/>
      <c r="BY33" s="267"/>
      <c r="CJ33" s="268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59"/>
      <c r="DV33" s="392">
        <v>0.25</v>
      </c>
      <c r="DW33" s="236" t="s">
        <v>1436</v>
      </c>
      <c r="DX33" s="379"/>
      <c r="DY33" s="312"/>
      <c r="DZ33" s="312"/>
      <c r="EA33" s="312"/>
      <c r="EB33" s="312"/>
      <c r="EC33" s="312"/>
      <c r="ED33" s="312"/>
      <c r="EE33" s="312"/>
      <c r="EF33" s="312"/>
      <c r="EG33" s="312"/>
      <c r="EH33" s="312"/>
      <c r="EI33" s="312"/>
      <c r="EJ33" s="312"/>
      <c r="EK33" s="312"/>
      <c r="EL33" s="312"/>
      <c r="EM33" s="312"/>
      <c r="EN33" s="312"/>
      <c r="EO33" s="312"/>
    </row>
    <row r="34" spans="2:145" ht="16" x14ac:dyDescent="0.45"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62"/>
      <c r="AC34" s="235"/>
      <c r="AD34" s="235"/>
      <c r="AE34" s="235"/>
      <c r="AF34" s="235"/>
      <c r="AG34" s="235"/>
      <c r="AH34" s="235"/>
      <c r="AI34" s="235"/>
      <c r="AJ34" s="235"/>
      <c r="AK34" s="263"/>
      <c r="AL34" s="235"/>
      <c r="AM34" s="235"/>
      <c r="AN34" s="235"/>
      <c r="AO34" s="235"/>
      <c r="AP34" s="235"/>
      <c r="AQ34" s="235"/>
      <c r="AR34" s="235"/>
      <c r="AS34" s="235"/>
      <c r="AT34" s="235"/>
      <c r="AU34" s="235"/>
      <c r="AV34" s="235"/>
      <c r="AW34" s="235"/>
      <c r="AX34" s="235"/>
      <c r="AY34" s="235"/>
      <c r="AZ34" s="235"/>
      <c r="BA34" s="262"/>
      <c r="BB34" s="235"/>
      <c r="BC34" s="235"/>
      <c r="BD34" s="235"/>
      <c r="BE34" s="235"/>
      <c r="BF34" s="235"/>
      <c r="BG34" s="235"/>
      <c r="BH34" s="235"/>
      <c r="BI34" s="235"/>
      <c r="BJ34" s="263"/>
      <c r="BK34" s="235"/>
      <c r="BL34" s="235"/>
      <c r="BM34" s="235"/>
      <c r="BN34" s="235"/>
      <c r="BO34" s="235"/>
      <c r="BP34" s="235"/>
      <c r="BQ34" s="235"/>
      <c r="BR34" s="235"/>
      <c r="BS34" s="235"/>
      <c r="BT34" s="235"/>
      <c r="BU34" s="235"/>
      <c r="BV34" s="235"/>
      <c r="BW34" s="235"/>
      <c r="BX34" s="235"/>
      <c r="BY34" s="235"/>
      <c r="BZ34" s="262"/>
      <c r="CA34" s="235"/>
      <c r="CB34" s="235"/>
      <c r="CC34" s="235"/>
      <c r="CD34" s="235"/>
      <c r="CE34" s="235"/>
      <c r="CF34" s="235"/>
      <c r="CG34" s="235"/>
      <c r="CH34" s="235"/>
      <c r="CI34" s="263"/>
      <c r="CJ34" s="235"/>
      <c r="CK34" s="235"/>
      <c r="CL34" s="235"/>
      <c r="CM34" s="235"/>
      <c r="CN34" s="235"/>
      <c r="CO34" s="235"/>
      <c r="CP34" s="235"/>
      <c r="CQ34" s="235"/>
      <c r="CR34" s="235"/>
      <c r="CS34" s="235"/>
      <c r="CT34" s="235"/>
      <c r="CU34" s="235"/>
      <c r="CV34" s="235"/>
      <c r="CW34" s="235"/>
      <c r="CX34" s="235"/>
      <c r="DV34" s="372" t="s">
        <v>1317</v>
      </c>
      <c r="DW34" s="376" t="s">
        <v>1299</v>
      </c>
      <c r="DX34" s="377" t="s">
        <v>5</v>
      </c>
      <c r="DY34" s="235">
        <v>8</v>
      </c>
      <c r="ED34" s="390" t="s">
        <v>1321</v>
      </c>
      <c r="EE34" s="391" t="s">
        <v>1301</v>
      </c>
      <c r="EF34" s="390" t="s">
        <v>1300</v>
      </c>
      <c r="EG34" s="391" t="s">
        <v>1302</v>
      </c>
      <c r="EH34" s="390" t="s">
        <v>1303</v>
      </c>
      <c r="EI34" s="391" t="s">
        <v>1304</v>
      </c>
      <c r="EJ34" s="390" t="s">
        <v>1305</v>
      </c>
      <c r="EK34" s="391" t="s">
        <v>1306</v>
      </c>
      <c r="EL34" s="390" t="s">
        <v>1307</v>
      </c>
      <c r="EM34" s="391" t="s">
        <v>1308</v>
      </c>
      <c r="EN34" s="390" t="s">
        <v>1309</v>
      </c>
      <c r="EO34" s="554" t="s">
        <v>2537</v>
      </c>
    </row>
    <row r="35" spans="2:145" ht="16" x14ac:dyDescent="0.45">
      <c r="B35" s="521" t="s">
        <v>1570</v>
      </c>
      <c r="E35" s="315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79"/>
      <c r="AB35" s="299"/>
      <c r="AC35" s="299"/>
      <c r="AD35" s="299"/>
      <c r="AE35" s="299"/>
      <c r="AF35" s="299"/>
      <c r="AG35" s="299"/>
      <c r="AH35" s="299"/>
      <c r="AI35" s="299"/>
      <c r="AJ35" s="299"/>
      <c r="AK35" s="299"/>
      <c r="AL35" s="677"/>
      <c r="AM35" s="677"/>
      <c r="AN35" s="677"/>
      <c r="AO35" s="677"/>
      <c r="AP35" s="677"/>
      <c r="AQ35" s="677"/>
      <c r="AR35" s="677"/>
      <c r="AS35" s="677"/>
      <c r="AT35" s="677"/>
      <c r="AU35" s="677"/>
      <c r="AV35" s="677"/>
      <c r="AW35" s="677"/>
      <c r="AX35" s="677"/>
      <c r="AY35" s="677"/>
      <c r="AZ35" s="677"/>
      <c r="BA35" s="299"/>
      <c r="BB35" s="299"/>
      <c r="BC35" s="299"/>
      <c r="BD35" s="299"/>
      <c r="BE35" s="299"/>
      <c r="BF35" s="299"/>
      <c r="BG35" s="299"/>
      <c r="BH35" s="299"/>
      <c r="BI35" s="299"/>
      <c r="BJ35" s="299"/>
      <c r="BK35" s="678"/>
      <c r="BL35" s="678"/>
      <c r="BM35" s="678"/>
      <c r="BN35" s="678"/>
      <c r="BO35" s="678"/>
      <c r="BP35" s="678"/>
      <c r="BQ35" s="678"/>
      <c r="BR35" s="678"/>
      <c r="BS35" s="678"/>
      <c r="BT35" s="678"/>
      <c r="BU35" s="678"/>
      <c r="BV35" s="678"/>
      <c r="BW35" s="678"/>
      <c r="BX35" s="678"/>
      <c r="BY35" s="678"/>
      <c r="BZ35" s="299"/>
      <c r="CA35" s="299"/>
      <c r="CB35" s="299"/>
      <c r="CC35" s="299"/>
      <c r="CD35" s="299"/>
      <c r="CE35" s="299"/>
      <c r="CF35" s="299"/>
      <c r="CG35" s="299"/>
      <c r="CH35" s="299"/>
      <c r="CI35" s="299"/>
      <c r="CJ35" s="679"/>
      <c r="CK35" s="679"/>
      <c r="CL35" s="679"/>
      <c r="CM35" s="679"/>
      <c r="CN35" s="679"/>
      <c r="CO35" s="679"/>
      <c r="CP35" s="679"/>
      <c r="CQ35" s="679"/>
      <c r="CR35" s="679"/>
      <c r="CS35" s="679"/>
      <c r="CT35" s="679"/>
      <c r="CU35" s="679"/>
      <c r="CV35" s="679"/>
      <c r="CW35" s="679"/>
      <c r="CX35" s="679"/>
      <c r="CY35" s="517"/>
      <c r="CZ35" s="517"/>
      <c r="DA35" s="517"/>
      <c r="DB35" s="517"/>
      <c r="DC35" s="517"/>
      <c r="DV35" s="374"/>
      <c r="DW35" s="380"/>
      <c r="DX35" s="381" t="s">
        <v>1158</v>
      </c>
      <c r="DY35" s="235">
        <f>2^$DY$20/DY34</f>
        <v>2048</v>
      </c>
      <c r="EA35" s="387">
        <v>0</v>
      </c>
      <c r="EB35" s="387">
        <v>0</v>
      </c>
      <c r="EC35" s="387">
        <v>0</v>
      </c>
      <c r="ED35" s="391" t="s">
        <v>1302</v>
      </c>
      <c r="EE35" s="390" t="s">
        <v>1303</v>
      </c>
      <c r="EF35" s="391" t="s">
        <v>1304</v>
      </c>
      <c r="EG35" s="390" t="s">
        <v>1305</v>
      </c>
      <c r="EH35" s="391" t="s">
        <v>1306</v>
      </c>
      <c r="EI35" s="390" t="s">
        <v>1307</v>
      </c>
      <c r="EJ35" s="391" t="s">
        <v>1308</v>
      </c>
      <c r="EK35" s="390" t="s">
        <v>1309</v>
      </c>
      <c r="EL35" s="391" t="s">
        <v>1310</v>
      </c>
      <c r="EM35" s="390" t="s">
        <v>1311</v>
      </c>
      <c r="EN35" s="390" t="s">
        <v>1312</v>
      </c>
      <c r="EO35" s="554" t="s">
        <v>2538</v>
      </c>
    </row>
    <row r="36" spans="2:145" ht="15" thickBot="1" x14ac:dyDescent="0.5"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62"/>
      <c r="AC36" s="235"/>
      <c r="AD36" s="235"/>
      <c r="AE36" s="235"/>
      <c r="AF36" s="235"/>
      <c r="AG36" s="235"/>
      <c r="AH36" s="235"/>
      <c r="AI36" s="235"/>
      <c r="AJ36" s="235"/>
      <c r="AK36" s="263"/>
      <c r="AL36" s="235"/>
      <c r="AM36" s="235"/>
      <c r="AN36" s="235"/>
      <c r="AO36" s="235"/>
      <c r="AP36" s="235"/>
      <c r="AQ36" s="235"/>
      <c r="AR36" s="235"/>
      <c r="AS36" s="235"/>
      <c r="AT36" s="235"/>
      <c r="AU36" s="235"/>
      <c r="AV36" s="235"/>
      <c r="AW36" s="235"/>
      <c r="AX36" s="235"/>
      <c r="AY36" s="235"/>
      <c r="AZ36" s="235"/>
      <c r="BA36" s="262"/>
      <c r="BB36" s="235"/>
      <c r="BC36" s="235"/>
      <c r="BD36" s="235"/>
      <c r="BE36" s="235"/>
      <c r="BF36" s="235"/>
      <c r="BG36" s="235"/>
      <c r="BH36" s="235"/>
      <c r="BI36" s="235"/>
      <c r="BJ36" s="263"/>
      <c r="BK36" s="235"/>
      <c r="BL36" s="235"/>
      <c r="BM36" s="235"/>
      <c r="BN36" s="235"/>
      <c r="BO36" s="235"/>
      <c r="BP36" s="235"/>
      <c r="BQ36" s="235"/>
      <c r="BR36" s="235"/>
      <c r="BS36" s="235"/>
      <c r="BT36" s="235"/>
      <c r="BU36" s="235"/>
      <c r="BV36" s="235"/>
      <c r="BW36" s="235"/>
      <c r="BX36" s="235"/>
      <c r="BY36" s="235"/>
      <c r="BZ36" s="262"/>
      <c r="CA36" s="235"/>
      <c r="CB36" s="235"/>
      <c r="CC36" s="235"/>
      <c r="CD36" s="235"/>
      <c r="CE36" s="235"/>
      <c r="CF36" s="235"/>
      <c r="CG36" s="235"/>
      <c r="CH36" s="235"/>
      <c r="CI36" s="263"/>
      <c r="CJ36" s="235"/>
      <c r="CK36" s="235"/>
      <c r="CL36" s="235"/>
      <c r="CM36" s="235"/>
      <c r="CN36" s="235"/>
      <c r="CO36" s="235"/>
      <c r="CP36" s="235"/>
      <c r="CQ36" s="235"/>
      <c r="CR36" s="235"/>
      <c r="CS36" s="235"/>
      <c r="CT36" s="235"/>
      <c r="CU36" s="235"/>
      <c r="CV36" s="235"/>
      <c r="CW36" s="235"/>
      <c r="CX36" s="235"/>
      <c r="DV36" s="234"/>
      <c r="DW36" s="234"/>
      <c r="DX36" s="234"/>
      <c r="DY36" s="234"/>
      <c r="DZ36" s="234"/>
      <c r="EA36" s="234"/>
      <c r="EB36" s="234"/>
    </row>
    <row r="37" spans="2:145" ht="15.5" thickTop="1" thickBot="1" x14ac:dyDescent="0.5">
      <c r="B37" s="521" t="s">
        <v>1419</v>
      </c>
      <c r="D37" s="276"/>
      <c r="E37" s="276"/>
      <c r="F37" s="276"/>
      <c r="G37" s="276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300"/>
      <c r="AC37" s="282"/>
      <c r="AD37" s="282"/>
      <c r="AE37" s="282"/>
      <c r="AF37" s="282"/>
      <c r="AG37" s="282"/>
      <c r="AH37" s="282"/>
      <c r="AI37" s="282"/>
      <c r="AJ37" s="282"/>
      <c r="AK37" s="301"/>
      <c r="AL37" s="279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79"/>
      <c r="BB37" s="280"/>
      <c r="BC37" s="280"/>
      <c r="BD37" s="280"/>
      <c r="BE37" s="280"/>
      <c r="BF37" s="280"/>
      <c r="BG37" s="280"/>
      <c r="BH37" s="280"/>
      <c r="BI37" s="280"/>
      <c r="BJ37" s="281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2"/>
      <c r="BY37" s="282"/>
      <c r="BZ37" s="306"/>
      <c r="CA37" s="277"/>
      <c r="CB37" s="277"/>
      <c r="CC37" s="277"/>
      <c r="CD37" s="277"/>
      <c r="CE37" s="277"/>
      <c r="CF37" s="277"/>
      <c r="CG37" s="277"/>
      <c r="CH37" s="277"/>
      <c r="CI37" s="278"/>
      <c r="CJ37" s="283"/>
      <c r="CK37" s="284"/>
      <c r="CL37" s="284"/>
      <c r="CM37" s="284"/>
      <c r="CN37" s="284"/>
      <c r="CO37" s="284"/>
      <c r="CP37" s="284"/>
      <c r="CQ37" s="284"/>
      <c r="CR37" s="284"/>
      <c r="CS37" s="284"/>
      <c r="CT37" s="284"/>
      <c r="CU37" s="284"/>
      <c r="CV37" s="284"/>
      <c r="CW37" s="284"/>
      <c r="CX37" s="284"/>
      <c r="CY37" s="284"/>
      <c r="CZ37" s="284"/>
      <c r="DA37" s="284"/>
      <c r="DB37" s="284"/>
      <c r="DC37" s="284"/>
      <c r="DV37" s="234"/>
      <c r="DW37" s="234"/>
      <c r="DX37" s="234"/>
      <c r="DY37" s="234"/>
      <c r="DZ37" s="234"/>
      <c r="EA37" s="234"/>
      <c r="EB37" s="234"/>
    </row>
    <row r="38" spans="2:145" ht="15.5" thickTop="1" thickBot="1" x14ac:dyDescent="0.5">
      <c r="B38" s="555"/>
      <c r="C38" s="555"/>
      <c r="D38" s="235"/>
      <c r="E38" s="235"/>
      <c r="F38" s="235"/>
      <c r="G38" s="235"/>
      <c r="AB38" s="251"/>
      <c r="AK38" s="252"/>
      <c r="BA38" s="251"/>
      <c r="BJ38" s="252"/>
      <c r="BZ38" s="241"/>
      <c r="CI38" s="261"/>
      <c r="DV38" s="234"/>
      <c r="DW38" s="234"/>
      <c r="DX38" s="234"/>
      <c r="DY38" s="234"/>
      <c r="DZ38" s="234"/>
      <c r="EA38" s="234"/>
      <c r="EB38" s="234"/>
    </row>
    <row r="39" spans="2:145" ht="15.5" thickTop="1" thickBot="1" x14ac:dyDescent="0.5">
      <c r="B39" s="521" t="s">
        <v>1420</v>
      </c>
      <c r="D39" s="293"/>
      <c r="E39" s="293"/>
      <c r="F39" s="293"/>
      <c r="G39" s="293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4"/>
      <c r="AB39" s="302"/>
      <c r="AC39" s="296"/>
      <c r="AD39" s="296"/>
      <c r="AE39" s="296"/>
      <c r="AF39" s="296"/>
      <c r="AG39" s="296"/>
      <c r="AH39" s="296"/>
      <c r="AI39" s="296"/>
      <c r="AJ39" s="296"/>
      <c r="AK39" s="296"/>
      <c r="AL39" s="295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303"/>
      <c r="BA39" s="286"/>
      <c r="BB39" s="286"/>
      <c r="BC39" s="286"/>
      <c r="BD39" s="286"/>
      <c r="BE39" s="286"/>
      <c r="BF39" s="286"/>
      <c r="BG39" s="286"/>
      <c r="BH39" s="286"/>
      <c r="BI39" s="286"/>
      <c r="BJ39" s="286"/>
      <c r="BK39" s="285"/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/>
      <c r="BY39" s="286"/>
      <c r="BZ39" s="285"/>
      <c r="CA39" s="286"/>
      <c r="CB39" s="286"/>
      <c r="CC39" s="286"/>
      <c r="CD39" s="286"/>
      <c r="CE39" s="286"/>
      <c r="CF39" s="286"/>
      <c r="CG39" s="286"/>
      <c r="CH39" s="286"/>
      <c r="CI39" s="287"/>
      <c r="CJ39" s="286"/>
      <c r="CK39" s="286"/>
      <c r="CL39" s="286"/>
      <c r="CM39" s="286"/>
      <c r="CN39" s="286"/>
      <c r="CO39" s="286"/>
      <c r="CP39" s="286"/>
      <c r="CQ39" s="286"/>
      <c r="CR39" s="286"/>
      <c r="CS39" s="286"/>
      <c r="CT39" s="286"/>
      <c r="CU39" s="286"/>
      <c r="CV39" s="286"/>
      <c r="CW39" s="286"/>
      <c r="CX39" s="286"/>
      <c r="CY39" s="286"/>
      <c r="CZ39" s="286"/>
      <c r="DA39" s="286"/>
      <c r="DB39" s="286"/>
      <c r="DC39" s="286"/>
      <c r="DV39" s="234"/>
      <c r="DW39" s="234"/>
      <c r="DX39" s="234"/>
      <c r="DY39" s="234"/>
      <c r="DZ39" s="234"/>
      <c r="EA39" s="234"/>
      <c r="EB39" s="234"/>
    </row>
    <row r="40" spans="2:145" ht="15.5" thickTop="1" thickBot="1" x14ac:dyDescent="0.5">
      <c r="D40" s="235"/>
      <c r="E40" s="235"/>
      <c r="F40" s="235"/>
      <c r="G40" s="235"/>
      <c r="AB40" s="251"/>
      <c r="AK40" s="252"/>
      <c r="BA40" s="251"/>
      <c r="BJ40" s="252"/>
      <c r="BZ40" s="241"/>
      <c r="CI40" s="261"/>
      <c r="DV40" s="234"/>
      <c r="DW40" s="234"/>
      <c r="DX40" s="234"/>
      <c r="DY40" s="234"/>
      <c r="DZ40" s="234"/>
      <c r="EA40" s="234"/>
      <c r="EB40" s="234"/>
    </row>
    <row r="41" spans="2:145" ht="15.5" thickTop="1" thickBot="1" x14ac:dyDescent="0.5">
      <c r="B41" s="521" t="s">
        <v>1421</v>
      </c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0"/>
      <c r="S41" s="290"/>
      <c r="T41" s="290"/>
      <c r="U41" s="290"/>
      <c r="V41" s="290"/>
      <c r="W41" s="290"/>
      <c r="X41" s="290"/>
      <c r="Y41" s="290"/>
      <c r="Z41" s="290"/>
      <c r="AA41" s="290"/>
      <c r="AB41" s="291"/>
      <c r="AC41" s="290"/>
      <c r="AD41" s="290"/>
      <c r="AE41" s="290"/>
      <c r="AF41" s="290"/>
      <c r="AG41" s="290"/>
      <c r="AH41" s="290"/>
      <c r="AI41" s="290"/>
      <c r="AJ41" s="290"/>
      <c r="AK41" s="292"/>
      <c r="AL41" s="290"/>
      <c r="AM41" s="290"/>
      <c r="AN41" s="290"/>
      <c r="AO41" s="290"/>
      <c r="AP41" s="290"/>
      <c r="AQ41" s="290"/>
      <c r="AR41" s="290"/>
      <c r="AS41" s="290"/>
      <c r="AT41" s="290"/>
      <c r="AU41" s="290"/>
      <c r="AV41" s="290"/>
      <c r="AW41" s="290"/>
      <c r="AX41" s="290"/>
      <c r="AY41" s="290"/>
      <c r="AZ41" s="290"/>
      <c r="BA41" s="304"/>
      <c r="BB41" s="298"/>
      <c r="BC41" s="298"/>
      <c r="BD41" s="298"/>
      <c r="BE41" s="298"/>
      <c r="BF41" s="298"/>
      <c r="BG41" s="298"/>
      <c r="BH41" s="298"/>
      <c r="BI41" s="298"/>
      <c r="BJ41" s="298"/>
      <c r="BK41" s="297"/>
      <c r="BL41" s="298"/>
      <c r="BM41" s="298"/>
      <c r="BN41" s="298"/>
      <c r="BO41" s="298"/>
      <c r="BP41" s="298"/>
      <c r="BQ41" s="298"/>
      <c r="BR41" s="298"/>
      <c r="BS41" s="298"/>
      <c r="BT41" s="298"/>
      <c r="BU41" s="298"/>
      <c r="BV41" s="298"/>
      <c r="BW41" s="298"/>
      <c r="BX41" s="298"/>
      <c r="BY41" s="305"/>
      <c r="BZ41" s="290"/>
      <c r="CA41" s="290"/>
      <c r="CB41" s="290"/>
      <c r="CC41" s="290"/>
      <c r="CD41" s="290"/>
      <c r="CE41" s="290"/>
      <c r="CF41" s="290"/>
      <c r="CG41" s="290"/>
      <c r="CH41" s="290"/>
      <c r="CI41" s="290"/>
      <c r="CJ41" s="288"/>
      <c r="CK41" s="289"/>
      <c r="CL41" s="289"/>
      <c r="CM41" s="289"/>
      <c r="CN41" s="289"/>
      <c r="CO41" s="289"/>
      <c r="CP41" s="289"/>
      <c r="CQ41" s="289"/>
      <c r="CR41" s="289"/>
      <c r="CS41" s="289"/>
      <c r="CT41" s="289"/>
      <c r="CU41" s="289"/>
      <c r="CV41" s="289"/>
      <c r="CW41" s="289"/>
      <c r="CX41" s="289"/>
      <c r="CY41" s="289"/>
      <c r="CZ41" s="289"/>
      <c r="DA41" s="289"/>
      <c r="DB41" s="289"/>
      <c r="DC41" s="289"/>
      <c r="DV41" s="234"/>
      <c r="DW41" s="234"/>
      <c r="DX41" s="234"/>
      <c r="DY41" s="234"/>
      <c r="DZ41" s="234"/>
      <c r="EA41" s="234"/>
      <c r="EB41" s="234"/>
    </row>
    <row r="42" spans="2:145" ht="15" thickTop="1" x14ac:dyDescent="0.45">
      <c r="B42" s="673"/>
      <c r="AB42" s="251"/>
      <c r="AK42" s="252"/>
      <c r="BA42" s="251"/>
      <c r="BJ42" s="252"/>
      <c r="BZ42" s="241"/>
      <c r="CI42" s="261"/>
      <c r="DV42" s="234"/>
      <c r="DW42" s="234"/>
      <c r="DX42" s="234"/>
      <c r="DY42" s="234"/>
      <c r="DZ42" s="234"/>
      <c r="EA42" s="234"/>
      <c r="EB42" s="234"/>
    </row>
    <row r="43" spans="2:145" x14ac:dyDescent="0.45">
      <c r="B43" s="554"/>
      <c r="C43" s="55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234"/>
      <c r="AT43" s="234"/>
      <c r="AU43" s="234"/>
      <c r="AV43" s="234"/>
      <c r="AW43" s="234"/>
      <c r="AX43" s="234"/>
      <c r="AY43" s="234"/>
      <c r="AZ43" s="234"/>
      <c r="BA43" s="234"/>
      <c r="BB43" s="234"/>
      <c r="BC43" s="234"/>
      <c r="BD43" s="234"/>
      <c r="BE43" s="234"/>
      <c r="BF43" s="234"/>
      <c r="BG43" s="234"/>
      <c r="BH43" s="234"/>
      <c r="BI43" s="234"/>
      <c r="BJ43" s="234"/>
      <c r="BK43" s="234"/>
      <c r="BL43" s="234"/>
      <c r="BM43" s="234"/>
      <c r="BN43" s="234"/>
      <c r="BO43" s="234"/>
      <c r="BP43" s="234"/>
      <c r="BQ43" s="234"/>
      <c r="BR43" s="234"/>
      <c r="BS43" s="234"/>
      <c r="BT43" s="234"/>
      <c r="BU43" s="234"/>
      <c r="BV43" s="234"/>
      <c r="BW43" s="234"/>
      <c r="DV43" s="234"/>
      <c r="DW43" s="234"/>
      <c r="DX43" s="234"/>
      <c r="DY43" s="234"/>
      <c r="DZ43" s="234"/>
      <c r="EA43" s="234"/>
      <c r="EB43" s="234"/>
    </row>
    <row r="44" spans="2:145" ht="16" x14ac:dyDescent="0.45">
      <c r="B44" s="623" t="s">
        <v>2013</v>
      </c>
      <c r="C44" s="615"/>
      <c r="D44" s="614"/>
      <c r="E44" s="614"/>
      <c r="F44" s="614"/>
      <c r="G44" s="614"/>
      <c r="H44" s="614"/>
      <c r="I44" s="614"/>
      <c r="J44" s="614"/>
      <c r="K44" s="614"/>
      <c r="L44" s="614"/>
      <c r="M44" s="614"/>
      <c r="N44" s="614"/>
      <c r="O44" s="614"/>
      <c r="P44" s="614"/>
      <c r="Q44" s="614"/>
      <c r="R44" s="614"/>
      <c r="S44" s="614"/>
      <c r="T44" s="614"/>
      <c r="U44" s="614"/>
      <c r="V44" s="614"/>
      <c r="W44" s="614"/>
      <c r="X44" s="614"/>
      <c r="Y44" s="614"/>
      <c r="Z44" s="614"/>
      <c r="AA44" s="614"/>
      <c r="AB44" s="614"/>
      <c r="AC44" s="614"/>
      <c r="AD44" s="614"/>
      <c r="AE44" s="614"/>
      <c r="AF44" s="614"/>
      <c r="AG44" s="614"/>
      <c r="AH44" s="614"/>
      <c r="AI44" s="614"/>
      <c r="AJ44" s="614"/>
      <c r="AK44" s="614"/>
      <c r="AL44" s="614"/>
      <c r="AM44" s="614"/>
      <c r="AN44" s="614"/>
      <c r="AO44" s="614"/>
      <c r="AP44" s="614"/>
      <c r="AQ44" s="614"/>
      <c r="AR44" s="614"/>
      <c r="AS44" s="614"/>
      <c r="AT44" s="614"/>
      <c r="AU44" s="614"/>
      <c r="AV44" s="614"/>
      <c r="AW44" s="614"/>
      <c r="AX44" s="614"/>
      <c r="AY44" s="614"/>
      <c r="AZ44" s="614"/>
      <c r="BA44" s="614"/>
      <c r="BB44" s="614"/>
      <c r="BC44" s="614"/>
      <c r="BD44" s="614"/>
      <c r="BE44" s="614"/>
      <c r="BF44" s="614"/>
      <c r="BG44" s="614"/>
      <c r="BH44" s="614"/>
      <c r="BI44" s="614"/>
      <c r="BJ44" s="614"/>
      <c r="BK44" s="614"/>
      <c r="BL44" s="614"/>
      <c r="BM44" s="614"/>
      <c r="BN44" s="614"/>
      <c r="BO44" s="614"/>
      <c r="BP44" s="614"/>
      <c r="BQ44" s="614"/>
      <c r="BR44" s="614"/>
      <c r="BS44" s="614"/>
      <c r="BT44" s="614"/>
      <c r="BU44" s="614"/>
      <c r="BV44" s="614"/>
      <c r="BW44" s="614"/>
      <c r="BX44" s="614"/>
      <c r="BY44" s="614"/>
      <c r="BZ44" s="614"/>
      <c r="CA44" s="614"/>
      <c r="CB44" s="614"/>
      <c r="CC44" s="614"/>
      <c r="CD44" s="614"/>
      <c r="CE44" s="614"/>
      <c r="CF44" s="614"/>
      <c r="CG44" s="614"/>
      <c r="CH44" s="614"/>
      <c r="CI44" s="614"/>
      <c r="CJ44" s="614"/>
      <c r="CK44" s="614"/>
      <c r="CL44" s="614"/>
      <c r="CM44" s="614"/>
      <c r="CN44" s="614"/>
      <c r="CO44" s="614"/>
      <c r="CP44" s="614"/>
      <c r="CQ44" s="614"/>
      <c r="CR44" s="614"/>
      <c r="CS44" s="614"/>
      <c r="CT44" s="614"/>
      <c r="CU44" s="614"/>
      <c r="CV44" s="614"/>
      <c r="CW44" s="614"/>
      <c r="CX44" s="614"/>
      <c r="CY44" s="614"/>
      <c r="CZ44" s="614"/>
      <c r="DA44" s="614"/>
      <c r="DB44" s="614"/>
      <c r="DC44" s="614"/>
      <c r="DD44" s="614"/>
      <c r="DE44" s="614"/>
      <c r="DF44" s="614"/>
      <c r="DG44" s="614"/>
      <c r="DH44" s="614"/>
      <c r="DI44" s="614"/>
      <c r="DJ44" s="614"/>
      <c r="DK44" s="614"/>
      <c r="DL44" s="614"/>
      <c r="DM44" s="614"/>
      <c r="DN44" s="614"/>
      <c r="DO44" s="614"/>
      <c r="DP44" s="614"/>
      <c r="DQ44" s="614"/>
      <c r="DR44" s="614"/>
      <c r="DS44" s="614"/>
      <c r="DT44" s="614"/>
      <c r="DV44" s="234"/>
      <c r="DW44" s="234"/>
      <c r="DX44" s="234"/>
      <c r="DY44" s="234"/>
      <c r="DZ44" s="234"/>
      <c r="EA44" s="234"/>
      <c r="EB44" s="234"/>
    </row>
    <row r="45" spans="2:145" x14ac:dyDescent="0.45">
      <c r="B45" s="521" t="s">
        <v>1426</v>
      </c>
      <c r="D45" s="247"/>
      <c r="E45" s="247"/>
      <c r="F45" s="258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  <c r="AC45" s="256"/>
      <c r="AD45" s="256"/>
      <c r="AE45" s="256"/>
      <c r="AF45" s="256"/>
      <c r="AG45" s="256"/>
      <c r="AH45" s="256"/>
      <c r="AI45" s="256"/>
      <c r="AJ45" s="256"/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  <c r="BB45" s="256"/>
      <c r="BC45" s="256"/>
      <c r="BD45" s="256"/>
      <c r="BE45" s="256"/>
      <c r="BF45" s="256"/>
      <c r="BG45" s="256"/>
      <c r="BH45" s="256"/>
      <c r="BI45" s="256"/>
      <c r="BJ45" s="256"/>
      <c r="BK45" s="256"/>
      <c r="BL45" s="256"/>
      <c r="BM45" s="256"/>
      <c r="BN45" s="256"/>
      <c r="BO45" s="256"/>
      <c r="BP45" s="256"/>
      <c r="BQ45" s="256"/>
      <c r="BR45" s="256"/>
      <c r="BS45" s="256"/>
      <c r="BT45" s="256"/>
      <c r="BU45" s="256"/>
      <c r="BV45" s="256"/>
      <c r="BW45" s="256"/>
      <c r="BX45" s="256"/>
      <c r="BY45" s="256"/>
      <c r="BZ45" s="256"/>
      <c r="CA45" s="256"/>
      <c r="CB45" s="256"/>
      <c r="CC45" s="256"/>
      <c r="CD45" s="256"/>
      <c r="CE45" s="256"/>
      <c r="CF45" s="256"/>
      <c r="CG45" s="256"/>
      <c r="CH45" s="258"/>
      <c r="CI45" s="256"/>
      <c r="CJ45" s="256"/>
      <c r="CK45" s="256"/>
      <c r="CL45" s="256"/>
      <c r="CM45" s="256"/>
      <c r="CN45" s="256"/>
      <c r="CO45" s="256"/>
      <c r="CP45" s="256"/>
      <c r="CQ45" s="247"/>
      <c r="CR45" s="247"/>
      <c r="CS45" s="247"/>
      <c r="CT45" s="247"/>
      <c r="CU45" s="247"/>
      <c r="CV45" s="247"/>
      <c r="CW45" s="247"/>
      <c r="CX45" s="247"/>
      <c r="CY45" s="247"/>
      <c r="CZ45" s="247"/>
      <c r="DA45" s="247"/>
      <c r="DB45" s="247"/>
      <c r="DC45" s="247"/>
      <c r="DD45" s="247"/>
      <c r="DE45" s="247"/>
      <c r="DF45" s="247"/>
      <c r="DG45" s="247"/>
      <c r="DH45" s="247"/>
      <c r="DI45" s="247"/>
      <c r="DJ45" s="247"/>
      <c r="DK45" s="247"/>
      <c r="DL45" s="247"/>
      <c r="DM45" s="247"/>
      <c r="DN45" s="247"/>
      <c r="DO45" s="247"/>
      <c r="DP45" s="247"/>
      <c r="DQ45" s="247"/>
      <c r="DR45" s="247"/>
      <c r="DS45" s="247"/>
      <c r="DT45" s="247"/>
      <c r="DV45" s="234"/>
      <c r="DW45" s="234"/>
      <c r="DX45" s="234"/>
      <c r="DY45" s="234"/>
      <c r="DZ45" s="234"/>
      <c r="EA45" s="234"/>
      <c r="EB45" s="234"/>
    </row>
    <row r="46" spans="2:145" x14ac:dyDescent="0.45">
      <c r="T46" s="234"/>
      <c r="U46" s="234"/>
      <c r="DV46" s="234"/>
      <c r="DW46" s="234"/>
      <c r="DX46" s="234"/>
      <c r="DY46" s="234"/>
      <c r="DZ46" s="234"/>
      <c r="EA46" s="234"/>
      <c r="EB46" s="234"/>
    </row>
    <row r="47" spans="2:145" x14ac:dyDescent="0.45">
      <c r="D47" s="248"/>
      <c r="E47" s="248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7"/>
      <c r="AQ47" s="257"/>
      <c r="AR47" s="257"/>
      <c r="AS47" s="257"/>
      <c r="AT47" s="257"/>
      <c r="AU47" s="257"/>
      <c r="AV47" s="257"/>
      <c r="AW47" s="257"/>
      <c r="AX47" s="257"/>
      <c r="AY47" s="257"/>
      <c r="AZ47" s="257"/>
      <c r="BA47" s="257"/>
      <c r="BB47" s="257"/>
      <c r="BC47" s="257"/>
      <c r="BD47" s="257"/>
      <c r="BE47" s="257"/>
      <c r="BF47" s="257"/>
      <c r="BG47" s="257"/>
      <c r="BH47" s="257"/>
      <c r="BI47" s="257"/>
      <c r="BJ47" s="257"/>
      <c r="BK47" s="257"/>
      <c r="BL47" s="257"/>
      <c r="BM47" s="257"/>
      <c r="BN47" s="257"/>
      <c r="BO47" s="257"/>
      <c r="BP47" s="257"/>
      <c r="BQ47" s="257"/>
      <c r="BR47" s="257"/>
      <c r="BS47" s="257"/>
      <c r="BT47" s="257"/>
      <c r="BU47" s="257"/>
      <c r="BV47" s="257"/>
      <c r="BW47" s="257"/>
      <c r="BX47" s="257"/>
      <c r="BY47" s="257"/>
      <c r="BZ47" s="257"/>
      <c r="CA47" s="257"/>
      <c r="CB47" s="257"/>
      <c r="CC47" s="257"/>
      <c r="CD47" s="257"/>
      <c r="CE47" s="257"/>
      <c r="CF47" s="257"/>
      <c r="CG47" s="257"/>
      <c r="CH47" s="257"/>
      <c r="CI47" s="257"/>
      <c r="CJ47" s="257"/>
      <c r="CK47" s="257"/>
      <c r="CL47" s="257"/>
      <c r="CM47" s="257"/>
      <c r="CN47" s="257"/>
      <c r="CO47" s="257"/>
      <c r="CP47" s="257"/>
      <c r="CQ47" s="248"/>
      <c r="CR47" s="248"/>
      <c r="CS47" s="248"/>
      <c r="CT47" s="248"/>
      <c r="CU47" s="248"/>
      <c r="CV47" s="248"/>
      <c r="CW47" s="248"/>
      <c r="CX47" s="248"/>
      <c r="CY47" s="248"/>
      <c r="CZ47" s="248"/>
      <c r="DA47" s="248"/>
      <c r="DB47" s="248"/>
      <c r="DC47" s="248"/>
      <c r="DV47" s="234"/>
      <c r="DW47" s="234"/>
      <c r="DX47" s="234"/>
      <c r="DY47" s="234"/>
      <c r="DZ47" s="234"/>
      <c r="EA47" s="234"/>
      <c r="EB47" s="234"/>
    </row>
    <row r="48" spans="2:145" x14ac:dyDescent="0.45">
      <c r="B48" s="521" t="s">
        <v>2076</v>
      </c>
      <c r="D48" s="362"/>
      <c r="E48" s="362"/>
      <c r="F48" s="538">
        <v>1</v>
      </c>
      <c r="G48" s="362"/>
      <c r="H48" s="362"/>
      <c r="I48" s="362"/>
      <c r="J48" s="362"/>
      <c r="K48" s="362"/>
      <c r="L48" s="538">
        <v>1</v>
      </c>
      <c r="M48" s="362"/>
      <c r="N48" s="538">
        <v>1</v>
      </c>
      <c r="O48" s="362"/>
      <c r="P48" s="538">
        <v>2</v>
      </c>
      <c r="Q48" s="362"/>
      <c r="R48" s="362"/>
      <c r="S48" s="362"/>
      <c r="T48" s="362"/>
      <c r="U48" s="362"/>
      <c r="V48" s="538">
        <v>2</v>
      </c>
      <c r="W48" s="362"/>
      <c r="X48" s="538">
        <v>2</v>
      </c>
      <c r="Y48" s="362"/>
      <c r="Z48" s="538">
        <v>3</v>
      </c>
      <c r="AA48" s="362"/>
      <c r="AB48" s="362"/>
      <c r="AC48" s="362"/>
      <c r="AD48" s="362"/>
      <c r="AE48" s="362"/>
      <c r="AF48" s="538">
        <v>3</v>
      </c>
      <c r="AG48" s="362"/>
      <c r="AH48" s="538">
        <v>3</v>
      </c>
      <c r="AI48" s="362"/>
      <c r="AJ48" s="538">
        <v>4</v>
      </c>
      <c r="AK48" s="362"/>
      <c r="AL48" s="362"/>
      <c r="AM48" s="362"/>
      <c r="AN48" s="362"/>
      <c r="AO48" s="362"/>
      <c r="AP48" s="538">
        <v>4</v>
      </c>
      <c r="AQ48" s="362"/>
      <c r="AR48" s="538">
        <v>4</v>
      </c>
      <c r="AS48" s="362"/>
      <c r="AT48" s="538">
        <v>5</v>
      </c>
      <c r="AU48" s="362"/>
      <c r="AV48" s="362"/>
      <c r="AW48" s="362"/>
      <c r="AX48" s="362"/>
      <c r="AY48" s="362"/>
      <c r="AZ48" s="538">
        <v>5</v>
      </c>
      <c r="BA48" s="362"/>
      <c r="BB48" s="538">
        <v>5</v>
      </c>
      <c r="BC48" s="362"/>
      <c r="BD48" s="538">
        <v>6</v>
      </c>
      <c r="BE48" s="362"/>
      <c r="BF48" s="362"/>
      <c r="BG48" s="362"/>
      <c r="BH48" s="362"/>
      <c r="BI48" s="362"/>
      <c r="BJ48" s="538">
        <v>6</v>
      </c>
      <c r="BK48" s="362"/>
      <c r="BL48" s="538">
        <v>6</v>
      </c>
      <c r="BM48" s="362"/>
      <c r="BN48" s="538">
        <v>7</v>
      </c>
      <c r="BO48" s="362"/>
      <c r="BP48" s="362"/>
      <c r="BQ48" s="362"/>
      <c r="BR48" s="362"/>
      <c r="BS48" s="362"/>
      <c r="BT48" s="538">
        <v>7</v>
      </c>
      <c r="BU48" s="362"/>
      <c r="BV48" s="538">
        <v>7</v>
      </c>
      <c r="BW48" s="362"/>
      <c r="BX48" s="538">
        <v>8</v>
      </c>
      <c r="BY48" s="362"/>
      <c r="BZ48" s="362"/>
      <c r="CA48" s="362"/>
      <c r="CB48" s="362"/>
      <c r="CC48" s="362"/>
      <c r="CD48" s="538">
        <v>8</v>
      </c>
      <c r="CE48" s="362"/>
      <c r="CF48" s="538">
        <v>8</v>
      </c>
      <c r="CG48" s="362"/>
      <c r="CH48" s="538">
        <v>1</v>
      </c>
      <c r="CI48" s="362"/>
      <c r="CJ48" s="362"/>
      <c r="CK48" s="362"/>
      <c r="CL48" s="362"/>
      <c r="CM48" s="362"/>
      <c r="CN48" s="538">
        <v>1</v>
      </c>
      <c r="CO48" s="362"/>
      <c r="CP48" s="538">
        <v>1</v>
      </c>
      <c r="CQ48" s="362"/>
      <c r="CR48" s="538">
        <v>2</v>
      </c>
      <c r="CS48" s="362"/>
      <c r="CT48" s="362"/>
      <c r="CU48" s="362"/>
      <c r="CV48" s="362"/>
      <c r="CW48" s="362"/>
      <c r="CX48" s="538">
        <v>2</v>
      </c>
      <c r="CY48" s="362"/>
      <c r="CZ48" s="538">
        <v>2</v>
      </c>
      <c r="DA48" s="362"/>
      <c r="DB48" s="538">
        <v>3</v>
      </c>
      <c r="DC48" s="362"/>
      <c r="DD48" s="362"/>
      <c r="DE48" s="362"/>
      <c r="DF48" s="362"/>
      <c r="DG48" s="362"/>
      <c r="DH48" s="538">
        <v>3</v>
      </c>
      <c r="DI48" s="362"/>
      <c r="DJ48" s="538">
        <v>3</v>
      </c>
      <c r="DK48" s="362"/>
      <c r="DL48" s="538">
        <v>4</v>
      </c>
      <c r="DM48" s="362"/>
      <c r="DN48" s="362"/>
      <c r="DO48" s="362"/>
      <c r="DP48" s="362"/>
      <c r="DQ48" s="362"/>
      <c r="DR48" s="538">
        <v>4</v>
      </c>
      <c r="DS48" s="362"/>
      <c r="DT48" s="538">
        <v>4</v>
      </c>
      <c r="DV48" s="234"/>
      <c r="DW48" s="234"/>
      <c r="DX48" s="234"/>
      <c r="DY48" s="234"/>
      <c r="DZ48" s="234"/>
      <c r="EA48" s="234"/>
      <c r="EB48" s="234"/>
    </row>
    <row r="49" spans="2:145" x14ac:dyDescent="0.45"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57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7"/>
      <c r="AW49" s="257"/>
      <c r="AX49" s="257"/>
      <c r="AY49" s="257"/>
      <c r="AZ49" s="257"/>
      <c r="BA49" s="257"/>
      <c r="BB49" s="257"/>
      <c r="BC49" s="257"/>
      <c r="BD49" s="257"/>
      <c r="BE49" s="257"/>
      <c r="BF49" s="257"/>
      <c r="BG49" s="257"/>
      <c r="BH49" s="257"/>
      <c r="BI49" s="257"/>
      <c r="BJ49" s="257"/>
      <c r="BK49" s="257"/>
      <c r="BL49" s="257"/>
      <c r="BM49" s="257"/>
      <c r="BN49" s="257"/>
      <c r="BO49" s="257"/>
      <c r="BP49" s="257"/>
      <c r="BQ49" s="257"/>
      <c r="BR49" s="257"/>
      <c r="BS49" s="257"/>
      <c r="BT49" s="257"/>
      <c r="BU49" s="257"/>
      <c r="BV49" s="257"/>
      <c r="BW49" s="257"/>
      <c r="BY49" s="257"/>
      <c r="BZ49" s="257"/>
      <c r="CA49" s="257"/>
      <c r="CB49" s="257"/>
      <c r="CC49" s="257"/>
      <c r="CD49" s="348"/>
      <c r="CE49" s="348"/>
      <c r="CF49" s="348"/>
      <c r="CG49" s="348"/>
      <c r="CH49" s="257"/>
      <c r="CI49" s="257"/>
      <c r="CJ49" s="257"/>
      <c r="CK49" s="257"/>
      <c r="CL49" s="257"/>
      <c r="CM49" s="257"/>
      <c r="CN49" s="257"/>
      <c r="CR49" s="257"/>
      <c r="CS49" s="257"/>
      <c r="CT49" s="257"/>
      <c r="CU49" s="257"/>
      <c r="CV49" s="257"/>
      <c r="CW49" s="257"/>
      <c r="CX49" s="257"/>
      <c r="DB49" s="257"/>
      <c r="DC49" s="257"/>
      <c r="DD49" s="257"/>
      <c r="DE49" s="257"/>
      <c r="DF49" s="257"/>
      <c r="DG49" s="257"/>
      <c r="DH49" s="257"/>
      <c r="DL49" s="257"/>
      <c r="DM49" s="257"/>
      <c r="DN49" s="257"/>
      <c r="DO49" s="257"/>
      <c r="DP49" s="257"/>
      <c r="DQ49" s="257"/>
      <c r="DR49" s="257"/>
      <c r="DV49" s="234"/>
      <c r="DW49" s="234"/>
      <c r="DX49" s="234"/>
      <c r="DY49" s="234"/>
      <c r="DZ49" s="234"/>
      <c r="EA49" s="234"/>
      <c r="EB49" s="234"/>
    </row>
    <row r="50" spans="2:145" ht="15" thickBot="1" x14ac:dyDescent="0.5">
      <c r="D50" s="248"/>
      <c r="E50" s="248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  <c r="AG50" s="257"/>
      <c r="AH50" s="257"/>
      <c r="AI50" s="257"/>
      <c r="AJ50" s="257"/>
      <c r="AK50" s="257"/>
      <c r="AL50" s="257"/>
      <c r="AM50" s="257"/>
      <c r="AN50" s="257"/>
      <c r="AO50" s="257"/>
      <c r="AP50" s="257"/>
      <c r="AQ50" s="257"/>
      <c r="AR50" s="257"/>
      <c r="AS50" s="257"/>
      <c r="AT50" s="257"/>
      <c r="AU50" s="257"/>
      <c r="AV50" s="257"/>
      <c r="AW50" s="257"/>
      <c r="AX50" s="257"/>
      <c r="AY50" s="257"/>
      <c r="AZ50" s="257"/>
      <c r="BA50" s="257"/>
      <c r="BB50" s="257"/>
      <c r="BC50" s="257"/>
      <c r="BD50" s="257"/>
      <c r="BE50" s="257"/>
      <c r="BF50" s="257"/>
      <c r="BG50" s="257"/>
      <c r="BH50" s="257"/>
      <c r="BI50" s="257"/>
      <c r="BJ50" s="257"/>
      <c r="BK50" s="257"/>
      <c r="BL50" s="257"/>
      <c r="BM50" s="257"/>
      <c r="BN50" s="257"/>
      <c r="BO50" s="257"/>
      <c r="BP50" s="257"/>
      <c r="BQ50" s="257"/>
      <c r="BR50" s="257"/>
      <c r="BS50" s="257"/>
      <c r="BT50" s="539"/>
      <c r="BU50" s="539"/>
      <c r="BV50" s="539"/>
      <c r="BW50" s="539"/>
      <c r="BX50" s="257"/>
      <c r="BY50" s="257"/>
      <c r="BZ50" s="257"/>
      <c r="CA50" s="257"/>
      <c r="CB50" s="257"/>
      <c r="CC50" s="257"/>
      <c r="CD50" s="257"/>
      <c r="CE50" s="257"/>
      <c r="CF50" s="257"/>
      <c r="CG50" s="257"/>
      <c r="CH50" s="257"/>
      <c r="CI50" s="257"/>
      <c r="CJ50" s="257"/>
      <c r="CK50" s="257"/>
      <c r="CL50" s="257"/>
      <c r="CM50" s="257"/>
      <c r="CN50" s="257"/>
      <c r="CR50" s="257"/>
      <c r="CS50" s="257"/>
      <c r="CT50" s="257"/>
      <c r="CU50" s="257"/>
      <c r="CV50" s="257"/>
      <c r="CW50" s="257"/>
      <c r="CX50" s="257"/>
      <c r="DB50" s="257"/>
      <c r="DC50" s="257"/>
      <c r="DD50" s="257"/>
      <c r="DE50" s="257"/>
      <c r="DF50" s="257"/>
      <c r="DG50" s="257"/>
      <c r="DH50" s="257"/>
      <c r="DL50" s="257"/>
      <c r="DM50" s="257"/>
      <c r="DN50" s="257"/>
      <c r="DO50" s="257"/>
      <c r="DP50" s="257"/>
      <c r="DQ50" s="257"/>
      <c r="DR50" s="257"/>
      <c r="DV50" s="234"/>
      <c r="DW50" s="234"/>
      <c r="DX50" s="234"/>
      <c r="DY50" s="234"/>
      <c r="DZ50" s="234"/>
      <c r="EA50" s="234"/>
      <c r="EB50" s="234"/>
    </row>
    <row r="51" spans="2:145" ht="15.5" thickTop="1" thickBot="1" x14ac:dyDescent="0.5">
      <c r="B51" s="521" t="s">
        <v>1423</v>
      </c>
      <c r="D51" s="250"/>
      <c r="E51" s="250"/>
      <c r="F51" s="617"/>
      <c r="G51" s="618"/>
      <c r="H51" s="619"/>
      <c r="I51" s="620"/>
      <c r="J51" s="621"/>
      <c r="K51" s="620"/>
      <c r="L51" s="804"/>
      <c r="M51" s="803"/>
      <c r="N51" s="618"/>
      <c r="O51" s="622"/>
      <c r="P51" s="617"/>
      <c r="Q51" s="618"/>
      <c r="R51" s="619"/>
      <c r="S51" s="620"/>
      <c r="T51" s="621"/>
      <c r="U51" s="620"/>
      <c r="V51" s="804"/>
      <c r="W51" s="803"/>
      <c r="X51" s="618"/>
      <c r="Y51" s="622"/>
      <c r="Z51" s="617"/>
      <c r="AA51" s="618"/>
      <c r="AB51" s="619"/>
      <c r="AC51" s="620"/>
      <c r="AD51" s="621"/>
      <c r="AE51" s="620"/>
      <c r="AF51" s="804"/>
      <c r="AG51" s="803"/>
      <c r="AH51" s="618"/>
      <c r="AI51" s="622"/>
      <c r="AJ51" s="617"/>
      <c r="AK51" s="618"/>
      <c r="AL51" s="619"/>
      <c r="AM51" s="620"/>
      <c r="AN51" s="621"/>
      <c r="AO51" s="620"/>
      <c r="AP51" s="804"/>
      <c r="AQ51" s="803"/>
      <c r="AR51" s="618"/>
      <c r="AS51" s="622"/>
      <c r="AT51" s="617"/>
      <c r="AU51" s="618"/>
      <c r="AV51" s="619"/>
      <c r="AW51" s="620"/>
      <c r="AX51" s="621"/>
      <c r="AY51" s="620"/>
      <c r="AZ51" s="804"/>
      <c r="BA51" s="803"/>
      <c r="BB51" s="618"/>
      <c r="BC51" s="622"/>
      <c r="BD51" s="617"/>
      <c r="BE51" s="618"/>
      <c r="BF51" s="619"/>
      <c r="BG51" s="620"/>
      <c r="BH51" s="621"/>
      <c r="BI51" s="620"/>
      <c r="BJ51" s="804"/>
      <c r="BK51" s="803"/>
      <c r="BL51" s="618"/>
      <c r="BM51" s="622"/>
      <c r="BN51" s="617"/>
      <c r="BO51" s="618"/>
      <c r="BP51" s="619"/>
      <c r="BQ51" s="620"/>
      <c r="BR51" s="621"/>
      <c r="BS51" s="620"/>
      <c r="BT51" s="804"/>
      <c r="BU51" s="803"/>
      <c r="BV51" s="618"/>
      <c r="BW51" s="622"/>
      <c r="BX51" s="617"/>
      <c r="BY51" s="618"/>
      <c r="BZ51" s="619"/>
      <c r="CA51" s="620"/>
      <c r="CB51" s="621"/>
      <c r="CC51" s="620"/>
      <c r="CD51" s="804"/>
      <c r="CE51" s="803"/>
      <c r="CF51" s="618"/>
      <c r="CG51" s="622"/>
      <c r="CH51" s="617"/>
      <c r="CI51" s="618"/>
      <c r="CJ51" s="619"/>
      <c r="CK51" s="618"/>
      <c r="CL51" s="619"/>
      <c r="CM51" s="620"/>
      <c r="CN51" s="802"/>
      <c r="CO51" s="803"/>
      <c r="CP51" s="801"/>
      <c r="CQ51" s="622"/>
      <c r="CR51" s="617"/>
      <c r="CS51" s="618"/>
      <c r="CT51" s="619"/>
      <c r="CU51" s="618"/>
      <c r="CV51" s="619"/>
      <c r="CW51" s="620"/>
      <c r="CX51" s="802"/>
      <c r="CY51" s="803"/>
      <c r="CZ51" s="801"/>
      <c r="DA51" s="622"/>
      <c r="DB51" s="617"/>
      <c r="DC51" s="618"/>
      <c r="DD51" s="619"/>
      <c r="DE51" s="618"/>
      <c r="DF51" s="619"/>
      <c r="DG51" s="620"/>
      <c r="DH51" s="802"/>
      <c r="DI51" s="803"/>
      <c r="DJ51" s="801"/>
      <c r="DK51" s="622"/>
      <c r="DL51" s="617"/>
      <c r="DM51" s="618"/>
      <c r="DN51" s="619"/>
      <c r="DO51" s="618"/>
      <c r="DP51" s="619"/>
      <c r="DQ51" s="620"/>
      <c r="DR51" s="802"/>
      <c r="DS51" s="803"/>
      <c r="DT51" s="801"/>
      <c r="DV51" s="234"/>
      <c r="DW51" s="234"/>
      <c r="DX51" s="234"/>
      <c r="DY51" s="234"/>
      <c r="DZ51" s="234"/>
      <c r="EA51" s="234"/>
      <c r="EB51" s="234"/>
    </row>
    <row r="52" spans="2:145" ht="15" thickTop="1" x14ac:dyDescent="0.45"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  <c r="AA52" s="257"/>
      <c r="AB52" s="257"/>
      <c r="AC52" s="257"/>
      <c r="AD52" s="257"/>
      <c r="AE52" s="257"/>
      <c r="AF52" s="257"/>
      <c r="AG52" s="257"/>
      <c r="AH52" s="257"/>
      <c r="AI52" s="257"/>
      <c r="AJ52" s="257"/>
      <c r="AK52" s="257"/>
      <c r="AL52" s="257"/>
      <c r="AM52" s="257"/>
      <c r="AN52" s="257"/>
      <c r="AO52" s="257"/>
      <c r="AP52" s="257"/>
      <c r="AQ52" s="257"/>
      <c r="AR52" s="257"/>
      <c r="AS52" s="257"/>
      <c r="AT52" s="257"/>
      <c r="AU52" s="257"/>
      <c r="AV52" s="257"/>
      <c r="AW52" s="257"/>
      <c r="AX52" s="257"/>
      <c r="AY52" s="257"/>
      <c r="AZ52" s="257"/>
      <c r="BA52" s="257"/>
      <c r="BB52" s="257"/>
      <c r="BC52" s="257"/>
      <c r="BD52" s="257"/>
      <c r="BE52" s="257"/>
      <c r="BF52" s="257"/>
      <c r="BG52" s="257"/>
      <c r="BH52" s="257"/>
      <c r="BI52" s="257"/>
      <c r="BJ52" s="257"/>
      <c r="BK52" s="257"/>
      <c r="BL52" s="257"/>
      <c r="BM52" s="257"/>
      <c r="BN52" s="257"/>
      <c r="BO52" s="257"/>
      <c r="BP52" s="257"/>
      <c r="BQ52" s="257"/>
      <c r="BR52" s="257"/>
      <c r="BS52" s="257"/>
      <c r="BT52" s="257"/>
      <c r="BU52" s="348"/>
      <c r="BV52" s="348"/>
      <c r="BW52" s="348"/>
      <c r="BX52" s="257"/>
      <c r="BY52" s="257"/>
      <c r="BZ52" s="257"/>
      <c r="CA52" s="257"/>
      <c r="CB52" s="257"/>
      <c r="CC52" s="257"/>
      <c r="CD52" s="257"/>
      <c r="CE52" s="257"/>
      <c r="CF52" s="257"/>
      <c r="CG52" s="257"/>
      <c r="CH52" s="348"/>
      <c r="CI52" s="348"/>
      <c r="CJ52" s="348"/>
      <c r="CK52" s="348"/>
      <c r="CL52" s="348"/>
      <c r="CM52" s="348"/>
      <c r="CN52" s="348"/>
      <c r="CO52" s="468"/>
      <c r="CP52" s="468"/>
      <c r="CQ52" s="468"/>
      <c r="CR52" s="468"/>
      <c r="CS52" s="468"/>
      <c r="CT52" s="468"/>
      <c r="CU52" s="468"/>
      <c r="CW52" s="257"/>
      <c r="DV52" s="234"/>
      <c r="DW52" s="234"/>
      <c r="DX52" s="234"/>
      <c r="DY52" s="234"/>
      <c r="DZ52" s="234"/>
      <c r="EA52" s="234"/>
      <c r="EB52" s="234"/>
    </row>
    <row r="53" spans="2:145" x14ac:dyDescent="0.45">
      <c r="T53" s="257"/>
      <c r="BX53" s="246"/>
      <c r="BY53" s="246"/>
      <c r="BZ53" s="246"/>
      <c r="CA53" s="246"/>
      <c r="CB53" s="246"/>
      <c r="CC53" s="246"/>
      <c r="CD53" s="246"/>
      <c r="CE53" s="246"/>
      <c r="CF53" s="246"/>
      <c r="CG53" s="246"/>
      <c r="CH53" s="246"/>
      <c r="CI53" s="246"/>
      <c r="CJ53" s="246"/>
      <c r="CK53" s="246"/>
      <c r="CL53" s="246"/>
      <c r="CM53" s="246"/>
      <c r="CN53" s="246"/>
      <c r="CW53" s="246"/>
      <c r="DV53" s="234"/>
      <c r="DW53" s="234"/>
      <c r="DX53" s="234"/>
      <c r="DY53" s="234"/>
      <c r="DZ53" s="234"/>
      <c r="EA53" s="234"/>
      <c r="EB53" s="234"/>
    </row>
    <row r="54" spans="2:145" x14ac:dyDescent="0.45">
      <c r="T54" s="257"/>
      <c r="BX54" s="246"/>
      <c r="BY54" s="246"/>
      <c r="BZ54" s="246"/>
      <c r="CA54" s="246"/>
      <c r="CB54" s="246"/>
      <c r="CC54" s="246"/>
      <c r="CD54" s="246"/>
      <c r="CE54" s="246"/>
      <c r="CF54" s="246"/>
      <c r="CG54" s="246"/>
      <c r="CH54" s="246"/>
      <c r="CI54" s="246"/>
      <c r="CJ54" s="246"/>
      <c r="CK54" s="246"/>
      <c r="CL54" s="246"/>
      <c r="CM54" s="246"/>
      <c r="CN54" s="246"/>
      <c r="CW54" s="246"/>
      <c r="EA54" s="246"/>
      <c r="EB54" s="246"/>
      <c r="EC54" s="246"/>
      <c r="ED54" s="246"/>
      <c r="EE54" s="246"/>
      <c r="EF54" s="246"/>
      <c r="EG54" s="246"/>
      <c r="EH54" s="246"/>
      <c r="EI54" s="246"/>
      <c r="EJ54" s="246"/>
      <c r="EK54" s="246"/>
      <c r="EL54" s="246"/>
      <c r="EM54" s="246"/>
      <c r="EN54" s="246"/>
      <c r="EO54" s="554"/>
    </row>
    <row r="55" spans="2:145" x14ac:dyDescent="0.45">
      <c r="B55" s="608" t="s">
        <v>2015</v>
      </c>
      <c r="C55" s="615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6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6"/>
      <c r="AL55" s="616"/>
      <c r="AM55" s="616"/>
      <c r="AN55" s="616"/>
      <c r="AO55" s="616"/>
      <c r="AP55" s="616"/>
      <c r="AQ55" s="616"/>
      <c r="AR55" s="616"/>
      <c r="AS55" s="616"/>
      <c r="AT55" s="616"/>
      <c r="AU55" s="616"/>
      <c r="AV55" s="616"/>
      <c r="AW55" s="616"/>
      <c r="AX55" s="616"/>
      <c r="AY55" s="616"/>
      <c r="AZ55" s="616"/>
      <c r="BA55" s="616"/>
      <c r="BB55" s="616"/>
      <c r="BC55" s="616"/>
      <c r="BD55" s="616"/>
      <c r="BE55" s="616"/>
      <c r="BF55" s="616"/>
      <c r="BG55" s="616"/>
      <c r="BH55" s="616"/>
      <c r="BI55" s="616"/>
      <c r="BJ55" s="616"/>
      <c r="BK55" s="616"/>
      <c r="BL55" s="616"/>
      <c r="BM55" s="616"/>
      <c r="BN55" s="616"/>
      <c r="BO55" s="616"/>
      <c r="BP55" s="616"/>
      <c r="BQ55" s="616"/>
      <c r="BR55" s="616"/>
      <c r="BS55" s="616"/>
      <c r="BT55" s="616"/>
      <c r="BU55" s="616"/>
      <c r="BV55" s="616"/>
      <c r="BW55" s="616"/>
      <c r="BX55" s="614"/>
      <c r="BY55" s="614"/>
      <c r="BZ55" s="614"/>
      <c r="CA55" s="614"/>
      <c r="CB55" s="614"/>
      <c r="CC55" s="614"/>
      <c r="CD55" s="614"/>
      <c r="CE55" s="614"/>
      <c r="CF55" s="614"/>
      <c r="CG55" s="614"/>
      <c r="CH55" s="614"/>
      <c r="CI55" s="614"/>
      <c r="CJ55" s="614"/>
      <c r="CK55" s="614"/>
      <c r="CL55" s="614"/>
      <c r="CM55" s="614"/>
      <c r="CN55" s="614"/>
      <c r="CO55" s="614"/>
      <c r="CP55" s="614"/>
      <c r="CQ55" s="614"/>
      <c r="CR55" s="614"/>
      <c r="CS55" s="614"/>
      <c r="CT55" s="614"/>
      <c r="CU55" s="614"/>
      <c r="CV55" s="614"/>
      <c r="CW55" s="614"/>
      <c r="CX55" s="614"/>
      <c r="CY55" s="614"/>
      <c r="CZ55" s="614"/>
      <c r="DA55" s="614"/>
      <c r="DB55" s="614"/>
      <c r="DC55" s="614"/>
      <c r="DD55" s="614"/>
      <c r="DE55" s="614"/>
      <c r="DF55" s="614"/>
      <c r="DG55" s="614"/>
      <c r="DH55" s="614"/>
      <c r="DI55" s="614"/>
      <c r="DJ55" s="614"/>
      <c r="DK55" s="614"/>
      <c r="DL55" s="614"/>
      <c r="DM55" s="614"/>
      <c r="DN55" s="614"/>
      <c r="DO55" s="614"/>
      <c r="DP55" s="614"/>
      <c r="DQ55" s="614"/>
      <c r="DR55" s="614"/>
      <c r="DS55" s="614"/>
      <c r="DT55" s="614"/>
      <c r="DU55" s="235"/>
    </row>
    <row r="56" spans="2:145" x14ac:dyDescent="0.45">
      <c r="B56" s="521" t="s">
        <v>2077</v>
      </c>
      <c r="D56" s="250"/>
      <c r="E56" s="250"/>
      <c r="F56" s="250"/>
      <c r="G56" s="250"/>
      <c r="H56" s="250"/>
      <c r="I56" s="250"/>
      <c r="J56" s="250"/>
      <c r="K56" s="318"/>
      <c r="L56" s="319"/>
      <c r="M56" s="319"/>
      <c r="N56" s="319"/>
      <c r="O56" s="319"/>
      <c r="P56" s="319"/>
      <c r="Q56" s="319" t="s">
        <v>2078</v>
      </c>
      <c r="R56" s="319"/>
      <c r="S56" s="319"/>
      <c r="T56" s="319"/>
      <c r="U56" s="319"/>
      <c r="V56" s="319"/>
      <c r="W56" s="32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/>
      <c r="AM56" s="250"/>
      <c r="AN56" s="250"/>
      <c r="AO56" s="250"/>
      <c r="AP56" s="250"/>
      <c r="AQ56" s="250"/>
      <c r="AR56" s="318"/>
      <c r="AS56" s="319"/>
      <c r="AT56" s="319"/>
      <c r="AU56" s="319"/>
      <c r="AV56" s="319"/>
      <c r="AW56" s="319"/>
      <c r="AX56" s="319" t="s">
        <v>2079</v>
      </c>
      <c r="AY56" s="319"/>
      <c r="AZ56" s="319"/>
      <c r="BA56" s="319"/>
      <c r="BB56" s="319"/>
      <c r="BC56" s="319"/>
      <c r="BD56" s="320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318"/>
      <c r="BZ56" s="319"/>
      <c r="CA56" s="319"/>
      <c r="CB56" s="319"/>
      <c r="CC56" s="319"/>
      <c r="CD56" s="319" t="s">
        <v>2080</v>
      </c>
      <c r="CE56" s="319"/>
      <c r="CF56" s="319"/>
      <c r="CG56" s="319"/>
      <c r="CH56" s="319"/>
      <c r="CI56" s="319"/>
      <c r="CJ56" s="319"/>
      <c r="CK56" s="320"/>
      <c r="CL56" s="250"/>
      <c r="CM56" s="250"/>
      <c r="CN56" s="250"/>
      <c r="CO56" s="250"/>
      <c r="CP56" s="250"/>
      <c r="CQ56" s="250"/>
      <c r="CR56" s="250"/>
      <c r="CS56" s="250"/>
      <c r="CT56" s="250"/>
      <c r="CU56" s="250"/>
      <c r="CV56" s="250"/>
      <c r="CW56" s="250"/>
      <c r="CX56" s="250"/>
      <c r="CY56" s="250"/>
      <c r="CZ56" s="250"/>
      <c r="DA56" s="250"/>
      <c r="DB56" s="250"/>
      <c r="DC56" s="250"/>
      <c r="DD56" s="250"/>
      <c r="DE56" s="250"/>
      <c r="DF56" s="318"/>
      <c r="DG56" s="319"/>
      <c r="DH56" s="319"/>
      <c r="DI56" s="319"/>
      <c r="DJ56" s="319"/>
      <c r="DK56" s="319"/>
      <c r="DL56" s="319" t="s">
        <v>2065</v>
      </c>
      <c r="DM56" s="319"/>
      <c r="DN56" s="319"/>
      <c r="DO56" s="319"/>
      <c r="DP56" s="319"/>
      <c r="DQ56" s="319"/>
      <c r="DR56" s="320"/>
      <c r="DS56" s="250"/>
      <c r="DT56" s="250"/>
      <c r="DV56" s="234"/>
      <c r="DW56" s="234"/>
      <c r="DX56" s="234"/>
      <c r="DY56" s="234"/>
      <c r="DZ56" s="234"/>
      <c r="EA56" s="234"/>
      <c r="EB56" s="234"/>
    </row>
    <row r="57" spans="2:145" x14ac:dyDescent="0.45">
      <c r="BX57" s="246"/>
      <c r="BY57" s="246"/>
      <c r="BZ57" s="246"/>
      <c r="CA57" s="246"/>
      <c r="CB57" s="246"/>
      <c r="DV57" s="234"/>
      <c r="DW57" s="234"/>
      <c r="DX57" s="234"/>
      <c r="DY57" s="234"/>
      <c r="DZ57" s="234"/>
      <c r="EA57" s="234"/>
      <c r="EB57" s="234"/>
    </row>
    <row r="58" spans="2:145" x14ac:dyDescent="0.45">
      <c r="B58" s="521" t="s">
        <v>1425</v>
      </c>
      <c r="D58" s="524"/>
      <c r="E58" s="522"/>
      <c r="F58" s="522"/>
      <c r="G58" s="522"/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2"/>
      <c r="AB58" s="522"/>
      <c r="AC58" s="522"/>
      <c r="AD58" s="522"/>
      <c r="AE58" s="522"/>
      <c r="AF58" s="522"/>
      <c r="AG58" s="522"/>
      <c r="AH58" s="522"/>
      <c r="AI58" s="522"/>
      <c r="AJ58" s="522"/>
      <c r="AK58" s="522"/>
      <c r="AL58" s="522"/>
      <c r="AM58" s="522"/>
      <c r="AN58" s="522"/>
      <c r="AO58" s="522"/>
      <c r="AP58" s="522"/>
      <c r="AQ58" s="522"/>
      <c r="AR58" s="522"/>
      <c r="AS58" s="522"/>
      <c r="AT58" s="522"/>
      <c r="AU58" s="522"/>
      <c r="AV58" s="522"/>
      <c r="AW58" s="522"/>
      <c r="AX58" s="522"/>
      <c r="AY58" s="522"/>
      <c r="AZ58" s="522"/>
      <c r="BA58" s="522"/>
      <c r="BB58" s="522"/>
      <c r="BC58" s="522"/>
      <c r="BD58" s="522"/>
      <c r="BE58" s="522"/>
      <c r="BF58" s="522"/>
      <c r="BG58" s="522"/>
      <c r="BH58" s="522"/>
      <c r="BI58" s="522"/>
      <c r="BJ58" s="522"/>
      <c r="BK58" s="522"/>
      <c r="BL58" s="522"/>
      <c r="BM58" s="522"/>
      <c r="BN58" s="522"/>
      <c r="BO58" s="522"/>
      <c r="BP58" s="522"/>
      <c r="BQ58" s="522"/>
      <c r="BR58" s="522"/>
      <c r="BS58" s="522"/>
      <c r="BT58" s="522"/>
      <c r="BU58" s="522"/>
      <c r="BV58" s="522"/>
      <c r="BW58" s="522"/>
      <c r="BX58" s="523"/>
      <c r="BY58" s="523"/>
      <c r="BZ58" s="523"/>
      <c r="CA58" s="523"/>
      <c r="CB58" s="523"/>
      <c r="CC58" s="523"/>
      <c r="CD58" s="523"/>
      <c r="CE58" s="523"/>
      <c r="CF58" s="523"/>
      <c r="CG58" s="523"/>
      <c r="CH58" s="523"/>
      <c r="CI58" s="523"/>
      <c r="CJ58" s="523"/>
      <c r="CK58" s="523"/>
      <c r="CL58" s="523"/>
      <c r="CM58" s="523"/>
      <c r="CN58" s="523"/>
      <c r="CO58" s="523"/>
      <c r="CP58" s="523"/>
      <c r="CQ58" s="523"/>
      <c r="CR58" s="523"/>
      <c r="CS58" s="523"/>
      <c r="CT58" s="523"/>
      <c r="CU58" s="523"/>
      <c r="CV58" s="523"/>
      <c r="CW58" s="523"/>
      <c r="CX58" s="523"/>
      <c r="CY58" s="523"/>
      <c r="CZ58" s="523"/>
      <c r="DA58" s="523"/>
      <c r="DB58" s="523"/>
      <c r="DC58" s="523"/>
      <c r="DD58" s="523"/>
      <c r="DE58" s="523"/>
      <c r="DF58" s="523"/>
      <c r="DG58" s="523"/>
      <c r="DH58" s="523"/>
      <c r="DI58" s="523"/>
      <c r="DJ58" s="523"/>
      <c r="DK58" s="523"/>
      <c r="DL58" s="523"/>
      <c r="DM58" s="523"/>
      <c r="DN58" s="523"/>
      <c r="DO58" s="523"/>
      <c r="DP58" s="523"/>
      <c r="DQ58" s="523"/>
      <c r="DR58" s="523"/>
      <c r="DS58" s="523"/>
      <c r="DT58" s="523"/>
      <c r="DV58" s="234"/>
      <c r="DW58" s="234"/>
      <c r="DX58" s="234"/>
      <c r="DY58" s="234"/>
      <c r="DZ58" s="234"/>
      <c r="EA58" s="234"/>
      <c r="EB58" s="234"/>
    </row>
    <row r="59" spans="2:145" x14ac:dyDescent="0.45">
      <c r="DV59" s="234"/>
      <c r="DW59" s="234"/>
      <c r="DX59" s="234"/>
      <c r="DY59" s="234"/>
      <c r="DZ59" s="234"/>
      <c r="EA59" s="234"/>
      <c r="EB59" s="234"/>
    </row>
    <row r="60" spans="2:145" x14ac:dyDescent="0.45">
      <c r="B60" s="521" t="s">
        <v>1424</v>
      </c>
      <c r="D60" s="345"/>
      <c r="E60" s="345"/>
      <c r="F60" s="345"/>
      <c r="G60" s="345"/>
      <c r="H60" s="345"/>
      <c r="I60" s="345"/>
      <c r="J60" s="346"/>
      <c r="X60" s="314"/>
      <c r="Y60" s="315"/>
      <c r="Z60" s="315"/>
      <c r="AA60" s="315"/>
      <c r="AB60" s="315"/>
      <c r="AC60" s="315"/>
      <c r="AD60" s="315"/>
      <c r="AE60" s="315"/>
      <c r="AF60" s="315"/>
      <c r="AG60" s="315"/>
      <c r="AH60" s="341"/>
      <c r="AI60" s="341"/>
      <c r="AJ60" s="341"/>
      <c r="AK60" s="341"/>
      <c r="AL60" s="341"/>
      <c r="AM60" s="341"/>
      <c r="AN60" s="341"/>
      <c r="AO60" s="341"/>
      <c r="AP60" s="341"/>
      <c r="AQ60" s="342"/>
      <c r="BE60" s="339"/>
      <c r="BF60" s="340"/>
      <c r="BG60" s="340"/>
      <c r="BH60" s="340"/>
      <c r="BI60" s="340"/>
      <c r="BJ60" s="340"/>
      <c r="BK60" s="340"/>
      <c r="BL60" s="340"/>
      <c r="BM60" s="340"/>
      <c r="BN60" s="340"/>
      <c r="BO60" s="343"/>
      <c r="BP60" s="343"/>
      <c r="BQ60" s="343"/>
      <c r="BR60" s="343"/>
      <c r="BS60" s="343"/>
      <c r="BT60" s="343"/>
      <c r="BU60" s="343"/>
      <c r="BV60" s="343"/>
      <c r="BW60" s="343"/>
      <c r="BX60" s="344"/>
      <c r="BY60" s="246"/>
      <c r="BZ60" s="246"/>
      <c r="CA60" s="246"/>
      <c r="CB60" s="246"/>
      <c r="CC60" s="246"/>
      <c r="CD60" s="246"/>
      <c r="CE60" s="246"/>
      <c r="CF60" s="246"/>
      <c r="CG60" s="246"/>
      <c r="CH60" s="246"/>
      <c r="CI60" s="246"/>
      <c r="CJ60" s="246"/>
      <c r="CK60" s="246"/>
      <c r="CL60" s="316"/>
      <c r="CM60" s="317"/>
      <c r="CN60" s="317"/>
      <c r="CO60" s="317"/>
      <c r="CP60" s="317"/>
      <c r="CQ60" s="345"/>
      <c r="CR60" s="345"/>
      <c r="CS60" s="345"/>
      <c r="CT60" s="345"/>
      <c r="CU60" s="345"/>
      <c r="CV60" s="345"/>
      <c r="CW60" s="345"/>
      <c r="CX60" s="345"/>
      <c r="CY60" s="345"/>
      <c r="CZ60" s="345"/>
      <c r="DA60" s="345"/>
      <c r="DB60" s="345"/>
      <c r="DC60" s="345"/>
      <c r="DD60" s="345"/>
      <c r="DE60" s="346"/>
      <c r="DF60" s="246"/>
      <c r="DG60" s="246"/>
      <c r="DH60" s="246"/>
      <c r="DI60" s="246"/>
      <c r="DJ60" s="246"/>
      <c r="DK60" s="246"/>
      <c r="DL60" s="246"/>
      <c r="DM60" s="246"/>
      <c r="DN60" s="246"/>
      <c r="DO60" s="246"/>
      <c r="DP60" s="246"/>
      <c r="DQ60" s="246"/>
      <c r="DR60" s="246"/>
      <c r="DS60" s="361"/>
      <c r="DT60" s="341"/>
      <c r="EA60" s="554"/>
      <c r="ED60" s="554"/>
    </row>
    <row r="61" spans="2:145" x14ac:dyDescent="0.45">
      <c r="BX61" s="246"/>
      <c r="BY61" s="246"/>
      <c r="BZ61" s="246"/>
      <c r="CA61" s="246"/>
      <c r="CB61" s="246"/>
    </row>
    <row r="62" spans="2:145" x14ac:dyDescent="0.45">
      <c r="BX62" s="246"/>
      <c r="BY62" s="246"/>
      <c r="BZ62" s="246"/>
      <c r="CA62" s="246"/>
      <c r="CB62" s="246"/>
    </row>
    <row r="63" spans="2:145" ht="15" thickBot="1" x14ac:dyDescent="0.5">
      <c r="BX63" s="246"/>
      <c r="BY63" s="246"/>
      <c r="BZ63" s="246"/>
      <c r="CA63" s="246"/>
      <c r="CB63" s="246"/>
    </row>
    <row r="64" spans="2:145" ht="15" thickTop="1" x14ac:dyDescent="0.45">
      <c r="B64" s="521" t="s">
        <v>1456</v>
      </c>
      <c r="D64" s="250"/>
      <c r="E64" s="360"/>
      <c r="F64" s="250"/>
      <c r="G64" s="360"/>
      <c r="H64" s="250"/>
      <c r="I64" s="360"/>
      <c r="J64" s="250"/>
      <c r="K64" s="360"/>
      <c r="L64" s="250"/>
      <c r="M64" s="360"/>
      <c r="N64" s="250"/>
      <c r="O64" s="360"/>
      <c r="P64" s="250"/>
      <c r="Q64" s="360"/>
      <c r="R64" s="250"/>
      <c r="S64" s="360"/>
      <c r="T64" s="250"/>
      <c r="U64" s="360"/>
      <c r="V64" s="250"/>
      <c r="W64" s="304"/>
      <c r="X64" s="358"/>
      <c r="Y64" s="250"/>
      <c r="Z64" s="250"/>
      <c r="AA64" s="250"/>
      <c r="AB64" s="250"/>
      <c r="AC64" s="358"/>
      <c r="AD64" s="250"/>
      <c r="AE64" s="250"/>
      <c r="AF64" s="250"/>
      <c r="AG64" s="250"/>
      <c r="AH64" s="358"/>
      <c r="AI64" s="250"/>
      <c r="AJ64" s="250"/>
      <c r="AK64" s="250"/>
      <c r="AL64" s="250"/>
      <c r="AM64" s="358"/>
      <c r="AN64" s="250"/>
      <c r="AO64" s="250"/>
      <c r="AP64" s="250"/>
      <c r="AQ64" s="250"/>
      <c r="AR64" s="358"/>
      <c r="AS64" s="250"/>
      <c r="AT64" s="250"/>
      <c r="AU64" s="250"/>
      <c r="AV64" s="250"/>
      <c r="AW64" s="358"/>
      <c r="AX64" s="250"/>
      <c r="AY64" s="250"/>
      <c r="AZ64" s="250"/>
      <c r="BA64" s="250"/>
      <c r="BB64" s="358"/>
      <c r="BC64" s="250"/>
      <c r="BD64" s="250"/>
      <c r="BE64" s="359"/>
      <c r="BF64" s="250"/>
      <c r="BG64" s="250"/>
      <c r="BH64" s="250"/>
      <c r="BI64" s="359"/>
      <c r="BJ64" s="250"/>
      <c r="BK64" s="250"/>
      <c r="BL64" s="250"/>
      <c r="BM64" s="359"/>
      <c r="BN64" s="250"/>
      <c r="BO64" s="250"/>
      <c r="BP64" s="250"/>
      <c r="BQ64" s="359"/>
      <c r="BR64" s="250"/>
      <c r="BS64" s="250"/>
      <c r="BT64" s="250"/>
      <c r="BU64" s="359"/>
      <c r="BV64" s="250"/>
      <c r="BW64" s="250"/>
      <c r="BX64" s="250"/>
      <c r="BY64" s="359"/>
      <c r="BZ64" s="250"/>
      <c r="CA64" s="250"/>
      <c r="CB64" s="250"/>
      <c r="CC64" s="359"/>
      <c r="CD64" s="250"/>
      <c r="CE64" s="250"/>
      <c r="CF64" s="250"/>
      <c r="CG64" s="359"/>
      <c r="CH64" s="250"/>
      <c r="CI64" s="250"/>
      <c r="CJ64" s="250"/>
      <c r="CK64" s="359"/>
      <c r="CL64" s="360"/>
      <c r="CM64" s="250"/>
      <c r="CN64" s="360"/>
      <c r="CO64" s="250"/>
      <c r="CP64" s="360"/>
      <c r="CQ64" s="250"/>
      <c r="CR64" s="360"/>
      <c r="CS64" s="250"/>
      <c r="CT64" s="360"/>
      <c r="CU64" s="250"/>
      <c r="CV64" s="360"/>
      <c r="CW64" s="250"/>
      <c r="CX64" s="360"/>
      <c r="CY64" s="250"/>
      <c r="CZ64" s="360"/>
      <c r="DA64" s="250"/>
      <c r="DB64" s="360"/>
      <c r="DC64" s="250"/>
      <c r="DD64" s="360"/>
      <c r="DE64" s="250"/>
      <c r="DF64" s="360"/>
      <c r="DG64" s="250"/>
      <c r="DH64" s="360"/>
      <c r="DI64" s="250"/>
      <c r="DJ64" s="360"/>
      <c r="DK64" s="250"/>
      <c r="DL64" s="360"/>
      <c r="DM64" s="250"/>
      <c r="DN64" s="360"/>
      <c r="DO64" s="250"/>
      <c r="DP64" s="360"/>
      <c r="DQ64" s="250"/>
      <c r="DR64" s="304"/>
      <c r="DS64" s="358"/>
      <c r="DT64" s="537"/>
    </row>
    <row r="67" spans="2:134" x14ac:dyDescent="0.45">
      <c r="B67" s="608" t="s">
        <v>2014</v>
      </c>
      <c r="C67" s="615"/>
      <c r="D67" s="616"/>
      <c r="E67" s="616"/>
      <c r="F67" s="616"/>
      <c r="G67" s="616"/>
      <c r="H67" s="616"/>
      <c r="I67" s="616"/>
      <c r="J67" s="616"/>
      <c r="K67" s="616"/>
      <c r="L67" s="616"/>
      <c r="M67" s="616"/>
      <c r="N67" s="616"/>
      <c r="O67" s="616"/>
      <c r="P67" s="616"/>
      <c r="Q67" s="616"/>
      <c r="R67" s="616"/>
      <c r="S67" s="616"/>
      <c r="T67" s="616"/>
      <c r="U67" s="616"/>
      <c r="V67" s="616"/>
      <c r="W67" s="616"/>
      <c r="X67" s="616"/>
      <c r="Y67" s="616"/>
      <c r="Z67" s="616"/>
      <c r="AA67" s="616"/>
      <c r="AB67" s="616"/>
      <c r="AC67" s="616"/>
      <c r="AD67" s="616"/>
      <c r="AE67" s="616"/>
      <c r="AF67" s="616"/>
      <c r="AG67" s="616"/>
      <c r="AH67" s="616"/>
      <c r="AI67" s="616"/>
      <c r="AJ67" s="616"/>
      <c r="AK67" s="616"/>
      <c r="AL67" s="616"/>
      <c r="AM67" s="616"/>
      <c r="AN67" s="616"/>
      <c r="AO67" s="616"/>
      <c r="AP67" s="616"/>
      <c r="AQ67" s="616"/>
      <c r="AR67" s="616"/>
      <c r="AS67" s="616"/>
      <c r="AT67" s="616"/>
      <c r="AU67" s="616"/>
      <c r="AV67" s="616"/>
      <c r="AW67" s="616"/>
      <c r="AX67" s="616"/>
      <c r="AY67" s="616"/>
      <c r="AZ67" s="616"/>
      <c r="BA67" s="616"/>
      <c r="BB67" s="616"/>
      <c r="BC67" s="616"/>
      <c r="BD67" s="616"/>
      <c r="BE67" s="616"/>
      <c r="BF67" s="616"/>
      <c r="BG67" s="616"/>
      <c r="BH67" s="616"/>
      <c r="BI67" s="616"/>
      <c r="BJ67" s="616"/>
      <c r="BK67" s="616"/>
      <c r="BL67" s="616"/>
      <c r="BM67" s="616"/>
      <c r="BN67" s="616"/>
      <c r="BO67" s="616"/>
      <c r="BP67" s="616"/>
      <c r="BQ67" s="616"/>
      <c r="BR67" s="616"/>
      <c r="BS67" s="616"/>
      <c r="BT67" s="616"/>
      <c r="BU67" s="616"/>
      <c r="BV67" s="616"/>
      <c r="BW67" s="616"/>
      <c r="BX67" s="614"/>
      <c r="BY67" s="614"/>
      <c r="BZ67" s="614"/>
      <c r="CA67" s="614"/>
      <c r="CB67" s="614"/>
      <c r="CC67" s="614"/>
      <c r="CD67" s="614"/>
      <c r="CE67" s="614"/>
      <c r="CF67" s="614"/>
      <c r="CG67" s="614"/>
      <c r="CH67" s="614"/>
      <c r="CI67" s="614"/>
      <c r="CJ67" s="614"/>
      <c r="CK67" s="614"/>
      <c r="CL67" s="614"/>
      <c r="CM67" s="614"/>
      <c r="CN67" s="614"/>
      <c r="CO67" s="614"/>
      <c r="CP67" s="614"/>
      <c r="CQ67" s="614"/>
      <c r="CR67" s="614"/>
      <c r="CS67" s="614"/>
      <c r="CT67" s="614"/>
      <c r="CU67" s="614"/>
      <c r="CV67" s="614"/>
      <c r="CW67" s="614"/>
      <c r="CX67" s="614"/>
      <c r="CY67" s="614"/>
      <c r="CZ67" s="614"/>
      <c r="DA67" s="614"/>
      <c r="DB67" s="614"/>
      <c r="DC67" s="614"/>
      <c r="DD67" s="614"/>
      <c r="DE67" s="614"/>
      <c r="DF67" s="614"/>
      <c r="DG67" s="614"/>
      <c r="DH67" s="614"/>
      <c r="DI67" s="614"/>
      <c r="DJ67" s="614"/>
      <c r="DK67" s="614"/>
      <c r="DL67" s="614"/>
      <c r="DM67" s="614"/>
      <c r="DN67" s="614"/>
      <c r="DO67" s="614"/>
      <c r="DP67" s="614"/>
      <c r="DQ67" s="614"/>
      <c r="DR67" s="614"/>
      <c r="DS67" s="614"/>
      <c r="DT67" s="614"/>
      <c r="DU67" s="235"/>
    </row>
    <row r="68" spans="2:134" x14ac:dyDescent="0.45">
      <c r="B68" s="521" t="s">
        <v>2077</v>
      </c>
      <c r="D68" s="250"/>
      <c r="E68" s="250"/>
      <c r="F68" s="250"/>
      <c r="G68" s="250"/>
      <c r="H68" s="250"/>
      <c r="I68" s="250"/>
      <c r="J68" s="250"/>
      <c r="K68" s="318"/>
      <c r="L68" s="319"/>
      <c r="M68" s="319"/>
      <c r="N68" s="319"/>
      <c r="O68" s="319"/>
      <c r="P68" s="319" t="s">
        <v>2078</v>
      </c>
      <c r="Q68" s="319"/>
      <c r="R68" s="319"/>
      <c r="S68" s="319"/>
      <c r="T68" s="319"/>
      <c r="U68" s="319"/>
      <c r="V68" s="319"/>
      <c r="W68" s="32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  <c r="AR68" s="250"/>
      <c r="AS68" s="250"/>
      <c r="AT68" s="250"/>
      <c r="AU68" s="250"/>
      <c r="AV68" s="250"/>
      <c r="AW68" s="250"/>
      <c r="AX68" s="250"/>
      <c r="AY68" s="250"/>
      <c r="AZ68" s="250"/>
      <c r="BA68" s="250"/>
      <c r="BB68" s="250"/>
      <c r="BC68" s="250"/>
      <c r="BD68" s="250"/>
      <c r="BE68" s="250"/>
      <c r="BF68" s="250"/>
      <c r="BG68" s="250"/>
      <c r="BH68" s="318"/>
      <c r="BI68" s="319"/>
      <c r="BJ68" s="319"/>
      <c r="BK68" s="319"/>
      <c r="BL68" s="319"/>
      <c r="BM68" s="319" t="s">
        <v>2079</v>
      </c>
      <c r="BN68" s="319"/>
      <c r="BO68" s="319"/>
      <c r="BP68" s="319"/>
      <c r="BQ68" s="319"/>
      <c r="BR68" s="319"/>
      <c r="BS68" s="319"/>
      <c r="BT68" s="32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250"/>
      <c r="CH68" s="250"/>
      <c r="CI68" s="250"/>
      <c r="CJ68" s="250"/>
      <c r="CK68" s="250"/>
      <c r="CL68" s="250"/>
      <c r="CM68" s="250"/>
      <c r="CN68" s="250"/>
      <c r="CO68" s="250"/>
      <c r="CP68" s="250"/>
      <c r="CQ68" s="250"/>
      <c r="CR68" s="250"/>
      <c r="CS68" s="250"/>
      <c r="CT68" s="250"/>
      <c r="CU68" s="250"/>
      <c r="CV68" s="250"/>
      <c r="CW68" s="250"/>
      <c r="CX68" s="250"/>
      <c r="CY68" s="250"/>
      <c r="CZ68" s="250"/>
      <c r="DA68" s="250"/>
      <c r="DB68" s="250"/>
      <c r="DC68" s="250"/>
      <c r="DD68" s="250"/>
      <c r="DE68" s="250"/>
      <c r="DF68" s="318"/>
      <c r="DG68" s="319"/>
      <c r="DH68" s="319"/>
      <c r="DI68" s="319"/>
      <c r="DJ68" s="319"/>
      <c r="DK68" s="319" t="s">
        <v>2065</v>
      </c>
      <c r="DL68" s="319"/>
      <c r="DM68" s="319"/>
      <c r="DN68" s="319"/>
      <c r="DO68" s="319"/>
      <c r="DP68" s="319"/>
      <c r="DQ68" s="319"/>
      <c r="DR68" s="320"/>
      <c r="DS68" s="250"/>
      <c r="DT68" s="250"/>
      <c r="DY68" s="234"/>
      <c r="DZ68" s="234"/>
      <c r="EA68" s="234"/>
      <c r="EB68" s="234"/>
    </row>
    <row r="69" spans="2:134" x14ac:dyDescent="0.45">
      <c r="BX69" s="246"/>
      <c r="BY69" s="246"/>
      <c r="BZ69" s="246"/>
      <c r="CA69" s="246"/>
      <c r="CB69" s="246"/>
      <c r="DV69" s="811"/>
      <c r="DX69" s="234"/>
      <c r="DY69" s="234"/>
      <c r="DZ69" s="234"/>
      <c r="EA69" s="234"/>
      <c r="EB69" s="234"/>
    </row>
    <row r="70" spans="2:134" x14ac:dyDescent="0.45">
      <c r="B70" s="521" t="s">
        <v>1425</v>
      </c>
      <c r="D70" s="524"/>
      <c r="E70" s="522"/>
      <c r="F70" s="522"/>
      <c r="G70" s="522"/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2"/>
      <c r="AB70" s="522"/>
      <c r="AC70" s="522"/>
      <c r="AD70" s="522"/>
      <c r="AE70" s="522"/>
      <c r="AF70" s="522"/>
      <c r="AG70" s="522"/>
      <c r="AH70" s="522"/>
      <c r="AI70" s="522"/>
      <c r="AJ70" s="522"/>
      <c r="AK70" s="522"/>
      <c r="AL70" s="522"/>
      <c r="AM70" s="522"/>
      <c r="AN70" s="522"/>
      <c r="AO70" s="522"/>
      <c r="AP70" s="522"/>
      <c r="AQ70" s="522"/>
      <c r="AR70" s="522"/>
      <c r="AS70" s="522"/>
      <c r="AT70" s="522"/>
      <c r="AU70" s="522"/>
      <c r="AV70" s="522"/>
      <c r="AW70" s="522"/>
      <c r="AX70" s="522"/>
      <c r="AY70" s="522"/>
      <c r="AZ70" s="522"/>
      <c r="BA70" s="522"/>
      <c r="BB70" s="522"/>
      <c r="BC70" s="522"/>
      <c r="BD70" s="522"/>
      <c r="BE70" s="522"/>
      <c r="BF70" s="522"/>
      <c r="BG70" s="522"/>
      <c r="BH70" s="522"/>
      <c r="BI70" s="522"/>
      <c r="BJ70" s="522"/>
      <c r="BK70" s="522"/>
      <c r="BL70" s="522"/>
      <c r="BM70" s="522"/>
      <c r="BN70" s="522"/>
      <c r="BO70" s="522"/>
      <c r="BP70" s="522"/>
      <c r="BQ70" s="522"/>
      <c r="BR70" s="522"/>
      <c r="BS70" s="522"/>
      <c r="BT70" s="522"/>
      <c r="BU70" s="522"/>
      <c r="BV70" s="522"/>
      <c r="BW70" s="522"/>
      <c r="BX70" s="523"/>
      <c r="BY70" s="523"/>
      <c r="BZ70" s="523"/>
      <c r="CA70" s="523"/>
      <c r="CB70" s="523"/>
      <c r="CC70" s="523"/>
      <c r="CD70" s="523"/>
      <c r="CE70" s="523"/>
      <c r="CF70" s="523"/>
      <c r="CG70" s="523"/>
      <c r="CH70" s="523"/>
      <c r="CI70" s="523"/>
      <c r="CJ70" s="523"/>
      <c r="CK70" s="523"/>
      <c r="CL70" s="523"/>
      <c r="CM70" s="523"/>
      <c r="CN70" s="523"/>
      <c r="CO70" s="523"/>
      <c r="CP70" s="523"/>
      <c r="CQ70" s="523"/>
      <c r="CR70" s="523"/>
      <c r="CS70" s="523"/>
      <c r="CT70" s="523"/>
      <c r="CU70" s="523"/>
      <c r="CV70" s="523"/>
      <c r="CW70" s="523"/>
      <c r="CX70" s="523"/>
      <c r="CY70" s="523"/>
      <c r="CZ70" s="523"/>
      <c r="DA70" s="523"/>
      <c r="DB70" s="523"/>
      <c r="DC70" s="523"/>
      <c r="DD70" s="523"/>
      <c r="DE70" s="523"/>
      <c r="DF70" s="523"/>
      <c r="DG70" s="523"/>
      <c r="DH70" s="523"/>
      <c r="DI70" s="523"/>
      <c r="DJ70" s="523"/>
      <c r="DK70" s="523"/>
      <c r="DL70" s="523"/>
      <c r="DM70" s="523"/>
      <c r="DN70" s="523"/>
      <c r="DO70" s="523"/>
      <c r="DP70" s="523"/>
      <c r="DQ70" s="523"/>
      <c r="DR70" s="523"/>
      <c r="DS70" s="523"/>
      <c r="DT70" s="523"/>
      <c r="DW70" s="234"/>
      <c r="DX70" s="234"/>
      <c r="DY70" s="234"/>
      <c r="DZ70" s="234"/>
      <c r="EA70" s="234"/>
      <c r="EB70" s="234"/>
    </row>
    <row r="71" spans="2:134" x14ac:dyDescent="0.45">
      <c r="BX71" s="246"/>
      <c r="BY71" s="246"/>
      <c r="BZ71" s="246"/>
      <c r="CA71" s="246"/>
      <c r="CB71" s="246"/>
      <c r="DW71" s="234"/>
      <c r="DX71" s="234"/>
      <c r="DY71" s="234"/>
      <c r="DZ71" s="234"/>
      <c r="EA71" s="234"/>
      <c r="EB71" s="234"/>
    </row>
    <row r="72" spans="2:134" x14ac:dyDescent="0.45">
      <c r="B72" s="521" t="s">
        <v>1424</v>
      </c>
      <c r="D72" s="315"/>
      <c r="E72" s="315"/>
      <c r="F72" s="315"/>
      <c r="G72" s="315"/>
      <c r="H72" s="315"/>
      <c r="I72" s="315"/>
      <c r="J72" s="315"/>
      <c r="K72" s="314"/>
      <c r="L72" s="315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  <c r="AA72" s="315"/>
      <c r="AB72" s="315"/>
      <c r="AC72" s="315"/>
      <c r="AD72" s="315"/>
      <c r="AE72" s="315"/>
      <c r="AF72" s="315"/>
      <c r="AG72" s="315"/>
      <c r="AH72" s="315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2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EA72" s="554"/>
      <c r="ED72" s="554"/>
    </row>
    <row r="73" spans="2:134" x14ac:dyDescent="0.45">
      <c r="BX73" s="246"/>
      <c r="BY73" s="246"/>
      <c r="BZ73" s="246"/>
      <c r="CA73" s="246"/>
      <c r="CB73" s="246"/>
      <c r="DV73" s="813"/>
      <c r="DW73" s="234"/>
      <c r="DX73" s="234"/>
      <c r="DY73" s="234"/>
      <c r="DZ73" s="234"/>
      <c r="EA73" s="234"/>
      <c r="EB73" s="234"/>
    </row>
    <row r="74" spans="2:134" x14ac:dyDescent="0.45">
      <c r="B74" s="521" t="s">
        <v>1424</v>
      </c>
      <c r="D74" s="345"/>
      <c r="E74" s="345"/>
      <c r="F74" s="345"/>
      <c r="G74" s="345"/>
      <c r="H74" s="345"/>
      <c r="I74" s="345"/>
      <c r="J74" s="346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339"/>
      <c r="Y74" s="340"/>
      <c r="Z74" s="340"/>
      <c r="AA74" s="340"/>
      <c r="AB74" s="340"/>
      <c r="AC74" s="340"/>
      <c r="AD74" s="340"/>
      <c r="AE74" s="340"/>
      <c r="AF74" s="340"/>
      <c r="AG74" s="340"/>
      <c r="AH74" s="340"/>
      <c r="AI74" s="340"/>
      <c r="AJ74" s="340"/>
      <c r="AK74" s="340"/>
      <c r="AL74" s="340"/>
      <c r="AM74" s="340"/>
      <c r="AN74" s="340"/>
      <c r="AO74" s="340"/>
      <c r="AP74" s="340"/>
      <c r="AQ74" s="340"/>
      <c r="AR74" s="343"/>
      <c r="AS74" s="343"/>
      <c r="AT74" s="343"/>
      <c r="AU74" s="343"/>
      <c r="AV74" s="343"/>
      <c r="AW74" s="343"/>
      <c r="AX74" s="343"/>
      <c r="AY74" s="343"/>
      <c r="AZ74" s="343"/>
      <c r="BA74" s="343"/>
      <c r="BB74" s="343"/>
      <c r="BC74" s="343"/>
      <c r="BD74" s="343"/>
      <c r="BE74" s="343"/>
      <c r="BF74" s="343"/>
      <c r="BG74" s="344"/>
      <c r="BH74" s="234"/>
      <c r="BI74" s="234"/>
      <c r="BJ74" s="234"/>
      <c r="BK74" s="234"/>
      <c r="BL74" s="234"/>
      <c r="BM74" s="234"/>
      <c r="BN74" s="234"/>
      <c r="BO74" s="234"/>
      <c r="BP74" s="234"/>
      <c r="BQ74" s="234"/>
      <c r="BU74" s="316"/>
      <c r="BV74" s="317"/>
      <c r="BW74" s="317"/>
      <c r="BX74" s="317"/>
      <c r="BY74" s="317"/>
      <c r="BZ74" s="317"/>
      <c r="CA74" s="317"/>
      <c r="CB74" s="317"/>
      <c r="CC74" s="317"/>
      <c r="CD74" s="317"/>
      <c r="CE74" s="345"/>
      <c r="CF74" s="345"/>
      <c r="CG74" s="345"/>
      <c r="CH74" s="345"/>
      <c r="CI74" s="345"/>
      <c r="CJ74" s="345"/>
      <c r="CK74" s="345"/>
      <c r="CL74" s="345"/>
      <c r="CM74" s="345"/>
      <c r="CN74" s="345"/>
      <c r="CO74" s="345"/>
      <c r="CP74" s="345"/>
      <c r="CQ74" s="345"/>
      <c r="CR74" s="345"/>
      <c r="CS74" s="345"/>
      <c r="CT74" s="345"/>
      <c r="CU74" s="345"/>
      <c r="CV74" s="345"/>
      <c r="CW74" s="345"/>
      <c r="CX74" s="345"/>
      <c r="CY74" s="345"/>
      <c r="CZ74" s="345"/>
      <c r="DA74" s="345"/>
      <c r="DB74" s="345"/>
      <c r="DC74" s="345"/>
      <c r="DD74" s="345"/>
      <c r="DE74" s="346"/>
      <c r="DF74" s="246"/>
      <c r="DG74" s="246"/>
      <c r="DH74" s="246"/>
      <c r="DI74" s="246"/>
      <c r="DJ74" s="246"/>
      <c r="DK74" s="246"/>
      <c r="DL74" s="246"/>
      <c r="DM74" s="246"/>
      <c r="DN74" s="246"/>
      <c r="DO74" s="246"/>
      <c r="DP74" s="246"/>
      <c r="DQ74" s="246"/>
      <c r="DR74" s="246"/>
      <c r="DS74" s="514"/>
      <c r="DT74" s="343"/>
      <c r="DV74" s="234"/>
      <c r="EA74" s="554"/>
      <c r="ED74" s="554"/>
    </row>
    <row r="75" spans="2:134" x14ac:dyDescent="0.45"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BH75" s="234"/>
      <c r="BI75" s="234"/>
      <c r="BJ75" s="234"/>
      <c r="BK75" s="234"/>
      <c r="BL75" s="234"/>
      <c r="BM75" s="234"/>
      <c r="BN75" s="234"/>
      <c r="BO75" s="234"/>
      <c r="BP75" s="234"/>
      <c r="BQ75" s="234"/>
      <c r="BX75" s="246"/>
      <c r="BY75" s="246"/>
      <c r="BZ75" s="246"/>
      <c r="CA75" s="246"/>
      <c r="CB75" s="246"/>
      <c r="CC75" s="246"/>
      <c r="CD75" s="246"/>
      <c r="CE75" s="246"/>
      <c r="CF75" s="246"/>
      <c r="CG75" s="246"/>
      <c r="CH75" s="246"/>
      <c r="CI75" s="246"/>
      <c r="CJ75" s="246"/>
      <c r="CK75" s="246"/>
      <c r="CL75" s="246"/>
      <c r="CM75" s="246"/>
      <c r="CN75" s="246"/>
      <c r="CO75" s="246"/>
      <c r="CP75" s="246"/>
      <c r="CQ75" s="246"/>
      <c r="CR75" s="246"/>
      <c r="CS75" s="246"/>
      <c r="CT75" s="246"/>
      <c r="CU75" s="246"/>
      <c r="CV75" s="246"/>
      <c r="CW75" s="246"/>
      <c r="CX75" s="246"/>
      <c r="CY75" s="246"/>
      <c r="CZ75" s="246"/>
      <c r="DA75" s="246"/>
      <c r="DB75" s="246"/>
      <c r="DC75" s="246"/>
      <c r="DD75" s="246"/>
      <c r="DE75" s="246"/>
      <c r="DF75" s="246"/>
      <c r="DG75" s="246"/>
      <c r="DH75" s="246"/>
      <c r="DI75" s="246"/>
      <c r="DJ75" s="246"/>
      <c r="DK75" s="246"/>
      <c r="DL75" s="246"/>
      <c r="DM75" s="246"/>
      <c r="DN75" s="246"/>
      <c r="DO75" s="246"/>
      <c r="DP75" s="246"/>
      <c r="DQ75" s="246"/>
      <c r="DR75" s="246"/>
      <c r="DS75" s="246"/>
      <c r="DT75" s="246"/>
      <c r="DV75" s="799"/>
      <c r="EA75" s="554"/>
      <c r="ED75" s="554"/>
    </row>
    <row r="76" spans="2:134" x14ac:dyDescent="0.45"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BH76" s="234"/>
      <c r="BI76" s="234"/>
      <c r="BJ76" s="234"/>
      <c r="BK76" s="234"/>
      <c r="BL76" s="234"/>
      <c r="BM76" s="234"/>
      <c r="BN76" s="234"/>
      <c r="BO76" s="234"/>
      <c r="BP76" s="234"/>
      <c r="BQ76" s="234"/>
      <c r="BX76" s="246"/>
      <c r="BY76" s="246"/>
      <c r="BZ76" s="246"/>
      <c r="CA76" s="246"/>
      <c r="CB76" s="246"/>
      <c r="CC76" s="246"/>
      <c r="CD76" s="246"/>
      <c r="CE76" s="246"/>
      <c r="CF76" s="246"/>
      <c r="CG76" s="246"/>
      <c r="CH76" s="246"/>
      <c r="CI76" s="246"/>
      <c r="CJ76" s="246"/>
      <c r="CK76" s="246"/>
      <c r="CL76" s="246"/>
      <c r="CM76" s="246"/>
      <c r="CN76" s="246"/>
      <c r="CO76" s="246"/>
      <c r="CP76" s="246"/>
      <c r="CQ76" s="246"/>
      <c r="CR76" s="246"/>
      <c r="CS76" s="246"/>
      <c r="CT76" s="246"/>
      <c r="CU76" s="246"/>
      <c r="CV76" s="246"/>
      <c r="CW76" s="246"/>
      <c r="CX76" s="246"/>
      <c r="CY76" s="246"/>
      <c r="CZ76" s="246"/>
      <c r="DA76" s="246"/>
      <c r="DB76" s="246"/>
      <c r="DC76" s="246"/>
      <c r="DD76" s="246"/>
      <c r="DE76" s="246"/>
      <c r="DF76" s="246"/>
      <c r="DG76" s="246"/>
      <c r="DH76" s="246"/>
      <c r="DI76" s="246"/>
      <c r="DJ76" s="246"/>
      <c r="DK76" s="246"/>
      <c r="DL76" s="246"/>
      <c r="DM76" s="246"/>
      <c r="DN76" s="246"/>
      <c r="DO76" s="246"/>
      <c r="DP76" s="246"/>
      <c r="DQ76" s="246"/>
      <c r="DR76" s="246"/>
      <c r="DS76" s="246"/>
      <c r="DT76" s="246"/>
      <c r="EA76" s="554"/>
      <c r="ED76" s="554"/>
    </row>
    <row r="77" spans="2:134" ht="15" thickBot="1" x14ac:dyDescent="0.5"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BE77" s="234"/>
      <c r="BF77" s="234"/>
      <c r="BG77" s="234"/>
      <c r="BH77" s="234"/>
      <c r="BI77" s="234"/>
      <c r="BJ77" s="234"/>
      <c r="BK77" s="234"/>
      <c r="BL77" s="234"/>
      <c r="BM77" s="234"/>
      <c r="BN77" s="234"/>
      <c r="BO77" s="234"/>
      <c r="BP77" s="234"/>
      <c r="BQ77" s="234"/>
      <c r="BX77" s="246"/>
      <c r="BY77" s="246"/>
      <c r="BZ77" s="246"/>
      <c r="CA77" s="246"/>
      <c r="CB77" s="246"/>
      <c r="CC77" s="246"/>
      <c r="CD77" s="246"/>
      <c r="CE77" s="246"/>
      <c r="CF77" s="246"/>
      <c r="CG77" s="246"/>
      <c r="CH77" s="246"/>
      <c r="CI77" s="246"/>
      <c r="CJ77" s="246"/>
      <c r="CK77" s="246"/>
      <c r="CL77" s="246"/>
      <c r="CM77" s="246"/>
      <c r="CN77" s="246"/>
      <c r="CO77" s="246"/>
      <c r="CP77" s="246"/>
      <c r="CQ77" s="246"/>
      <c r="CR77" s="246"/>
      <c r="CS77" s="246"/>
      <c r="CT77" s="246"/>
      <c r="CU77" s="246"/>
      <c r="CV77" s="246"/>
      <c r="CW77" s="246"/>
      <c r="CX77" s="246"/>
      <c r="CY77" s="246"/>
      <c r="CZ77" s="246"/>
      <c r="DA77" s="246"/>
      <c r="DB77" s="246"/>
      <c r="DC77" s="246"/>
      <c r="DD77" s="246"/>
      <c r="DE77" s="246"/>
      <c r="DF77" s="246"/>
      <c r="DG77" s="246"/>
      <c r="DH77" s="246"/>
      <c r="DI77" s="246"/>
      <c r="DJ77" s="246"/>
      <c r="DK77" s="246"/>
      <c r="DL77" s="246"/>
      <c r="DM77" s="246"/>
      <c r="DN77" s="246"/>
      <c r="DO77" s="246"/>
      <c r="DP77" s="246"/>
      <c r="DQ77" s="246"/>
      <c r="DR77" s="246"/>
      <c r="DS77" s="246"/>
      <c r="DT77" s="246"/>
      <c r="DV77" s="812"/>
      <c r="EA77" s="554"/>
      <c r="ED77" s="554"/>
    </row>
    <row r="78" spans="2:134" ht="15.5" thickTop="1" thickBot="1" x14ac:dyDescent="0.5">
      <c r="B78" s="521" t="s">
        <v>2018</v>
      </c>
      <c r="D78" s="280"/>
      <c r="E78" s="280"/>
      <c r="F78" s="280"/>
      <c r="G78" s="280"/>
      <c r="H78" s="280"/>
      <c r="I78" s="280"/>
      <c r="J78" s="810"/>
      <c r="K78" s="358"/>
      <c r="L78" s="809"/>
      <c r="M78" s="280"/>
      <c r="N78" s="280"/>
      <c r="O78" s="280"/>
      <c r="P78" s="280"/>
      <c r="Q78" s="280"/>
      <c r="R78" s="280"/>
      <c r="S78" s="810"/>
      <c r="T78" s="358"/>
      <c r="U78" s="809"/>
      <c r="V78" s="280"/>
      <c r="W78" s="280"/>
      <c r="X78" s="280"/>
      <c r="Y78" s="280"/>
      <c r="Z78" s="280"/>
      <c r="AA78" s="280"/>
      <c r="AB78" s="810"/>
      <c r="AC78" s="358"/>
      <c r="AD78" s="809"/>
      <c r="AE78" s="280"/>
      <c r="AF78" s="280"/>
      <c r="AG78" s="280"/>
      <c r="AH78" s="280"/>
      <c r="AI78" s="280"/>
      <c r="AJ78" s="280"/>
      <c r="AK78" s="810"/>
      <c r="AL78" s="358"/>
      <c r="AM78" s="809"/>
      <c r="AN78" s="280"/>
      <c r="AO78" s="280"/>
      <c r="AP78" s="280"/>
      <c r="AQ78" s="280"/>
      <c r="AR78" s="280"/>
      <c r="AS78" s="280"/>
      <c r="AT78" s="810"/>
      <c r="AU78" s="358"/>
      <c r="AV78" s="809"/>
      <c r="AW78" s="280"/>
      <c r="AX78" s="280"/>
      <c r="AZ78" s="280"/>
      <c r="BA78" s="280"/>
      <c r="BB78" s="280"/>
      <c r="BC78" s="810"/>
      <c r="BD78" s="358"/>
      <c r="BE78" s="809"/>
      <c r="BF78" s="280"/>
      <c r="BG78" s="280"/>
      <c r="BH78" s="280"/>
      <c r="BI78" s="280"/>
      <c r="BJ78" s="280"/>
      <c r="BK78" s="280"/>
      <c r="BL78" s="810"/>
      <c r="BM78" s="358"/>
      <c r="BN78" s="809"/>
      <c r="BO78" s="280"/>
      <c r="BP78" s="280"/>
      <c r="BQ78" s="280"/>
      <c r="BR78" s="280"/>
      <c r="BS78" s="280"/>
      <c r="BT78" s="280"/>
      <c r="BU78" s="810"/>
      <c r="BV78" s="358"/>
      <c r="BW78" s="809"/>
      <c r="BX78" s="280"/>
      <c r="BY78" s="280"/>
      <c r="BZ78" s="280"/>
      <c r="CA78" s="280"/>
      <c r="CB78" s="280"/>
      <c r="CC78" s="280"/>
      <c r="CD78" s="810"/>
      <c r="CE78" s="358"/>
      <c r="CF78" s="809"/>
      <c r="CG78" s="280"/>
      <c r="CH78" s="280"/>
      <c r="CI78" s="280"/>
      <c r="CJ78" s="280"/>
      <c r="CK78" s="280"/>
      <c r="CL78" s="280"/>
      <c r="CM78" s="810"/>
      <c r="CN78" s="358"/>
      <c r="CO78" s="809"/>
      <c r="CP78" s="280"/>
      <c r="CQ78" s="246"/>
      <c r="CR78" s="280"/>
      <c r="CS78" s="280"/>
      <c r="CT78" s="280"/>
      <c r="CU78" s="280"/>
      <c r="CV78" s="810"/>
      <c r="CW78" s="358"/>
      <c r="CX78" s="809"/>
      <c r="CY78" s="280"/>
      <c r="CZ78" s="280"/>
      <c r="DA78" s="280"/>
      <c r="DB78" s="280"/>
      <c r="DC78" s="280"/>
      <c r="DD78" s="280"/>
      <c r="DE78" s="810"/>
      <c r="DF78" s="358"/>
      <c r="DG78" s="809"/>
      <c r="DH78" s="280"/>
      <c r="DI78" s="280"/>
      <c r="DJ78" s="280"/>
      <c r="DK78" s="280"/>
      <c r="DL78" s="280"/>
      <c r="DM78" s="280"/>
      <c r="DN78" s="810"/>
      <c r="DO78" s="358"/>
      <c r="DP78" s="809"/>
      <c r="DQ78" s="280"/>
      <c r="DR78" s="280"/>
      <c r="DS78" s="280"/>
      <c r="DT78" s="280"/>
      <c r="DV78" s="350"/>
    </row>
    <row r="79" spans="2:134" ht="15" thickTop="1" x14ac:dyDescent="0.45">
      <c r="BX79" s="246"/>
      <c r="BY79" s="246"/>
      <c r="BZ79" s="246"/>
      <c r="CA79" s="246"/>
      <c r="CB79" s="246"/>
      <c r="CQ79" s="246"/>
    </row>
    <row r="80" spans="2:134" x14ac:dyDescent="0.45">
      <c r="BX80" s="246"/>
      <c r="BY80" s="246"/>
      <c r="BZ80" s="246"/>
      <c r="CA80" s="246"/>
      <c r="CB80" s="246"/>
      <c r="CQ80" s="246"/>
    </row>
    <row r="81" spans="2:134" ht="15" thickBot="1" x14ac:dyDescent="0.5">
      <c r="BX81" s="246"/>
      <c r="BY81" s="246"/>
      <c r="BZ81" s="246"/>
      <c r="CA81" s="246"/>
      <c r="CB81" s="246"/>
      <c r="CQ81" s="246"/>
    </row>
    <row r="82" spans="2:134" ht="15.5" thickTop="1" thickBot="1" x14ac:dyDescent="0.5">
      <c r="B82" s="521" t="s">
        <v>2019</v>
      </c>
      <c r="D82" s="360"/>
      <c r="E82" s="805"/>
      <c r="F82" s="290"/>
      <c r="G82" s="290"/>
      <c r="H82" s="290"/>
      <c r="I82" s="290"/>
      <c r="J82" s="360"/>
      <c r="K82" s="805"/>
      <c r="L82" s="290"/>
      <c r="M82" s="290"/>
      <c r="N82" s="290"/>
      <c r="O82" s="290"/>
      <c r="P82" s="360"/>
      <c r="Q82" s="805"/>
      <c r="R82" s="290"/>
      <c r="S82" s="290"/>
      <c r="T82" s="290"/>
      <c r="U82" s="290"/>
      <c r="V82" s="360"/>
      <c r="W82" s="805"/>
      <c r="X82" s="359"/>
      <c r="Y82" s="807"/>
      <c r="Z82" s="294"/>
      <c r="AA82" s="808"/>
      <c r="AB82" s="359"/>
      <c r="AC82" s="807"/>
      <c r="AD82" s="294"/>
      <c r="AE82" s="808"/>
      <c r="AF82" s="359"/>
      <c r="AG82" s="807"/>
      <c r="AH82" s="294"/>
      <c r="AI82" s="808"/>
      <c r="AJ82" s="359"/>
      <c r="AK82" s="807"/>
      <c r="AL82" s="294"/>
      <c r="AM82" s="808"/>
      <c r="AN82" s="359"/>
      <c r="AO82" s="807"/>
      <c r="AP82" s="294"/>
      <c r="AQ82" s="808"/>
      <c r="AR82" s="359"/>
      <c r="AS82" s="807"/>
      <c r="AT82" s="294"/>
      <c r="AU82" s="808"/>
      <c r="AV82" s="359"/>
      <c r="AW82" s="807"/>
      <c r="AX82" s="294"/>
      <c r="AZ82" s="359"/>
      <c r="BA82" s="807"/>
      <c r="BB82" s="294"/>
      <c r="BC82" s="808"/>
      <c r="BD82" s="359"/>
      <c r="BE82" s="807"/>
      <c r="BF82" s="294"/>
      <c r="BG82" s="808"/>
      <c r="BH82" s="359"/>
      <c r="BI82" s="807"/>
      <c r="BJ82" s="294"/>
      <c r="BK82" s="808"/>
      <c r="BL82" s="359"/>
      <c r="BM82" s="807"/>
      <c r="BN82" s="294"/>
      <c r="BO82" s="808"/>
      <c r="BP82" s="359"/>
      <c r="BQ82" s="807"/>
      <c r="BR82" s="294"/>
      <c r="BS82" s="808"/>
      <c r="BT82" s="359"/>
      <c r="BU82" s="360"/>
      <c r="BV82" s="805"/>
      <c r="BW82" s="290"/>
      <c r="BX82" s="290"/>
      <c r="BY82" s="290"/>
      <c r="BZ82" s="360"/>
      <c r="CA82" s="805"/>
      <c r="CB82" s="290"/>
      <c r="CC82" s="290"/>
      <c r="CD82" s="290"/>
      <c r="CE82" s="360"/>
      <c r="CF82" s="805"/>
      <c r="CG82" s="290"/>
      <c r="CH82" s="290"/>
      <c r="CI82" s="290"/>
      <c r="CJ82" s="360"/>
      <c r="CK82" s="805"/>
      <c r="CL82" s="290"/>
      <c r="CM82" s="290"/>
      <c r="CN82" s="290"/>
      <c r="CO82" s="360"/>
      <c r="CP82" s="805"/>
      <c r="CQ82" s="246"/>
      <c r="CR82" s="290"/>
      <c r="CS82" s="290"/>
      <c r="CT82" s="290"/>
      <c r="CU82" s="290"/>
      <c r="CV82" s="360"/>
      <c r="CW82" s="805"/>
      <c r="CX82" s="290"/>
      <c r="CY82" s="290"/>
      <c r="CZ82" s="290"/>
      <c r="DA82" s="360"/>
      <c r="DB82" s="805"/>
      <c r="DC82" s="290"/>
      <c r="DD82" s="290"/>
      <c r="DE82" s="290"/>
      <c r="DF82" s="360"/>
      <c r="DG82" s="805"/>
      <c r="DH82" s="290"/>
      <c r="DI82" s="290"/>
      <c r="DJ82" s="290"/>
      <c r="DK82" s="360"/>
      <c r="DL82" s="805"/>
      <c r="DM82" s="290"/>
      <c r="DN82" s="290"/>
      <c r="DO82" s="290"/>
      <c r="DP82" s="360"/>
      <c r="DQ82" s="805"/>
      <c r="DR82" s="290"/>
      <c r="DS82" s="359"/>
      <c r="DT82" s="807"/>
    </row>
    <row r="83" spans="2:134" ht="15" thickTop="1" x14ac:dyDescent="0.45">
      <c r="CQ83" s="246"/>
    </row>
    <row r="85" spans="2:134" x14ac:dyDescent="0.45">
      <c r="B85" s="608" t="s">
        <v>2017</v>
      </c>
      <c r="C85" s="615"/>
      <c r="D85" s="616"/>
      <c r="E85" s="616"/>
      <c r="F85" s="616"/>
      <c r="G85" s="616"/>
      <c r="H85" s="616"/>
      <c r="I85" s="616"/>
      <c r="J85" s="616"/>
      <c r="K85" s="616"/>
      <c r="L85" s="616"/>
      <c r="M85" s="616"/>
      <c r="N85" s="616"/>
      <c r="O85" s="616"/>
      <c r="P85" s="616"/>
      <c r="Q85" s="616"/>
      <c r="R85" s="616"/>
      <c r="S85" s="616"/>
      <c r="T85" s="616"/>
      <c r="U85" s="616"/>
      <c r="V85" s="616"/>
      <c r="W85" s="616"/>
      <c r="X85" s="616"/>
      <c r="Y85" s="616"/>
      <c r="Z85" s="616"/>
      <c r="AA85" s="616"/>
      <c r="AB85" s="616"/>
      <c r="AC85" s="616"/>
      <c r="AD85" s="616"/>
      <c r="AE85" s="616"/>
      <c r="AF85" s="616"/>
      <c r="AG85" s="616"/>
      <c r="AH85" s="616"/>
      <c r="AI85" s="616"/>
      <c r="AJ85" s="616"/>
      <c r="AK85" s="616"/>
      <c r="AL85" s="616"/>
      <c r="AM85" s="616"/>
      <c r="AN85" s="616"/>
      <c r="AO85" s="616"/>
      <c r="AP85" s="616"/>
      <c r="AQ85" s="616"/>
      <c r="AR85" s="616"/>
      <c r="AS85" s="616"/>
      <c r="AT85" s="616"/>
      <c r="AU85" s="616"/>
      <c r="AV85" s="616"/>
      <c r="AW85" s="616"/>
      <c r="AX85" s="616"/>
      <c r="AY85" s="616"/>
      <c r="AZ85" s="616"/>
      <c r="BA85" s="616"/>
      <c r="BB85" s="616"/>
      <c r="BC85" s="616"/>
      <c r="BD85" s="616"/>
      <c r="BE85" s="616"/>
      <c r="BF85" s="616"/>
      <c r="BG85" s="616"/>
      <c r="BH85" s="616"/>
      <c r="BI85" s="616"/>
      <c r="BJ85" s="616"/>
      <c r="BK85" s="616"/>
      <c r="BL85" s="616"/>
      <c r="BM85" s="616"/>
      <c r="BN85" s="616"/>
      <c r="BO85" s="616"/>
      <c r="BP85" s="616"/>
      <c r="BQ85" s="616"/>
      <c r="BR85" s="616"/>
      <c r="BS85" s="616"/>
      <c r="BT85" s="616"/>
      <c r="BU85" s="616"/>
      <c r="BV85" s="616"/>
      <c r="BW85" s="616"/>
      <c r="BX85" s="614"/>
      <c r="BY85" s="614"/>
      <c r="BZ85" s="614"/>
      <c r="CA85" s="614"/>
      <c r="CB85" s="614"/>
      <c r="CC85" s="614"/>
      <c r="CD85" s="614"/>
      <c r="CE85" s="614"/>
      <c r="CF85" s="614"/>
      <c r="CG85" s="614"/>
      <c r="CH85" s="614"/>
      <c r="CI85" s="614"/>
      <c r="CJ85" s="614"/>
      <c r="CK85" s="614"/>
      <c r="CL85" s="614"/>
      <c r="CM85" s="614"/>
      <c r="CN85" s="614"/>
      <c r="CO85" s="614"/>
      <c r="CP85" s="614"/>
      <c r="CQ85" s="614"/>
      <c r="CR85" s="614"/>
      <c r="CS85" s="614"/>
      <c r="CT85" s="614"/>
      <c r="CU85" s="614"/>
      <c r="CV85" s="614"/>
      <c r="CW85" s="614"/>
      <c r="CX85" s="614"/>
      <c r="CY85" s="614"/>
      <c r="CZ85" s="614"/>
      <c r="DA85" s="614"/>
      <c r="DB85" s="614"/>
      <c r="DC85" s="614"/>
      <c r="DD85" s="614"/>
      <c r="DE85" s="614"/>
      <c r="DF85" s="614"/>
      <c r="DG85" s="614"/>
      <c r="DH85" s="614"/>
      <c r="DI85" s="614"/>
      <c r="DJ85" s="614"/>
      <c r="DK85" s="614"/>
      <c r="DL85" s="614"/>
      <c r="DM85" s="614"/>
      <c r="DN85" s="614"/>
      <c r="DO85" s="614"/>
      <c r="DP85" s="614"/>
      <c r="DQ85" s="614"/>
      <c r="DR85" s="614"/>
      <c r="DS85" s="614"/>
      <c r="DT85" s="614"/>
      <c r="DU85" s="235"/>
    </row>
    <row r="86" spans="2:134" x14ac:dyDescent="0.45">
      <c r="B86" s="521" t="s">
        <v>2077</v>
      </c>
      <c r="D86" s="250"/>
      <c r="E86" s="250"/>
      <c r="F86" s="250"/>
      <c r="G86" s="250"/>
      <c r="H86" s="250"/>
      <c r="I86" s="250"/>
      <c r="J86" s="250"/>
      <c r="K86" s="318"/>
      <c r="L86" s="319"/>
      <c r="M86" s="319"/>
      <c r="N86" s="319"/>
      <c r="O86" s="319"/>
      <c r="P86" s="319" t="s">
        <v>2078</v>
      </c>
      <c r="Q86" s="319"/>
      <c r="R86" s="319"/>
      <c r="S86" s="319"/>
      <c r="T86" s="319"/>
      <c r="U86" s="319"/>
      <c r="V86" s="319"/>
      <c r="W86" s="320"/>
      <c r="X86" s="250"/>
      <c r="Y86" s="250"/>
      <c r="Z86" s="250"/>
      <c r="AA86" s="250"/>
      <c r="AB86" s="250"/>
      <c r="AC86" s="250"/>
      <c r="AD86" s="250"/>
      <c r="AE86" s="250"/>
      <c r="AF86" s="250"/>
      <c r="AG86" s="250"/>
      <c r="AH86" s="250"/>
      <c r="AI86" s="250"/>
      <c r="AJ86" s="250"/>
      <c r="AK86" s="250"/>
      <c r="AL86" s="250"/>
      <c r="AM86" s="250"/>
      <c r="AN86" s="250"/>
      <c r="AO86" s="250"/>
      <c r="AP86" s="250"/>
      <c r="AQ86" s="250"/>
      <c r="AR86" s="250"/>
      <c r="AS86" s="250"/>
      <c r="AT86" s="250"/>
      <c r="AU86" s="250"/>
      <c r="AV86" s="250"/>
      <c r="AW86" s="250"/>
      <c r="AX86" s="250"/>
      <c r="AY86" s="250"/>
      <c r="AZ86" s="250"/>
      <c r="BA86" s="250"/>
      <c r="BB86" s="250"/>
      <c r="BC86" s="250"/>
      <c r="BD86" s="250"/>
      <c r="BE86" s="250"/>
      <c r="BF86" s="250"/>
      <c r="BG86" s="250"/>
      <c r="BH86" s="318"/>
      <c r="BI86" s="319"/>
      <c r="BJ86" s="319"/>
      <c r="BK86" s="319"/>
      <c r="BL86" s="319"/>
      <c r="BM86" s="319" t="s">
        <v>2079</v>
      </c>
      <c r="BN86" s="319"/>
      <c r="BO86" s="319"/>
      <c r="BP86" s="319"/>
      <c r="BQ86" s="319"/>
      <c r="BR86" s="319"/>
      <c r="BS86" s="319"/>
      <c r="BT86" s="32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250"/>
      <c r="CH86" s="250"/>
      <c r="CI86" s="250"/>
      <c r="CJ86" s="250"/>
      <c r="CK86" s="250"/>
      <c r="CL86" s="250"/>
      <c r="CM86" s="250"/>
      <c r="CN86" s="250"/>
      <c r="CO86" s="250"/>
      <c r="CP86" s="250"/>
      <c r="CQ86" s="250"/>
      <c r="CR86" s="250"/>
      <c r="CS86" s="250"/>
      <c r="CT86" s="250"/>
      <c r="CU86" s="250"/>
      <c r="CV86" s="250"/>
      <c r="CW86" s="250"/>
      <c r="CX86" s="250"/>
      <c r="CY86" s="250"/>
      <c r="CZ86" s="250"/>
      <c r="DA86" s="250"/>
      <c r="DB86" s="250"/>
      <c r="DC86" s="250"/>
      <c r="DD86" s="250"/>
      <c r="DE86" s="250"/>
      <c r="DF86" s="318"/>
      <c r="DG86" s="319"/>
      <c r="DH86" s="319"/>
      <c r="DI86" s="319"/>
      <c r="DJ86" s="319"/>
      <c r="DK86" s="319" t="s">
        <v>2065</v>
      </c>
      <c r="DL86" s="319"/>
      <c r="DM86" s="319"/>
      <c r="DN86" s="319"/>
      <c r="DO86" s="319"/>
      <c r="DP86" s="319"/>
      <c r="DQ86" s="319"/>
      <c r="DR86" s="320"/>
      <c r="DS86" s="250"/>
      <c r="DT86" s="250"/>
      <c r="DV86" s="234"/>
      <c r="DW86" s="234"/>
      <c r="DX86" s="234"/>
      <c r="DY86" s="234"/>
      <c r="DZ86" s="234"/>
      <c r="EA86" s="234"/>
      <c r="EB86" s="234"/>
    </row>
    <row r="87" spans="2:134" x14ac:dyDescent="0.45">
      <c r="BX87" s="246"/>
      <c r="BY87" s="246"/>
      <c r="BZ87" s="246"/>
      <c r="CA87" s="246"/>
      <c r="CB87" s="246"/>
      <c r="DV87" s="234"/>
      <c r="DW87" s="234"/>
      <c r="DX87" s="234"/>
      <c r="DY87" s="234"/>
      <c r="DZ87" s="234"/>
      <c r="EA87" s="234"/>
      <c r="EB87" s="234"/>
    </row>
    <row r="88" spans="2:134" x14ac:dyDescent="0.45">
      <c r="B88" s="521" t="s">
        <v>1425</v>
      </c>
      <c r="D88" s="524"/>
      <c r="E88" s="522"/>
      <c r="F88" s="522"/>
      <c r="G88" s="522"/>
      <c r="H88" s="522"/>
      <c r="I88" s="522"/>
      <c r="J88" s="522"/>
      <c r="K88" s="522"/>
      <c r="L88" s="522"/>
      <c r="M88" s="522"/>
      <c r="N88" s="522"/>
      <c r="O88" s="522"/>
      <c r="P88" s="522"/>
      <c r="Q88" s="522"/>
      <c r="R88" s="522"/>
      <c r="S88" s="522"/>
      <c r="T88" s="522"/>
      <c r="U88" s="522"/>
      <c r="V88" s="522"/>
      <c r="W88" s="522"/>
      <c r="X88" s="522"/>
      <c r="Y88" s="522"/>
      <c r="Z88" s="522"/>
      <c r="AA88" s="522"/>
      <c r="AB88" s="522"/>
      <c r="AC88" s="522"/>
      <c r="AD88" s="522"/>
      <c r="AE88" s="522"/>
      <c r="AF88" s="522"/>
      <c r="AG88" s="522"/>
      <c r="AH88" s="522"/>
      <c r="AI88" s="522"/>
      <c r="AJ88" s="522"/>
      <c r="AK88" s="522"/>
      <c r="AL88" s="522"/>
      <c r="AM88" s="522"/>
      <c r="AN88" s="522"/>
      <c r="AO88" s="522"/>
      <c r="AP88" s="522"/>
      <c r="AQ88" s="522"/>
      <c r="AR88" s="522"/>
      <c r="AS88" s="522"/>
      <c r="AT88" s="522"/>
      <c r="AU88" s="522"/>
      <c r="AV88" s="522"/>
      <c r="AW88" s="522"/>
      <c r="AX88" s="522"/>
      <c r="AY88" s="522"/>
      <c r="AZ88" s="522"/>
      <c r="BA88" s="522"/>
      <c r="BB88" s="522"/>
      <c r="BC88" s="522"/>
      <c r="BD88" s="522"/>
      <c r="BE88" s="522"/>
      <c r="BF88" s="522"/>
      <c r="BG88" s="522"/>
      <c r="BH88" s="522"/>
      <c r="BI88" s="522"/>
      <c r="BJ88" s="522"/>
      <c r="BK88" s="522"/>
      <c r="BL88" s="522"/>
      <c r="BM88" s="522"/>
      <c r="BN88" s="522"/>
      <c r="BO88" s="522"/>
      <c r="BP88" s="522"/>
      <c r="BQ88" s="522"/>
      <c r="BR88" s="522"/>
      <c r="BS88" s="522"/>
      <c r="BT88" s="522"/>
      <c r="BU88" s="522"/>
      <c r="BV88" s="522"/>
      <c r="BW88" s="522"/>
      <c r="BX88" s="523"/>
      <c r="BY88" s="523"/>
      <c r="BZ88" s="523"/>
      <c r="CA88" s="523"/>
      <c r="CB88" s="523"/>
      <c r="CC88" s="523"/>
      <c r="CD88" s="523"/>
      <c r="CE88" s="523"/>
      <c r="CF88" s="523"/>
      <c r="CG88" s="523"/>
      <c r="CH88" s="523"/>
      <c r="CI88" s="523"/>
      <c r="CJ88" s="523"/>
      <c r="CK88" s="523"/>
      <c r="CL88" s="523"/>
      <c r="CM88" s="523"/>
      <c r="CN88" s="523"/>
      <c r="CO88" s="523"/>
      <c r="CP88" s="523"/>
      <c r="CQ88" s="523"/>
      <c r="CR88" s="523"/>
      <c r="CS88" s="523"/>
      <c r="CT88" s="523"/>
      <c r="CU88" s="523"/>
      <c r="CV88" s="523"/>
      <c r="CW88" s="523"/>
      <c r="CX88" s="523"/>
      <c r="CY88" s="523"/>
      <c r="CZ88" s="523"/>
      <c r="DA88" s="523"/>
      <c r="DB88" s="523"/>
      <c r="DC88" s="523"/>
      <c r="DD88" s="523"/>
      <c r="DE88" s="523"/>
      <c r="DF88" s="523"/>
      <c r="DG88" s="523"/>
      <c r="DH88" s="523"/>
      <c r="DI88" s="523"/>
      <c r="DJ88" s="523"/>
      <c r="DK88" s="523"/>
      <c r="DL88" s="523"/>
      <c r="DM88" s="523"/>
      <c r="DN88" s="523"/>
      <c r="DO88" s="523"/>
      <c r="DP88" s="523"/>
      <c r="DQ88" s="523"/>
      <c r="DR88" s="523"/>
      <c r="DS88" s="523"/>
      <c r="DT88" s="523"/>
      <c r="DV88" s="234"/>
      <c r="DW88" s="234"/>
      <c r="DX88" s="234"/>
      <c r="DY88" s="234"/>
      <c r="DZ88" s="234"/>
      <c r="EA88" s="234"/>
      <c r="EB88" s="234"/>
    </row>
    <row r="89" spans="2:134" x14ac:dyDescent="0.45">
      <c r="DV89" s="234"/>
      <c r="DW89" s="234"/>
      <c r="DX89" s="234"/>
      <c r="DY89" s="234"/>
      <c r="DZ89" s="234"/>
      <c r="EA89" s="234"/>
      <c r="EB89" s="234"/>
    </row>
    <row r="90" spans="2:134" x14ac:dyDescent="0.45">
      <c r="B90" s="521" t="s">
        <v>1424</v>
      </c>
      <c r="D90" s="345"/>
      <c r="E90" s="345"/>
      <c r="F90" s="345"/>
      <c r="G90" s="345"/>
      <c r="H90" s="345"/>
      <c r="I90" s="345"/>
      <c r="J90" s="346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339"/>
      <c r="Y90" s="340"/>
      <c r="Z90" s="340"/>
      <c r="AA90" s="340"/>
      <c r="AB90" s="340"/>
      <c r="AC90" s="340"/>
      <c r="AD90" s="340"/>
      <c r="AE90" s="340"/>
      <c r="AF90" s="340"/>
      <c r="AG90" s="340"/>
      <c r="AH90" s="340"/>
      <c r="AI90" s="340"/>
      <c r="AJ90" s="340"/>
      <c r="AK90" s="340"/>
      <c r="AL90" s="340"/>
      <c r="AM90" s="340"/>
      <c r="AN90" s="340"/>
      <c r="AO90" s="340"/>
      <c r="AP90" s="340"/>
      <c r="AQ90" s="340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4"/>
      <c r="BH90" s="234"/>
      <c r="BI90" s="234"/>
      <c r="BJ90" s="234"/>
      <c r="BK90" s="234"/>
      <c r="BL90" s="234"/>
      <c r="BM90" s="234"/>
      <c r="BN90" s="234"/>
      <c r="BO90" s="234"/>
      <c r="BP90" s="234"/>
      <c r="BQ90" s="234"/>
      <c r="BR90" s="234"/>
      <c r="BS90" s="234"/>
      <c r="BT90" s="234"/>
      <c r="BU90" s="316"/>
      <c r="BV90" s="317"/>
      <c r="BW90" s="317"/>
      <c r="BX90" s="317"/>
      <c r="BY90" s="317"/>
      <c r="BZ90" s="317"/>
      <c r="CA90" s="317"/>
      <c r="CB90" s="345"/>
      <c r="CC90" s="345"/>
      <c r="CD90" s="345"/>
      <c r="CE90" s="345"/>
      <c r="CF90" s="345"/>
      <c r="CG90" s="345"/>
      <c r="CH90" s="345"/>
      <c r="CI90" s="345"/>
      <c r="CJ90" s="345"/>
      <c r="CK90" s="345"/>
      <c r="CL90" s="345"/>
      <c r="CM90" s="345"/>
      <c r="CN90" s="345"/>
      <c r="CO90" s="345"/>
      <c r="CP90" s="345"/>
      <c r="CQ90" s="345"/>
      <c r="CR90" s="345"/>
      <c r="CS90" s="345"/>
      <c r="CT90" s="345"/>
      <c r="CU90" s="345"/>
      <c r="CV90" s="345"/>
      <c r="CW90" s="345"/>
      <c r="CX90" s="345"/>
      <c r="CY90" s="345"/>
      <c r="CZ90" s="345"/>
      <c r="DA90" s="345"/>
      <c r="DB90" s="345"/>
      <c r="DC90" s="345"/>
      <c r="DD90" s="345"/>
      <c r="DE90" s="346"/>
      <c r="DF90" s="246"/>
      <c r="DG90" s="246"/>
      <c r="DH90" s="246"/>
      <c r="DI90" s="246"/>
      <c r="DJ90" s="246"/>
      <c r="DK90" s="246"/>
      <c r="DL90" s="246"/>
      <c r="DM90" s="246"/>
      <c r="DN90" s="246"/>
      <c r="DO90" s="246"/>
      <c r="DP90" s="246"/>
      <c r="DQ90" s="246"/>
      <c r="DR90" s="246"/>
      <c r="DS90" s="514"/>
      <c r="DT90" s="343"/>
      <c r="EA90" s="554"/>
      <c r="ED90" s="554"/>
    </row>
    <row r="91" spans="2:134" x14ac:dyDescent="0.45">
      <c r="BX91" s="246"/>
      <c r="BY91" s="246"/>
      <c r="BZ91" s="246"/>
      <c r="CA91" s="246"/>
      <c r="CB91" s="246"/>
    </row>
    <row r="92" spans="2:134" x14ac:dyDescent="0.45">
      <c r="BX92" s="246"/>
      <c r="BY92" s="246"/>
      <c r="BZ92" s="246"/>
      <c r="CA92" s="246"/>
      <c r="CB92" s="246"/>
    </row>
    <row r="93" spans="2:134" ht="15" thickBot="1" x14ac:dyDescent="0.5">
      <c r="BX93" s="246"/>
      <c r="BY93" s="246"/>
      <c r="BZ93" s="246"/>
      <c r="CA93" s="246"/>
      <c r="CB93" s="246"/>
    </row>
    <row r="94" spans="2:134" ht="15.5" thickTop="1" thickBot="1" x14ac:dyDescent="0.5">
      <c r="B94" s="521" t="s">
        <v>2019</v>
      </c>
      <c r="D94" s="290"/>
      <c r="E94" s="290"/>
      <c r="F94" s="360"/>
      <c r="G94" s="290"/>
      <c r="H94" s="290"/>
      <c r="I94" s="290"/>
      <c r="J94" s="360"/>
      <c r="K94" s="290"/>
      <c r="L94" s="290"/>
      <c r="M94" s="290"/>
      <c r="N94" s="360"/>
      <c r="O94" s="290"/>
      <c r="P94" s="290"/>
      <c r="Q94" s="290"/>
      <c r="R94" s="360"/>
      <c r="S94" s="290"/>
      <c r="T94" s="290"/>
      <c r="U94" s="290"/>
      <c r="V94" s="360"/>
      <c r="W94" s="805"/>
      <c r="X94" s="359"/>
      <c r="Y94" s="807"/>
      <c r="Z94" s="294"/>
      <c r="AA94" s="808"/>
      <c r="AB94" s="359"/>
      <c r="AC94" s="807"/>
      <c r="AD94" s="294"/>
      <c r="AE94" s="808"/>
      <c r="AF94" s="359"/>
      <c r="AG94" s="807"/>
      <c r="AH94" s="294"/>
      <c r="AI94" s="808"/>
      <c r="AJ94" s="359"/>
      <c r="AK94" s="807"/>
      <c r="AL94" s="294"/>
      <c r="AM94" s="808"/>
      <c r="AN94" s="359"/>
      <c r="AO94" s="807"/>
      <c r="AP94" s="294"/>
      <c r="AQ94" s="808"/>
      <c r="AR94" s="359"/>
      <c r="AS94" s="807"/>
      <c r="AT94" s="294"/>
      <c r="AU94" s="808"/>
      <c r="AV94" s="359"/>
      <c r="AW94" s="807"/>
      <c r="AX94" s="294"/>
      <c r="AY94" s="294"/>
      <c r="BA94" s="294"/>
      <c r="BB94" s="294"/>
      <c r="BC94" s="808"/>
      <c r="BD94" s="359"/>
      <c r="BE94" s="807"/>
      <c r="BF94" s="294"/>
      <c r="BG94" s="808"/>
      <c r="BH94" s="359"/>
      <c r="BI94" s="807"/>
      <c r="BJ94" s="294"/>
      <c r="BK94" s="808"/>
      <c r="BL94" s="359"/>
      <c r="BM94" s="807"/>
      <c r="BN94" s="294"/>
      <c r="BO94" s="808"/>
      <c r="BP94" s="359"/>
      <c r="BQ94" s="807"/>
      <c r="BR94" s="294"/>
      <c r="BS94" s="808"/>
      <c r="BT94" s="359"/>
      <c r="BU94" s="360"/>
      <c r="BV94" s="805"/>
      <c r="BW94" s="290"/>
      <c r="BX94" s="290"/>
      <c r="BY94" s="360"/>
      <c r="BZ94" s="805"/>
      <c r="CA94" s="290"/>
      <c r="CB94" s="290"/>
      <c r="CC94" s="360"/>
      <c r="CD94" s="805"/>
      <c r="CE94" s="290"/>
      <c r="CF94" s="290"/>
      <c r="CG94" s="360"/>
      <c r="CH94" s="805"/>
      <c r="CI94" s="290"/>
      <c r="CJ94" s="290"/>
      <c r="CK94" s="360"/>
      <c r="CL94" s="805"/>
      <c r="CM94" s="290"/>
      <c r="CN94" s="290"/>
      <c r="CO94" s="360"/>
      <c r="CP94" s="805"/>
      <c r="CR94" s="290"/>
      <c r="CS94" s="290"/>
      <c r="CT94" s="360"/>
      <c r="CU94" s="290"/>
      <c r="CV94" s="290"/>
      <c r="CW94" s="290"/>
      <c r="CX94" s="360"/>
      <c r="CY94" s="290"/>
      <c r="CZ94" s="290"/>
      <c r="DA94" s="290"/>
      <c r="DB94" s="360"/>
      <c r="DC94" s="290"/>
      <c r="DD94" s="290"/>
      <c r="DE94" s="290"/>
      <c r="DF94" s="360"/>
      <c r="DG94" s="290"/>
      <c r="DH94" s="290"/>
      <c r="DI94" s="290"/>
      <c r="DJ94" s="360"/>
      <c r="DK94" s="290"/>
      <c r="DL94" s="290"/>
      <c r="DM94" s="290"/>
      <c r="DN94" s="360"/>
      <c r="DO94" s="290"/>
      <c r="DP94" s="290"/>
      <c r="DQ94" s="290"/>
      <c r="DR94" s="360"/>
      <c r="DS94" s="359"/>
      <c r="DT94" s="807"/>
    </row>
    <row r="95" spans="2:134" ht="15" thickTop="1" x14ac:dyDescent="0.45">
      <c r="BX95" s="246"/>
      <c r="BY95" s="246"/>
      <c r="BZ95" s="246"/>
      <c r="CA95" s="246"/>
      <c r="CB95" s="246"/>
    </row>
    <row r="99" spans="2:132" x14ac:dyDescent="0.45">
      <c r="B99" s="608" t="s">
        <v>2656</v>
      </c>
      <c r="C99" s="615"/>
      <c r="D99" s="616"/>
      <c r="E99" s="616"/>
      <c r="F99" s="616"/>
      <c r="G99" s="616"/>
      <c r="H99" s="616"/>
      <c r="I99" s="616"/>
      <c r="J99" s="616"/>
      <c r="K99" s="616"/>
      <c r="L99" s="616"/>
      <c r="M99" s="616"/>
      <c r="N99" s="616"/>
      <c r="O99" s="616"/>
      <c r="P99" s="616"/>
      <c r="Q99" s="616"/>
      <c r="R99" s="616"/>
      <c r="S99" s="616"/>
      <c r="T99" s="616"/>
      <c r="U99" s="616"/>
      <c r="V99" s="616"/>
      <c r="W99" s="616"/>
      <c r="X99" s="616"/>
      <c r="Y99" s="616"/>
      <c r="Z99" s="616"/>
      <c r="AA99" s="616"/>
      <c r="AB99" s="616"/>
      <c r="AC99" s="616"/>
      <c r="AD99" s="616"/>
      <c r="AE99" s="616"/>
      <c r="AF99" s="616"/>
      <c r="AG99" s="616"/>
      <c r="AH99" s="616"/>
      <c r="AI99" s="616"/>
      <c r="AJ99" s="616"/>
      <c r="AK99" s="616"/>
      <c r="AL99" s="616"/>
      <c r="AM99" s="616"/>
      <c r="AN99" s="616"/>
      <c r="AO99" s="616"/>
      <c r="AP99" s="616"/>
      <c r="AQ99" s="616"/>
      <c r="AR99" s="616"/>
      <c r="AS99" s="616"/>
      <c r="AT99" s="616"/>
      <c r="AU99" s="616"/>
      <c r="AV99" s="616"/>
      <c r="AW99" s="616"/>
      <c r="AX99" s="616"/>
      <c r="AY99" s="616"/>
      <c r="AZ99" s="616"/>
      <c r="BA99" s="616"/>
      <c r="BB99" s="616"/>
      <c r="BC99" s="616"/>
      <c r="BD99" s="616"/>
      <c r="BE99" s="616"/>
      <c r="BF99" s="616"/>
      <c r="BG99" s="616"/>
      <c r="BH99" s="616"/>
      <c r="BI99" s="616"/>
      <c r="BJ99" s="616"/>
      <c r="BK99" s="616"/>
      <c r="BL99" s="616"/>
      <c r="BM99" s="616"/>
      <c r="BN99" s="616"/>
      <c r="BO99" s="616"/>
      <c r="BP99" s="616"/>
      <c r="BQ99" s="616"/>
      <c r="BR99" s="616"/>
      <c r="BS99" s="616"/>
      <c r="BT99" s="616"/>
      <c r="BU99" s="616"/>
      <c r="BV99" s="616"/>
      <c r="BW99" s="616"/>
      <c r="BX99" s="616"/>
      <c r="BY99" s="616"/>
      <c r="BZ99" s="616"/>
      <c r="CA99" s="616"/>
      <c r="CB99" s="616"/>
      <c r="CC99" s="616"/>
      <c r="CD99" s="616"/>
      <c r="CE99" s="616"/>
      <c r="CF99" s="616"/>
      <c r="CG99" s="616"/>
      <c r="CH99" s="616"/>
      <c r="CI99" s="616"/>
      <c r="CJ99" s="616"/>
      <c r="CK99" s="616"/>
      <c r="CL99" s="616"/>
      <c r="CM99" s="616"/>
      <c r="CN99" s="616"/>
      <c r="CO99" s="616"/>
      <c r="CP99" s="616"/>
      <c r="CQ99" s="616"/>
      <c r="CR99" s="616"/>
      <c r="CS99" s="616"/>
      <c r="CT99" s="616"/>
      <c r="CU99" s="616"/>
      <c r="CV99" s="616"/>
      <c r="CW99" s="616"/>
      <c r="CX99" s="616"/>
      <c r="CY99" s="616"/>
      <c r="CZ99" s="616"/>
      <c r="DA99" s="616"/>
      <c r="DB99" s="616"/>
      <c r="DC99" s="616"/>
      <c r="DD99" s="616"/>
      <c r="DE99" s="616"/>
      <c r="DF99" s="616"/>
      <c r="DG99" s="616"/>
      <c r="DH99" s="616"/>
      <c r="DI99" s="616"/>
      <c r="DJ99" s="616"/>
      <c r="DK99" s="616"/>
      <c r="DL99" s="616"/>
      <c r="DM99" s="616"/>
      <c r="DN99" s="616"/>
      <c r="DO99" s="616"/>
      <c r="DP99" s="616"/>
      <c r="DQ99" s="616"/>
      <c r="DR99" s="616"/>
      <c r="DS99" s="616"/>
      <c r="DT99" s="616"/>
    </row>
    <row r="100" spans="2:132" x14ac:dyDescent="0.45">
      <c r="B100" s="521" t="s">
        <v>1431</v>
      </c>
      <c r="D100" s="247"/>
      <c r="E100" s="247"/>
      <c r="F100" s="258"/>
      <c r="G100" s="256"/>
      <c r="H100" s="256"/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56"/>
      <c r="AM100" s="256"/>
      <c r="AN100" s="256"/>
      <c r="AO100" s="256"/>
      <c r="AP100" s="256"/>
      <c r="AQ100" s="256"/>
      <c r="AR100" s="256"/>
      <c r="AS100" s="256"/>
      <c r="AT100" s="256"/>
      <c r="AU100" s="256"/>
      <c r="AV100" s="256"/>
      <c r="AW100" s="256"/>
      <c r="AX100" s="256"/>
      <c r="AY100" s="256"/>
      <c r="AZ100" s="256"/>
      <c r="BA100" s="256"/>
      <c r="BB100" s="256"/>
      <c r="BC100" s="256"/>
      <c r="BD100" s="256"/>
      <c r="BE100" s="256"/>
      <c r="BF100" s="256"/>
      <c r="BG100" s="256"/>
      <c r="BH100" s="256"/>
      <c r="BI100" s="256"/>
      <c r="BJ100" s="256"/>
      <c r="BK100" s="256"/>
      <c r="BL100" s="256"/>
      <c r="BM100" s="256"/>
      <c r="BN100" s="256"/>
      <c r="BO100" s="256"/>
      <c r="BP100" s="256"/>
      <c r="BQ100" s="256"/>
      <c r="BR100" s="256"/>
      <c r="BS100" s="256"/>
      <c r="BT100" s="256"/>
      <c r="BU100" s="256"/>
      <c r="BV100" s="256"/>
      <c r="BW100" s="256"/>
      <c r="BX100" s="256"/>
      <c r="BY100" s="256"/>
      <c r="BZ100" s="256"/>
      <c r="CA100" s="256"/>
      <c r="CB100" s="256"/>
      <c r="CC100" s="256"/>
      <c r="CD100" s="256"/>
      <c r="CE100" s="256"/>
      <c r="CF100" s="256"/>
      <c r="CG100" s="256"/>
      <c r="CH100" s="256"/>
      <c r="CI100" s="256"/>
      <c r="CJ100" s="256"/>
      <c r="CK100" s="256"/>
      <c r="CL100" s="256"/>
      <c r="CM100" s="256"/>
      <c r="CN100" s="256"/>
      <c r="CO100" s="256"/>
      <c r="CP100" s="256"/>
      <c r="CQ100" s="256"/>
      <c r="CR100" s="256"/>
      <c r="CS100" s="256"/>
      <c r="CT100" s="256"/>
      <c r="CU100" s="256"/>
      <c r="CV100" s="256"/>
      <c r="CW100" s="256"/>
      <c r="CX100" s="256"/>
      <c r="CY100" s="256"/>
      <c r="CZ100" s="256"/>
      <c r="DA100" s="256"/>
      <c r="DB100" s="256"/>
      <c r="DC100" s="256"/>
      <c r="DD100" s="256"/>
      <c r="DE100" s="256"/>
      <c r="DF100" s="256"/>
      <c r="DG100" s="256"/>
      <c r="DH100" s="256"/>
      <c r="DI100" s="256"/>
      <c r="DJ100" s="258"/>
      <c r="DK100" s="256"/>
      <c r="DL100" s="256"/>
      <c r="DM100" s="256"/>
      <c r="DN100" s="256"/>
      <c r="DO100" s="256"/>
      <c r="DP100" s="256"/>
      <c r="DQ100" s="256"/>
      <c r="DR100" s="256"/>
      <c r="DS100" s="256"/>
      <c r="DT100" s="256"/>
      <c r="DV100" s="234"/>
      <c r="DW100" s="234"/>
      <c r="DX100" s="234"/>
      <c r="DY100" s="234"/>
      <c r="DZ100" s="234"/>
      <c r="EA100" s="234"/>
      <c r="EB100" s="234"/>
    </row>
    <row r="101" spans="2:132" x14ac:dyDescent="0.45">
      <c r="T101" s="234"/>
      <c r="U101" s="234"/>
      <c r="DJ101" s="246"/>
      <c r="DK101" s="246"/>
      <c r="DL101" s="246"/>
      <c r="DM101" s="246"/>
      <c r="DN101" s="246"/>
      <c r="DV101" s="234"/>
      <c r="DW101" s="234"/>
      <c r="DX101" s="234"/>
      <c r="DY101" s="234"/>
      <c r="DZ101" s="234"/>
      <c r="EA101" s="234"/>
      <c r="EB101" s="234"/>
    </row>
    <row r="102" spans="2:132" x14ac:dyDescent="0.45">
      <c r="B102" s="521" t="s">
        <v>2081</v>
      </c>
      <c r="D102" s="250"/>
      <c r="E102" s="250"/>
      <c r="F102" s="387"/>
      <c r="G102" s="387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60"/>
      <c r="U102" s="260"/>
      <c r="V102" s="250"/>
      <c r="W102" s="250"/>
      <c r="X102" s="250"/>
      <c r="Y102" s="250"/>
      <c r="Z102" s="250"/>
      <c r="AA102" s="250"/>
      <c r="AB102" s="250"/>
      <c r="AC102" s="250"/>
      <c r="AD102" s="250"/>
      <c r="AE102" s="250"/>
      <c r="AF102" s="250"/>
      <c r="AG102" s="250"/>
      <c r="AH102" s="250"/>
      <c r="AI102" s="250"/>
      <c r="AJ102" s="250"/>
      <c r="AK102" s="250"/>
      <c r="AL102" s="250"/>
      <c r="AM102" s="250"/>
      <c r="AN102" s="250"/>
      <c r="AO102" s="250"/>
      <c r="AP102" s="250"/>
      <c r="AQ102" s="250"/>
      <c r="AR102" s="250"/>
      <c r="AS102" s="250"/>
      <c r="AT102" s="250"/>
      <c r="AU102" s="250"/>
      <c r="AV102" s="250"/>
      <c r="AW102" s="250"/>
      <c r="AX102" s="250"/>
      <c r="AY102" s="250"/>
      <c r="AZ102" s="250"/>
      <c r="BA102" s="250"/>
      <c r="BB102" s="250"/>
      <c r="BC102" s="250"/>
      <c r="BD102" s="250"/>
      <c r="BE102" s="250"/>
      <c r="BF102" s="250"/>
      <c r="BG102" s="250"/>
      <c r="BH102" s="250"/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0"/>
      <c r="BS102" s="250"/>
      <c r="BT102" s="250"/>
      <c r="BU102" s="250"/>
      <c r="BV102" s="250"/>
      <c r="BW102" s="250"/>
      <c r="BX102" s="250"/>
      <c r="BY102" s="250"/>
      <c r="BZ102" s="250"/>
      <c r="CA102" s="250"/>
      <c r="CB102" s="250"/>
      <c r="CC102" s="250"/>
      <c r="CD102" s="250"/>
      <c r="CE102" s="250"/>
      <c r="CF102" s="250"/>
      <c r="CG102" s="250"/>
      <c r="CH102" s="250"/>
      <c r="CI102" s="250"/>
      <c r="CJ102" s="260"/>
      <c r="CK102" s="260"/>
      <c r="CL102" s="260"/>
      <c r="CM102" s="260"/>
      <c r="CN102" s="260"/>
      <c r="CO102" s="260"/>
      <c r="CP102" s="260"/>
      <c r="CQ102" s="260"/>
      <c r="CR102" s="260"/>
      <c r="CS102" s="260"/>
      <c r="CT102" s="260"/>
      <c r="CU102" s="260"/>
      <c r="CV102" s="260"/>
      <c r="CW102" s="260"/>
      <c r="CX102" s="260"/>
      <c r="CY102" s="260"/>
      <c r="CZ102" s="260"/>
      <c r="DA102" s="260"/>
      <c r="DB102" s="260"/>
      <c r="DC102" s="260"/>
      <c r="DD102" s="260"/>
      <c r="DE102" s="260"/>
      <c r="DF102" s="260"/>
      <c r="DG102" s="260"/>
      <c r="DH102" s="260"/>
      <c r="DI102" s="260"/>
      <c r="DJ102" s="387"/>
      <c r="DK102" s="387"/>
      <c r="DL102" s="260"/>
      <c r="DM102" s="260"/>
      <c r="DN102" s="260"/>
      <c r="DO102" s="260"/>
      <c r="DP102" s="260"/>
      <c r="DQ102" s="260"/>
      <c r="DR102" s="260"/>
      <c r="DS102" s="260"/>
      <c r="DT102" s="260"/>
      <c r="DV102" s="234"/>
      <c r="DW102" s="234"/>
      <c r="DX102" s="234"/>
      <c r="DY102" s="234"/>
      <c r="DZ102" s="234"/>
      <c r="EA102" s="234"/>
      <c r="EB102" s="234"/>
    </row>
    <row r="103" spans="2:132" x14ac:dyDescent="0.45">
      <c r="T103" s="234"/>
      <c r="U103" s="234"/>
      <c r="DJ103" s="246"/>
      <c r="DK103" s="246"/>
      <c r="DL103" s="246"/>
      <c r="DM103" s="246"/>
      <c r="DN103" s="246"/>
      <c r="DV103" s="234"/>
      <c r="DW103" s="234"/>
      <c r="DX103" s="234"/>
      <c r="DY103" s="234"/>
      <c r="DZ103" s="234"/>
      <c r="EA103" s="234"/>
      <c r="EB103" s="234"/>
    </row>
    <row r="104" spans="2:132" x14ac:dyDescent="0.45">
      <c r="B104" s="521" t="s">
        <v>2089</v>
      </c>
      <c r="D104" s="250"/>
      <c r="E104" s="250"/>
      <c r="F104" s="250"/>
      <c r="G104" s="250"/>
      <c r="H104" s="250"/>
      <c r="I104" s="250"/>
      <c r="J104" s="258"/>
      <c r="K104" s="250"/>
      <c r="L104" s="250"/>
      <c r="M104" s="250"/>
      <c r="N104" s="250"/>
      <c r="O104" s="250"/>
      <c r="P104" s="250"/>
      <c r="Q104" s="250"/>
      <c r="R104" s="250"/>
      <c r="S104" s="250"/>
      <c r="T104" s="260"/>
      <c r="U104" s="260"/>
      <c r="V104" s="250"/>
      <c r="W104" s="250"/>
      <c r="X104" s="250"/>
      <c r="Y104" s="250"/>
      <c r="Z104" s="250"/>
      <c r="AA104" s="250"/>
      <c r="AB104" s="250"/>
      <c r="AC104" s="250"/>
      <c r="AD104" s="250"/>
      <c r="AE104" s="250"/>
      <c r="AF104" s="250"/>
      <c r="AG104" s="250"/>
      <c r="AH104" s="250"/>
      <c r="AI104" s="250"/>
      <c r="AJ104" s="250"/>
      <c r="AK104" s="250"/>
      <c r="AL104" s="250"/>
      <c r="AM104" s="250"/>
      <c r="AN104" s="250"/>
      <c r="AO104" s="250"/>
      <c r="AP104" s="250"/>
      <c r="AQ104" s="250"/>
      <c r="AR104" s="250"/>
      <c r="AS104" s="250"/>
      <c r="AT104" s="250"/>
      <c r="AU104" s="250"/>
      <c r="AV104" s="250"/>
      <c r="AW104" s="250"/>
      <c r="AX104" s="250"/>
      <c r="AY104" s="250"/>
      <c r="AZ104" s="250"/>
      <c r="BA104" s="250"/>
      <c r="BB104" s="250"/>
      <c r="BC104" s="250"/>
      <c r="BD104" s="250"/>
      <c r="BE104" s="250"/>
      <c r="BF104" s="250"/>
      <c r="BG104" s="250"/>
      <c r="BH104" s="250"/>
      <c r="BI104" s="250"/>
      <c r="BJ104" s="250"/>
      <c r="BK104" s="250"/>
      <c r="BL104" s="250"/>
      <c r="BM104" s="250"/>
      <c r="BN104" s="250"/>
      <c r="BO104" s="250"/>
      <c r="BP104" s="250"/>
      <c r="BQ104" s="250"/>
      <c r="BR104" s="250"/>
      <c r="BS104" s="250"/>
      <c r="BT104" s="250"/>
      <c r="BU104" s="250"/>
      <c r="BV104" s="250"/>
      <c r="BW104" s="250"/>
      <c r="BX104" s="250"/>
      <c r="BY104" s="250"/>
      <c r="BZ104" s="250"/>
      <c r="CA104" s="250"/>
      <c r="CB104" s="250"/>
      <c r="CC104" s="250"/>
      <c r="CD104" s="250"/>
      <c r="CE104" s="250"/>
      <c r="CF104" s="250"/>
      <c r="CG104" s="250"/>
      <c r="CH104" s="250"/>
      <c r="CI104" s="250"/>
      <c r="CJ104" s="260"/>
      <c r="CK104" s="260"/>
      <c r="CL104" s="260"/>
      <c r="CM104" s="260"/>
      <c r="CN104" s="260"/>
      <c r="CO104" s="260"/>
      <c r="CP104" s="260"/>
      <c r="CQ104" s="260"/>
      <c r="CR104" s="260"/>
      <c r="CS104" s="260"/>
      <c r="CT104" s="260"/>
      <c r="CU104" s="260"/>
      <c r="CV104" s="260"/>
      <c r="CW104" s="260"/>
      <c r="CX104" s="260"/>
      <c r="CY104" s="260"/>
      <c r="CZ104" s="260"/>
      <c r="DA104" s="260"/>
      <c r="DB104" s="260"/>
      <c r="DC104" s="260"/>
      <c r="DD104" s="260"/>
      <c r="DE104" s="260"/>
      <c r="DF104" s="260"/>
      <c r="DG104" s="260"/>
      <c r="DH104" s="260"/>
      <c r="DI104" s="260"/>
      <c r="DJ104" s="250"/>
      <c r="DK104" s="250"/>
      <c r="DL104" s="250"/>
      <c r="DM104" s="250"/>
      <c r="DN104" s="258"/>
      <c r="DO104" s="260"/>
      <c r="DP104" s="260"/>
      <c r="DQ104" s="260"/>
      <c r="DR104" s="260"/>
      <c r="DS104" s="260"/>
      <c r="DT104" s="260"/>
      <c r="DV104" s="234"/>
      <c r="DW104" s="234"/>
      <c r="DX104" s="234"/>
      <c r="DY104" s="234"/>
      <c r="DZ104" s="234"/>
      <c r="EA104" s="234"/>
      <c r="EB104" s="234"/>
    </row>
    <row r="105" spans="2:132" x14ac:dyDescent="0.45">
      <c r="J105" s="257"/>
      <c r="T105" s="234"/>
      <c r="U105" s="234"/>
      <c r="BX105" s="246"/>
      <c r="BY105" s="246"/>
      <c r="BZ105" s="246"/>
      <c r="CA105" s="246"/>
      <c r="CB105" s="246"/>
      <c r="CC105" s="246"/>
      <c r="CD105" s="246"/>
      <c r="CE105" s="246"/>
      <c r="CF105" s="246"/>
      <c r="CG105" s="246"/>
      <c r="CH105" s="246"/>
      <c r="CI105" s="246"/>
      <c r="DJ105" s="246"/>
      <c r="DK105" s="246"/>
      <c r="DL105" s="246"/>
      <c r="DM105" s="246"/>
      <c r="DN105" s="257"/>
      <c r="DV105" s="234"/>
      <c r="DW105" s="234"/>
      <c r="DX105" s="234"/>
      <c r="DY105" s="234"/>
      <c r="DZ105" s="234"/>
      <c r="EA105" s="234"/>
      <c r="EB105" s="234"/>
    </row>
    <row r="106" spans="2:132" x14ac:dyDescent="0.45">
      <c r="T106" s="234"/>
      <c r="U106" s="234"/>
      <c r="DJ106" s="246"/>
      <c r="DK106" s="246"/>
      <c r="DL106" s="246"/>
      <c r="DM106" s="246"/>
      <c r="DN106" s="246"/>
      <c r="DV106" s="234"/>
      <c r="DW106" s="234"/>
      <c r="DX106" s="234"/>
      <c r="DY106" s="234"/>
      <c r="DZ106" s="234"/>
      <c r="EA106" s="234"/>
      <c r="EB106" s="234"/>
    </row>
    <row r="107" spans="2:132" x14ac:dyDescent="0.45">
      <c r="B107" s="521" t="s">
        <v>2057</v>
      </c>
      <c r="D107" s="250"/>
      <c r="E107" s="250"/>
      <c r="F107" s="250"/>
      <c r="G107" s="250"/>
      <c r="H107" s="250"/>
      <c r="I107" s="250"/>
      <c r="J107" s="250"/>
      <c r="K107" s="322"/>
      <c r="L107" s="887" t="s">
        <v>1292</v>
      </c>
      <c r="M107" s="249"/>
      <c r="N107" s="323"/>
      <c r="O107" s="247"/>
      <c r="P107" s="247"/>
      <c r="Q107" s="247"/>
      <c r="R107" s="247"/>
      <c r="S107" s="247"/>
      <c r="T107" s="247"/>
      <c r="U107" s="321"/>
      <c r="V107" s="321"/>
      <c r="W107" s="247"/>
      <c r="X107" s="247"/>
      <c r="Y107" s="247"/>
      <c r="Z107" s="247"/>
      <c r="AA107" s="247"/>
      <c r="AB107" s="247"/>
      <c r="AC107" s="322"/>
      <c r="AD107" s="887" t="s">
        <v>2058</v>
      </c>
      <c r="AE107" s="249"/>
      <c r="AF107" s="323"/>
      <c r="AG107" s="247"/>
      <c r="AH107" s="247"/>
      <c r="AI107" s="247"/>
      <c r="AJ107" s="247"/>
      <c r="AK107" s="247"/>
      <c r="AL107" s="322"/>
      <c r="AM107" s="887" t="s">
        <v>2074</v>
      </c>
      <c r="AN107" s="249"/>
      <c r="AO107" s="323"/>
      <c r="AP107" s="247"/>
      <c r="AQ107" s="247"/>
      <c r="AR107" s="247"/>
      <c r="AS107" s="247"/>
      <c r="AT107" s="247"/>
      <c r="AU107" s="322"/>
      <c r="AV107" s="887" t="s">
        <v>2060</v>
      </c>
      <c r="AW107" s="249"/>
      <c r="AX107" s="323"/>
      <c r="AY107" s="247"/>
      <c r="AZ107" s="247"/>
      <c r="BA107" s="247"/>
      <c r="BB107" s="247"/>
      <c r="BC107" s="247"/>
      <c r="BD107" s="247"/>
      <c r="BE107" s="248"/>
      <c r="BF107" s="248"/>
      <c r="BG107" s="247"/>
      <c r="BH107" s="247"/>
      <c r="BI107" s="247"/>
      <c r="BJ107" s="247"/>
      <c r="BK107" s="247"/>
      <c r="BL107" s="247"/>
      <c r="BM107" s="247"/>
      <c r="BN107" s="247"/>
      <c r="BO107" s="247"/>
      <c r="BP107" s="247"/>
      <c r="BQ107" s="247"/>
      <c r="BR107" s="247"/>
      <c r="BS107" s="247"/>
      <c r="BT107" s="247"/>
      <c r="BU107" s="247"/>
      <c r="BV107" s="247"/>
      <c r="BW107" s="247"/>
      <c r="BX107" s="247"/>
      <c r="BY107" s="247"/>
      <c r="BZ107" s="247"/>
      <c r="CA107" s="247"/>
      <c r="CB107" s="247"/>
      <c r="CC107" s="247"/>
      <c r="CD107" s="247"/>
      <c r="CE107" s="322"/>
      <c r="CF107" s="887" t="s">
        <v>2065</v>
      </c>
      <c r="CG107" s="249"/>
      <c r="CH107" s="323"/>
      <c r="CI107" s="247"/>
      <c r="CJ107" s="247"/>
      <c r="CK107" s="247"/>
      <c r="CL107" s="247"/>
      <c r="CM107" s="247"/>
      <c r="CN107" s="247"/>
      <c r="CO107" s="321"/>
      <c r="CP107" s="321"/>
      <c r="CQ107" s="247"/>
      <c r="CR107" s="247"/>
      <c r="CS107" s="247"/>
      <c r="CT107" s="247"/>
      <c r="CU107" s="247"/>
      <c r="CV107" s="247"/>
      <c r="CW107" s="322"/>
      <c r="CX107" s="887" t="s">
        <v>2064</v>
      </c>
      <c r="CY107" s="249"/>
      <c r="CZ107" s="323"/>
      <c r="DA107" s="247"/>
      <c r="DB107" s="247"/>
      <c r="DC107" s="247"/>
      <c r="DD107" s="247"/>
      <c r="DE107" s="247"/>
      <c r="DF107" s="322"/>
      <c r="DG107" s="887" t="s">
        <v>2063</v>
      </c>
      <c r="DH107" s="249"/>
      <c r="DI107" s="323"/>
      <c r="DJ107" s="247"/>
      <c r="DK107" s="247"/>
      <c r="DL107" s="247"/>
      <c r="DM107" s="247"/>
      <c r="DN107" s="247"/>
      <c r="DO107" s="322"/>
      <c r="DP107" s="887" t="s">
        <v>1292</v>
      </c>
      <c r="DQ107" s="249"/>
      <c r="DR107" s="323"/>
      <c r="DS107" s="260"/>
      <c r="DT107" s="260"/>
      <c r="DV107" s="234"/>
      <c r="DW107" s="234"/>
      <c r="DX107" s="234"/>
      <c r="DY107" s="234"/>
      <c r="DZ107" s="234"/>
      <c r="EA107" s="234"/>
      <c r="EB107" s="234"/>
    </row>
    <row r="108" spans="2:132" ht="15" thickBot="1" x14ac:dyDescent="0.5">
      <c r="T108" s="234"/>
      <c r="U108" s="234"/>
      <c r="DJ108" s="246"/>
      <c r="DK108" s="246"/>
      <c r="DL108" s="246"/>
      <c r="DM108" s="246"/>
      <c r="DN108" s="246"/>
      <c r="DV108" s="234"/>
      <c r="DW108" s="234"/>
      <c r="DX108" s="234"/>
      <c r="DY108" s="234"/>
      <c r="DZ108" s="234"/>
      <c r="EA108" s="234"/>
      <c r="EB108" s="234"/>
    </row>
    <row r="109" spans="2:132" ht="15" thickBot="1" x14ac:dyDescent="0.5">
      <c r="B109" s="521" t="s">
        <v>1419</v>
      </c>
      <c r="D109" s="497"/>
      <c r="E109" s="497"/>
      <c r="F109" s="497"/>
      <c r="G109" s="497"/>
      <c r="H109" s="497"/>
      <c r="I109" s="497"/>
      <c r="J109" s="498"/>
      <c r="K109" s="499"/>
      <c r="L109" s="500"/>
      <c r="M109" s="500"/>
      <c r="N109" s="500"/>
      <c r="O109" s="500"/>
      <c r="P109" s="500"/>
      <c r="Q109" s="500"/>
      <c r="R109" s="500"/>
      <c r="S109" s="500"/>
      <c r="T109" s="500"/>
      <c r="U109" s="500"/>
      <c r="V109" s="500"/>
      <c r="W109" s="500"/>
      <c r="X109" s="500"/>
      <c r="Y109" s="501"/>
      <c r="Z109" s="501"/>
      <c r="AA109" s="500"/>
      <c r="AB109" s="502"/>
      <c r="AC109" s="503"/>
      <c r="AD109" s="497"/>
      <c r="AE109" s="497"/>
      <c r="AF109" s="497"/>
      <c r="AG109" s="497"/>
      <c r="AH109" s="497"/>
      <c r="AI109" s="497"/>
      <c r="AJ109" s="497"/>
      <c r="AK109" s="497"/>
      <c r="AL109" s="497"/>
      <c r="AM109" s="497"/>
      <c r="AN109" s="497"/>
      <c r="AO109" s="497"/>
      <c r="AP109" s="497"/>
      <c r="AQ109" s="497"/>
      <c r="AR109" s="497"/>
      <c r="AS109" s="497"/>
      <c r="AT109" s="498"/>
      <c r="AU109" s="499"/>
      <c r="AV109" s="500"/>
      <c r="AW109" s="500"/>
      <c r="AX109" s="500"/>
      <c r="AY109" s="500"/>
      <c r="AZ109" s="500"/>
      <c r="BA109" s="500"/>
      <c r="BB109" s="500"/>
      <c r="BC109" s="500"/>
      <c r="BD109" s="500"/>
      <c r="BG109" s="500"/>
      <c r="BH109" s="500"/>
      <c r="BI109" s="501"/>
      <c r="BJ109" s="501"/>
      <c r="BK109" s="500"/>
      <c r="BL109" s="502"/>
      <c r="BM109" s="503"/>
      <c r="BN109" s="497"/>
      <c r="BO109" s="497"/>
      <c r="BP109" s="497"/>
      <c r="BQ109" s="497"/>
      <c r="BR109" s="497"/>
      <c r="BS109" s="497"/>
      <c r="BT109" s="497"/>
      <c r="BU109" s="497"/>
      <c r="BV109" s="497"/>
      <c r="BW109" s="497"/>
      <c r="BX109" s="497"/>
      <c r="BY109" s="497"/>
      <c r="BZ109" s="497"/>
      <c r="CA109" s="497"/>
      <c r="CB109" s="497"/>
      <c r="CC109" s="497"/>
      <c r="CD109" s="498"/>
      <c r="CE109" s="499"/>
      <c r="CF109" s="500"/>
      <c r="CG109" s="500"/>
      <c r="CH109" s="500"/>
      <c r="CI109" s="500"/>
      <c r="CJ109" s="500"/>
      <c r="CK109" s="500"/>
      <c r="CL109" s="500"/>
      <c r="CM109" s="500"/>
      <c r="CN109" s="500"/>
      <c r="CO109" s="500"/>
      <c r="CP109" s="500"/>
      <c r="CQ109" s="500"/>
      <c r="CR109" s="500"/>
      <c r="CS109" s="501"/>
      <c r="CT109" s="501"/>
      <c r="CU109" s="500"/>
      <c r="CV109" s="502"/>
      <c r="CW109" s="503"/>
      <c r="CX109" s="497"/>
      <c r="CY109" s="497"/>
      <c r="CZ109" s="497"/>
      <c r="DA109" s="497"/>
      <c r="DB109" s="497"/>
      <c r="DC109" s="497"/>
      <c r="DD109" s="497"/>
      <c r="DE109" s="497"/>
      <c r="DF109" s="497"/>
      <c r="DG109" s="497"/>
      <c r="DH109" s="497"/>
      <c r="DI109" s="497"/>
      <c r="DJ109" s="497"/>
      <c r="DK109" s="497"/>
      <c r="DL109" s="497"/>
      <c r="DM109" s="497"/>
      <c r="DN109" s="498"/>
      <c r="DO109" s="499"/>
      <c r="DP109" s="500"/>
      <c r="DQ109" s="500"/>
      <c r="DR109" s="500"/>
      <c r="DS109" s="500"/>
      <c r="DT109" s="500"/>
      <c r="DV109" s="234"/>
      <c r="DW109" s="234"/>
      <c r="DX109" s="234"/>
      <c r="DY109" s="234"/>
      <c r="DZ109" s="234"/>
      <c r="EA109" s="234"/>
      <c r="EB109" s="234"/>
    </row>
    <row r="110" spans="2:132" ht="15" thickBot="1" x14ac:dyDescent="0.5">
      <c r="Y110" s="234"/>
      <c r="Z110" s="234"/>
      <c r="BI110" s="234"/>
      <c r="BJ110" s="234"/>
      <c r="BX110" s="246"/>
      <c r="BY110" s="246"/>
      <c r="BZ110" s="246"/>
      <c r="CA110" s="246"/>
      <c r="CB110" s="246"/>
      <c r="CC110" s="246"/>
      <c r="CD110" s="246"/>
      <c r="CE110" s="246"/>
      <c r="CF110" s="246"/>
      <c r="CG110" s="246"/>
      <c r="CH110" s="246"/>
      <c r="CI110" s="246"/>
      <c r="CJ110" s="246"/>
      <c r="CK110" s="246"/>
      <c r="CL110" s="246"/>
      <c r="CM110" s="246"/>
      <c r="CN110" s="246"/>
      <c r="CO110" s="246"/>
      <c r="CP110" s="246"/>
      <c r="CQ110" s="246"/>
      <c r="CR110" s="246"/>
      <c r="CU110" s="246"/>
      <c r="CV110" s="246"/>
      <c r="CW110" s="246"/>
      <c r="CX110" s="246"/>
      <c r="CY110" s="246"/>
      <c r="CZ110" s="246"/>
      <c r="DA110" s="246"/>
      <c r="DB110" s="246"/>
      <c r="DC110" s="246"/>
      <c r="DD110" s="246"/>
      <c r="DE110" s="246"/>
      <c r="DF110" s="246"/>
      <c r="DG110" s="246"/>
      <c r="DH110" s="246"/>
      <c r="DI110" s="246"/>
      <c r="DJ110" s="246"/>
      <c r="DK110" s="246"/>
      <c r="DL110" s="246"/>
      <c r="DM110" s="246"/>
      <c r="DN110" s="246"/>
      <c r="DV110" s="234"/>
      <c r="DW110" s="234"/>
      <c r="DX110" s="234"/>
      <c r="DY110" s="234"/>
      <c r="DZ110" s="234"/>
      <c r="EA110" s="234"/>
      <c r="EB110" s="234"/>
    </row>
    <row r="111" spans="2:132" ht="15" thickBot="1" x14ac:dyDescent="0.5">
      <c r="B111" s="521" t="s">
        <v>1420</v>
      </c>
      <c r="D111" s="511"/>
      <c r="E111" s="511"/>
      <c r="F111" s="511"/>
      <c r="G111" s="511"/>
      <c r="H111" s="511"/>
      <c r="I111" s="511"/>
      <c r="J111" s="511"/>
      <c r="K111" s="511"/>
      <c r="L111" s="511"/>
      <c r="M111" s="511"/>
      <c r="N111" s="511"/>
      <c r="O111" s="511"/>
      <c r="P111" s="511"/>
      <c r="Q111" s="511"/>
      <c r="R111" s="511"/>
      <c r="S111" s="511"/>
      <c r="T111" s="511"/>
      <c r="U111" s="511"/>
      <c r="V111" s="511"/>
      <c r="W111" s="511"/>
      <c r="X111" s="511"/>
      <c r="Y111" s="511"/>
      <c r="Z111" s="511"/>
      <c r="AA111" s="511"/>
      <c r="AB111" s="511"/>
      <c r="AC111" s="504"/>
      <c r="AD111" s="505"/>
      <c r="AE111" s="505"/>
      <c r="AF111" s="505"/>
      <c r="AG111" s="505"/>
      <c r="AH111" s="505"/>
      <c r="AI111" s="505"/>
      <c r="AJ111" s="505"/>
      <c r="AK111" s="506"/>
      <c r="AL111" s="511"/>
      <c r="AM111" s="511"/>
      <c r="AN111" s="511"/>
      <c r="AO111" s="511"/>
      <c r="AP111" s="511"/>
      <c r="AQ111" s="511"/>
      <c r="AR111" s="511"/>
      <c r="AS111" s="511"/>
      <c r="AT111" s="511"/>
      <c r="AU111" s="511"/>
      <c r="AV111" s="511"/>
      <c r="AW111" s="511"/>
      <c r="AX111" s="511"/>
      <c r="AY111" s="511"/>
      <c r="AZ111" s="511"/>
      <c r="BA111" s="511"/>
      <c r="BB111" s="511"/>
      <c r="BC111" s="511"/>
      <c r="BD111" s="511"/>
      <c r="BG111" s="511"/>
      <c r="BH111" s="511"/>
      <c r="BI111" s="511"/>
      <c r="BJ111" s="511"/>
      <c r="BK111" s="511"/>
      <c r="BL111" s="511"/>
      <c r="BM111" s="504"/>
      <c r="BN111" s="505"/>
      <c r="BO111" s="505"/>
      <c r="BP111" s="505"/>
      <c r="BQ111" s="505"/>
      <c r="BR111" s="505"/>
      <c r="BS111" s="505"/>
      <c r="BT111" s="505"/>
      <c r="BU111" s="506"/>
      <c r="BV111" s="511"/>
      <c r="BW111" s="511"/>
      <c r="BX111" s="511"/>
      <c r="BY111" s="511"/>
      <c r="BZ111" s="511"/>
      <c r="CA111" s="511"/>
      <c r="CB111" s="511"/>
      <c r="CC111" s="511"/>
      <c r="CD111" s="511"/>
      <c r="CE111" s="511"/>
      <c r="CF111" s="511"/>
      <c r="CG111" s="511"/>
      <c r="CH111" s="511"/>
      <c r="CI111" s="511"/>
      <c r="CJ111" s="511"/>
      <c r="CK111" s="511"/>
      <c r="CL111" s="511"/>
      <c r="CM111" s="511"/>
      <c r="CN111" s="511"/>
      <c r="CO111" s="511"/>
      <c r="CP111" s="511"/>
      <c r="CQ111" s="511"/>
      <c r="CR111" s="511"/>
      <c r="CS111" s="511"/>
      <c r="CT111" s="511"/>
      <c r="CU111" s="511"/>
      <c r="CV111" s="511"/>
      <c r="CW111" s="504"/>
      <c r="CX111" s="505"/>
      <c r="CY111" s="505"/>
      <c r="CZ111" s="505"/>
      <c r="DA111" s="505"/>
      <c r="DB111" s="505"/>
      <c r="DC111" s="505"/>
      <c r="DD111" s="505"/>
      <c r="DE111" s="506"/>
      <c r="DF111" s="511"/>
      <c r="DG111" s="511"/>
      <c r="DH111" s="511"/>
      <c r="DI111" s="511"/>
      <c r="DJ111" s="511"/>
      <c r="DK111" s="511"/>
      <c r="DL111" s="511"/>
      <c r="DM111" s="511"/>
      <c r="DN111" s="511"/>
      <c r="DO111" s="511"/>
      <c r="DP111" s="511"/>
      <c r="DQ111" s="511"/>
      <c r="DR111" s="511"/>
      <c r="DS111" s="511"/>
      <c r="DT111" s="511"/>
      <c r="DV111" s="234"/>
      <c r="DW111" s="234"/>
      <c r="DX111" s="234"/>
      <c r="DY111" s="234"/>
      <c r="DZ111" s="234"/>
      <c r="EA111" s="234"/>
      <c r="EB111" s="234"/>
    </row>
    <row r="112" spans="2:132" ht="15" thickBot="1" x14ac:dyDescent="0.5">
      <c r="Y112" s="234"/>
      <c r="Z112" s="234"/>
      <c r="BI112" s="234"/>
      <c r="BJ112" s="234"/>
      <c r="BX112" s="246"/>
      <c r="BY112" s="246"/>
      <c r="BZ112" s="246"/>
      <c r="CA112" s="246"/>
      <c r="CB112" s="246"/>
      <c r="CC112" s="246"/>
      <c r="CD112" s="246"/>
      <c r="CE112" s="246"/>
      <c r="CF112" s="246"/>
      <c r="CG112" s="246"/>
      <c r="CH112" s="246"/>
      <c r="CI112" s="246"/>
      <c r="CJ112" s="246"/>
      <c r="CK112" s="246"/>
      <c r="CL112" s="246"/>
      <c r="CM112" s="246"/>
      <c r="CN112" s="246"/>
      <c r="CO112" s="246"/>
      <c r="CP112" s="246"/>
      <c r="CQ112" s="246"/>
      <c r="CR112" s="246"/>
      <c r="CU112" s="246"/>
      <c r="CV112" s="246"/>
      <c r="CW112" s="246"/>
      <c r="CX112" s="246"/>
      <c r="CY112" s="246"/>
      <c r="CZ112" s="246"/>
      <c r="DA112" s="246"/>
      <c r="DB112" s="246"/>
      <c r="DC112" s="246"/>
      <c r="DD112" s="246"/>
      <c r="DE112" s="246"/>
      <c r="DF112" s="246"/>
      <c r="DG112" s="246"/>
      <c r="DH112" s="246"/>
      <c r="DI112" s="246"/>
      <c r="DJ112" s="246"/>
      <c r="DK112" s="246"/>
      <c r="DL112" s="246"/>
      <c r="DM112" s="246"/>
      <c r="DN112" s="246"/>
      <c r="DV112" s="234"/>
      <c r="DW112" s="234"/>
      <c r="DX112" s="234"/>
      <c r="DY112" s="234"/>
      <c r="DZ112" s="234"/>
      <c r="EA112" s="234"/>
      <c r="EB112" s="234"/>
    </row>
    <row r="113" spans="2:132" ht="15" thickBot="1" x14ac:dyDescent="0.5">
      <c r="B113" s="521" t="s">
        <v>1421</v>
      </c>
      <c r="D113" s="509"/>
      <c r="E113" s="509"/>
      <c r="F113" s="509"/>
      <c r="G113" s="509"/>
      <c r="H113" s="509"/>
      <c r="I113" s="509"/>
      <c r="J113" s="510"/>
      <c r="K113" s="507"/>
      <c r="L113" s="507"/>
      <c r="M113" s="507"/>
      <c r="N113" s="507"/>
      <c r="O113" s="507"/>
      <c r="P113" s="507"/>
      <c r="Q113" s="507"/>
      <c r="R113" s="507"/>
      <c r="S113" s="507"/>
      <c r="T113" s="507"/>
      <c r="U113" s="507"/>
      <c r="V113" s="507"/>
      <c r="W113" s="507"/>
      <c r="X113" s="507"/>
      <c r="Y113" s="507"/>
      <c r="Z113" s="507"/>
      <c r="AA113" s="507"/>
      <c r="AB113" s="507"/>
      <c r="AC113" s="507"/>
      <c r="AD113" s="507"/>
      <c r="AE113" s="507"/>
      <c r="AF113" s="507"/>
      <c r="AG113" s="507"/>
      <c r="AH113" s="507"/>
      <c r="AI113" s="507"/>
      <c r="AJ113" s="507"/>
      <c r="AK113" s="507"/>
      <c r="AL113" s="508"/>
      <c r="AM113" s="509"/>
      <c r="AN113" s="509"/>
      <c r="AO113" s="509"/>
      <c r="AP113" s="509"/>
      <c r="AQ113" s="509"/>
      <c r="AR113" s="509"/>
      <c r="AS113" s="509"/>
      <c r="AT113" s="510"/>
      <c r="AU113" s="507"/>
      <c r="AV113" s="507"/>
      <c r="AW113" s="507"/>
      <c r="AX113" s="507"/>
      <c r="AY113" s="507"/>
      <c r="AZ113" s="507"/>
      <c r="BA113" s="507"/>
      <c r="BB113" s="507"/>
      <c r="BC113" s="507"/>
      <c r="BD113" s="507"/>
      <c r="BG113" s="507"/>
      <c r="BH113" s="507"/>
      <c r="BI113" s="507"/>
      <c r="BJ113" s="507"/>
      <c r="BK113" s="507"/>
      <c r="BL113" s="507"/>
      <c r="BM113" s="507"/>
      <c r="BN113" s="507"/>
      <c r="BO113" s="507"/>
      <c r="BP113" s="507"/>
      <c r="BQ113" s="507"/>
      <c r="BR113" s="507"/>
      <c r="BS113" s="507"/>
      <c r="BT113" s="507"/>
      <c r="BU113" s="507"/>
      <c r="BV113" s="508"/>
      <c r="BW113" s="509"/>
      <c r="BX113" s="509"/>
      <c r="BY113" s="509"/>
      <c r="BZ113" s="509"/>
      <c r="CA113" s="509"/>
      <c r="CB113" s="509"/>
      <c r="CC113" s="509"/>
      <c r="CD113" s="510"/>
      <c r="CE113" s="507"/>
      <c r="CF113" s="507"/>
      <c r="CG113" s="507"/>
      <c r="CH113" s="507"/>
      <c r="CI113" s="507"/>
      <c r="CJ113" s="507"/>
      <c r="CK113" s="507"/>
      <c r="CL113" s="507"/>
      <c r="CM113" s="507"/>
      <c r="CN113" s="507"/>
      <c r="CO113" s="507"/>
      <c r="CP113" s="507"/>
      <c r="CQ113" s="507"/>
      <c r="CR113" s="507"/>
      <c r="CS113" s="507"/>
      <c r="CT113" s="507"/>
      <c r="CU113" s="507"/>
      <c r="CV113" s="507"/>
      <c r="CW113" s="507"/>
      <c r="CX113" s="507"/>
      <c r="CY113" s="507"/>
      <c r="CZ113" s="507"/>
      <c r="DA113" s="507"/>
      <c r="DB113" s="507"/>
      <c r="DC113" s="507"/>
      <c r="DD113" s="507"/>
      <c r="DE113" s="507"/>
      <c r="DF113" s="508"/>
      <c r="DG113" s="509"/>
      <c r="DH113" s="509"/>
      <c r="DI113" s="509"/>
      <c r="DJ113" s="509"/>
      <c r="DK113" s="509"/>
      <c r="DL113" s="509"/>
      <c r="DM113" s="509"/>
      <c r="DN113" s="510"/>
      <c r="DO113" s="507"/>
      <c r="DP113" s="507"/>
      <c r="DQ113" s="507"/>
      <c r="DR113" s="507"/>
      <c r="DS113" s="507"/>
      <c r="DT113" s="507"/>
      <c r="DV113" s="234"/>
      <c r="DW113" s="234"/>
      <c r="DX113" s="234"/>
      <c r="DY113" s="234"/>
      <c r="DZ113" s="234"/>
      <c r="EA113" s="234"/>
      <c r="EB113" s="234"/>
    </row>
    <row r="114" spans="2:132" x14ac:dyDescent="0.45">
      <c r="BX114" s="246"/>
      <c r="BY114" s="246"/>
      <c r="BZ114" s="246"/>
      <c r="CA114" s="246"/>
      <c r="CB114" s="246"/>
      <c r="CC114" s="246"/>
      <c r="CD114" s="246"/>
      <c r="CE114" s="246"/>
      <c r="CF114" s="246"/>
      <c r="CG114" s="246"/>
      <c r="CH114" s="246"/>
      <c r="CI114" s="246"/>
      <c r="CJ114" s="246"/>
      <c r="CK114" s="246"/>
      <c r="CL114" s="246"/>
      <c r="CM114" s="246"/>
      <c r="CN114" s="246"/>
      <c r="CO114" s="246"/>
      <c r="CP114" s="246"/>
      <c r="CQ114" s="246"/>
      <c r="CR114" s="246"/>
      <c r="CS114" s="246"/>
      <c r="CT114" s="246"/>
      <c r="CU114" s="246"/>
      <c r="CV114" s="246"/>
      <c r="CW114" s="246"/>
      <c r="CX114" s="246"/>
      <c r="CY114" s="246"/>
      <c r="CZ114" s="246"/>
      <c r="DA114" s="246"/>
      <c r="DB114" s="246"/>
      <c r="DC114" s="246"/>
      <c r="DD114" s="246"/>
      <c r="DE114" s="246"/>
      <c r="DF114" s="246"/>
      <c r="DG114" s="246"/>
      <c r="DH114" s="246"/>
      <c r="DI114" s="246"/>
      <c r="DJ114" s="246"/>
      <c r="DK114" s="246"/>
      <c r="DL114" s="246"/>
      <c r="DM114" s="246"/>
      <c r="DN114" s="246"/>
      <c r="DO114" s="246"/>
      <c r="DP114" s="246"/>
      <c r="DQ114" s="246"/>
      <c r="DR114" s="246"/>
      <c r="DS114" s="246"/>
      <c r="DT114" s="246"/>
      <c r="DV114" s="234"/>
      <c r="DW114" s="234"/>
      <c r="DX114" s="234"/>
      <c r="DY114" s="234"/>
      <c r="DZ114" s="234"/>
      <c r="EA114" s="234"/>
      <c r="EB114" s="234"/>
    </row>
    <row r="115" spans="2:132" x14ac:dyDescent="0.45">
      <c r="B115" s="521" t="s">
        <v>1570</v>
      </c>
      <c r="D115" s="317"/>
      <c r="E115" s="317"/>
      <c r="F115" s="317"/>
      <c r="G115" s="317"/>
      <c r="H115" s="317"/>
      <c r="I115" s="317"/>
      <c r="J115" s="317"/>
      <c r="K115" s="584"/>
      <c r="L115" s="584"/>
      <c r="M115" s="584"/>
      <c r="N115" s="584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  <c r="AA115" s="315"/>
      <c r="AB115" s="315"/>
      <c r="AC115" s="680"/>
      <c r="AD115" s="680"/>
      <c r="AE115" s="680"/>
      <c r="AF115" s="680"/>
      <c r="AG115" s="340"/>
      <c r="AH115" s="340"/>
      <c r="AI115" s="340"/>
      <c r="AJ115" s="340"/>
      <c r="AK115" s="340"/>
      <c r="AL115" s="681"/>
      <c r="AM115" s="681"/>
      <c r="AN115" s="681"/>
      <c r="AO115" s="681"/>
      <c r="AP115" s="317"/>
      <c r="AQ115" s="317"/>
      <c r="AR115" s="317"/>
      <c r="AS115" s="317"/>
      <c r="AT115" s="317"/>
      <c r="AU115" s="584"/>
      <c r="AV115" s="584"/>
      <c r="AW115" s="584"/>
      <c r="AX115" s="584"/>
      <c r="AY115" s="315"/>
      <c r="AZ115" s="315"/>
      <c r="BA115" s="315"/>
      <c r="BB115" s="315"/>
      <c r="BC115" s="315"/>
      <c r="BD115" s="315"/>
      <c r="BG115" s="315"/>
      <c r="BH115" s="315"/>
      <c r="BI115" s="315"/>
      <c r="BJ115" s="315"/>
      <c r="BK115" s="315"/>
      <c r="BL115" s="315"/>
      <c r="BM115" s="680"/>
      <c r="BN115" s="680"/>
      <c r="BO115" s="680"/>
      <c r="BP115" s="680"/>
      <c r="BQ115" s="340"/>
      <c r="BR115" s="340"/>
      <c r="BS115" s="340"/>
      <c r="BT115" s="340"/>
      <c r="BU115" s="340"/>
      <c r="BV115" s="681"/>
      <c r="BW115" s="681"/>
      <c r="BX115" s="681"/>
      <c r="BY115" s="681"/>
      <c r="BZ115" s="317"/>
      <c r="CA115" s="317"/>
      <c r="CB115" s="317"/>
      <c r="CC115" s="317"/>
      <c r="CD115" s="317"/>
      <c r="CE115" s="584"/>
      <c r="CF115" s="584"/>
      <c r="CG115" s="584"/>
      <c r="CH115" s="584"/>
      <c r="CI115" s="315"/>
      <c r="CJ115" s="315"/>
      <c r="CK115" s="315"/>
      <c r="CL115" s="315"/>
      <c r="CM115" s="315"/>
      <c r="CN115" s="315"/>
      <c r="CO115" s="315"/>
      <c r="CP115" s="315"/>
      <c r="CQ115" s="315"/>
      <c r="CR115" s="315"/>
      <c r="CS115" s="315"/>
      <c r="CT115" s="315"/>
      <c r="CU115" s="315"/>
      <c r="CV115" s="315"/>
      <c r="CW115" s="680"/>
      <c r="CX115" s="680"/>
      <c r="CY115" s="680"/>
      <c r="CZ115" s="680"/>
      <c r="DA115" s="340"/>
      <c r="DB115" s="340"/>
      <c r="DC115" s="340"/>
      <c r="DD115" s="340"/>
      <c r="DE115" s="340"/>
      <c r="DF115" s="681"/>
      <c r="DG115" s="681"/>
      <c r="DH115" s="681"/>
      <c r="DI115" s="681"/>
      <c r="DJ115" s="317"/>
      <c r="DK115" s="317"/>
      <c r="DL115" s="317"/>
      <c r="DM115" s="317"/>
      <c r="DN115" s="317"/>
      <c r="DO115" s="584"/>
      <c r="DP115" s="584"/>
      <c r="DQ115" s="584"/>
      <c r="DR115" s="584"/>
      <c r="DS115" s="315"/>
      <c r="DT115" s="315"/>
      <c r="DV115" s="234"/>
      <c r="DW115" s="234"/>
      <c r="DX115" s="234"/>
      <c r="DY115" s="234"/>
      <c r="DZ115" s="234"/>
      <c r="EA115" s="234"/>
      <c r="EB115" s="234"/>
    </row>
    <row r="116" spans="2:132" x14ac:dyDescent="0.45">
      <c r="K116" s="234"/>
      <c r="M116" s="234"/>
      <c r="O116" s="234"/>
      <c r="Q116" s="234"/>
      <c r="S116" s="234"/>
      <c r="U116" s="234"/>
      <c r="DV116" s="234"/>
      <c r="DW116" s="234"/>
      <c r="DX116" s="234"/>
      <c r="DY116" s="234"/>
      <c r="DZ116" s="234"/>
      <c r="EA116" s="234"/>
      <c r="EB116" s="234"/>
    </row>
    <row r="117" spans="2:132" x14ac:dyDescent="0.45">
      <c r="K117" s="234"/>
      <c r="M117" s="234"/>
      <c r="O117" s="234"/>
      <c r="Q117" s="234"/>
      <c r="S117" s="234"/>
      <c r="U117" s="234"/>
      <c r="DV117" s="234"/>
      <c r="DW117" s="234"/>
      <c r="DX117" s="234"/>
      <c r="DY117" s="234"/>
      <c r="DZ117" s="234"/>
      <c r="EA117" s="234"/>
      <c r="EB117" s="234"/>
    </row>
    <row r="118" spans="2:132" x14ac:dyDescent="0.45">
      <c r="B118" s="521" t="s">
        <v>1424</v>
      </c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516"/>
      <c r="P118" s="315"/>
      <c r="Q118" s="517"/>
      <c r="R118" s="315"/>
      <c r="S118" s="517"/>
      <c r="T118" s="315"/>
      <c r="U118" s="513"/>
      <c r="V118" s="341"/>
      <c r="W118" s="341"/>
      <c r="X118" s="341"/>
      <c r="Y118" s="341"/>
      <c r="Z118" s="341"/>
      <c r="AA118" s="341"/>
      <c r="AB118" s="342"/>
      <c r="AC118" s="250"/>
      <c r="AD118" s="250"/>
      <c r="AE118" s="250"/>
      <c r="AF118" s="250"/>
      <c r="AG118" s="339"/>
      <c r="AH118" s="340"/>
      <c r="AI118" s="343"/>
      <c r="AJ118" s="343"/>
      <c r="AK118" s="344"/>
      <c r="AL118" s="250"/>
      <c r="AM118" s="250"/>
      <c r="AN118" s="250"/>
      <c r="AO118" s="250"/>
      <c r="AP118" s="316"/>
      <c r="AQ118" s="317"/>
      <c r="AR118" s="345"/>
      <c r="AS118" s="345"/>
      <c r="AT118" s="346"/>
      <c r="AU118" s="250"/>
      <c r="AV118" s="250"/>
      <c r="AW118" s="250"/>
      <c r="AX118" s="250"/>
      <c r="AY118" s="512"/>
      <c r="AZ118" s="341"/>
      <c r="BA118" s="513"/>
      <c r="BB118" s="341"/>
      <c r="BC118" s="513"/>
      <c r="BD118" s="513"/>
      <c r="BE118" s="513"/>
      <c r="BF118" s="513"/>
      <c r="BG118" s="341"/>
      <c r="BH118" s="341"/>
      <c r="BI118" s="341"/>
      <c r="BJ118" s="341"/>
      <c r="BK118" s="341"/>
      <c r="BL118" s="342"/>
      <c r="BM118" s="250"/>
      <c r="BN118" s="250"/>
      <c r="BO118" s="250"/>
      <c r="BP118" s="250"/>
      <c r="BQ118" s="514"/>
      <c r="BR118" s="343"/>
      <c r="BS118" s="343"/>
      <c r="BT118" s="343"/>
      <c r="BU118" s="344"/>
      <c r="BV118" s="250"/>
      <c r="BW118" s="250"/>
      <c r="BX118" s="250"/>
      <c r="BY118" s="250"/>
      <c r="BZ118" s="515"/>
      <c r="CA118" s="345"/>
      <c r="CB118" s="345"/>
      <c r="CC118" s="345"/>
      <c r="CD118" s="346"/>
      <c r="CE118" s="250"/>
      <c r="CF118" s="250"/>
      <c r="CG118" s="250"/>
      <c r="CH118" s="250"/>
      <c r="CI118" s="512"/>
      <c r="CJ118" s="341"/>
      <c r="CK118" s="513"/>
      <c r="CL118" s="341"/>
      <c r="CM118" s="513"/>
      <c r="CN118" s="341"/>
      <c r="CO118" s="513"/>
      <c r="CP118" s="341"/>
      <c r="CQ118" s="341"/>
      <c r="CR118" s="341"/>
      <c r="CS118" s="341"/>
      <c r="CT118" s="341"/>
      <c r="CU118" s="341"/>
      <c r="CV118" s="342"/>
      <c r="CW118" s="250"/>
      <c r="CX118" s="250"/>
      <c r="CY118" s="250"/>
      <c r="CZ118" s="250"/>
      <c r="DA118" s="514"/>
      <c r="DB118" s="343"/>
      <c r="DC118" s="343"/>
      <c r="DD118" s="343"/>
      <c r="DE118" s="344"/>
      <c r="DF118" s="250"/>
      <c r="DG118" s="250"/>
      <c r="DH118" s="250"/>
      <c r="DI118" s="250"/>
      <c r="DJ118" s="515"/>
      <c r="DK118" s="345"/>
      <c r="DL118" s="345"/>
      <c r="DM118" s="345"/>
      <c r="DN118" s="346"/>
      <c r="DO118" s="250"/>
      <c r="DP118" s="250"/>
      <c r="DQ118" s="250"/>
      <c r="DR118" s="250"/>
      <c r="DS118" s="361"/>
      <c r="DT118" s="341"/>
      <c r="DV118" s="234"/>
      <c r="DW118" s="234"/>
      <c r="DX118" s="234"/>
      <c r="DY118" s="234"/>
      <c r="DZ118" s="234"/>
      <c r="EA118" s="234"/>
      <c r="EB118" s="234"/>
    </row>
    <row r="119" spans="2:132" ht="15" thickBot="1" x14ac:dyDescent="0.5">
      <c r="K119" s="234"/>
      <c r="M119" s="234"/>
      <c r="O119" s="234"/>
      <c r="Q119" s="234"/>
      <c r="S119" s="234"/>
      <c r="U119" s="234"/>
      <c r="DV119" s="234"/>
      <c r="DW119" s="234"/>
      <c r="DX119" s="234"/>
      <c r="DY119" s="234"/>
      <c r="DZ119" s="234"/>
      <c r="EA119" s="234"/>
      <c r="EB119" s="234"/>
    </row>
    <row r="120" spans="2:132" ht="15" thickBot="1" x14ac:dyDescent="0.5">
      <c r="B120" s="521" t="s">
        <v>1422</v>
      </c>
      <c r="D120" s="325"/>
      <c r="E120" s="325"/>
      <c r="F120" s="325"/>
      <c r="G120" s="325"/>
      <c r="H120" s="325"/>
      <c r="I120" s="325"/>
      <c r="J120" s="325"/>
      <c r="K120" s="326"/>
      <c r="L120" s="325"/>
      <c r="M120" s="326"/>
      <c r="N120" s="327"/>
      <c r="O120" s="518"/>
      <c r="P120" s="519"/>
      <c r="Q120" s="518"/>
      <c r="R120" s="519"/>
      <c r="S120" s="518"/>
      <c r="T120" s="520"/>
      <c r="U120" s="337"/>
      <c r="V120" s="328"/>
      <c r="W120" s="328"/>
      <c r="X120" s="328"/>
      <c r="Y120" s="328"/>
      <c r="Z120" s="328"/>
      <c r="AA120" s="328"/>
      <c r="AB120" s="329"/>
      <c r="AC120" s="330"/>
      <c r="AD120" s="331"/>
      <c r="AE120" s="331"/>
      <c r="AF120" s="332"/>
      <c r="AG120" s="519"/>
      <c r="AH120" s="520"/>
      <c r="AI120" s="328"/>
      <c r="AJ120" s="328"/>
      <c r="AK120" s="329"/>
      <c r="AL120" s="330"/>
      <c r="AM120" s="331"/>
      <c r="AN120" s="331"/>
      <c r="AO120" s="332"/>
      <c r="AP120" s="519"/>
      <c r="AQ120" s="520"/>
      <c r="AR120" s="328"/>
      <c r="AS120" s="328"/>
      <c r="AT120" s="329"/>
      <c r="AU120" s="333"/>
      <c r="AV120" s="331"/>
      <c r="AW120" s="334"/>
      <c r="AX120" s="335"/>
      <c r="AY120" s="336"/>
      <c r="AZ120" s="328"/>
      <c r="BA120" s="337"/>
      <c r="BB120" s="328"/>
      <c r="BC120" s="337"/>
      <c r="BD120" s="328"/>
      <c r="BG120" s="328"/>
      <c r="BH120" s="328"/>
      <c r="BI120" s="328"/>
      <c r="BJ120" s="328"/>
      <c r="BK120" s="328"/>
      <c r="BL120" s="329"/>
      <c r="BM120" s="330"/>
      <c r="BN120" s="331"/>
      <c r="BO120" s="331"/>
      <c r="BP120" s="335"/>
      <c r="BQ120" s="338"/>
      <c r="BR120" s="328"/>
      <c r="BS120" s="328"/>
      <c r="BT120" s="328"/>
      <c r="BU120" s="329"/>
      <c r="BV120" s="330"/>
      <c r="BW120" s="331"/>
      <c r="BX120" s="331"/>
      <c r="BY120" s="335"/>
      <c r="BZ120" s="338"/>
      <c r="CA120" s="328"/>
      <c r="CB120" s="328"/>
      <c r="CC120" s="328"/>
      <c r="CD120" s="329"/>
      <c r="CE120" s="333"/>
      <c r="CF120" s="331"/>
      <c r="CG120" s="334"/>
      <c r="CH120" s="335"/>
      <c r="CI120" s="336"/>
      <c r="CJ120" s="328"/>
      <c r="CK120" s="337"/>
      <c r="CL120" s="328"/>
      <c r="CM120" s="337"/>
      <c r="CN120" s="328"/>
      <c r="CO120" s="328"/>
      <c r="CP120" s="328"/>
      <c r="CQ120" s="328"/>
      <c r="CR120" s="328"/>
      <c r="CS120" s="328"/>
      <c r="CT120" s="328"/>
      <c r="CU120" s="328"/>
      <c r="CV120" s="329"/>
      <c r="CW120" s="330"/>
      <c r="CX120" s="331"/>
      <c r="CY120" s="331"/>
      <c r="CZ120" s="335"/>
      <c r="DA120" s="338"/>
      <c r="DB120" s="328"/>
      <c r="DC120" s="328"/>
      <c r="DD120" s="328"/>
      <c r="DE120" s="329"/>
      <c r="DF120" s="330"/>
      <c r="DG120" s="331"/>
      <c r="DH120" s="331"/>
      <c r="DI120" s="335"/>
      <c r="DJ120" s="338"/>
      <c r="DK120" s="328"/>
      <c r="DL120" s="328"/>
      <c r="DM120" s="328"/>
      <c r="DN120" s="328"/>
      <c r="DO120" s="330"/>
      <c r="DP120" s="331"/>
      <c r="DQ120" s="331"/>
      <c r="DR120" s="331"/>
      <c r="DS120" s="338"/>
      <c r="DT120" s="328"/>
      <c r="DV120" s="234"/>
      <c r="DW120" s="234"/>
      <c r="DX120" s="234"/>
      <c r="DY120" s="234"/>
      <c r="DZ120" s="234"/>
      <c r="EA120" s="234"/>
      <c r="EB120" s="234"/>
    </row>
    <row r="121" spans="2:132" x14ac:dyDescent="0.45">
      <c r="K121" s="234"/>
      <c r="M121" s="234"/>
      <c r="O121" s="234"/>
      <c r="Q121" s="234"/>
      <c r="S121" s="234"/>
      <c r="U121" s="234"/>
      <c r="DV121" s="234"/>
      <c r="DW121" s="234"/>
      <c r="DX121" s="234"/>
      <c r="DY121" s="234"/>
      <c r="DZ121" s="234"/>
      <c r="EA121" s="234"/>
      <c r="EB121" s="234"/>
    </row>
    <row r="122" spans="2:132" x14ac:dyDescent="0.45">
      <c r="T122" s="234"/>
      <c r="U122" s="234"/>
      <c r="DV122" s="234"/>
      <c r="DW122" s="234"/>
      <c r="DX122" s="234"/>
      <c r="DY122" s="234"/>
      <c r="DZ122" s="234"/>
      <c r="EA122" s="234"/>
      <c r="EB122" s="234"/>
    </row>
    <row r="123" spans="2:132" x14ac:dyDescent="0.45">
      <c r="D123" s="521"/>
      <c r="E123" s="521"/>
      <c r="F123" s="521"/>
      <c r="G123" s="521"/>
      <c r="H123" s="521"/>
      <c r="I123" s="521"/>
      <c r="J123" s="521"/>
      <c r="K123" s="521"/>
      <c r="L123" s="521"/>
      <c r="M123" s="521"/>
      <c r="N123" s="521"/>
      <c r="O123" s="521"/>
      <c r="P123" s="521"/>
      <c r="Q123" s="521"/>
      <c r="R123" s="521"/>
      <c r="S123" s="521"/>
      <c r="T123" s="521"/>
      <c r="U123" s="521"/>
      <c r="V123" s="521"/>
      <c r="W123" s="521"/>
      <c r="X123" s="521"/>
      <c r="Y123" s="521"/>
      <c r="Z123" s="521"/>
      <c r="AA123" s="521"/>
      <c r="AB123" s="521"/>
      <c r="AC123" s="521"/>
      <c r="AD123" s="521"/>
      <c r="AE123" s="521"/>
      <c r="AF123" s="521"/>
      <c r="AG123" s="521"/>
      <c r="AH123" s="521"/>
      <c r="AI123" s="521"/>
      <c r="AJ123" s="521"/>
      <c r="AK123" s="521"/>
      <c r="AL123" s="521"/>
      <c r="AM123" s="521"/>
      <c r="AN123" s="521"/>
      <c r="AO123" s="521"/>
      <c r="AP123" s="521"/>
      <c r="AQ123" s="521"/>
      <c r="AR123" s="521"/>
      <c r="AS123" s="521"/>
      <c r="AT123" s="521"/>
      <c r="AU123" s="521"/>
      <c r="AV123" s="521"/>
      <c r="AW123" s="521"/>
      <c r="AX123" s="521"/>
      <c r="AY123" s="521"/>
      <c r="AZ123" s="521"/>
      <c r="BA123" s="521"/>
      <c r="BB123" s="521"/>
      <c r="BC123" s="521"/>
      <c r="BD123" s="521"/>
      <c r="BE123" s="521"/>
      <c r="BF123" s="521"/>
      <c r="DV123" s="234"/>
      <c r="DW123" s="234"/>
      <c r="DX123" s="234"/>
      <c r="DY123" s="234"/>
      <c r="DZ123" s="234"/>
      <c r="EA123" s="234"/>
      <c r="EB123" s="234"/>
    </row>
    <row r="124" spans="2:132" x14ac:dyDescent="0.45">
      <c r="T124" s="234"/>
      <c r="U124" s="234"/>
      <c r="DV124" s="234"/>
      <c r="DW124" s="234"/>
      <c r="DX124" s="234"/>
      <c r="DY124" s="234"/>
      <c r="DZ124" s="234"/>
      <c r="EA124" s="234"/>
      <c r="EB124" s="234"/>
    </row>
    <row r="125" spans="2:132" x14ac:dyDescent="0.45">
      <c r="B125" s="608" t="s">
        <v>2655</v>
      </c>
      <c r="C125" s="615"/>
      <c r="D125" s="616"/>
      <c r="E125" s="616"/>
      <c r="F125" s="616"/>
      <c r="G125" s="616"/>
      <c r="H125" s="616"/>
      <c r="I125" s="616"/>
      <c r="J125" s="616"/>
      <c r="K125" s="616"/>
      <c r="L125" s="616"/>
      <c r="M125" s="616"/>
      <c r="N125" s="616"/>
      <c r="O125" s="616"/>
      <c r="P125" s="616"/>
      <c r="Q125" s="616"/>
      <c r="R125" s="616"/>
      <c r="S125" s="616"/>
      <c r="T125" s="616"/>
      <c r="U125" s="616"/>
      <c r="V125" s="616"/>
      <c r="W125" s="616"/>
      <c r="X125" s="616"/>
      <c r="Y125" s="616"/>
      <c r="Z125" s="616"/>
      <c r="AA125" s="616"/>
      <c r="AB125" s="616"/>
      <c r="AC125" s="616"/>
      <c r="AD125" s="616"/>
      <c r="AE125" s="616"/>
      <c r="AF125" s="616"/>
      <c r="AG125" s="616"/>
      <c r="AH125" s="616"/>
      <c r="AI125" s="616"/>
      <c r="AJ125" s="616"/>
      <c r="AK125" s="616"/>
      <c r="AL125" s="616"/>
      <c r="AM125" s="616"/>
      <c r="AN125" s="616"/>
      <c r="AO125" s="616"/>
      <c r="AP125" s="616"/>
      <c r="AQ125" s="616"/>
      <c r="AR125" s="616"/>
      <c r="AS125" s="616"/>
      <c r="AT125" s="616"/>
      <c r="AU125" s="616"/>
      <c r="AV125" s="616"/>
      <c r="AW125" s="616"/>
      <c r="AX125" s="616"/>
      <c r="AY125" s="616"/>
      <c r="AZ125" s="616"/>
      <c r="BA125" s="616"/>
      <c r="BB125" s="616"/>
      <c r="BC125" s="616"/>
      <c r="BD125" s="616"/>
      <c r="BE125" s="616"/>
      <c r="BF125" s="616"/>
      <c r="BG125" s="616"/>
      <c r="BH125" s="616"/>
      <c r="BI125" s="616"/>
      <c r="BJ125" s="616"/>
      <c r="BK125" s="616"/>
      <c r="BL125" s="616"/>
      <c r="BM125" s="616"/>
      <c r="BN125" s="616"/>
      <c r="BO125" s="616"/>
      <c r="BP125" s="616"/>
      <c r="BQ125" s="616"/>
      <c r="BR125" s="616"/>
      <c r="BS125" s="616"/>
      <c r="BT125" s="616"/>
      <c r="BU125" s="616"/>
      <c r="BV125" s="616"/>
      <c r="BW125" s="616"/>
      <c r="BX125" s="614"/>
      <c r="BY125" s="614"/>
      <c r="BZ125" s="614"/>
      <c r="CA125" s="614"/>
      <c r="CB125" s="614"/>
      <c r="CC125" s="614"/>
      <c r="CD125" s="614"/>
      <c r="CE125" s="614"/>
      <c r="CF125" s="614"/>
      <c r="CG125" s="614"/>
      <c r="CH125" s="614"/>
      <c r="CI125" s="614"/>
      <c r="CJ125" s="614"/>
      <c r="CK125" s="614"/>
      <c r="CL125" s="614"/>
      <c r="CM125" s="614"/>
      <c r="CN125" s="614"/>
      <c r="CO125" s="614"/>
      <c r="CP125" s="614"/>
      <c r="CQ125" s="614"/>
      <c r="CR125" s="614"/>
      <c r="CS125" s="614"/>
      <c r="CT125" s="614"/>
      <c r="CU125" s="614"/>
      <c r="CV125" s="614"/>
      <c r="CW125" s="614"/>
      <c r="CX125" s="614"/>
      <c r="CY125" s="614"/>
      <c r="CZ125" s="614"/>
      <c r="DA125" s="614"/>
      <c r="DB125" s="614"/>
      <c r="DC125" s="614"/>
      <c r="DD125" s="614"/>
      <c r="DE125" s="614"/>
      <c r="DF125" s="614"/>
      <c r="DG125" s="614"/>
      <c r="DH125" s="614"/>
      <c r="DI125" s="614"/>
      <c r="DJ125" s="614"/>
      <c r="DK125" s="614"/>
      <c r="DL125" s="614"/>
      <c r="DM125" s="614"/>
      <c r="DN125" s="614"/>
      <c r="DO125" s="614"/>
      <c r="DP125" s="614"/>
      <c r="DQ125" s="614"/>
      <c r="DR125" s="614"/>
      <c r="DS125" s="614"/>
      <c r="DT125" s="614"/>
      <c r="DV125" s="234"/>
      <c r="DW125" s="234"/>
      <c r="DX125" s="234"/>
      <c r="DY125" s="234"/>
      <c r="DZ125" s="234"/>
      <c r="EA125" s="234"/>
      <c r="EB125" s="234"/>
    </row>
    <row r="126" spans="2:132" x14ac:dyDescent="0.45">
      <c r="B126" s="521" t="s">
        <v>1431</v>
      </c>
      <c r="D126" s="247"/>
      <c r="E126" s="247"/>
      <c r="F126" s="258"/>
      <c r="G126" s="256"/>
      <c r="H126" s="256"/>
      <c r="I126" s="256"/>
      <c r="J126" s="256"/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  <c r="AA126" s="256"/>
      <c r="AB126" s="256"/>
      <c r="AC126" s="256"/>
      <c r="AD126" s="256"/>
      <c r="AE126" s="256"/>
      <c r="AF126" s="256"/>
      <c r="AG126" s="256"/>
      <c r="AH126" s="256"/>
      <c r="AI126" s="256"/>
      <c r="AJ126" s="256"/>
      <c r="AK126" s="256"/>
      <c r="AL126" s="256"/>
      <c r="AM126" s="256"/>
      <c r="AN126" s="256"/>
      <c r="AO126" s="256"/>
      <c r="AP126" s="256"/>
      <c r="AQ126" s="256"/>
      <c r="AR126" s="256"/>
      <c r="AS126" s="256"/>
      <c r="AT126" s="256"/>
      <c r="AU126" s="256"/>
      <c r="AV126" s="256"/>
      <c r="AW126" s="256"/>
      <c r="AX126" s="256"/>
      <c r="AY126" s="256"/>
      <c r="AZ126" s="256"/>
      <c r="BA126" s="256"/>
      <c r="BB126" s="256"/>
      <c r="BC126" s="256"/>
      <c r="BD126" s="256"/>
      <c r="BE126" s="256"/>
      <c r="BF126" s="256"/>
      <c r="BG126" s="256"/>
      <c r="BH126" s="256"/>
      <c r="BI126" s="256"/>
      <c r="BJ126" s="256"/>
      <c r="BK126" s="256"/>
      <c r="BL126" s="256"/>
      <c r="BM126" s="256"/>
      <c r="BN126" s="256"/>
      <c r="BO126" s="256"/>
      <c r="BP126" s="256"/>
      <c r="BQ126" s="256"/>
      <c r="BR126" s="256"/>
      <c r="BS126" s="256"/>
      <c r="BT126" s="256"/>
      <c r="BU126" s="256"/>
      <c r="BV126" s="256"/>
      <c r="BW126" s="256"/>
      <c r="BX126" s="256"/>
      <c r="BY126" s="256"/>
      <c r="BZ126" s="256"/>
      <c r="CA126" s="256"/>
      <c r="CB126" s="256"/>
      <c r="CC126" s="256"/>
      <c r="CD126" s="256"/>
      <c r="CE126" s="256"/>
      <c r="CF126" s="256"/>
      <c r="CG126" s="256"/>
      <c r="CH126" s="256"/>
      <c r="CI126" s="256"/>
      <c r="CJ126" s="256"/>
      <c r="CK126" s="256"/>
      <c r="CL126" s="256"/>
      <c r="CM126" s="256"/>
      <c r="CN126" s="256"/>
      <c r="CO126" s="256"/>
      <c r="CP126" s="256"/>
      <c r="CQ126" s="256"/>
      <c r="CR126" s="256"/>
      <c r="CS126" s="256"/>
      <c r="CT126" s="256"/>
      <c r="CU126" s="256"/>
      <c r="CV126" s="256"/>
      <c r="CW126" s="256"/>
      <c r="CX126" s="256"/>
      <c r="CY126" s="256"/>
      <c r="CZ126" s="256"/>
      <c r="DA126" s="256"/>
      <c r="DB126" s="256"/>
      <c r="DC126" s="256"/>
      <c r="DD126" s="256"/>
      <c r="DE126" s="256"/>
      <c r="DF126" s="256"/>
      <c r="DG126" s="256"/>
      <c r="DH126" s="256"/>
      <c r="DI126" s="256"/>
      <c r="DJ126" s="258"/>
      <c r="DK126" s="256"/>
      <c r="DL126" s="256"/>
      <c r="DM126" s="256"/>
      <c r="DN126" s="256"/>
      <c r="DO126" s="256"/>
      <c r="DP126" s="256"/>
      <c r="DQ126" s="256"/>
      <c r="DR126" s="256"/>
      <c r="DS126" s="256"/>
      <c r="DT126" s="256"/>
      <c r="DV126" s="234"/>
      <c r="DW126" s="234"/>
      <c r="DX126" s="234"/>
      <c r="DY126" s="234"/>
      <c r="DZ126" s="234"/>
      <c r="EA126" s="234"/>
      <c r="EB126" s="234"/>
    </row>
    <row r="127" spans="2:132" x14ac:dyDescent="0.45">
      <c r="T127" s="234"/>
      <c r="U127" s="234"/>
      <c r="DJ127" s="246"/>
      <c r="DK127" s="246"/>
      <c r="DL127" s="246"/>
      <c r="DM127" s="246"/>
      <c r="DN127" s="246"/>
      <c r="DV127" s="234"/>
      <c r="DW127" s="234"/>
      <c r="DX127" s="234"/>
      <c r="DY127" s="234"/>
      <c r="DZ127" s="234"/>
      <c r="EA127" s="234"/>
      <c r="EB127" s="234"/>
    </row>
    <row r="128" spans="2:132" x14ac:dyDescent="0.45">
      <c r="B128" s="521" t="s">
        <v>2081</v>
      </c>
      <c r="D128" s="250"/>
      <c r="E128" s="250"/>
      <c r="F128" s="387"/>
      <c r="G128" s="387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60"/>
      <c r="U128" s="260"/>
      <c r="V128" s="250"/>
      <c r="W128" s="250"/>
      <c r="X128" s="250"/>
      <c r="Y128" s="250"/>
      <c r="Z128" s="250"/>
      <c r="AA128" s="250"/>
      <c r="AB128" s="250"/>
      <c r="AC128" s="250"/>
      <c r="AD128" s="250"/>
      <c r="AE128" s="250"/>
      <c r="AF128" s="250"/>
      <c r="AG128" s="250"/>
      <c r="AH128" s="250"/>
      <c r="AI128" s="250"/>
      <c r="AJ128" s="250"/>
      <c r="AK128" s="250"/>
      <c r="AL128" s="250"/>
      <c r="AM128" s="250"/>
      <c r="AN128" s="250"/>
      <c r="AO128" s="250"/>
      <c r="AP128" s="250"/>
      <c r="AQ128" s="250"/>
      <c r="AR128" s="250"/>
      <c r="AS128" s="250"/>
      <c r="AT128" s="250"/>
      <c r="AU128" s="250"/>
      <c r="AV128" s="250"/>
      <c r="AW128" s="250"/>
      <c r="AX128" s="250"/>
      <c r="AY128" s="250"/>
      <c r="AZ128" s="250"/>
      <c r="BA128" s="250"/>
      <c r="BB128" s="250"/>
      <c r="BC128" s="250"/>
      <c r="BD128" s="250"/>
      <c r="BE128" s="250"/>
      <c r="BF128" s="250"/>
      <c r="BG128" s="250"/>
      <c r="BH128" s="250"/>
      <c r="BI128" s="250"/>
      <c r="BJ128" s="250"/>
      <c r="BK128" s="250"/>
      <c r="BL128" s="250"/>
      <c r="BM128" s="250"/>
      <c r="BN128" s="250"/>
      <c r="BO128" s="250"/>
      <c r="BP128" s="250"/>
      <c r="BQ128" s="250"/>
      <c r="BR128" s="250"/>
      <c r="BS128" s="250"/>
      <c r="BT128" s="250"/>
      <c r="BU128" s="250"/>
      <c r="BV128" s="250"/>
      <c r="BW128" s="250"/>
      <c r="BX128" s="250"/>
      <c r="BY128" s="250"/>
      <c r="BZ128" s="250"/>
      <c r="CA128" s="250"/>
      <c r="CB128" s="250"/>
      <c r="CC128" s="250"/>
      <c r="CD128" s="250"/>
      <c r="CE128" s="250"/>
      <c r="CF128" s="250"/>
      <c r="CG128" s="250"/>
      <c r="CH128" s="250"/>
      <c r="CI128" s="250"/>
      <c r="CJ128" s="260"/>
      <c r="CK128" s="260"/>
      <c r="CL128" s="260"/>
      <c r="CM128" s="260"/>
      <c r="CN128" s="260"/>
      <c r="CO128" s="260"/>
      <c r="CP128" s="260"/>
      <c r="CQ128" s="260"/>
      <c r="CR128" s="260"/>
      <c r="CS128" s="260"/>
      <c r="CT128" s="260"/>
      <c r="CU128" s="260"/>
      <c r="CV128" s="260"/>
      <c r="CW128" s="260"/>
      <c r="CX128" s="260"/>
      <c r="CY128" s="260"/>
      <c r="CZ128" s="260"/>
      <c r="DA128" s="260"/>
      <c r="DB128" s="260"/>
      <c r="DC128" s="260"/>
      <c r="DD128" s="260"/>
      <c r="DE128" s="260"/>
      <c r="DF128" s="260"/>
      <c r="DG128" s="260"/>
      <c r="DH128" s="260"/>
      <c r="DI128" s="260"/>
      <c r="DJ128" s="387"/>
      <c r="DK128" s="387"/>
      <c r="DL128" s="260"/>
      <c r="DM128" s="260"/>
      <c r="DN128" s="260"/>
      <c r="DO128" s="260"/>
      <c r="DP128" s="260"/>
      <c r="DQ128" s="260"/>
      <c r="DR128" s="260"/>
      <c r="DS128" s="260"/>
      <c r="DT128" s="260"/>
      <c r="DV128" s="234"/>
      <c r="DW128" s="234"/>
      <c r="DX128" s="234"/>
      <c r="DY128" s="234"/>
      <c r="DZ128" s="234"/>
      <c r="EA128" s="234"/>
      <c r="EB128" s="234"/>
    </row>
    <row r="129" spans="2:132" x14ac:dyDescent="0.45">
      <c r="T129" s="234"/>
      <c r="U129" s="234"/>
      <c r="DJ129" s="246"/>
      <c r="DK129" s="246"/>
      <c r="DL129" s="246"/>
      <c r="DM129" s="246"/>
      <c r="DN129" s="246"/>
      <c r="DV129" s="234"/>
      <c r="DW129" s="234"/>
      <c r="DX129" s="234"/>
      <c r="DY129" s="234"/>
      <c r="DZ129" s="234"/>
      <c r="EA129" s="234"/>
      <c r="EB129" s="234"/>
    </row>
    <row r="130" spans="2:132" x14ac:dyDescent="0.45">
      <c r="B130" s="521" t="s">
        <v>2089</v>
      </c>
      <c r="D130" s="250"/>
      <c r="E130" s="250"/>
      <c r="F130" s="250"/>
      <c r="G130" s="250"/>
      <c r="H130" s="250"/>
      <c r="I130" s="250"/>
      <c r="J130" s="258"/>
      <c r="K130" s="250"/>
      <c r="L130" s="250"/>
      <c r="M130" s="250"/>
      <c r="N130" s="250"/>
      <c r="O130" s="250"/>
      <c r="P130" s="250"/>
      <c r="Q130" s="250"/>
      <c r="R130" s="250"/>
      <c r="S130" s="250"/>
      <c r="T130" s="260"/>
      <c r="U130" s="260"/>
      <c r="V130" s="250"/>
      <c r="W130" s="250"/>
      <c r="X130" s="250"/>
      <c r="Y130" s="250"/>
      <c r="Z130" s="250"/>
      <c r="AA130" s="250"/>
      <c r="AB130" s="250"/>
      <c r="AC130" s="250"/>
      <c r="AD130" s="250"/>
      <c r="AE130" s="250"/>
      <c r="AF130" s="250"/>
      <c r="AG130" s="250"/>
      <c r="AH130" s="250"/>
      <c r="AI130" s="250"/>
      <c r="AJ130" s="250"/>
      <c r="AK130" s="250"/>
      <c r="AL130" s="250"/>
      <c r="AM130" s="250"/>
      <c r="AN130" s="250"/>
      <c r="AO130" s="250"/>
      <c r="AP130" s="250"/>
      <c r="AQ130" s="250"/>
      <c r="AR130" s="250"/>
      <c r="AS130" s="250"/>
      <c r="AT130" s="250"/>
      <c r="AU130" s="250"/>
      <c r="AV130" s="250"/>
      <c r="AW130" s="250"/>
      <c r="AX130" s="250"/>
      <c r="AY130" s="250"/>
      <c r="AZ130" s="250"/>
      <c r="BA130" s="250"/>
      <c r="BB130" s="250"/>
      <c r="BC130" s="250"/>
      <c r="BD130" s="250"/>
      <c r="BE130" s="250"/>
      <c r="BF130" s="250"/>
      <c r="BG130" s="250"/>
      <c r="BH130" s="250"/>
      <c r="BI130" s="250"/>
      <c r="BJ130" s="250"/>
      <c r="BK130" s="250"/>
      <c r="BL130" s="250"/>
      <c r="BM130" s="250"/>
      <c r="BN130" s="250"/>
      <c r="BO130" s="250"/>
      <c r="BP130" s="250"/>
      <c r="BQ130" s="250"/>
      <c r="BR130" s="250"/>
      <c r="BS130" s="250"/>
      <c r="BT130" s="250"/>
      <c r="BU130" s="250"/>
      <c r="BV130" s="250"/>
      <c r="BW130" s="250"/>
      <c r="BX130" s="250"/>
      <c r="BY130" s="250"/>
      <c r="BZ130" s="250"/>
      <c r="CA130" s="250"/>
      <c r="CB130" s="250"/>
      <c r="CC130" s="250"/>
      <c r="CD130" s="250"/>
      <c r="CE130" s="250"/>
      <c r="CF130" s="250"/>
      <c r="CG130" s="250"/>
      <c r="CH130" s="250"/>
      <c r="CI130" s="250"/>
      <c r="CJ130" s="260"/>
      <c r="CK130" s="260"/>
      <c r="CL130" s="260"/>
      <c r="CM130" s="260"/>
      <c r="CN130" s="260"/>
      <c r="CO130" s="260"/>
      <c r="CP130" s="260"/>
      <c r="CQ130" s="260"/>
      <c r="CR130" s="260"/>
      <c r="CS130" s="260"/>
      <c r="CT130" s="260"/>
      <c r="CU130" s="260"/>
      <c r="CV130" s="260"/>
      <c r="CW130" s="260"/>
      <c r="CX130" s="260"/>
      <c r="CY130" s="260"/>
      <c r="CZ130" s="260"/>
      <c r="DA130" s="260"/>
      <c r="DB130" s="260"/>
      <c r="DC130" s="260"/>
      <c r="DD130" s="260"/>
      <c r="DE130" s="260"/>
      <c r="DF130" s="260"/>
      <c r="DG130" s="260"/>
      <c r="DH130" s="260"/>
      <c r="DI130" s="260"/>
      <c r="DJ130" s="250"/>
      <c r="DK130" s="250"/>
      <c r="DL130" s="250"/>
      <c r="DM130" s="250"/>
      <c r="DN130" s="258"/>
      <c r="DO130" s="260"/>
      <c r="DP130" s="260"/>
      <c r="DQ130" s="260"/>
      <c r="DR130" s="260"/>
      <c r="DS130" s="260"/>
      <c r="DT130" s="260"/>
      <c r="DV130" s="234"/>
      <c r="DW130" s="234"/>
      <c r="DX130" s="234"/>
      <c r="DY130" s="234"/>
      <c r="DZ130" s="234"/>
      <c r="EA130" s="234"/>
      <c r="EB130" s="234"/>
    </row>
    <row r="131" spans="2:132" x14ac:dyDescent="0.45">
      <c r="J131" s="257"/>
      <c r="T131" s="234"/>
      <c r="U131" s="234"/>
      <c r="BX131" s="246"/>
      <c r="BY131" s="246"/>
      <c r="BZ131" s="246"/>
      <c r="CA131" s="246"/>
      <c r="CB131" s="246"/>
      <c r="CC131" s="246"/>
      <c r="CD131" s="246"/>
      <c r="CE131" s="246"/>
      <c r="CF131" s="246"/>
      <c r="CG131" s="246"/>
      <c r="CH131" s="246"/>
      <c r="CI131" s="246"/>
      <c r="DJ131" s="246"/>
      <c r="DK131" s="246"/>
      <c r="DL131" s="246"/>
      <c r="DM131" s="246"/>
      <c r="DN131" s="257"/>
      <c r="DV131" s="234"/>
      <c r="DW131" s="234"/>
      <c r="DX131" s="234"/>
      <c r="DY131" s="234"/>
      <c r="DZ131" s="234"/>
      <c r="EA131" s="234"/>
      <c r="EB131" s="234"/>
    </row>
    <row r="132" spans="2:132" x14ac:dyDescent="0.45">
      <c r="T132" s="234"/>
      <c r="U132" s="234"/>
      <c r="DJ132" s="246"/>
      <c r="DK132" s="246"/>
      <c r="DL132" s="246"/>
      <c r="DM132" s="246"/>
      <c r="DN132" s="246"/>
      <c r="DV132" s="234"/>
      <c r="DW132" s="234"/>
      <c r="DX132" s="234"/>
      <c r="DY132" s="234"/>
      <c r="DZ132" s="234"/>
      <c r="EA132" s="234"/>
      <c r="EB132" s="234"/>
    </row>
    <row r="133" spans="2:132" x14ac:dyDescent="0.45">
      <c r="B133" s="521" t="s">
        <v>2057</v>
      </c>
      <c r="D133" s="250"/>
      <c r="E133" s="250"/>
      <c r="F133" s="250"/>
      <c r="G133" s="250"/>
      <c r="H133" s="250"/>
      <c r="I133" s="250"/>
      <c r="J133" s="250"/>
      <c r="K133" s="322"/>
      <c r="L133" s="887" t="s">
        <v>1292</v>
      </c>
      <c r="M133" s="249"/>
      <c r="N133" s="323"/>
      <c r="O133" s="247"/>
      <c r="P133" s="247"/>
      <c r="Q133" s="247"/>
      <c r="R133" s="247"/>
      <c r="S133" s="247"/>
      <c r="T133" s="247"/>
      <c r="U133" s="321"/>
      <c r="V133" s="321"/>
      <c r="W133" s="247"/>
      <c r="X133" s="247"/>
      <c r="Y133" s="247"/>
      <c r="Z133" s="247"/>
      <c r="AA133" s="247"/>
      <c r="AB133" s="247"/>
      <c r="AC133" s="247"/>
      <c r="AD133" s="247"/>
      <c r="AE133" s="247"/>
      <c r="AF133" s="247"/>
      <c r="AG133" s="322"/>
      <c r="AH133" s="887" t="s">
        <v>2075</v>
      </c>
      <c r="AI133" s="249"/>
      <c r="AJ133" s="323"/>
      <c r="AK133" s="247"/>
      <c r="AL133" s="247"/>
      <c r="AM133" s="247"/>
      <c r="AN133" s="247"/>
      <c r="AO133" s="247"/>
      <c r="AP133" s="247"/>
      <c r="AQ133" s="247"/>
      <c r="AR133" s="247"/>
      <c r="AS133" s="247"/>
      <c r="AT133" s="247"/>
      <c r="AU133" s="322"/>
      <c r="AV133" s="888" t="s">
        <v>2060</v>
      </c>
      <c r="AW133" s="249"/>
      <c r="AX133" s="323"/>
      <c r="AY133" s="247"/>
      <c r="AZ133" s="247"/>
      <c r="BA133" s="247"/>
      <c r="BB133" s="247"/>
      <c r="BC133" s="247"/>
      <c r="BD133" s="247"/>
      <c r="BE133" s="247"/>
      <c r="BF133" s="247"/>
      <c r="BG133" s="247"/>
      <c r="BH133" s="247"/>
      <c r="BI133" s="247"/>
      <c r="BJ133" s="247"/>
      <c r="BK133" s="247"/>
      <c r="BM133" s="247"/>
      <c r="BN133" s="247"/>
      <c r="BO133" s="247"/>
      <c r="BP133" s="247"/>
      <c r="BQ133" s="247"/>
      <c r="BR133" s="247"/>
      <c r="BS133" s="247"/>
      <c r="BT133" s="247"/>
      <c r="BU133" s="247"/>
      <c r="BV133" s="247"/>
      <c r="BW133" s="247"/>
      <c r="BX133" s="247"/>
      <c r="BY133" s="247"/>
      <c r="BZ133" s="247"/>
      <c r="CA133" s="247"/>
      <c r="CB133" s="247"/>
      <c r="CC133" s="247"/>
      <c r="CD133" s="247"/>
      <c r="CE133" s="322"/>
      <c r="CF133" s="249" t="s">
        <v>2065</v>
      </c>
      <c r="CG133" s="249"/>
      <c r="CH133" s="323"/>
      <c r="CI133" s="247"/>
      <c r="CJ133" s="247"/>
      <c r="CK133" s="247"/>
      <c r="CL133" s="247"/>
      <c r="CM133" s="247"/>
      <c r="CN133" s="247"/>
      <c r="CO133" s="321"/>
      <c r="CP133" s="321"/>
      <c r="CQ133" s="247"/>
      <c r="CR133" s="247"/>
      <c r="CS133" s="247"/>
      <c r="CT133" s="247"/>
      <c r="CU133" s="247"/>
      <c r="CV133" s="247"/>
      <c r="CW133" s="247"/>
      <c r="CX133" s="247"/>
      <c r="CY133" s="247"/>
      <c r="CZ133" s="247"/>
      <c r="DA133" s="322"/>
      <c r="DB133" s="887" t="s">
        <v>2064</v>
      </c>
      <c r="DC133" s="249"/>
      <c r="DD133" s="323"/>
      <c r="DE133" s="247"/>
      <c r="DF133" s="247"/>
      <c r="DG133" s="247"/>
      <c r="DH133" s="247"/>
      <c r="DI133" s="247"/>
      <c r="DJ133" s="247"/>
      <c r="DK133" s="247"/>
      <c r="DL133" s="247"/>
      <c r="DM133" s="247"/>
      <c r="DN133" s="247"/>
      <c r="DO133" s="322"/>
      <c r="DP133" s="887" t="s">
        <v>1292</v>
      </c>
      <c r="DQ133" s="249"/>
      <c r="DR133" s="323"/>
      <c r="DS133" s="260"/>
      <c r="DT133" s="260"/>
      <c r="DV133" s="234"/>
      <c r="DW133" s="234"/>
      <c r="DX133" s="234"/>
      <c r="DY133" s="234"/>
      <c r="DZ133" s="234"/>
      <c r="EA133" s="234"/>
      <c r="EB133" s="234"/>
    </row>
    <row r="134" spans="2:132" ht="15" thickBot="1" x14ac:dyDescent="0.5">
      <c r="K134" s="248"/>
      <c r="L134" s="248"/>
      <c r="M134" s="248"/>
      <c r="N134" s="248"/>
      <c r="O134" s="248"/>
      <c r="P134" s="248"/>
      <c r="Q134" s="248"/>
      <c r="R134" s="248"/>
      <c r="S134" s="248"/>
      <c r="T134" s="248"/>
      <c r="U134" s="601"/>
      <c r="V134" s="601"/>
      <c r="W134" s="248"/>
      <c r="X134" s="248"/>
      <c r="Y134" s="248"/>
      <c r="Z134" s="248"/>
      <c r="AA134" s="248"/>
      <c r="AB134" s="248"/>
      <c r="AC134" s="248"/>
      <c r="AD134" s="248"/>
      <c r="AE134" s="248"/>
      <c r="AF134" s="248"/>
      <c r="AG134" s="248"/>
      <c r="AH134" s="248"/>
      <c r="AI134" s="248"/>
      <c r="AJ134" s="248"/>
      <c r="AK134" s="248"/>
      <c r="AL134" s="248"/>
      <c r="AM134" s="248"/>
      <c r="AN134" s="248"/>
      <c r="AO134" s="248"/>
      <c r="AP134" s="248"/>
      <c r="AQ134" s="248"/>
      <c r="AR134" s="248"/>
      <c r="AS134" s="248"/>
      <c r="AT134" s="248"/>
      <c r="AU134" s="248"/>
      <c r="AV134" s="248"/>
      <c r="AW134" s="248"/>
      <c r="AX134" s="248"/>
      <c r="AY134" s="248"/>
      <c r="AZ134" s="248"/>
      <c r="BA134" s="248"/>
      <c r="BB134" s="248"/>
      <c r="BC134" s="248"/>
      <c r="BD134" s="248"/>
      <c r="BE134" s="248"/>
      <c r="BF134" s="248"/>
      <c r="BG134" s="248"/>
      <c r="BH134" s="248"/>
      <c r="BI134" s="248"/>
      <c r="BJ134" s="248"/>
      <c r="BK134" s="248"/>
      <c r="BM134" s="248"/>
      <c r="BN134" s="248"/>
      <c r="BO134" s="248"/>
      <c r="BP134" s="248"/>
      <c r="BQ134" s="248"/>
      <c r="BR134" s="248"/>
      <c r="BS134" s="248"/>
      <c r="BT134" s="248"/>
      <c r="BU134" s="248"/>
      <c r="BV134" s="248"/>
      <c r="BW134" s="248"/>
      <c r="BX134" s="248"/>
      <c r="BY134" s="248"/>
      <c r="BZ134" s="248"/>
      <c r="CA134" s="248"/>
      <c r="CB134" s="248"/>
      <c r="CC134" s="248"/>
      <c r="CD134" s="248"/>
      <c r="CE134" s="248"/>
      <c r="CF134" s="248"/>
      <c r="CG134" s="248"/>
      <c r="CH134" s="248"/>
      <c r="CI134" s="248"/>
      <c r="CJ134" s="248"/>
      <c r="CK134" s="248"/>
      <c r="CL134" s="248"/>
      <c r="CM134" s="248"/>
      <c r="CN134" s="248"/>
      <c r="CO134" s="601"/>
      <c r="CP134" s="601"/>
      <c r="CQ134" s="248"/>
      <c r="CR134" s="248"/>
      <c r="CS134" s="248"/>
      <c r="CT134" s="248"/>
      <c r="CU134" s="248"/>
      <c r="CV134" s="248"/>
      <c r="CW134" s="248"/>
      <c r="CX134" s="248"/>
      <c r="CY134" s="248"/>
      <c r="CZ134" s="248"/>
      <c r="DA134" s="248"/>
      <c r="DB134" s="248"/>
      <c r="DC134" s="248"/>
      <c r="DD134" s="248"/>
      <c r="DE134" s="248"/>
      <c r="DF134" s="248"/>
      <c r="DG134" s="248"/>
      <c r="DH134" s="248"/>
      <c r="DI134" s="248"/>
      <c r="DJ134" s="248"/>
      <c r="DK134" s="248"/>
      <c r="DL134" s="248"/>
      <c r="DM134" s="248"/>
      <c r="DN134" s="248"/>
      <c r="DO134" s="248"/>
      <c r="DP134" s="248"/>
      <c r="DQ134" s="248"/>
      <c r="DR134" s="601"/>
      <c r="DV134" s="234"/>
      <c r="DW134" s="234"/>
      <c r="DX134" s="234"/>
      <c r="DY134" s="234"/>
      <c r="DZ134" s="234"/>
      <c r="EA134" s="234"/>
      <c r="EB134" s="234"/>
    </row>
    <row r="135" spans="2:132" x14ac:dyDescent="0.45">
      <c r="B135" s="521" t="s">
        <v>1437</v>
      </c>
      <c r="D135" s="500"/>
      <c r="E135" s="500"/>
      <c r="F135" s="500"/>
      <c r="G135" s="500"/>
      <c r="H135" s="500"/>
      <c r="I135" s="500"/>
      <c r="J135" s="500"/>
      <c r="K135" s="602"/>
      <c r="L135" s="602"/>
      <c r="M135" s="602"/>
      <c r="N135" s="602"/>
      <c r="O135" s="602"/>
      <c r="P135" s="602"/>
      <c r="Q135" s="602"/>
      <c r="R135" s="602"/>
      <c r="S135" s="602"/>
      <c r="T135" s="602"/>
      <c r="U135" s="603"/>
      <c r="V135" s="603"/>
      <c r="W135" s="602"/>
      <c r="X135" s="602"/>
      <c r="Y135" s="602"/>
      <c r="Z135" s="602"/>
      <c r="AA135" s="602"/>
      <c r="AB135" s="602"/>
      <c r="AC135" s="602"/>
      <c r="AD135" s="602"/>
      <c r="AE135" s="602"/>
      <c r="AF135" s="602"/>
      <c r="AG135" s="602"/>
      <c r="AH135" s="602"/>
      <c r="AI135" s="602"/>
      <c r="AJ135" s="602"/>
      <c r="AK135" s="602"/>
      <c r="AL135" s="602"/>
      <c r="AM135" s="602"/>
      <c r="AN135" s="602"/>
      <c r="AO135" s="602"/>
      <c r="AP135" s="602"/>
      <c r="AQ135" s="602"/>
      <c r="AR135" s="602"/>
      <c r="AS135" s="602"/>
      <c r="AT135" s="602"/>
      <c r="AU135" s="602"/>
      <c r="AV135" s="602"/>
      <c r="AW135" s="602"/>
      <c r="AX135" s="602"/>
      <c r="AY135" s="602"/>
      <c r="AZ135" s="602"/>
      <c r="BA135" s="602"/>
      <c r="BB135" s="602"/>
      <c r="BC135" s="602"/>
      <c r="BD135" s="602"/>
      <c r="BE135" s="602"/>
      <c r="BF135" s="602"/>
      <c r="BG135" s="602"/>
      <c r="BH135" s="602"/>
      <c r="BI135" s="602"/>
      <c r="BJ135" s="602"/>
      <c r="BK135" s="602"/>
      <c r="BL135" s="500"/>
      <c r="BM135" s="602"/>
      <c r="BN135" s="602"/>
      <c r="BO135" s="602"/>
      <c r="BP135" s="602"/>
      <c r="BQ135" s="602"/>
      <c r="BR135" s="602"/>
      <c r="BS135" s="602"/>
      <c r="BT135" s="602"/>
      <c r="BU135" s="602"/>
      <c r="BV135" s="602"/>
      <c r="BW135" s="602"/>
      <c r="BX135" s="602"/>
      <c r="BY135" s="602"/>
      <c r="BZ135" s="602"/>
      <c r="CA135" s="602"/>
      <c r="CB135" s="602"/>
      <c r="CC135" s="602"/>
      <c r="CD135" s="602"/>
      <c r="CE135" s="602"/>
      <c r="CF135" s="602"/>
      <c r="CG135" s="602"/>
      <c r="CH135" s="602"/>
      <c r="CI135" s="602"/>
      <c r="CJ135" s="602"/>
      <c r="CK135" s="602"/>
      <c r="CL135" s="602"/>
      <c r="CM135" s="602"/>
      <c r="CN135" s="602"/>
      <c r="CO135" s="603"/>
      <c r="CP135" s="603"/>
      <c r="CQ135" s="602"/>
      <c r="CR135" s="602"/>
      <c r="CS135" s="602"/>
      <c r="CT135" s="602"/>
      <c r="CU135" s="602"/>
      <c r="CV135" s="602"/>
      <c r="CW135" s="602"/>
      <c r="CX135" s="602"/>
      <c r="CY135" s="602"/>
      <c r="CZ135" s="602"/>
      <c r="DA135" s="602"/>
      <c r="DB135" s="602"/>
      <c r="DC135" s="602"/>
      <c r="DD135" s="602"/>
      <c r="DE135" s="602"/>
      <c r="DF135" s="602"/>
      <c r="DG135" s="602"/>
      <c r="DH135" s="602"/>
      <c r="DI135" s="602"/>
      <c r="DJ135" s="602"/>
      <c r="DK135" s="602"/>
      <c r="DL135" s="602"/>
      <c r="DM135" s="602"/>
      <c r="DN135" s="602"/>
      <c r="DO135" s="602"/>
      <c r="DP135" s="602"/>
      <c r="DQ135" s="602"/>
      <c r="DR135" s="602"/>
      <c r="DS135" s="602"/>
      <c r="DT135" s="602"/>
      <c r="DV135" s="234"/>
      <c r="DW135" s="234"/>
      <c r="DX135" s="234"/>
      <c r="DY135" s="234"/>
      <c r="DZ135" s="234"/>
      <c r="EA135" s="234"/>
      <c r="EB135" s="234"/>
    </row>
    <row r="136" spans="2:132" ht="15" thickBot="1" x14ac:dyDescent="0.5">
      <c r="B136" s="234"/>
      <c r="C136" s="234"/>
      <c r="Y136" s="234"/>
      <c r="Z136" s="234"/>
      <c r="BX136" s="246"/>
      <c r="BY136" s="246"/>
      <c r="BZ136" s="246"/>
      <c r="CA136" s="246"/>
      <c r="CB136" s="246"/>
      <c r="CC136" s="246"/>
      <c r="CD136" s="246"/>
      <c r="CE136" s="246"/>
      <c r="CF136" s="246"/>
      <c r="CG136" s="246"/>
      <c r="CH136" s="246"/>
      <c r="CI136" s="246"/>
      <c r="CJ136" s="246"/>
      <c r="CK136" s="246"/>
      <c r="CL136" s="246"/>
      <c r="CM136" s="246"/>
      <c r="CN136" s="246"/>
      <c r="CO136" s="246"/>
      <c r="CP136" s="246"/>
      <c r="CQ136" s="246"/>
      <c r="CR136" s="246"/>
      <c r="CU136" s="246"/>
      <c r="CV136" s="246"/>
      <c r="CW136" s="246"/>
      <c r="CX136" s="246"/>
      <c r="CY136" s="246"/>
      <c r="CZ136" s="246"/>
      <c r="DA136" s="246"/>
      <c r="DB136" s="246"/>
      <c r="DC136" s="246"/>
      <c r="DD136" s="246"/>
      <c r="DE136" s="246"/>
      <c r="DF136" s="246"/>
      <c r="DG136" s="246"/>
      <c r="DH136" s="246"/>
      <c r="DI136" s="246"/>
      <c r="DJ136" s="246"/>
      <c r="DK136" s="246"/>
      <c r="DL136" s="246"/>
      <c r="DM136" s="246"/>
      <c r="DN136" s="246"/>
      <c r="DV136" s="234"/>
      <c r="DW136" s="234"/>
      <c r="DX136" s="234"/>
      <c r="DY136" s="234"/>
      <c r="DZ136" s="234"/>
      <c r="EA136" s="234"/>
      <c r="EB136" s="234"/>
    </row>
    <row r="137" spans="2:132" ht="15" thickBot="1" x14ac:dyDescent="0.5">
      <c r="B137" s="521" t="s">
        <v>1420</v>
      </c>
      <c r="D137" s="511"/>
      <c r="E137" s="511"/>
      <c r="F137" s="511"/>
      <c r="G137" s="511"/>
      <c r="H137" s="511"/>
      <c r="I137" s="511"/>
      <c r="J137" s="511"/>
      <c r="K137" s="504"/>
      <c r="L137" s="505"/>
      <c r="M137" s="505"/>
      <c r="N137" s="505"/>
      <c r="O137" s="505"/>
      <c r="P137" s="505"/>
      <c r="Q137" s="505"/>
      <c r="R137" s="505"/>
      <c r="S137" s="505"/>
      <c r="T137" s="505"/>
      <c r="U137" s="505"/>
      <c r="V137" s="505"/>
      <c r="W137" s="505"/>
      <c r="X137" s="505"/>
      <c r="Y137" s="505"/>
      <c r="Z137" s="505"/>
      <c r="AA137" s="505"/>
      <c r="AB137" s="505"/>
      <c r="AC137" s="505"/>
      <c r="AD137" s="505"/>
      <c r="AE137" s="505"/>
      <c r="AF137" s="506"/>
      <c r="AG137" s="511"/>
      <c r="AH137" s="511"/>
      <c r="AI137" s="511"/>
      <c r="AJ137" s="511"/>
      <c r="AK137" s="511"/>
      <c r="AL137" s="511"/>
      <c r="AM137" s="511"/>
      <c r="AN137" s="511"/>
      <c r="AO137" s="511"/>
      <c r="AP137" s="511"/>
      <c r="AQ137" s="511"/>
      <c r="AR137" s="511"/>
      <c r="AS137" s="511"/>
      <c r="AT137" s="511"/>
      <c r="AU137" s="504"/>
      <c r="AV137" s="505"/>
      <c r="AW137" s="505"/>
      <c r="AX137" s="505"/>
      <c r="AY137" s="505"/>
      <c r="AZ137" s="505"/>
      <c r="BA137" s="505"/>
      <c r="BB137" s="505"/>
      <c r="BC137" s="505"/>
      <c r="BD137" s="505"/>
      <c r="BE137" s="505"/>
      <c r="BF137" s="505"/>
      <c r="BG137" s="505"/>
      <c r="BH137" s="505"/>
      <c r="BI137" s="505"/>
      <c r="BJ137" s="505"/>
      <c r="BK137" s="505"/>
      <c r="BM137" s="505"/>
      <c r="BN137" s="505"/>
      <c r="BO137" s="505"/>
      <c r="BP137" s="506"/>
      <c r="BQ137" s="511"/>
      <c r="BR137" s="511"/>
      <c r="BS137" s="511"/>
      <c r="BT137" s="511"/>
      <c r="BU137" s="511"/>
      <c r="BV137" s="511"/>
      <c r="BW137" s="511"/>
      <c r="BX137" s="511"/>
      <c r="BY137" s="511"/>
      <c r="BZ137" s="511"/>
      <c r="CA137" s="511"/>
      <c r="CB137" s="511"/>
      <c r="CC137" s="511"/>
      <c r="CD137" s="511"/>
      <c r="CE137" s="504"/>
      <c r="CF137" s="505"/>
      <c r="CG137" s="505"/>
      <c r="CH137" s="505"/>
      <c r="CI137" s="505"/>
      <c r="CJ137" s="505"/>
      <c r="CK137" s="505"/>
      <c r="CL137" s="505"/>
      <c r="CM137" s="505"/>
      <c r="CN137" s="505"/>
      <c r="CO137" s="505"/>
      <c r="CP137" s="505"/>
      <c r="CQ137" s="505"/>
      <c r="CR137" s="505"/>
      <c r="CS137" s="505"/>
      <c r="CT137" s="505"/>
      <c r="CU137" s="505"/>
      <c r="CV137" s="505"/>
      <c r="CW137" s="505"/>
      <c r="CX137" s="505"/>
      <c r="CY137" s="505"/>
      <c r="CZ137" s="506"/>
      <c r="DA137" s="511"/>
      <c r="DB137" s="511"/>
      <c r="DC137" s="511"/>
      <c r="DD137" s="511"/>
      <c r="DE137" s="511"/>
      <c r="DF137" s="511"/>
      <c r="DG137" s="511"/>
      <c r="DH137" s="511"/>
      <c r="DI137" s="511"/>
      <c r="DJ137" s="511"/>
      <c r="DK137" s="511"/>
      <c r="DL137" s="511"/>
      <c r="DM137" s="511"/>
      <c r="DN137" s="511"/>
      <c r="DO137" s="504"/>
      <c r="DP137" s="505"/>
      <c r="DQ137" s="505"/>
      <c r="DR137" s="505"/>
      <c r="DS137" s="505"/>
      <c r="DT137" s="505"/>
      <c r="DV137" s="234"/>
      <c r="DW137" s="234"/>
      <c r="DX137" s="234"/>
      <c r="DY137" s="234"/>
      <c r="DZ137" s="234"/>
      <c r="EA137" s="234"/>
      <c r="EB137" s="234"/>
    </row>
    <row r="138" spans="2:132" ht="15" thickBot="1" x14ac:dyDescent="0.5">
      <c r="Y138" s="234"/>
      <c r="Z138" s="234"/>
      <c r="BX138" s="246"/>
      <c r="BY138" s="246"/>
      <c r="BZ138" s="246"/>
      <c r="CA138" s="246"/>
      <c r="CB138" s="246"/>
      <c r="CC138" s="246"/>
      <c r="CD138" s="246"/>
      <c r="CE138" s="246"/>
      <c r="CF138" s="246"/>
      <c r="CG138" s="246"/>
      <c r="CH138" s="246"/>
      <c r="CI138" s="246"/>
      <c r="CJ138" s="246"/>
      <c r="CK138" s="246"/>
      <c r="CL138" s="246"/>
      <c r="CM138" s="246"/>
      <c r="CN138" s="246"/>
      <c r="CO138" s="246"/>
      <c r="CP138" s="246"/>
      <c r="CQ138" s="246"/>
      <c r="CR138" s="246"/>
      <c r="CU138" s="246"/>
      <c r="CV138" s="246"/>
      <c r="CW138" s="246"/>
      <c r="CX138" s="246"/>
      <c r="CY138" s="246"/>
      <c r="CZ138" s="246"/>
      <c r="DA138" s="246"/>
      <c r="DB138" s="246"/>
      <c r="DC138" s="246"/>
      <c r="DD138" s="246"/>
      <c r="DE138" s="246"/>
      <c r="DF138" s="246"/>
      <c r="DG138" s="246"/>
      <c r="DH138" s="246"/>
      <c r="DI138" s="246"/>
      <c r="DJ138" s="246"/>
      <c r="DK138" s="246"/>
      <c r="DL138" s="246"/>
      <c r="DM138" s="246"/>
      <c r="DN138" s="246"/>
      <c r="DV138" s="234"/>
      <c r="DW138" s="234"/>
      <c r="DX138" s="234"/>
      <c r="DY138" s="234"/>
      <c r="DZ138" s="234"/>
      <c r="EA138" s="234"/>
      <c r="EB138" s="234"/>
    </row>
    <row r="139" spans="2:132" ht="15" thickBot="1" x14ac:dyDescent="0.5">
      <c r="B139" s="521" t="s">
        <v>1421</v>
      </c>
      <c r="D139" s="509"/>
      <c r="E139" s="509"/>
      <c r="F139" s="509"/>
      <c r="G139" s="509"/>
      <c r="H139" s="509"/>
      <c r="I139" s="509"/>
      <c r="J139" s="510"/>
      <c r="K139" s="507"/>
      <c r="L139" s="507"/>
      <c r="M139" s="507"/>
      <c r="N139" s="507"/>
      <c r="O139" s="507"/>
      <c r="P139" s="507"/>
      <c r="Q139" s="507"/>
      <c r="R139" s="507"/>
      <c r="S139" s="507"/>
      <c r="T139" s="507"/>
      <c r="U139" s="507"/>
      <c r="V139" s="507"/>
      <c r="W139" s="507"/>
      <c r="X139" s="507"/>
      <c r="Y139" s="507"/>
      <c r="Z139" s="507"/>
      <c r="AA139" s="507"/>
      <c r="AB139" s="507"/>
      <c r="AC139" s="507"/>
      <c r="AD139" s="507"/>
      <c r="AE139" s="507"/>
      <c r="AF139" s="507"/>
      <c r="AG139" s="508"/>
      <c r="AH139" s="509"/>
      <c r="AI139" s="509"/>
      <c r="AJ139" s="509"/>
      <c r="AK139" s="509"/>
      <c r="AL139" s="509"/>
      <c r="AM139" s="509"/>
      <c r="AN139" s="509"/>
      <c r="AO139" s="509"/>
      <c r="AP139" s="509"/>
      <c r="AQ139" s="509"/>
      <c r="AR139" s="509"/>
      <c r="AS139" s="509"/>
      <c r="AT139" s="510"/>
      <c r="AU139" s="507"/>
      <c r="AV139" s="507"/>
      <c r="AW139" s="507"/>
      <c r="AX139" s="507"/>
      <c r="AY139" s="507"/>
      <c r="AZ139" s="507"/>
      <c r="BA139" s="507"/>
      <c r="BB139" s="507"/>
      <c r="BC139" s="507"/>
      <c r="BD139" s="507"/>
      <c r="BE139" s="507"/>
      <c r="BF139" s="507"/>
      <c r="BG139" s="507"/>
      <c r="BH139" s="507"/>
      <c r="BI139" s="507"/>
      <c r="BJ139" s="507"/>
      <c r="BK139" s="507"/>
      <c r="BM139" s="507"/>
      <c r="BN139" s="507"/>
      <c r="BO139" s="507"/>
      <c r="BP139" s="507"/>
      <c r="BQ139" s="508"/>
      <c r="BR139" s="509"/>
      <c r="BS139" s="509"/>
      <c r="BT139" s="509"/>
      <c r="BU139" s="509"/>
      <c r="BV139" s="509"/>
      <c r="BW139" s="509"/>
      <c r="BX139" s="509"/>
      <c r="BY139" s="509"/>
      <c r="BZ139" s="509"/>
      <c r="CA139" s="509"/>
      <c r="CB139" s="509"/>
      <c r="CC139" s="509"/>
      <c r="CD139" s="510"/>
      <c r="CE139" s="507"/>
      <c r="CF139" s="507"/>
      <c r="CG139" s="507"/>
      <c r="CH139" s="507"/>
      <c r="CI139" s="507"/>
      <c r="CJ139" s="507"/>
      <c r="CK139" s="507"/>
      <c r="CL139" s="507"/>
      <c r="CM139" s="507"/>
      <c r="CN139" s="507"/>
      <c r="CO139" s="507"/>
      <c r="CP139" s="507"/>
      <c r="CQ139" s="507"/>
      <c r="CR139" s="507"/>
      <c r="CS139" s="507"/>
      <c r="CT139" s="507"/>
      <c r="CU139" s="507"/>
      <c r="CV139" s="507"/>
      <c r="CW139" s="507"/>
      <c r="CX139" s="507"/>
      <c r="CY139" s="507"/>
      <c r="CZ139" s="507"/>
      <c r="DA139" s="508"/>
      <c r="DB139" s="509"/>
      <c r="DC139" s="509"/>
      <c r="DD139" s="509"/>
      <c r="DE139" s="509"/>
      <c r="DF139" s="509"/>
      <c r="DG139" s="509"/>
      <c r="DH139" s="509"/>
      <c r="DI139" s="509"/>
      <c r="DJ139" s="509"/>
      <c r="DK139" s="509"/>
      <c r="DL139" s="509"/>
      <c r="DM139" s="509"/>
      <c r="DN139" s="510"/>
      <c r="DO139" s="507"/>
      <c r="DP139" s="507"/>
      <c r="DQ139" s="507"/>
      <c r="DR139" s="507"/>
      <c r="DS139" s="507"/>
      <c r="DT139" s="507"/>
      <c r="DV139" s="234"/>
      <c r="DW139" s="234"/>
      <c r="DX139" s="234"/>
      <c r="DY139" s="234"/>
      <c r="DZ139" s="234"/>
      <c r="EA139" s="234"/>
      <c r="EB139" s="234"/>
    </row>
    <row r="140" spans="2:132" x14ac:dyDescent="0.45">
      <c r="BX140" s="246"/>
      <c r="BY140" s="246"/>
      <c r="BZ140" s="246"/>
      <c r="CA140" s="246"/>
      <c r="CB140" s="246"/>
      <c r="CC140" s="246"/>
      <c r="CD140" s="246"/>
      <c r="CE140" s="246"/>
      <c r="CF140" s="246"/>
      <c r="CG140" s="246"/>
      <c r="CH140" s="246"/>
      <c r="CI140" s="246"/>
      <c r="CJ140" s="246"/>
      <c r="CK140" s="246"/>
      <c r="CL140" s="246"/>
      <c r="CM140" s="246"/>
      <c r="CN140" s="246"/>
      <c r="CO140" s="246"/>
      <c r="CP140" s="246"/>
      <c r="CQ140" s="246"/>
      <c r="CR140" s="246"/>
      <c r="CS140" s="246"/>
      <c r="CT140" s="246"/>
      <c r="CU140" s="246"/>
      <c r="CV140" s="246"/>
      <c r="CW140" s="246"/>
      <c r="CX140" s="246"/>
      <c r="CY140" s="246"/>
      <c r="CZ140" s="246"/>
      <c r="DA140" s="246"/>
      <c r="DB140" s="246"/>
      <c r="DC140" s="246"/>
      <c r="DD140" s="246"/>
      <c r="DE140" s="246"/>
      <c r="DF140" s="246"/>
      <c r="DG140" s="246"/>
      <c r="DH140" s="246"/>
      <c r="DI140" s="246"/>
      <c r="DJ140" s="246"/>
      <c r="DK140" s="246"/>
      <c r="DL140" s="246"/>
      <c r="DM140" s="246"/>
      <c r="DN140" s="246"/>
      <c r="DO140" s="246"/>
      <c r="DP140" s="246"/>
      <c r="DQ140" s="246"/>
      <c r="DR140" s="246"/>
      <c r="DS140" s="246"/>
      <c r="DT140" s="246"/>
      <c r="DV140" s="234"/>
      <c r="DW140" s="234"/>
      <c r="DX140" s="234"/>
      <c r="DY140" s="234"/>
      <c r="DZ140" s="234"/>
      <c r="EA140" s="234"/>
      <c r="EB140" s="234"/>
    </row>
    <row r="141" spans="2:132" x14ac:dyDescent="0.45">
      <c r="B141" s="521" t="s">
        <v>1570</v>
      </c>
      <c r="D141" s="315"/>
      <c r="E141" s="315"/>
      <c r="F141" s="315"/>
      <c r="G141" s="315"/>
      <c r="H141" s="315"/>
      <c r="I141" s="315"/>
      <c r="J141" s="315"/>
      <c r="K141" s="584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  <c r="Z141" s="315"/>
      <c r="AA141" s="315"/>
      <c r="AB141" s="315"/>
      <c r="AC141" s="315"/>
      <c r="AD141" s="315"/>
      <c r="AE141" s="315"/>
      <c r="AF141" s="315"/>
      <c r="AG141" s="315"/>
      <c r="AH141" s="315"/>
      <c r="AI141" s="315"/>
      <c r="AJ141" s="315"/>
      <c r="AK141" s="315"/>
      <c r="AL141" s="315"/>
      <c r="AM141" s="315"/>
      <c r="AN141" s="315"/>
      <c r="AO141" s="315"/>
      <c r="AP141" s="315"/>
      <c r="AQ141" s="315"/>
      <c r="AR141" s="315"/>
      <c r="AS141" s="315"/>
      <c r="AT141" s="315"/>
      <c r="AU141" s="315"/>
      <c r="AV141" s="315"/>
      <c r="AW141" s="315"/>
      <c r="AX141" s="315"/>
      <c r="AY141" s="315"/>
      <c r="AZ141" s="315"/>
      <c r="BA141" s="315"/>
      <c r="BB141" s="315"/>
      <c r="BC141" s="315"/>
      <c r="BD141" s="315"/>
      <c r="BE141" s="315"/>
      <c r="BF141" s="315"/>
      <c r="BG141" s="315"/>
      <c r="BH141" s="315"/>
      <c r="BI141" s="315"/>
      <c r="BJ141" s="315"/>
      <c r="BK141" s="315"/>
      <c r="BM141" s="315"/>
      <c r="BN141" s="315"/>
      <c r="BO141" s="315"/>
      <c r="BP141" s="315"/>
      <c r="BQ141" s="315"/>
      <c r="BR141" s="315"/>
      <c r="BS141" s="315"/>
      <c r="BT141" s="315"/>
      <c r="BU141" s="315"/>
      <c r="BV141" s="315"/>
      <c r="BW141" s="315"/>
      <c r="BX141" s="315"/>
      <c r="BY141" s="315"/>
      <c r="BZ141" s="315"/>
      <c r="CA141" s="315"/>
      <c r="CB141" s="315"/>
      <c r="CC141" s="315"/>
      <c r="CD141" s="315"/>
      <c r="CE141" s="315"/>
      <c r="CF141" s="315"/>
      <c r="CG141" s="315"/>
      <c r="CH141" s="315"/>
      <c r="CI141" s="315"/>
      <c r="CJ141" s="315"/>
      <c r="CK141" s="315"/>
      <c r="CL141" s="315"/>
      <c r="CM141" s="315"/>
      <c r="CN141" s="315"/>
      <c r="CO141" s="315"/>
      <c r="CP141" s="315"/>
      <c r="CQ141" s="315"/>
      <c r="CR141" s="315"/>
      <c r="CS141" s="315"/>
      <c r="CT141" s="315"/>
      <c r="CU141" s="315"/>
      <c r="CV141" s="315"/>
      <c r="CW141" s="315"/>
      <c r="CX141" s="315"/>
      <c r="CY141" s="315"/>
      <c r="CZ141" s="315"/>
      <c r="DA141" s="315"/>
      <c r="DB141" s="315"/>
      <c r="DC141" s="315"/>
      <c r="DD141" s="315"/>
      <c r="DE141" s="315"/>
      <c r="DF141" s="315"/>
      <c r="DG141" s="315"/>
      <c r="DH141" s="315"/>
      <c r="DI141" s="315"/>
      <c r="DJ141" s="315"/>
      <c r="DK141" s="315"/>
      <c r="DL141" s="315"/>
      <c r="DM141" s="315"/>
      <c r="DN141" s="315"/>
      <c r="DO141" s="584"/>
      <c r="DP141" s="315"/>
      <c r="DQ141" s="315"/>
      <c r="DR141" s="315"/>
      <c r="DS141" s="315"/>
      <c r="DT141" s="315"/>
      <c r="DV141" s="234"/>
      <c r="DW141" s="234"/>
      <c r="DX141" s="234"/>
      <c r="DY141" s="234"/>
      <c r="DZ141" s="234"/>
      <c r="EA141" s="234"/>
      <c r="EB141" s="234"/>
    </row>
    <row r="142" spans="2:132" x14ac:dyDescent="0.45">
      <c r="BX142" s="246"/>
      <c r="BY142" s="246"/>
      <c r="BZ142" s="246"/>
      <c r="CA142" s="246"/>
      <c r="CB142" s="246"/>
      <c r="CC142" s="246"/>
      <c r="CD142" s="246"/>
      <c r="CE142" s="246"/>
      <c r="CF142" s="246"/>
      <c r="CG142" s="246"/>
      <c r="CH142" s="246"/>
      <c r="CI142" s="246"/>
      <c r="CJ142" s="246"/>
      <c r="CK142" s="246"/>
      <c r="CL142" s="246"/>
      <c r="CM142" s="246"/>
      <c r="CN142" s="246"/>
      <c r="CO142" s="246"/>
      <c r="CP142" s="246"/>
      <c r="CQ142" s="246"/>
      <c r="CR142" s="246"/>
      <c r="CS142" s="246"/>
      <c r="CT142" s="246"/>
      <c r="CU142" s="246"/>
      <c r="CV142" s="246"/>
      <c r="CW142" s="246"/>
      <c r="CX142" s="246"/>
      <c r="CY142" s="246"/>
      <c r="CZ142" s="246"/>
      <c r="DA142" s="246"/>
      <c r="DB142" s="246"/>
      <c r="DC142" s="246"/>
      <c r="DD142" s="246"/>
      <c r="DE142" s="246"/>
      <c r="DF142" s="246"/>
      <c r="DG142" s="246"/>
      <c r="DH142" s="246"/>
      <c r="DI142" s="246"/>
      <c r="DJ142" s="246"/>
      <c r="DK142" s="246"/>
      <c r="DL142" s="246"/>
      <c r="DM142" s="246"/>
      <c r="DN142" s="246"/>
      <c r="DO142" s="246"/>
      <c r="DP142" s="246"/>
      <c r="DQ142" s="246"/>
      <c r="DR142" s="246"/>
      <c r="DS142" s="246"/>
      <c r="DT142" s="246"/>
      <c r="DV142" s="234"/>
      <c r="DW142" s="234"/>
      <c r="DX142" s="234"/>
      <c r="DY142" s="234"/>
      <c r="DZ142" s="234"/>
      <c r="EA142" s="234"/>
      <c r="EB142" s="234"/>
    </row>
    <row r="143" spans="2:132" x14ac:dyDescent="0.45">
      <c r="B143" s="521" t="s">
        <v>1571</v>
      </c>
      <c r="D143" s="317"/>
      <c r="E143" s="317"/>
      <c r="F143" s="317"/>
      <c r="G143" s="317"/>
      <c r="H143" s="317"/>
      <c r="I143" s="317"/>
      <c r="J143" s="317"/>
      <c r="K143" s="680"/>
      <c r="L143" s="680"/>
      <c r="M143" s="680"/>
      <c r="N143" s="680"/>
      <c r="O143" s="585"/>
      <c r="P143" s="585"/>
      <c r="Q143" s="585"/>
      <c r="R143" s="585"/>
      <c r="S143" s="585"/>
      <c r="T143" s="585"/>
      <c r="U143" s="585"/>
      <c r="V143" s="585"/>
      <c r="W143" s="585"/>
      <c r="X143" s="585"/>
      <c r="Y143" s="585"/>
      <c r="Z143" s="585"/>
      <c r="AA143" s="585"/>
      <c r="AB143" s="585"/>
      <c r="AC143" s="585"/>
      <c r="AD143" s="585"/>
      <c r="AE143" s="585"/>
      <c r="AF143" s="585"/>
      <c r="AG143" s="681"/>
      <c r="AH143" s="681"/>
      <c r="AI143" s="681"/>
      <c r="AJ143" s="681"/>
      <c r="AK143" s="317"/>
      <c r="AL143" s="317"/>
      <c r="AM143" s="317"/>
      <c r="AN143" s="317"/>
      <c r="AO143" s="317"/>
      <c r="AP143" s="317"/>
      <c r="AQ143" s="317"/>
      <c r="AR143" s="317"/>
      <c r="AS143" s="317"/>
      <c r="AT143" s="317"/>
      <c r="AU143" s="680"/>
      <c r="AV143" s="680"/>
      <c r="AW143" s="680"/>
      <c r="AX143" s="680"/>
      <c r="AY143" s="585"/>
      <c r="AZ143" s="585"/>
      <c r="BA143" s="585"/>
      <c r="BB143" s="585"/>
      <c r="BC143" s="585"/>
      <c r="BD143" s="585"/>
      <c r="BE143" s="585"/>
      <c r="BF143" s="585"/>
      <c r="BG143" s="585"/>
      <c r="BH143" s="585"/>
      <c r="BI143" s="585"/>
      <c r="BJ143" s="585"/>
      <c r="BK143" s="585"/>
      <c r="BM143" s="585"/>
      <c r="BN143" s="585"/>
      <c r="BO143" s="585"/>
      <c r="BP143" s="585"/>
      <c r="BQ143" s="681"/>
      <c r="BR143" s="681"/>
      <c r="BS143" s="681"/>
      <c r="BT143" s="681"/>
      <c r="BU143" s="317"/>
      <c r="BV143" s="317"/>
      <c r="BW143" s="317"/>
      <c r="BX143" s="317"/>
      <c r="BY143" s="317"/>
      <c r="BZ143" s="317"/>
      <c r="CA143" s="317"/>
      <c r="CB143" s="317"/>
      <c r="CC143" s="317"/>
      <c r="CD143" s="317"/>
      <c r="CE143" s="680"/>
      <c r="CF143" s="680"/>
      <c r="CG143" s="680"/>
      <c r="CH143" s="680"/>
      <c r="CI143" s="585"/>
      <c r="CJ143" s="585"/>
      <c r="CK143" s="585"/>
      <c r="CL143" s="585"/>
      <c r="CM143" s="585"/>
      <c r="CN143" s="585"/>
      <c r="CO143" s="585"/>
      <c r="CP143" s="585"/>
      <c r="CQ143" s="585"/>
      <c r="CR143" s="585"/>
      <c r="CS143" s="585"/>
      <c r="CT143" s="585"/>
      <c r="CU143" s="585"/>
      <c r="CV143" s="585"/>
      <c r="CW143" s="585"/>
      <c r="CX143" s="585"/>
      <c r="CY143" s="585"/>
      <c r="CZ143" s="585"/>
      <c r="DA143" s="681"/>
      <c r="DB143" s="681"/>
      <c r="DC143" s="681"/>
      <c r="DD143" s="681"/>
      <c r="DE143" s="317"/>
      <c r="DF143" s="317"/>
      <c r="DG143" s="317"/>
      <c r="DH143" s="317"/>
      <c r="DI143" s="317"/>
      <c r="DJ143" s="317"/>
      <c r="DK143" s="317"/>
      <c r="DL143" s="317"/>
      <c r="DM143" s="317"/>
      <c r="DN143" s="317"/>
      <c r="DO143" s="680"/>
      <c r="DP143" s="680"/>
      <c r="DQ143" s="680"/>
      <c r="DR143" s="680"/>
      <c r="DS143" s="585"/>
      <c r="DT143" s="585"/>
      <c r="DV143" s="234"/>
      <c r="DW143" s="234"/>
      <c r="DX143" s="234"/>
      <c r="DY143" s="234"/>
      <c r="DZ143" s="234"/>
      <c r="EA143" s="234"/>
      <c r="EB143" s="234"/>
    </row>
    <row r="144" spans="2:132" x14ac:dyDescent="0.45">
      <c r="K144" s="234"/>
      <c r="M144" s="234"/>
      <c r="O144" s="234"/>
      <c r="Q144" s="234"/>
      <c r="S144" s="234"/>
      <c r="U144" s="234"/>
      <c r="DV144" s="234"/>
      <c r="DW144" s="234"/>
      <c r="DX144" s="234"/>
      <c r="DY144" s="234"/>
      <c r="DZ144" s="234"/>
      <c r="EA144" s="234"/>
      <c r="EB144" s="234"/>
    </row>
    <row r="145" spans="2:132" x14ac:dyDescent="0.45">
      <c r="B145" s="521" t="s">
        <v>1424</v>
      </c>
      <c r="D145" s="250"/>
      <c r="E145" s="250"/>
      <c r="F145" s="250"/>
      <c r="G145" s="250"/>
      <c r="H145" s="250"/>
      <c r="I145" s="250"/>
      <c r="J145" s="250"/>
      <c r="K145" s="314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41"/>
      <c r="Y145" s="341"/>
      <c r="Z145" s="341"/>
      <c r="AA145" s="341"/>
      <c r="AB145" s="341"/>
      <c r="AC145" s="341"/>
      <c r="AD145" s="341"/>
      <c r="AE145" s="341"/>
      <c r="AF145" s="341"/>
      <c r="AG145" s="341"/>
      <c r="AH145" s="341"/>
      <c r="AI145" s="341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589"/>
      <c r="AV145" s="341"/>
      <c r="AW145" s="341"/>
      <c r="AX145" s="341"/>
      <c r="AY145" s="341"/>
      <c r="AZ145" s="341"/>
      <c r="BA145" s="341"/>
      <c r="BB145" s="341"/>
      <c r="BC145" s="341"/>
      <c r="BD145" s="341"/>
      <c r="BE145" s="341"/>
      <c r="BF145" s="341"/>
      <c r="BG145" s="341"/>
      <c r="BH145" s="341"/>
      <c r="BI145" s="341"/>
      <c r="BJ145" s="341"/>
      <c r="BK145" s="341"/>
      <c r="BL145" s="341"/>
      <c r="BM145" s="341"/>
      <c r="BN145" s="341"/>
      <c r="BO145" s="341"/>
      <c r="BP145" s="341"/>
      <c r="BQ145" s="341"/>
      <c r="BR145" s="341"/>
      <c r="BS145" s="341"/>
      <c r="BT145" s="341"/>
      <c r="BU145" s="341"/>
      <c r="BV145" s="341"/>
      <c r="BW145" s="341"/>
      <c r="BX145" s="341"/>
      <c r="BY145" s="341"/>
      <c r="BZ145" s="341"/>
      <c r="CA145" s="341"/>
      <c r="CB145" s="341"/>
      <c r="CC145" s="341"/>
      <c r="CD145" s="588"/>
      <c r="CE145" s="589"/>
      <c r="CF145" s="341"/>
      <c r="CG145" s="341"/>
      <c r="CH145" s="341"/>
      <c r="CI145" s="341"/>
      <c r="CJ145" s="341"/>
      <c r="CK145" s="341"/>
      <c r="CL145" s="341"/>
      <c r="CM145" s="341"/>
      <c r="CN145" s="341"/>
      <c r="CO145" s="341"/>
      <c r="CP145" s="341"/>
      <c r="CQ145" s="341"/>
      <c r="CR145" s="341"/>
      <c r="CS145" s="341"/>
      <c r="CT145" s="341"/>
      <c r="CU145" s="341"/>
      <c r="CV145" s="341"/>
      <c r="CW145" s="341"/>
      <c r="CX145" s="341"/>
      <c r="CY145" s="341"/>
      <c r="CZ145" s="341"/>
      <c r="DA145" s="341"/>
      <c r="DB145" s="341"/>
      <c r="DC145" s="341"/>
      <c r="DD145" s="341"/>
      <c r="DE145" s="341"/>
      <c r="DF145" s="341"/>
      <c r="DG145" s="341"/>
      <c r="DH145" s="341"/>
      <c r="DI145" s="341"/>
      <c r="DJ145" s="341"/>
      <c r="DK145" s="341"/>
      <c r="DL145" s="341"/>
      <c r="DM145" s="341"/>
      <c r="DN145" s="588"/>
      <c r="DO145" s="590"/>
      <c r="DP145" s="315"/>
      <c r="DQ145" s="315"/>
      <c r="DR145" s="315"/>
      <c r="DS145" s="315"/>
      <c r="DT145" s="315"/>
      <c r="DV145" s="234"/>
      <c r="DW145" s="234"/>
      <c r="DX145" s="234"/>
      <c r="DY145" s="234"/>
      <c r="DZ145" s="234"/>
      <c r="EA145" s="234"/>
      <c r="EB145" s="234"/>
    </row>
    <row r="146" spans="2:132" x14ac:dyDescent="0.45">
      <c r="K146" s="234"/>
      <c r="M146" s="234"/>
      <c r="O146" s="234"/>
      <c r="Q146" s="234"/>
      <c r="S146" s="234"/>
      <c r="U146" s="234"/>
      <c r="DV146" s="234"/>
      <c r="DW146" s="234"/>
      <c r="DX146" s="234"/>
      <c r="DY146" s="234"/>
      <c r="DZ146" s="234"/>
      <c r="EA146" s="234"/>
      <c r="EB146" s="234"/>
    </row>
    <row r="147" spans="2:132" x14ac:dyDescent="0.45">
      <c r="B147" s="521" t="s">
        <v>1424</v>
      </c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339"/>
      <c r="P147" s="340"/>
      <c r="Q147" s="340"/>
      <c r="R147" s="340"/>
      <c r="S147" s="340"/>
      <c r="T147" s="340"/>
      <c r="U147" s="340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344"/>
      <c r="AG147" s="250"/>
      <c r="AH147" s="250"/>
      <c r="AI147" s="250"/>
      <c r="AJ147" s="250"/>
      <c r="AK147" s="316"/>
      <c r="AL147" s="317"/>
      <c r="AM147" s="317"/>
      <c r="AN147" s="317"/>
      <c r="AO147" s="345"/>
      <c r="AP147" s="345"/>
      <c r="AQ147" s="345"/>
      <c r="AR147" s="345"/>
      <c r="AS147" s="345"/>
      <c r="AT147" s="346"/>
      <c r="AU147" s="250"/>
      <c r="AV147" s="250"/>
      <c r="AW147" s="250"/>
      <c r="AX147" s="250"/>
      <c r="AY147" s="514"/>
      <c r="AZ147" s="343"/>
      <c r="BA147" s="343"/>
      <c r="BB147" s="343"/>
      <c r="BC147" s="343"/>
      <c r="BD147" s="343"/>
      <c r="BE147" s="343"/>
      <c r="BF147" s="343"/>
      <c r="BG147" s="343"/>
      <c r="BH147" s="343"/>
      <c r="BI147" s="343"/>
      <c r="BJ147" s="343"/>
      <c r="BK147" s="343"/>
      <c r="BL147" s="343"/>
      <c r="BM147" s="343"/>
      <c r="BN147" s="343"/>
      <c r="BO147" s="343"/>
      <c r="BP147" s="344"/>
      <c r="BQ147" s="250"/>
      <c r="BR147" s="250"/>
      <c r="BS147" s="250"/>
      <c r="BT147" s="250"/>
      <c r="BU147" s="515"/>
      <c r="BV147" s="345"/>
      <c r="BW147" s="345"/>
      <c r="BX147" s="345"/>
      <c r="BY147" s="345"/>
      <c r="BZ147" s="345"/>
      <c r="CA147" s="345"/>
      <c r="CB147" s="345"/>
      <c r="CC147" s="345"/>
      <c r="CD147" s="346"/>
      <c r="CE147" s="250"/>
      <c r="CF147" s="250"/>
      <c r="CG147" s="250"/>
      <c r="CH147" s="250"/>
      <c r="CI147" s="514"/>
      <c r="CJ147" s="343"/>
      <c r="CK147" s="343"/>
      <c r="CL147" s="343"/>
      <c r="CM147" s="343"/>
      <c r="CN147" s="343"/>
      <c r="CO147" s="343"/>
      <c r="CP147" s="343"/>
      <c r="CQ147" s="343"/>
      <c r="CR147" s="343"/>
      <c r="CS147" s="343"/>
      <c r="CT147" s="343"/>
      <c r="CU147" s="343"/>
      <c r="CV147" s="343"/>
      <c r="CW147" s="343"/>
      <c r="CX147" s="343"/>
      <c r="CY147" s="343"/>
      <c r="CZ147" s="344"/>
      <c r="DA147" s="250"/>
      <c r="DB147" s="250"/>
      <c r="DC147" s="250"/>
      <c r="DD147" s="250"/>
      <c r="DE147" s="515"/>
      <c r="DF147" s="345"/>
      <c r="DG147" s="345"/>
      <c r="DH147" s="345"/>
      <c r="DI147" s="345"/>
      <c r="DJ147" s="345"/>
      <c r="DK147" s="345"/>
      <c r="DL147" s="345"/>
      <c r="DM147" s="345"/>
      <c r="DN147" s="346"/>
      <c r="DO147" s="250"/>
      <c r="DP147" s="250"/>
      <c r="DQ147" s="250"/>
      <c r="DR147" s="250"/>
      <c r="DS147" s="339"/>
      <c r="DT147" s="340"/>
      <c r="DV147" s="234"/>
      <c r="DW147" s="234"/>
      <c r="DX147" s="234"/>
      <c r="DY147" s="234"/>
      <c r="DZ147" s="234"/>
      <c r="EA147" s="234"/>
      <c r="EB147" s="234"/>
    </row>
    <row r="148" spans="2:132" ht="15" thickBot="1" x14ac:dyDescent="0.5">
      <c r="K148" s="234"/>
      <c r="M148" s="234"/>
      <c r="O148" s="234"/>
      <c r="Q148" s="234"/>
      <c r="S148" s="234"/>
      <c r="U148" s="234"/>
      <c r="DV148" s="234"/>
      <c r="DW148" s="234"/>
      <c r="DX148" s="234"/>
      <c r="DY148" s="234"/>
      <c r="DZ148" s="234"/>
      <c r="EA148" s="234"/>
      <c r="EB148" s="234"/>
    </row>
    <row r="149" spans="2:132" ht="16.5" thickBot="1" x14ac:dyDescent="0.5">
      <c r="B149" s="521" t="s">
        <v>1438</v>
      </c>
      <c r="D149" s="325"/>
      <c r="E149" s="325"/>
      <c r="F149" s="325"/>
      <c r="G149" s="325"/>
      <c r="H149" s="325"/>
      <c r="I149" s="325"/>
      <c r="J149" s="325"/>
      <c r="K149" s="591"/>
      <c r="L149" s="591"/>
      <c r="M149" s="591"/>
      <c r="N149" s="591"/>
      <c r="O149" s="591"/>
      <c r="P149" s="591"/>
      <c r="Q149" s="591"/>
      <c r="R149" s="591"/>
      <c r="S149" s="591"/>
      <c r="T149" s="591"/>
      <c r="U149" s="591"/>
      <c r="V149" s="591"/>
      <c r="W149" s="592"/>
      <c r="X149" s="338"/>
      <c r="Y149" s="328"/>
      <c r="Z149" s="328"/>
      <c r="AA149" s="328"/>
      <c r="AB149" s="328"/>
      <c r="AC149" s="328"/>
      <c r="AD149" s="328"/>
      <c r="AE149" s="328"/>
      <c r="AF149" s="328"/>
      <c r="AG149" s="328"/>
      <c r="AH149" s="328"/>
      <c r="AI149" s="328"/>
      <c r="AJ149" s="328"/>
      <c r="AK149" s="328"/>
      <c r="AL149" s="328"/>
      <c r="AM149" s="328"/>
      <c r="AN149" s="328"/>
      <c r="AO149" s="328"/>
      <c r="AP149" s="328"/>
      <c r="AQ149" s="328"/>
      <c r="AR149" s="328"/>
      <c r="AS149" s="328"/>
      <c r="AT149" s="328"/>
      <c r="AU149" s="604"/>
      <c r="AV149" s="328"/>
      <c r="AW149" s="337"/>
      <c r="AX149" s="328"/>
      <c r="AY149" s="337"/>
      <c r="AZ149" s="328"/>
      <c r="BA149" s="337"/>
      <c r="BB149" s="328"/>
      <c r="BC149" s="337"/>
      <c r="BD149" s="328"/>
      <c r="BE149" s="328"/>
      <c r="BF149" s="328"/>
      <c r="BG149" s="328"/>
      <c r="BH149" s="328"/>
      <c r="BI149" s="328"/>
      <c r="BJ149" s="328"/>
      <c r="BK149" s="328"/>
      <c r="BM149" s="328"/>
      <c r="BN149" s="328"/>
      <c r="BO149" s="328"/>
      <c r="BP149" s="328"/>
      <c r="BQ149" s="328"/>
      <c r="BR149" s="328"/>
      <c r="BS149" s="328"/>
      <c r="BT149" s="328"/>
      <c r="BU149" s="328"/>
      <c r="BV149" s="328"/>
      <c r="BW149" s="328"/>
      <c r="BX149" s="328"/>
      <c r="BY149" s="328"/>
      <c r="BZ149" s="328"/>
      <c r="CA149" s="328"/>
      <c r="CB149" s="328"/>
      <c r="CC149" s="328"/>
      <c r="CD149" s="605"/>
      <c r="CE149" s="337"/>
      <c r="CF149" s="328"/>
      <c r="CG149" s="337"/>
      <c r="CH149" s="328"/>
      <c r="CI149" s="337"/>
      <c r="CJ149" s="328"/>
      <c r="CK149" s="337"/>
      <c r="CL149" s="328"/>
      <c r="CM149" s="337"/>
      <c r="CN149" s="328"/>
      <c r="CO149" s="328"/>
      <c r="CP149" s="328"/>
      <c r="CQ149" s="328"/>
      <c r="CR149" s="328"/>
      <c r="CS149" s="328"/>
      <c r="CT149" s="328"/>
      <c r="CU149" s="328"/>
      <c r="CV149" s="328"/>
      <c r="CW149" s="328"/>
      <c r="CX149" s="328"/>
      <c r="CY149" s="328"/>
      <c r="CZ149" s="328"/>
      <c r="DA149" s="328"/>
      <c r="DB149" s="328"/>
      <c r="DC149" s="328"/>
      <c r="DD149" s="328"/>
      <c r="DE149" s="328"/>
      <c r="DF149" s="328"/>
      <c r="DG149" s="328"/>
      <c r="DH149" s="328"/>
      <c r="DI149" s="328"/>
      <c r="DJ149" s="328"/>
      <c r="DK149" s="328"/>
      <c r="DL149" s="328"/>
      <c r="DM149" s="328"/>
      <c r="DN149" s="329"/>
      <c r="DO149" s="331"/>
      <c r="DP149" s="331"/>
      <c r="DQ149" s="331"/>
      <c r="DR149" s="331"/>
      <c r="DS149" s="331"/>
      <c r="DT149" s="331"/>
      <c r="DV149" s="234"/>
      <c r="DW149" s="234"/>
      <c r="DX149" s="234"/>
      <c r="DY149" s="234"/>
      <c r="DZ149" s="234"/>
      <c r="EA149" s="234"/>
      <c r="EB149" s="234"/>
    </row>
    <row r="150" spans="2:132" ht="15" thickBot="1" x14ac:dyDescent="0.5">
      <c r="K150" s="234"/>
      <c r="M150" s="234"/>
      <c r="O150" s="234"/>
      <c r="Q150" s="234"/>
      <c r="S150" s="234"/>
      <c r="U150" s="234"/>
      <c r="DV150" s="234"/>
      <c r="DW150" s="234"/>
      <c r="DX150" s="234"/>
      <c r="DY150" s="234"/>
      <c r="DZ150" s="234"/>
      <c r="EA150" s="234"/>
      <c r="EB150" s="234"/>
    </row>
    <row r="151" spans="2:132" ht="16.5" thickBot="1" x14ac:dyDescent="0.5">
      <c r="B151" s="521" t="s">
        <v>1572</v>
      </c>
      <c r="D151" s="325"/>
      <c r="E151" s="325"/>
      <c r="F151" s="325"/>
      <c r="G151" s="325"/>
      <c r="H151" s="325"/>
      <c r="I151" s="325"/>
      <c r="J151" s="325"/>
      <c r="K151" s="326"/>
      <c r="L151" s="325"/>
      <c r="M151" s="326"/>
      <c r="N151" s="325"/>
      <c r="O151" s="598"/>
      <c r="P151" s="598"/>
      <c r="Q151" s="597"/>
      <c r="R151" s="598"/>
      <c r="S151" s="597"/>
      <c r="T151" s="598"/>
      <c r="U151" s="599"/>
      <c r="V151" s="594"/>
      <c r="W151" s="595"/>
      <c r="X151" s="594"/>
      <c r="Y151" s="595"/>
      <c r="Z151" s="594"/>
      <c r="AA151" s="595"/>
      <c r="AB151" s="594"/>
      <c r="AC151" s="595"/>
      <c r="AD151" s="594"/>
      <c r="AE151" s="595"/>
      <c r="AF151" s="596"/>
      <c r="AG151" s="326"/>
      <c r="AH151" s="325"/>
      <c r="AI151" s="326"/>
      <c r="AJ151" s="325"/>
      <c r="AK151" s="597"/>
      <c r="AL151" s="598"/>
      <c r="AM151" s="597"/>
      <c r="AN151" s="600"/>
      <c r="AO151" s="595"/>
      <c r="AP151" s="594"/>
      <c r="AQ151" s="595"/>
      <c r="AR151" s="594"/>
      <c r="AS151" s="595"/>
      <c r="AT151" s="596"/>
      <c r="AU151" s="326"/>
      <c r="AV151" s="325"/>
      <c r="AW151" s="326"/>
      <c r="AX151" s="325"/>
      <c r="AY151" s="593"/>
      <c r="AZ151" s="594"/>
      <c r="BA151" s="595"/>
      <c r="BB151" s="594"/>
      <c r="BC151" s="595"/>
      <c r="BD151" s="594"/>
      <c r="BE151" s="595"/>
      <c r="BF151" s="594"/>
      <c r="BG151" s="595"/>
      <c r="BH151" s="594"/>
      <c r="BI151" s="595"/>
      <c r="BJ151" s="594"/>
      <c r="BK151" s="595"/>
      <c r="BM151" s="595"/>
      <c r="BN151" s="594"/>
      <c r="BO151" s="595"/>
      <c r="BP151" s="596"/>
      <c r="BQ151" s="326"/>
      <c r="BR151" s="325"/>
      <c r="BS151" s="326"/>
      <c r="BT151" s="325"/>
      <c r="BU151" s="593"/>
      <c r="BV151" s="594"/>
      <c r="BW151" s="595"/>
      <c r="BX151" s="594"/>
      <c r="BY151" s="595"/>
      <c r="BZ151" s="594"/>
      <c r="CA151" s="595"/>
      <c r="CB151" s="594"/>
      <c r="CC151" s="595"/>
      <c r="CD151" s="596"/>
      <c r="CE151" s="326"/>
      <c r="CF151" s="325"/>
      <c r="CG151" s="326"/>
      <c r="CH151" s="325"/>
      <c r="CI151" s="593"/>
      <c r="CJ151" s="594"/>
      <c r="CK151" s="595"/>
      <c r="CL151" s="594"/>
      <c r="CM151" s="595"/>
      <c r="CN151" s="594"/>
      <c r="CO151" s="595"/>
      <c r="CP151" s="594"/>
      <c r="CQ151" s="595"/>
      <c r="CR151" s="594"/>
      <c r="CS151" s="595"/>
      <c r="CT151" s="594"/>
      <c r="CU151" s="595"/>
      <c r="CV151" s="594"/>
      <c r="CW151" s="595"/>
      <c r="CX151" s="594"/>
      <c r="CY151" s="595"/>
      <c r="CZ151" s="596"/>
      <c r="DA151" s="326"/>
      <c r="DB151" s="325"/>
      <c r="DC151" s="326"/>
      <c r="DD151" s="325"/>
      <c r="DE151" s="593"/>
      <c r="DF151" s="594"/>
      <c r="DG151" s="595"/>
      <c r="DH151" s="594"/>
      <c r="DI151" s="595"/>
      <c r="DJ151" s="594"/>
      <c r="DK151" s="595"/>
      <c r="DL151" s="594"/>
      <c r="DM151" s="595"/>
      <c r="DN151" s="596"/>
      <c r="DO151" s="326"/>
      <c r="DP151" s="325"/>
      <c r="DQ151" s="326"/>
      <c r="DR151" s="326"/>
      <c r="DS151" s="597"/>
      <c r="DT151" s="597"/>
      <c r="DV151" s="234"/>
      <c r="DW151" s="234"/>
      <c r="DX151" s="234"/>
      <c r="DY151" s="234"/>
      <c r="DZ151" s="234"/>
      <c r="EA151" s="234"/>
      <c r="EB151" s="234"/>
    </row>
    <row r="152" spans="2:132" x14ac:dyDescent="0.45">
      <c r="K152" s="234"/>
      <c r="M152" s="234"/>
      <c r="O152" s="234"/>
      <c r="Q152" s="234"/>
      <c r="S152" s="234"/>
      <c r="U152" s="234"/>
      <c r="DV152" s="234"/>
      <c r="DW152" s="234"/>
      <c r="DX152" s="234"/>
      <c r="DY152" s="234"/>
      <c r="DZ152" s="234"/>
      <c r="EA152" s="234"/>
      <c r="EB152" s="234"/>
    </row>
    <row r="153" spans="2:132" x14ac:dyDescent="0.45">
      <c r="DV153" s="234"/>
      <c r="DW153" s="234"/>
      <c r="DX153" s="234"/>
      <c r="DY153" s="234"/>
      <c r="DZ153" s="234"/>
      <c r="EA153" s="234"/>
      <c r="EB153" s="234"/>
    </row>
    <row r="154" spans="2:132" x14ac:dyDescent="0.45">
      <c r="DV154" s="234"/>
      <c r="DW154" s="234"/>
      <c r="DX154" s="234"/>
      <c r="DY154" s="234"/>
      <c r="DZ154" s="234"/>
      <c r="EA154" s="234"/>
      <c r="EB154" s="234"/>
    </row>
    <row r="155" spans="2:132" x14ac:dyDescent="0.45">
      <c r="DV155" s="234"/>
      <c r="DW155" s="234"/>
      <c r="DX155" s="234"/>
      <c r="DY155" s="234"/>
      <c r="DZ155" s="234"/>
      <c r="EA155" s="234"/>
      <c r="EB155" s="234"/>
    </row>
    <row r="156" spans="2:132" x14ac:dyDescent="0.45">
      <c r="DV156" s="234"/>
      <c r="DW156" s="234"/>
      <c r="DX156" s="234"/>
      <c r="DY156" s="234"/>
      <c r="DZ156" s="234"/>
      <c r="EA156" s="234"/>
      <c r="EB156" s="234"/>
    </row>
    <row r="157" spans="2:132" x14ac:dyDescent="0.45">
      <c r="B157" s="608" t="s">
        <v>2654</v>
      </c>
      <c r="C157" s="615"/>
      <c r="D157" s="616"/>
      <c r="E157" s="616"/>
      <c r="F157" s="616"/>
      <c r="G157" s="616"/>
      <c r="H157" s="616"/>
      <c r="I157" s="616"/>
      <c r="J157" s="616"/>
      <c r="K157" s="616"/>
      <c r="L157" s="616"/>
      <c r="M157" s="616"/>
      <c r="N157" s="616"/>
      <c r="O157" s="616"/>
      <c r="P157" s="616"/>
      <c r="Q157" s="616"/>
      <c r="R157" s="616"/>
      <c r="S157" s="616"/>
      <c r="T157" s="616"/>
      <c r="U157" s="616"/>
      <c r="V157" s="616"/>
      <c r="W157" s="616"/>
      <c r="X157" s="616"/>
      <c r="Y157" s="616"/>
      <c r="Z157" s="616"/>
      <c r="AA157" s="616"/>
      <c r="AB157" s="616"/>
      <c r="AC157" s="616"/>
      <c r="AD157" s="616"/>
      <c r="AE157" s="616"/>
      <c r="AF157" s="616"/>
      <c r="AG157" s="616"/>
      <c r="AH157" s="616"/>
      <c r="AI157" s="616"/>
      <c r="AJ157" s="616"/>
      <c r="AK157" s="616"/>
      <c r="AL157" s="616"/>
      <c r="AM157" s="616"/>
      <c r="AN157" s="616"/>
      <c r="AO157" s="616"/>
      <c r="AP157" s="616"/>
      <c r="AQ157" s="616"/>
      <c r="AR157" s="616"/>
      <c r="AS157" s="616"/>
      <c r="AT157" s="616"/>
      <c r="AU157" s="616"/>
      <c r="AV157" s="616"/>
      <c r="AW157" s="616"/>
      <c r="AX157" s="616"/>
      <c r="AY157" s="616"/>
      <c r="AZ157" s="616"/>
      <c r="BA157" s="616"/>
      <c r="BB157" s="616"/>
      <c r="BC157" s="616"/>
      <c r="BD157" s="616"/>
      <c r="BE157" s="616"/>
      <c r="BF157" s="616"/>
      <c r="BG157" s="616"/>
      <c r="BH157" s="616"/>
      <c r="BI157" s="616"/>
      <c r="BJ157" s="616"/>
      <c r="BK157" s="616"/>
      <c r="BL157" s="616"/>
      <c r="BM157" s="616"/>
      <c r="BN157" s="616"/>
      <c r="BO157" s="616"/>
      <c r="BP157" s="616"/>
      <c r="BQ157" s="616"/>
      <c r="BR157" s="616"/>
      <c r="BS157" s="616"/>
      <c r="BT157" s="616"/>
      <c r="BU157" s="616"/>
      <c r="BV157" s="616"/>
      <c r="BW157" s="616"/>
      <c r="BX157" s="614"/>
      <c r="BY157" s="614"/>
      <c r="BZ157" s="614"/>
      <c r="CA157" s="614"/>
      <c r="CB157" s="614"/>
      <c r="CC157" s="614"/>
      <c r="CD157" s="614"/>
      <c r="CE157" s="614"/>
      <c r="CF157" s="614"/>
      <c r="CG157" s="614"/>
      <c r="CH157" s="614"/>
      <c r="CI157" s="614"/>
      <c r="CJ157" s="614"/>
      <c r="CK157" s="614"/>
      <c r="CL157" s="614"/>
      <c r="CM157" s="614"/>
      <c r="CN157" s="614"/>
      <c r="CO157" s="614"/>
      <c r="CP157" s="614"/>
      <c r="CQ157" s="614"/>
      <c r="CR157" s="614"/>
      <c r="CS157" s="614"/>
      <c r="CT157" s="614"/>
      <c r="CU157" s="614"/>
      <c r="CV157" s="614"/>
      <c r="CW157" s="614"/>
      <c r="CX157" s="614"/>
      <c r="CY157" s="614"/>
      <c r="CZ157" s="614"/>
      <c r="DA157" s="614"/>
      <c r="DB157" s="614"/>
      <c r="DC157" s="614"/>
      <c r="DD157" s="614"/>
      <c r="DE157" s="614"/>
      <c r="DF157" s="614"/>
      <c r="DG157" s="614"/>
      <c r="DH157" s="614"/>
      <c r="DI157" s="614"/>
      <c r="DJ157" s="614"/>
      <c r="DK157" s="614"/>
      <c r="DL157" s="614"/>
      <c r="DM157" s="614"/>
      <c r="DN157" s="614"/>
      <c r="DO157" s="614"/>
      <c r="DP157" s="614"/>
      <c r="DQ157" s="614"/>
      <c r="DR157" s="614"/>
      <c r="DS157" s="614"/>
      <c r="DT157" s="614"/>
      <c r="DV157" s="234"/>
      <c r="DW157" s="234"/>
      <c r="DX157" s="234"/>
      <c r="DY157" s="234"/>
      <c r="DZ157" s="234"/>
      <c r="EA157" s="234"/>
      <c r="EB157" s="234"/>
    </row>
    <row r="158" spans="2:132" x14ac:dyDescent="0.45">
      <c r="B158" s="521" t="s">
        <v>1431</v>
      </c>
      <c r="D158" s="247"/>
      <c r="E158" s="247"/>
      <c r="F158" s="258"/>
      <c r="G158" s="256"/>
      <c r="H158" s="256"/>
      <c r="I158" s="256"/>
      <c r="J158" s="256"/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  <c r="AA158" s="256"/>
      <c r="AB158" s="256"/>
      <c r="AC158" s="256"/>
      <c r="AD158" s="256"/>
      <c r="AE158" s="256"/>
      <c r="AF158" s="256"/>
      <c r="AG158" s="256"/>
      <c r="AH158" s="256"/>
      <c r="AI158" s="256"/>
      <c r="AJ158" s="256"/>
      <c r="AK158" s="256"/>
      <c r="AL158" s="256"/>
      <c r="AM158" s="256"/>
      <c r="AN158" s="256"/>
      <c r="AO158" s="256"/>
      <c r="AP158" s="256"/>
      <c r="AQ158" s="256"/>
      <c r="AR158" s="256"/>
      <c r="AS158" s="256"/>
      <c r="AT158" s="256"/>
      <c r="AU158" s="256"/>
      <c r="AV158" s="256"/>
      <c r="AW158" s="256"/>
      <c r="AX158" s="256"/>
      <c r="AY158" s="256"/>
      <c r="AZ158" s="256"/>
      <c r="BA158" s="256"/>
      <c r="BB158" s="256"/>
      <c r="BC158" s="256"/>
      <c r="BD158" s="256"/>
      <c r="BE158" s="256"/>
      <c r="BF158" s="256"/>
      <c r="BG158" s="256"/>
      <c r="BH158" s="256"/>
      <c r="BI158" s="256"/>
      <c r="BJ158" s="256"/>
      <c r="BK158" s="256"/>
      <c r="BL158" s="256"/>
      <c r="BM158" s="256"/>
      <c r="BN158" s="256"/>
      <c r="BO158" s="256"/>
      <c r="BP158" s="256"/>
      <c r="BQ158" s="256"/>
      <c r="BR158" s="256"/>
      <c r="BS158" s="256"/>
      <c r="BT158" s="256"/>
      <c r="BU158" s="256"/>
      <c r="BV158" s="256"/>
      <c r="BW158" s="256"/>
      <c r="BX158" s="256"/>
      <c r="BY158" s="256"/>
      <c r="BZ158" s="256"/>
      <c r="CA158" s="256"/>
      <c r="CB158" s="256"/>
      <c r="CC158" s="256"/>
      <c r="CD158" s="256"/>
      <c r="CE158" s="256"/>
      <c r="CF158" s="256"/>
      <c r="CG158" s="256"/>
      <c r="CH158" s="256"/>
      <c r="CI158" s="256"/>
      <c r="CJ158" s="256"/>
      <c r="CK158" s="256"/>
      <c r="CL158" s="256"/>
      <c r="CM158" s="256"/>
      <c r="CN158" s="256"/>
      <c r="CO158" s="256"/>
      <c r="CP158" s="256"/>
      <c r="CQ158" s="256"/>
      <c r="CR158" s="256"/>
      <c r="CS158" s="256"/>
      <c r="CT158" s="256"/>
      <c r="CU158" s="256"/>
      <c r="CV158" s="256"/>
      <c r="CW158" s="256"/>
      <c r="CX158" s="256"/>
      <c r="CY158" s="256"/>
      <c r="CZ158" s="256"/>
      <c r="DA158" s="256"/>
      <c r="DB158" s="256"/>
      <c r="DC158" s="256"/>
      <c r="DD158" s="256"/>
      <c r="DE158" s="256"/>
      <c r="DF158" s="256"/>
      <c r="DG158" s="256"/>
      <c r="DH158" s="256"/>
      <c r="DI158" s="256"/>
      <c r="DJ158" s="258"/>
      <c r="DK158" s="256"/>
      <c r="DL158" s="256"/>
      <c r="DM158" s="256"/>
      <c r="DN158" s="256"/>
      <c r="DO158" s="256"/>
      <c r="DP158" s="256"/>
      <c r="DQ158" s="256"/>
      <c r="DR158" s="256"/>
      <c r="DS158" s="256"/>
      <c r="DT158" s="256"/>
      <c r="DV158" s="234"/>
      <c r="DW158" s="234"/>
      <c r="DX158" s="234"/>
      <c r="DY158" s="234"/>
      <c r="DZ158" s="234"/>
      <c r="EA158" s="234"/>
      <c r="EB158" s="234"/>
    </row>
    <row r="159" spans="2:132" x14ac:dyDescent="0.45">
      <c r="T159" s="234"/>
      <c r="U159" s="234"/>
      <c r="DJ159" s="246"/>
      <c r="DK159" s="246"/>
      <c r="DL159" s="246"/>
      <c r="DM159" s="246"/>
      <c r="DN159" s="246"/>
      <c r="DV159" s="234"/>
      <c r="DW159" s="234"/>
      <c r="DX159" s="234"/>
      <c r="DY159" s="234"/>
      <c r="DZ159" s="234"/>
      <c r="EA159" s="234"/>
      <c r="EB159" s="234"/>
    </row>
    <row r="160" spans="2:132" x14ac:dyDescent="0.45">
      <c r="B160" s="521" t="s">
        <v>2081</v>
      </c>
      <c r="D160" s="250"/>
      <c r="E160" s="250"/>
      <c r="F160" s="387"/>
      <c r="G160" s="387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60"/>
      <c r="U160" s="260"/>
      <c r="V160" s="250"/>
      <c r="W160" s="250"/>
      <c r="X160" s="250"/>
      <c r="Y160" s="250"/>
      <c r="Z160" s="250"/>
      <c r="AA160" s="250"/>
      <c r="AB160" s="250"/>
      <c r="AC160" s="250"/>
      <c r="AD160" s="250"/>
      <c r="AE160" s="250"/>
      <c r="AF160" s="250"/>
      <c r="AG160" s="250"/>
      <c r="AH160" s="250"/>
      <c r="AI160" s="250"/>
      <c r="AJ160" s="250"/>
      <c r="AK160" s="250"/>
      <c r="AL160" s="250"/>
      <c r="AM160" s="250"/>
      <c r="AN160" s="250"/>
      <c r="AO160" s="250"/>
      <c r="AP160" s="250"/>
      <c r="AQ160" s="250"/>
      <c r="AR160" s="250"/>
      <c r="AS160" s="250"/>
      <c r="AT160" s="250"/>
      <c r="AU160" s="250"/>
      <c r="AV160" s="250"/>
      <c r="AW160" s="250"/>
      <c r="AX160" s="250"/>
      <c r="AY160" s="250"/>
      <c r="AZ160" s="250"/>
      <c r="BA160" s="250"/>
      <c r="BB160" s="250"/>
      <c r="BC160" s="250"/>
      <c r="BD160" s="250"/>
      <c r="BE160" s="250"/>
      <c r="BF160" s="250"/>
      <c r="BG160" s="250"/>
      <c r="BH160" s="250"/>
      <c r="BI160" s="250"/>
      <c r="BJ160" s="250"/>
      <c r="BK160" s="250"/>
      <c r="BL160" s="250"/>
      <c r="BM160" s="250"/>
      <c r="BN160" s="250"/>
      <c r="BO160" s="250"/>
      <c r="BP160" s="250"/>
      <c r="BQ160" s="250"/>
      <c r="BR160" s="250"/>
      <c r="BS160" s="250"/>
      <c r="BT160" s="250"/>
      <c r="BU160" s="250"/>
      <c r="BV160" s="250"/>
      <c r="BW160" s="250"/>
      <c r="BX160" s="250"/>
      <c r="BY160" s="250"/>
      <c r="BZ160" s="250"/>
      <c r="CA160" s="250"/>
      <c r="CB160" s="250"/>
      <c r="CC160" s="250"/>
      <c r="CD160" s="250"/>
      <c r="CE160" s="250"/>
      <c r="CF160" s="250"/>
      <c r="CG160" s="250"/>
      <c r="CH160" s="250"/>
      <c r="CI160" s="250"/>
      <c r="CJ160" s="260"/>
      <c r="CK160" s="260"/>
      <c r="CL160" s="260"/>
      <c r="CM160" s="260"/>
      <c r="CN160" s="260"/>
      <c r="CO160" s="260"/>
      <c r="CP160" s="260"/>
      <c r="CQ160" s="260"/>
      <c r="CR160" s="260"/>
      <c r="CS160" s="260"/>
      <c r="CT160" s="260"/>
      <c r="CU160" s="260"/>
      <c r="CV160" s="260"/>
      <c r="CW160" s="260"/>
      <c r="CX160" s="260"/>
      <c r="CY160" s="260"/>
      <c r="CZ160" s="260"/>
      <c r="DA160" s="260"/>
      <c r="DB160" s="260"/>
      <c r="DC160" s="260"/>
      <c r="DD160" s="260"/>
      <c r="DE160" s="260"/>
      <c r="DF160" s="260"/>
      <c r="DG160" s="260"/>
      <c r="DH160" s="260"/>
      <c r="DI160" s="260"/>
      <c r="DJ160" s="387"/>
      <c r="DK160" s="387"/>
      <c r="DL160" s="260"/>
      <c r="DM160" s="260"/>
      <c r="DN160" s="260"/>
      <c r="DO160" s="260"/>
      <c r="DP160" s="260"/>
      <c r="DQ160" s="260"/>
      <c r="DR160" s="260"/>
      <c r="DS160" s="260"/>
      <c r="DT160" s="260"/>
      <c r="DV160" s="234"/>
      <c r="DW160" s="234"/>
      <c r="DX160" s="234"/>
      <c r="DY160" s="234"/>
      <c r="DZ160" s="234"/>
      <c r="EA160" s="234"/>
      <c r="EB160" s="234"/>
    </row>
    <row r="161" spans="2:132" x14ac:dyDescent="0.45">
      <c r="T161" s="234"/>
      <c r="U161" s="234"/>
      <c r="DJ161" s="246"/>
      <c r="DK161" s="246"/>
      <c r="DL161" s="246"/>
      <c r="DM161" s="246"/>
      <c r="DN161" s="246"/>
      <c r="DV161" s="234"/>
      <c r="DW161" s="234"/>
      <c r="DX161" s="234"/>
      <c r="DY161" s="234"/>
      <c r="DZ161" s="234"/>
      <c r="EA161" s="234"/>
      <c r="EB161" s="234"/>
    </row>
    <row r="162" spans="2:132" x14ac:dyDescent="0.45">
      <c r="B162" s="521" t="s">
        <v>2089</v>
      </c>
      <c r="D162" s="250"/>
      <c r="E162" s="250"/>
      <c r="F162" s="250"/>
      <c r="G162" s="250"/>
      <c r="H162" s="250"/>
      <c r="I162" s="250"/>
      <c r="J162" s="258"/>
      <c r="K162" s="250"/>
      <c r="L162" s="250"/>
      <c r="M162" s="250"/>
      <c r="N162" s="250"/>
      <c r="O162" s="250"/>
      <c r="P162" s="250"/>
      <c r="Q162" s="250"/>
      <c r="R162" s="250"/>
      <c r="S162" s="250"/>
      <c r="T162" s="260"/>
      <c r="U162" s="260"/>
      <c r="V162" s="250"/>
      <c r="W162" s="250"/>
      <c r="X162" s="250"/>
      <c r="Y162" s="250"/>
      <c r="Z162" s="250"/>
      <c r="AA162" s="250"/>
      <c r="AB162" s="250"/>
      <c r="AC162" s="250"/>
      <c r="AD162" s="250"/>
      <c r="AE162" s="250"/>
      <c r="AF162" s="250"/>
      <c r="AG162" s="250"/>
      <c r="AH162" s="250"/>
      <c r="AI162" s="250"/>
      <c r="AJ162" s="250"/>
      <c r="AK162" s="250"/>
      <c r="AL162" s="250"/>
      <c r="AM162" s="250"/>
      <c r="AN162" s="250"/>
      <c r="AO162" s="250"/>
      <c r="AP162" s="250"/>
      <c r="AQ162" s="250"/>
      <c r="AR162" s="250"/>
      <c r="AS162" s="250"/>
      <c r="AT162" s="250"/>
      <c r="AU162" s="250"/>
      <c r="AV162" s="250"/>
      <c r="AW162" s="250"/>
      <c r="AX162" s="250"/>
      <c r="AY162" s="250"/>
      <c r="AZ162" s="250"/>
      <c r="BA162" s="250"/>
      <c r="BB162" s="250"/>
      <c r="BC162" s="250"/>
      <c r="BD162" s="250"/>
      <c r="BE162" s="250"/>
      <c r="BF162" s="250"/>
      <c r="BG162" s="250"/>
      <c r="BH162" s="250"/>
      <c r="BI162" s="250"/>
      <c r="BJ162" s="250"/>
      <c r="BK162" s="250"/>
      <c r="BL162" s="250"/>
      <c r="BM162" s="250"/>
      <c r="BN162" s="250"/>
      <c r="BO162" s="250"/>
      <c r="BP162" s="250"/>
      <c r="BQ162" s="250"/>
      <c r="BR162" s="250"/>
      <c r="BS162" s="250"/>
      <c r="BT162" s="250"/>
      <c r="BU162" s="250"/>
      <c r="BV162" s="250"/>
      <c r="BW162" s="250"/>
      <c r="BX162" s="250"/>
      <c r="BY162" s="250"/>
      <c r="BZ162" s="250"/>
      <c r="CA162" s="250"/>
      <c r="CB162" s="250"/>
      <c r="CC162" s="250"/>
      <c r="CD162" s="250"/>
      <c r="CE162" s="250"/>
      <c r="CF162" s="250"/>
      <c r="CG162" s="250"/>
      <c r="CH162" s="250"/>
      <c r="CI162" s="250"/>
      <c r="CJ162" s="260"/>
      <c r="CK162" s="260"/>
      <c r="CL162" s="260"/>
      <c r="CM162" s="260"/>
      <c r="CN162" s="260"/>
      <c r="CO162" s="260"/>
      <c r="CP162" s="260"/>
      <c r="CQ162" s="260"/>
      <c r="CR162" s="260"/>
      <c r="CS162" s="260"/>
      <c r="CT162" s="260"/>
      <c r="CU162" s="260"/>
      <c r="CV162" s="260"/>
      <c r="CW162" s="260"/>
      <c r="CX162" s="260"/>
      <c r="CY162" s="260"/>
      <c r="CZ162" s="260"/>
      <c r="DA162" s="260"/>
      <c r="DB162" s="260"/>
      <c r="DC162" s="260"/>
      <c r="DD162" s="260"/>
      <c r="DE162" s="260"/>
      <c r="DF162" s="260"/>
      <c r="DG162" s="260"/>
      <c r="DH162" s="260"/>
      <c r="DI162" s="260"/>
      <c r="DJ162" s="250"/>
      <c r="DK162" s="250"/>
      <c r="DL162" s="250"/>
      <c r="DM162" s="250"/>
      <c r="DN162" s="258"/>
      <c r="DO162" s="260"/>
      <c r="DP162" s="260"/>
      <c r="DQ162" s="260"/>
      <c r="DR162" s="260"/>
      <c r="DS162" s="260"/>
      <c r="DT162" s="260"/>
      <c r="DV162" s="234"/>
      <c r="DW162" s="234"/>
      <c r="DX162" s="234"/>
      <c r="DY162" s="234"/>
      <c r="DZ162" s="234"/>
      <c r="EA162" s="234"/>
      <c r="EB162" s="234"/>
    </row>
    <row r="163" spans="2:132" x14ac:dyDescent="0.45">
      <c r="J163" s="257"/>
      <c r="T163" s="234"/>
      <c r="U163" s="234"/>
      <c r="BX163" s="246"/>
      <c r="BY163" s="246"/>
      <c r="BZ163" s="246"/>
      <c r="CA163" s="246"/>
      <c r="CB163" s="246"/>
      <c r="CC163" s="246"/>
      <c r="CD163" s="246"/>
      <c r="CE163" s="246"/>
      <c r="CF163" s="246"/>
      <c r="CG163" s="246"/>
      <c r="CH163" s="246"/>
      <c r="CI163" s="246"/>
      <c r="DJ163" s="246"/>
      <c r="DK163" s="246"/>
      <c r="DL163" s="246"/>
      <c r="DM163" s="246"/>
      <c r="DN163" s="257"/>
      <c r="DV163" s="234"/>
      <c r="DW163" s="234"/>
      <c r="DX163" s="234"/>
      <c r="DY163" s="234"/>
      <c r="DZ163" s="234"/>
      <c r="EA163" s="234"/>
      <c r="EB163" s="234"/>
    </row>
    <row r="164" spans="2:132" x14ac:dyDescent="0.45">
      <c r="T164" s="234"/>
      <c r="U164" s="234"/>
      <c r="DJ164" s="246"/>
      <c r="DK164" s="246"/>
      <c r="DL164" s="246"/>
      <c r="DM164" s="246"/>
      <c r="DN164" s="246"/>
      <c r="DV164" s="234"/>
      <c r="DW164" s="234"/>
      <c r="DX164" s="234"/>
      <c r="DY164" s="234"/>
      <c r="DZ164" s="234"/>
      <c r="EA164" s="234"/>
      <c r="EB164" s="234"/>
    </row>
    <row r="165" spans="2:132" x14ac:dyDescent="0.45">
      <c r="B165" s="521" t="s">
        <v>2057</v>
      </c>
      <c r="D165" s="250"/>
      <c r="E165" s="250"/>
      <c r="F165" s="250"/>
      <c r="G165" s="250"/>
      <c r="H165" s="250"/>
      <c r="I165" s="250"/>
      <c r="J165" s="250"/>
      <c r="K165" s="322"/>
      <c r="L165" s="887" t="s">
        <v>1292</v>
      </c>
      <c r="M165" s="249"/>
      <c r="N165" s="323"/>
      <c r="O165" s="247"/>
      <c r="P165" s="247"/>
      <c r="Q165" s="247"/>
      <c r="R165" s="247"/>
      <c r="S165" s="247"/>
      <c r="T165" s="247"/>
      <c r="U165" s="321"/>
      <c r="V165" s="321"/>
      <c r="W165" s="247"/>
      <c r="X165" s="247"/>
      <c r="Y165" s="247"/>
      <c r="Z165" s="247"/>
      <c r="AA165" s="247"/>
      <c r="AB165" s="247"/>
      <c r="AC165" s="247"/>
      <c r="AD165" s="247"/>
      <c r="AE165" s="247"/>
      <c r="AF165" s="247"/>
      <c r="AG165" s="322"/>
      <c r="AH165" s="887" t="s">
        <v>2075</v>
      </c>
      <c r="AI165" s="249"/>
      <c r="AJ165" s="323"/>
      <c r="AK165" s="247"/>
      <c r="AL165" s="247"/>
      <c r="AM165" s="247"/>
      <c r="AN165" s="247"/>
      <c r="AO165" s="247"/>
      <c r="AP165" s="247"/>
      <c r="AQ165" s="247"/>
      <c r="AR165" s="247"/>
      <c r="AS165" s="247"/>
      <c r="AT165" s="247"/>
      <c r="AU165" s="322"/>
      <c r="AV165" s="887" t="s">
        <v>2060</v>
      </c>
      <c r="AW165" s="249"/>
      <c r="AX165" s="323"/>
      <c r="AY165" s="247"/>
      <c r="AZ165" s="247"/>
      <c r="BA165" s="247"/>
      <c r="BB165" s="247"/>
      <c r="BC165" s="247"/>
      <c r="BD165" s="247"/>
      <c r="BE165" s="247"/>
      <c r="BF165" s="247"/>
      <c r="BG165" s="247"/>
      <c r="BH165" s="247"/>
      <c r="BI165" s="247"/>
      <c r="BJ165" s="247"/>
      <c r="BK165" s="247"/>
      <c r="BM165" s="247"/>
      <c r="BN165" s="247"/>
      <c r="BO165" s="247"/>
      <c r="BP165" s="247"/>
      <c r="BQ165" s="247"/>
      <c r="BR165" s="247"/>
      <c r="BS165" s="247"/>
      <c r="BT165" s="247"/>
      <c r="BU165" s="247"/>
      <c r="BV165" s="247"/>
      <c r="BW165" s="247"/>
      <c r="BX165" s="247"/>
      <c r="BY165" s="247"/>
      <c r="BZ165" s="247"/>
      <c r="CA165" s="247"/>
      <c r="CB165" s="247"/>
      <c r="CC165" s="247"/>
      <c r="CD165" s="247"/>
      <c r="CE165" s="322"/>
      <c r="CF165" s="887" t="s">
        <v>2065</v>
      </c>
      <c r="CG165" s="249"/>
      <c r="CH165" s="323"/>
      <c r="CI165" s="247"/>
      <c r="CJ165" s="247"/>
      <c r="CK165" s="247"/>
      <c r="CL165" s="247"/>
      <c r="CM165" s="247"/>
      <c r="CN165" s="247"/>
      <c r="CO165" s="321"/>
      <c r="CP165" s="321"/>
      <c r="CQ165" s="247"/>
      <c r="CR165" s="247"/>
      <c r="CS165" s="247"/>
      <c r="CT165" s="247"/>
      <c r="CU165" s="247"/>
      <c r="CV165" s="247"/>
      <c r="CW165" s="247"/>
      <c r="CX165" s="247"/>
      <c r="CY165" s="247"/>
      <c r="CZ165" s="247"/>
      <c r="DA165" s="322"/>
      <c r="DB165" s="887" t="s">
        <v>2064</v>
      </c>
      <c r="DC165" s="249"/>
      <c r="DD165" s="323"/>
      <c r="DE165" s="247"/>
      <c r="DF165" s="247"/>
      <c r="DG165" s="247"/>
      <c r="DH165" s="247"/>
      <c r="DI165" s="247"/>
      <c r="DJ165" s="247"/>
      <c r="DK165" s="247"/>
      <c r="DL165" s="247"/>
      <c r="DM165" s="247"/>
      <c r="DN165" s="247"/>
      <c r="DO165" s="322"/>
      <c r="DP165" s="887" t="s">
        <v>1292</v>
      </c>
      <c r="DQ165" s="249"/>
      <c r="DR165" s="323"/>
      <c r="DS165" s="260"/>
      <c r="DT165" s="260"/>
      <c r="DV165" s="234"/>
      <c r="DW165" s="234"/>
      <c r="DX165" s="234"/>
      <c r="DY165" s="234"/>
      <c r="DZ165" s="234"/>
      <c r="EA165" s="234"/>
      <c r="EB165" s="234"/>
    </row>
    <row r="166" spans="2:132" ht="15" thickBot="1" x14ac:dyDescent="0.5">
      <c r="K166" s="248"/>
      <c r="L166" s="248"/>
      <c r="M166" s="248"/>
      <c r="N166" s="248"/>
      <c r="O166" s="248"/>
      <c r="P166" s="248"/>
      <c r="Q166" s="248"/>
      <c r="R166" s="248"/>
      <c r="S166" s="248"/>
      <c r="T166" s="248"/>
      <c r="U166" s="601"/>
      <c r="V166" s="601"/>
      <c r="W166" s="248"/>
      <c r="X166" s="248"/>
      <c r="Y166" s="248"/>
      <c r="Z166" s="248"/>
      <c r="AA166" s="248"/>
      <c r="AB166" s="248"/>
      <c r="AC166" s="248"/>
      <c r="AD166" s="248"/>
      <c r="AE166" s="248"/>
      <c r="AF166" s="248"/>
      <c r="AG166" s="248"/>
      <c r="AH166" s="248"/>
      <c r="AI166" s="248"/>
      <c r="AJ166" s="248"/>
      <c r="AK166" s="248"/>
      <c r="AL166" s="248"/>
      <c r="AM166" s="248"/>
      <c r="AN166" s="248"/>
      <c r="AO166" s="248"/>
      <c r="AP166" s="248"/>
      <c r="AQ166" s="248"/>
      <c r="AR166" s="248"/>
      <c r="AS166" s="248"/>
      <c r="AT166" s="248"/>
      <c r="AU166" s="248"/>
      <c r="AV166" s="248"/>
      <c r="AW166" s="248"/>
      <c r="AX166" s="248"/>
      <c r="AY166" s="248"/>
      <c r="AZ166" s="248"/>
      <c r="BA166" s="248"/>
      <c r="BB166" s="248"/>
      <c r="BC166" s="248"/>
      <c r="BD166" s="248"/>
      <c r="BE166" s="248"/>
      <c r="BF166" s="248"/>
      <c r="BG166" s="248"/>
      <c r="BH166" s="248"/>
      <c r="BI166" s="248"/>
      <c r="BJ166" s="248"/>
      <c r="BK166" s="248"/>
      <c r="BM166" s="248"/>
      <c r="BN166" s="248"/>
      <c r="BO166" s="248"/>
      <c r="BP166" s="248"/>
      <c r="BQ166" s="248"/>
      <c r="BR166" s="248"/>
      <c r="BS166" s="248"/>
      <c r="BT166" s="248"/>
      <c r="BU166" s="248"/>
      <c r="BV166" s="248"/>
      <c r="BW166" s="248"/>
      <c r="BX166" s="248"/>
      <c r="BY166" s="248"/>
      <c r="BZ166" s="248"/>
      <c r="CA166" s="248"/>
      <c r="CB166" s="248"/>
      <c r="CC166" s="248"/>
      <c r="CD166" s="248"/>
      <c r="CE166" s="248"/>
      <c r="CF166" s="248"/>
      <c r="CG166" s="248"/>
      <c r="CH166" s="248"/>
      <c r="CI166" s="248"/>
      <c r="CJ166" s="248"/>
      <c r="CK166" s="248"/>
      <c r="CL166" s="248"/>
      <c r="CM166" s="248"/>
      <c r="CN166" s="248"/>
      <c r="CO166" s="601"/>
      <c r="CP166" s="601"/>
      <c r="CQ166" s="248"/>
      <c r="CR166" s="248"/>
      <c r="CS166" s="248"/>
      <c r="CT166" s="248"/>
      <c r="CU166" s="248"/>
      <c r="CV166" s="248"/>
      <c r="CW166" s="248"/>
      <c r="CX166" s="248"/>
      <c r="CY166" s="248"/>
      <c r="CZ166" s="248"/>
      <c r="DA166" s="248"/>
      <c r="DB166" s="248"/>
      <c r="DC166" s="248"/>
      <c r="DD166" s="248"/>
      <c r="DE166" s="248"/>
      <c r="DF166" s="248"/>
      <c r="DG166" s="248"/>
      <c r="DH166" s="248"/>
      <c r="DI166" s="248"/>
      <c r="DJ166" s="248"/>
      <c r="DK166" s="248"/>
      <c r="DL166" s="248"/>
      <c r="DM166" s="248"/>
      <c r="DN166" s="248"/>
      <c r="DO166" s="248"/>
      <c r="DP166" s="248"/>
      <c r="DQ166" s="248"/>
      <c r="DR166" s="601"/>
      <c r="DV166" s="234"/>
      <c r="DW166" s="234"/>
      <c r="DX166" s="234"/>
      <c r="DY166" s="234"/>
      <c r="DZ166" s="234"/>
      <c r="EA166" s="234"/>
      <c r="EB166" s="234"/>
    </row>
    <row r="167" spans="2:132" ht="15" thickBot="1" x14ac:dyDescent="0.5">
      <c r="B167" s="521" t="s">
        <v>1420</v>
      </c>
      <c r="D167" s="511"/>
      <c r="E167" s="511"/>
      <c r="F167" s="511"/>
      <c r="G167" s="511"/>
      <c r="H167" s="511"/>
      <c r="I167" s="511"/>
      <c r="J167" s="511"/>
      <c r="K167" s="504"/>
      <c r="L167" s="505"/>
      <c r="M167" s="505"/>
      <c r="N167" s="505"/>
      <c r="O167" s="505"/>
      <c r="P167" s="505"/>
      <c r="Q167" s="505"/>
      <c r="R167" s="505"/>
      <c r="S167" s="505"/>
      <c r="T167" s="505"/>
      <c r="U167" s="505"/>
      <c r="V167" s="505"/>
      <c r="W167" s="505"/>
      <c r="X167" s="505"/>
      <c r="Y167" s="505"/>
      <c r="Z167" s="505"/>
      <c r="AA167" s="505"/>
      <c r="AB167" s="505"/>
      <c r="AC167" s="505"/>
      <c r="AD167" s="505"/>
      <c r="AE167" s="505"/>
      <c r="AF167" s="506"/>
      <c r="AG167" s="511"/>
      <c r="AH167" s="511"/>
      <c r="AI167" s="511"/>
      <c r="AJ167" s="511"/>
      <c r="AK167" s="511"/>
      <c r="AL167" s="511"/>
      <c r="AM167" s="511"/>
      <c r="AN167" s="511"/>
      <c r="AO167" s="511"/>
      <c r="AP167" s="511"/>
      <c r="AQ167" s="511"/>
      <c r="AR167" s="511"/>
      <c r="AS167" s="511"/>
      <c r="AT167" s="511"/>
      <c r="AU167" s="504"/>
      <c r="AV167" s="505"/>
      <c r="AW167" s="505"/>
      <c r="AX167" s="505"/>
      <c r="AY167" s="505"/>
      <c r="AZ167" s="505"/>
      <c r="BA167" s="505"/>
      <c r="BB167" s="505"/>
      <c r="BC167" s="505"/>
      <c r="BD167" s="505"/>
      <c r="BE167" s="505"/>
      <c r="BF167" s="505"/>
      <c r="BG167" s="505"/>
      <c r="BH167" s="505"/>
      <c r="BI167" s="505"/>
      <c r="BJ167" s="505"/>
      <c r="BK167" s="505"/>
      <c r="BM167" s="505"/>
      <c r="BN167" s="505"/>
      <c r="BO167" s="505"/>
      <c r="BP167" s="506"/>
      <c r="BQ167" s="511"/>
      <c r="BR167" s="511"/>
      <c r="BS167" s="511"/>
      <c r="BT167" s="511"/>
      <c r="BU167" s="511"/>
      <c r="BV167" s="511"/>
      <c r="BW167" s="511"/>
      <c r="BX167" s="511"/>
      <c r="BY167" s="511"/>
      <c r="BZ167" s="511"/>
      <c r="CA167" s="511"/>
      <c r="CB167" s="511"/>
      <c r="CC167" s="511"/>
      <c r="CD167" s="511"/>
      <c r="CE167" s="504"/>
      <c r="CF167" s="505"/>
      <c r="CG167" s="505"/>
      <c r="CH167" s="505"/>
      <c r="CI167" s="505"/>
      <c r="CJ167" s="505"/>
      <c r="CK167" s="505"/>
      <c r="CL167" s="505"/>
      <c r="CM167" s="505"/>
      <c r="CN167" s="505"/>
      <c r="CO167" s="505"/>
      <c r="CP167" s="505"/>
      <c r="CQ167" s="505"/>
      <c r="CR167" s="505"/>
      <c r="CS167" s="505"/>
      <c r="CT167" s="505"/>
      <c r="CU167" s="505"/>
      <c r="CV167" s="505"/>
      <c r="CW167" s="505"/>
      <c r="CX167" s="505"/>
      <c r="CY167" s="505"/>
      <c r="CZ167" s="506"/>
      <c r="DA167" s="511"/>
      <c r="DB167" s="511"/>
      <c r="DC167" s="511"/>
      <c r="DD167" s="511"/>
      <c r="DE167" s="511"/>
      <c r="DF167" s="511"/>
      <c r="DG167" s="511"/>
      <c r="DH167" s="511"/>
      <c r="DI167" s="511"/>
      <c r="DJ167" s="511"/>
      <c r="DK167" s="511"/>
      <c r="DL167" s="511"/>
      <c r="DM167" s="511"/>
      <c r="DN167" s="511"/>
      <c r="DO167" s="504"/>
      <c r="DP167" s="505"/>
      <c r="DQ167" s="505"/>
      <c r="DR167" s="505"/>
      <c r="DS167" s="505"/>
      <c r="DT167" s="505"/>
      <c r="DV167" s="234"/>
      <c r="DW167" s="234"/>
      <c r="DX167" s="234"/>
      <c r="DY167" s="234"/>
      <c r="DZ167" s="234"/>
      <c r="EA167" s="234"/>
      <c r="EB167" s="234"/>
    </row>
    <row r="168" spans="2:132" ht="15" thickBot="1" x14ac:dyDescent="0.5">
      <c r="Y168" s="234"/>
      <c r="Z168" s="234"/>
      <c r="BX168" s="246"/>
      <c r="BY168" s="246"/>
      <c r="BZ168" s="246"/>
      <c r="CA168" s="246"/>
      <c r="CB168" s="246"/>
      <c r="CC168" s="246"/>
      <c r="CD168" s="246"/>
      <c r="CE168" s="246"/>
      <c r="CF168" s="246"/>
      <c r="CG168" s="246"/>
      <c r="CH168" s="246"/>
      <c r="CI168" s="246"/>
      <c r="CJ168" s="246"/>
      <c r="CK168" s="246"/>
      <c r="CL168" s="246"/>
      <c r="CM168" s="246"/>
      <c r="CN168" s="246"/>
      <c r="CO168" s="246"/>
      <c r="CP168" s="246"/>
      <c r="CQ168" s="246"/>
      <c r="CR168" s="246"/>
      <c r="CU168" s="246"/>
      <c r="CV168" s="246"/>
      <c r="CW168" s="246"/>
      <c r="CX168" s="246"/>
      <c r="CY168" s="246"/>
      <c r="CZ168" s="246"/>
      <c r="DA168" s="246"/>
      <c r="DB168" s="246"/>
      <c r="DC168" s="246"/>
      <c r="DD168" s="246"/>
      <c r="DE168" s="246"/>
      <c r="DF168" s="246"/>
      <c r="DG168" s="246"/>
      <c r="DH168" s="246"/>
      <c r="DI168" s="246"/>
      <c r="DJ168" s="246"/>
      <c r="DK168" s="246"/>
      <c r="DL168" s="246"/>
      <c r="DM168" s="246"/>
      <c r="DN168" s="246"/>
      <c r="DV168" s="234"/>
      <c r="DW168" s="234"/>
      <c r="DX168" s="234"/>
      <c r="DY168" s="234"/>
      <c r="DZ168" s="234"/>
      <c r="EA168" s="234"/>
      <c r="EB168" s="234"/>
    </row>
    <row r="169" spans="2:132" ht="15" thickBot="1" x14ac:dyDescent="0.5">
      <c r="B169" s="521" t="s">
        <v>1421</v>
      </c>
      <c r="D169" s="509"/>
      <c r="E169" s="509"/>
      <c r="F169" s="509"/>
      <c r="G169" s="509"/>
      <c r="H169" s="509"/>
      <c r="I169" s="509"/>
      <c r="J169" s="510"/>
      <c r="K169" s="507"/>
      <c r="L169" s="507"/>
      <c r="M169" s="507"/>
      <c r="N169" s="507"/>
      <c r="O169" s="507"/>
      <c r="P169" s="507"/>
      <c r="Q169" s="507"/>
      <c r="R169" s="507"/>
      <c r="S169" s="507"/>
      <c r="T169" s="507"/>
      <c r="U169" s="507"/>
      <c r="V169" s="507"/>
      <c r="W169" s="507"/>
      <c r="X169" s="507"/>
      <c r="Y169" s="507"/>
      <c r="Z169" s="507"/>
      <c r="AA169" s="507"/>
      <c r="AB169" s="507"/>
      <c r="AC169" s="507"/>
      <c r="AD169" s="507"/>
      <c r="AE169" s="507"/>
      <c r="AF169" s="507"/>
      <c r="AG169" s="508"/>
      <c r="AH169" s="509"/>
      <c r="AI169" s="509"/>
      <c r="AJ169" s="509"/>
      <c r="AK169" s="509"/>
      <c r="AL169" s="509"/>
      <c r="AM169" s="509"/>
      <c r="AN169" s="509"/>
      <c r="AO169" s="509"/>
      <c r="AP169" s="509"/>
      <c r="AQ169" s="509"/>
      <c r="AR169" s="509"/>
      <c r="AS169" s="509"/>
      <c r="AT169" s="510"/>
      <c r="AU169" s="507"/>
      <c r="AV169" s="507"/>
      <c r="AW169" s="507"/>
      <c r="AX169" s="507"/>
      <c r="AY169" s="507"/>
      <c r="AZ169" s="507"/>
      <c r="BA169" s="507"/>
      <c r="BB169" s="507"/>
      <c r="BC169" s="507"/>
      <c r="BD169" s="507"/>
      <c r="BE169" s="507"/>
      <c r="BF169" s="507"/>
      <c r="BG169" s="507"/>
      <c r="BH169" s="507"/>
      <c r="BI169" s="507"/>
      <c r="BJ169" s="507"/>
      <c r="BK169" s="507"/>
      <c r="BM169" s="507"/>
      <c r="BN169" s="507"/>
      <c r="BO169" s="507"/>
      <c r="BP169" s="507"/>
      <c r="BQ169" s="508"/>
      <c r="BR169" s="509"/>
      <c r="BS169" s="509"/>
      <c r="BT169" s="509"/>
      <c r="BU169" s="509"/>
      <c r="BV169" s="509"/>
      <c r="BW169" s="509"/>
      <c r="BX169" s="509"/>
      <c r="BY169" s="509"/>
      <c r="BZ169" s="509"/>
      <c r="CA169" s="509"/>
      <c r="CB169" s="509"/>
      <c r="CC169" s="509"/>
      <c r="CD169" s="510"/>
      <c r="CE169" s="507"/>
      <c r="CF169" s="507"/>
      <c r="CG169" s="507"/>
      <c r="CH169" s="507"/>
      <c r="CI169" s="507"/>
      <c r="CJ169" s="507"/>
      <c r="CK169" s="507"/>
      <c r="CL169" s="507"/>
      <c r="CM169" s="507"/>
      <c r="CN169" s="507"/>
      <c r="CO169" s="507"/>
      <c r="CP169" s="507"/>
      <c r="CQ169" s="507"/>
      <c r="CR169" s="507"/>
      <c r="CS169" s="507"/>
      <c r="CT169" s="507"/>
      <c r="CU169" s="507"/>
      <c r="CV169" s="507"/>
      <c r="CW169" s="507"/>
      <c r="CX169" s="507"/>
      <c r="CY169" s="507"/>
      <c r="CZ169" s="507"/>
      <c r="DA169" s="508"/>
      <c r="DB169" s="509"/>
      <c r="DC169" s="509"/>
      <c r="DD169" s="509"/>
      <c r="DE169" s="509"/>
      <c r="DF169" s="509"/>
      <c r="DG169" s="509"/>
      <c r="DH169" s="509"/>
      <c r="DI169" s="509"/>
      <c r="DJ169" s="509"/>
      <c r="DK169" s="509"/>
      <c r="DL169" s="509"/>
      <c r="DM169" s="509"/>
      <c r="DN169" s="510"/>
      <c r="DO169" s="507"/>
      <c r="DP169" s="507"/>
      <c r="DQ169" s="507"/>
      <c r="DR169" s="507"/>
      <c r="DS169" s="507"/>
      <c r="DT169" s="507"/>
      <c r="DV169" s="234"/>
      <c r="DW169" s="234"/>
      <c r="DX169" s="234"/>
      <c r="DY169" s="234"/>
      <c r="DZ169" s="234"/>
      <c r="EA169" s="234"/>
      <c r="EB169" s="234"/>
    </row>
    <row r="170" spans="2:132" x14ac:dyDescent="0.45">
      <c r="BX170" s="246"/>
      <c r="BY170" s="246"/>
      <c r="BZ170" s="246"/>
      <c r="CA170" s="246"/>
      <c r="CB170" s="246"/>
      <c r="CC170" s="246"/>
      <c r="CD170" s="246"/>
      <c r="CE170" s="246"/>
      <c r="CF170" s="246"/>
      <c r="CG170" s="246"/>
      <c r="CH170" s="246"/>
      <c r="CI170" s="246"/>
      <c r="CJ170" s="246"/>
      <c r="CK170" s="246"/>
      <c r="CL170" s="246"/>
      <c r="CM170" s="246"/>
      <c r="CN170" s="246"/>
      <c r="CO170" s="246"/>
      <c r="CP170" s="246"/>
      <c r="CQ170" s="246"/>
      <c r="CR170" s="246"/>
      <c r="CS170" s="246"/>
      <c r="CT170" s="246"/>
      <c r="CU170" s="246"/>
      <c r="CV170" s="246"/>
      <c r="CW170" s="246"/>
      <c r="CX170" s="246"/>
      <c r="CY170" s="246"/>
      <c r="CZ170" s="246"/>
      <c r="DA170" s="246"/>
      <c r="DB170" s="246"/>
      <c r="DC170" s="246"/>
      <c r="DD170" s="246"/>
      <c r="DE170" s="246"/>
      <c r="DF170" s="246"/>
      <c r="DG170" s="246"/>
      <c r="DH170" s="246"/>
      <c r="DI170" s="246"/>
      <c r="DJ170" s="246"/>
      <c r="DK170" s="246"/>
      <c r="DL170" s="246"/>
      <c r="DM170" s="246"/>
      <c r="DN170" s="246"/>
      <c r="DO170" s="246"/>
      <c r="DP170" s="246"/>
      <c r="DQ170" s="246"/>
      <c r="DR170" s="246"/>
      <c r="DS170" s="246"/>
      <c r="DT170" s="246"/>
      <c r="DV170" s="234"/>
      <c r="DW170" s="234"/>
      <c r="DX170" s="234"/>
      <c r="DY170" s="234"/>
      <c r="DZ170" s="234"/>
      <c r="EA170" s="234"/>
      <c r="EB170" s="234"/>
    </row>
    <row r="171" spans="2:132" x14ac:dyDescent="0.45">
      <c r="B171" s="521" t="s">
        <v>1570</v>
      </c>
      <c r="D171" s="796"/>
      <c r="E171" s="796"/>
      <c r="F171" s="796"/>
      <c r="G171" s="796"/>
      <c r="H171" s="796"/>
      <c r="I171" s="796"/>
      <c r="J171" s="796"/>
      <c r="K171" s="797"/>
      <c r="L171" s="796"/>
      <c r="M171" s="796"/>
      <c r="N171" s="796"/>
      <c r="O171" s="796"/>
      <c r="P171" s="796"/>
      <c r="Q171" s="796"/>
      <c r="R171" s="796"/>
      <c r="S171" s="796"/>
      <c r="T171" s="796"/>
      <c r="U171" s="796"/>
      <c r="V171" s="796"/>
      <c r="W171" s="796"/>
      <c r="X171" s="796"/>
      <c r="Y171" s="796"/>
      <c r="Z171" s="796"/>
      <c r="AA171" s="796"/>
      <c r="AB171" s="796"/>
      <c r="AC171" s="796"/>
      <c r="AD171" s="796"/>
      <c r="AE171" s="796"/>
      <c r="AF171" s="796"/>
      <c r="AG171" s="796"/>
      <c r="AH171" s="796"/>
      <c r="AI171" s="796"/>
      <c r="AJ171" s="796"/>
      <c r="AK171" s="796"/>
      <c r="AL171" s="796"/>
      <c r="AM171" s="796"/>
      <c r="AN171" s="796"/>
      <c r="AO171" s="796"/>
      <c r="AP171" s="796"/>
      <c r="AQ171" s="796"/>
      <c r="AR171" s="796"/>
      <c r="AS171" s="796"/>
      <c r="AT171" s="796"/>
      <c r="AU171" s="796"/>
      <c r="AV171" s="796"/>
      <c r="AW171" s="796"/>
      <c r="AX171" s="796"/>
      <c r="AY171" s="796"/>
      <c r="AZ171" s="796"/>
      <c r="BA171" s="796"/>
      <c r="BB171" s="796"/>
      <c r="BC171" s="796"/>
      <c r="BD171" s="796"/>
      <c r="BE171" s="796"/>
      <c r="BF171" s="796"/>
      <c r="BG171" s="796"/>
      <c r="BH171" s="796"/>
      <c r="BI171" s="796"/>
      <c r="BJ171" s="796"/>
      <c r="BK171" s="796"/>
      <c r="BL171" s="796"/>
      <c r="BM171" s="796"/>
      <c r="BN171" s="796"/>
      <c r="BO171" s="796"/>
      <c r="BP171" s="796"/>
      <c r="BQ171" s="796"/>
      <c r="BR171" s="796"/>
      <c r="BS171" s="796"/>
      <c r="BT171" s="796"/>
      <c r="BU171" s="796"/>
      <c r="BV171" s="796"/>
      <c r="BW171" s="796"/>
      <c r="BX171" s="796"/>
      <c r="BY171" s="796"/>
      <c r="BZ171" s="796"/>
      <c r="CA171" s="796"/>
      <c r="CB171" s="796"/>
      <c r="CC171" s="796"/>
      <c r="CD171" s="796"/>
      <c r="CE171" s="796"/>
      <c r="CF171" s="796"/>
      <c r="CG171" s="796"/>
      <c r="CH171" s="796"/>
      <c r="CI171" s="796"/>
      <c r="CJ171" s="796"/>
      <c r="CK171" s="796"/>
      <c r="CL171" s="796"/>
      <c r="CM171" s="796"/>
      <c r="CN171" s="796"/>
      <c r="CO171" s="796"/>
      <c r="CP171" s="796"/>
      <c r="CQ171" s="796"/>
      <c r="CR171" s="796"/>
      <c r="CS171" s="796"/>
      <c r="CT171" s="796"/>
      <c r="CU171" s="796"/>
      <c r="CV171" s="796"/>
      <c r="CW171" s="796"/>
      <c r="CX171" s="796"/>
      <c r="CY171" s="796"/>
      <c r="CZ171" s="796"/>
      <c r="DA171" s="796"/>
      <c r="DB171" s="796"/>
      <c r="DC171" s="796"/>
      <c r="DD171" s="796"/>
      <c r="DE171" s="796"/>
      <c r="DF171" s="796"/>
      <c r="DG171" s="796"/>
      <c r="DH171" s="796"/>
      <c r="DI171" s="796"/>
      <c r="DJ171" s="796"/>
      <c r="DK171" s="796"/>
      <c r="DL171" s="796"/>
      <c r="DM171" s="796"/>
      <c r="DN171" s="796"/>
      <c r="DO171" s="797"/>
      <c r="DP171" s="796"/>
      <c r="DQ171" s="796"/>
      <c r="DR171" s="796"/>
      <c r="DS171" s="796"/>
      <c r="DT171" s="796"/>
      <c r="DV171" s="234"/>
      <c r="DW171" s="234"/>
      <c r="DX171" s="234"/>
      <c r="DY171" s="234"/>
      <c r="DZ171" s="234"/>
      <c r="EA171" s="234"/>
      <c r="EB171" s="234"/>
    </row>
    <row r="172" spans="2:132" x14ac:dyDescent="0.45">
      <c r="K172" s="234"/>
      <c r="M172" s="234"/>
      <c r="O172" s="234"/>
      <c r="Q172" s="234"/>
      <c r="S172" s="234"/>
      <c r="U172" s="234"/>
      <c r="DV172" s="234"/>
      <c r="DW172" s="234"/>
      <c r="DX172" s="234"/>
      <c r="DY172" s="234"/>
      <c r="DZ172" s="234"/>
      <c r="EA172" s="234"/>
      <c r="EB172" s="234"/>
    </row>
    <row r="173" spans="2:132" x14ac:dyDescent="0.45">
      <c r="K173" s="234"/>
      <c r="M173" s="234"/>
      <c r="O173" s="234"/>
      <c r="Q173" s="234"/>
      <c r="S173" s="234"/>
      <c r="U173" s="234"/>
      <c r="DV173" s="234"/>
      <c r="DW173" s="234"/>
      <c r="DX173" s="234"/>
      <c r="DY173" s="234"/>
      <c r="DZ173" s="234"/>
      <c r="EA173" s="234"/>
      <c r="EB173" s="234"/>
    </row>
    <row r="174" spans="2:132" x14ac:dyDescent="0.45">
      <c r="B174" s="521" t="s">
        <v>1424</v>
      </c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314"/>
      <c r="P174" s="315"/>
      <c r="Q174" s="315"/>
      <c r="R174" s="315"/>
      <c r="S174" s="315"/>
      <c r="T174" s="315"/>
      <c r="U174" s="315"/>
      <c r="V174" s="341"/>
      <c r="W174" s="341"/>
      <c r="X174" s="341"/>
      <c r="Y174" s="341"/>
      <c r="Z174" s="341"/>
      <c r="AA174" s="341"/>
      <c r="AB174" s="341"/>
      <c r="AC174" s="341"/>
      <c r="AD174" s="341"/>
      <c r="AE174" s="341"/>
      <c r="AF174" s="342"/>
      <c r="AG174" s="250"/>
      <c r="AH174" s="250"/>
      <c r="AI174" s="250"/>
      <c r="AJ174" s="250"/>
      <c r="AK174" s="316"/>
      <c r="AL174" s="317"/>
      <c r="AM174" s="317"/>
      <c r="AN174" s="317"/>
      <c r="AO174" s="345"/>
      <c r="AP174" s="345"/>
      <c r="AQ174" s="345"/>
      <c r="AR174" s="345"/>
      <c r="AS174" s="345"/>
      <c r="AT174" s="346"/>
      <c r="AU174" s="250"/>
      <c r="AV174" s="250"/>
      <c r="AW174" s="250"/>
      <c r="AX174" s="250"/>
      <c r="AY174" s="361"/>
      <c r="AZ174" s="341"/>
      <c r="BA174" s="341"/>
      <c r="BB174" s="341"/>
      <c r="BC174" s="341"/>
      <c r="BD174" s="341"/>
      <c r="BE174" s="341"/>
      <c r="BF174" s="341"/>
      <c r="BG174" s="341"/>
      <c r="BH174" s="341"/>
      <c r="BI174" s="341"/>
      <c r="BJ174" s="341"/>
      <c r="BK174" s="341"/>
      <c r="BL174" s="341"/>
      <c r="BM174" s="341"/>
      <c r="BN174" s="341"/>
      <c r="BO174" s="341"/>
      <c r="BP174" s="342"/>
      <c r="BQ174" s="250"/>
      <c r="BR174" s="250"/>
      <c r="BS174" s="250"/>
      <c r="BT174" s="250"/>
      <c r="BU174" s="515"/>
      <c r="BV174" s="345"/>
      <c r="BW174" s="345"/>
      <c r="BX174" s="345"/>
      <c r="BY174" s="345"/>
      <c r="BZ174" s="345"/>
      <c r="CA174" s="345"/>
      <c r="CB174" s="345"/>
      <c r="CC174" s="345"/>
      <c r="CD174" s="346"/>
      <c r="CE174" s="250"/>
      <c r="CF174" s="250"/>
      <c r="CG174" s="250"/>
      <c r="CH174" s="250"/>
      <c r="CI174" s="361"/>
      <c r="CJ174" s="341"/>
      <c r="CK174" s="341"/>
      <c r="CL174" s="341"/>
      <c r="CM174" s="341"/>
      <c r="CN174" s="341"/>
      <c r="CO174" s="341"/>
      <c r="CP174" s="341"/>
      <c r="CQ174" s="341"/>
      <c r="CR174" s="341"/>
      <c r="CS174" s="341"/>
      <c r="CT174" s="341"/>
      <c r="CU174" s="341"/>
      <c r="CV174" s="341"/>
      <c r="CW174" s="341"/>
      <c r="CX174" s="341"/>
      <c r="CY174" s="341"/>
      <c r="CZ174" s="342"/>
      <c r="DA174" s="250"/>
      <c r="DB174" s="250"/>
      <c r="DC174" s="250"/>
      <c r="DD174" s="250"/>
      <c r="DE174" s="515"/>
      <c r="DF174" s="345"/>
      <c r="DG174" s="345"/>
      <c r="DH174" s="345"/>
      <c r="DI174" s="345"/>
      <c r="DJ174" s="345"/>
      <c r="DK174" s="345"/>
      <c r="DL174" s="345"/>
      <c r="DM174" s="345"/>
      <c r="DN174" s="346"/>
      <c r="DO174" s="250"/>
      <c r="DP174" s="250"/>
      <c r="DQ174" s="250"/>
      <c r="DR174" s="250"/>
      <c r="DS174" s="314"/>
      <c r="DT174" s="315"/>
      <c r="DV174" s="234"/>
      <c r="DW174" s="234"/>
      <c r="DX174" s="234"/>
      <c r="DY174" s="234"/>
      <c r="DZ174" s="234"/>
      <c r="EA174" s="234"/>
      <c r="EB174" s="234"/>
    </row>
    <row r="175" spans="2:132" ht="15" thickBot="1" x14ac:dyDescent="0.5">
      <c r="K175" s="234"/>
      <c r="M175" s="234"/>
      <c r="O175" s="234"/>
      <c r="Q175" s="234"/>
      <c r="S175" s="234"/>
      <c r="U175" s="234"/>
      <c r="DV175" s="234"/>
      <c r="DW175" s="234"/>
      <c r="DX175" s="234"/>
      <c r="DY175" s="234"/>
      <c r="DZ175" s="234"/>
      <c r="EA175" s="234"/>
      <c r="EB175" s="234"/>
    </row>
    <row r="176" spans="2:132" ht="16.5" thickBot="1" x14ac:dyDescent="0.5">
      <c r="B176" s="521" t="s">
        <v>1438</v>
      </c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591"/>
      <c r="P176" s="591"/>
      <c r="Q176" s="591"/>
      <c r="R176" s="591"/>
      <c r="S176" s="591"/>
      <c r="T176" s="591"/>
      <c r="U176" s="592"/>
      <c r="V176" s="328"/>
      <c r="W176" s="328"/>
      <c r="X176" s="328"/>
      <c r="Y176" s="328"/>
      <c r="Z176" s="328"/>
      <c r="AA176" s="328"/>
      <c r="AB176" s="328"/>
      <c r="AC176" s="328"/>
      <c r="AD176" s="328"/>
      <c r="AE176" s="328"/>
      <c r="AF176" s="328"/>
      <c r="AG176" s="330"/>
      <c r="AH176" s="331"/>
      <c r="AI176" s="331"/>
      <c r="AJ176" s="331"/>
      <c r="AK176" s="519"/>
      <c r="AL176" s="519"/>
      <c r="AM176" s="519"/>
      <c r="AN176" s="520"/>
      <c r="AO176" s="328"/>
      <c r="AP176" s="328"/>
      <c r="AQ176" s="328"/>
      <c r="AR176" s="328"/>
      <c r="AS176" s="328"/>
      <c r="AT176" s="328"/>
      <c r="AU176" s="333"/>
      <c r="AV176" s="331"/>
      <c r="AW176" s="334"/>
      <c r="AX176" s="335"/>
      <c r="AY176" s="337"/>
      <c r="AZ176" s="328"/>
      <c r="BA176" s="337"/>
      <c r="BB176" s="328"/>
      <c r="BC176" s="337"/>
      <c r="BD176" s="328"/>
      <c r="BE176" s="328"/>
      <c r="BF176" s="328"/>
      <c r="BG176" s="328"/>
      <c r="BH176" s="328"/>
      <c r="BI176" s="328"/>
      <c r="BJ176" s="328"/>
      <c r="BK176" s="328"/>
      <c r="BM176" s="328"/>
      <c r="BN176" s="328"/>
      <c r="BO176" s="328"/>
      <c r="BP176" s="328"/>
      <c r="BQ176" s="330"/>
      <c r="BR176" s="331"/>
      <c r="BS176" s="331"/>
      <c r="BT176" s="335"/>
      <c r="BU176" s="328"/>
      <c r="BV176" s="328"/>
      <c r="BW176" s="328"/>
      <c r="BX176" s="328"/>
      <c r="BY176" s="328"/>
      <c r="BZ176" s="328"/>
      <c r="CA176" s="328"/>
      <c r="CB176" s="328"/>
      <c r="CC176" s="328"/>
      <c r="CD176" s="328"/>
      <c r="CE176" s="333"/>
      <c r="CF176" s="331"/>
      <c r="CG176" s="334"/>
      <c r="CH176" s="335"/>
      <c r="CI176" s="337"/>
      <c r="CJ176" s="328"/>
      <c r="CK176" s="337"/>
      <c r="CL176" s="328"/>
      <c r="CM176" s="337"/>
      <c r="CN176" s="328"/>
      <c r="CO176" s="328"/>
      <c r="CP176" s="328"/>
      <c r="CQ176" s="328"/>
      <c r="CR176" s="328"/>
      <c r="CS176" s="328"/>
      <c r="CT176" s="328"/>
      <c r="CU176" s="328"/>
      <c r="CV176" s="328"/>
      <c r="CW176" s="328"/>
      <c r="CX176" s="328"/>
      <c r="CY176" s="328"/>
      <c r="CZ176" s="328"/>
      <c r="DA176" s="330"/>
      <c r="DB176" s="331"/>
      <c r="DC176" s="331"/>
      <c r="DD176" s="335"/>
      <c r="DE176" s="328"/>
      <c r="DF176" s="328"/>
      <c r="DG176" s="328"/>
      <c r="DH176" s="328"/>
      <c r="DI176" s="328"/>
      <c r="DJ176" s="328"/>
      <c r="DK176" s="328"/>
      <c r="DL176" s="328"/>
      <c r="DM176" s="328"/>
      <c r="DN176" s="329"/>
      <c r="DO176" s="331"/>
      <c r="DP176" s="331"/>
      <c r="DQ176" s="331"/>
      <c r="DR176" s="331"/>
      <c r="DS176" s="519"/>
      <c r="DT176" s="798"/>
      <c r="DV176" s="234"/>
      <c r="DW176" s="234"/>
      <c r="DX176" s="234"/>
      <c r="DY176" s="234"/>
      <c r="DZ176" s="234"/>
      <c r="EA176" s="234"/>
      <c r="EB176" s="234"/>
    </row>
    <row r="177" spans="2:132" x14ac:dyDescent="0.45">
      <c r="K177" s="234"/>
      <c r="M177" s="234"/>
      <c r="O177" s="234"/>
      <c r="Q177" s="234"/>
      <c r="S177" s="234"/>
      <c r="U177" s="234"/>
      <c r="DV177" s="234"/>
      <c r="DW177" s="234"/>
      <c r="DX177" s="234"/>
      <c r="DY177" s="234"/>
      <c r="DZ177" s="234"/>
      <c r="EA177" s="234"/>
      <c r="EB177" s="234"/>
    </row>
    <row r="178" spans="2:132" x14ac:dyDescent="0.45">
      <c r="DV178" s="234"/>
      <c r="DW178" s="234"/>
      <c r="DX178" s="234"/>
      <c r="DY178" s="234"/>
      <c r="DZ178" s="234"/>
      <c r="EA178" s="234"/>
      <c r="EB178" s="234"/>
    </row>
    <row r="179" spans="2:132" x14ac:dyDescent="0.45">
      <c r="DV179" s="234"/>
      <c r="DW179" s="234"/>
      <c r="DX179" s="234"/>
      <c r="DY179" s="234"/>
      <c r="DZ179" s="234"/>
      <c r="EA179" s="234"/>
      <c r="EB179" s="234"/>
    </row>
    <row r="180" spans="2:132" x14ac:dyDescent="0.45">
      <c r="BX180" s="246"/>
      <c r="BY180" s="246"/>
      <c r="BZ180" s="246"/>
      <c r="CA180" s="246"/>
      <c r="CB180" s="246"/>
      <c r="CC180" s="246"/>
      <c r="CD180" s="246"/>
      <c r="CE180" s="246"/>
      <c r="CF180" s="246"/>
      <c r="CG180" s="246"/>
      <c r="CH180" s="246"/>
      <c r="DV180" s="234"/>
      <c r="DW180" s="234"/>
      <c r="DX180" s="234"/>
      <c r="DY180" s="234"/>
      <c r="DZ180" s="234"/>
      <c r="EA180" s="234"/>
      <c r="EB180" s="234"/>
    </row>
    <row r="181" spans="2:132" x14ac:dyDescent="0.45"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J181" s="234"/>
      <c r="AK181" s="234"/>
      <c r="AL181" s="234"/>
      <c r="AM181" s="234"/>
      <c r="AN181" s="234"/>
      <c r="AO181" s="234"/>
      <c r="AP181" s="234"/>
      <c r="AQ181" s="234"/>
      <c r="AR181" s="234"/>
      <c r="AS181" s="234"/>
      <c r="AT181" s="234"/>
      <c r="AU181" s="234"/>
      <c r="AV181" s="234"/>
      <c r="AW181" s="234"/>
      <c r="AX181" s="234"/>
      <c r="AY181" s="234"/>
      <c r="AZ181" s="234"/>
      <c r="BA181" s="234"/>
      <c r="BB181" s="234"/>
      <c r="BC181" s="234"/>
      <c r="BD181" s="234"/>
      <c r="BE181" s="234"/>
      <c r="BF181" s="234"/>
      <c r="BG181" s="234"/>
      <c r="BH181" s="234"/>
      <c r="BI181" s="234"/>
      <c r="BJ181" s="234"/>
      <c r="BK181" s="234"/>
      <c r="BL181" s="234"/>
      <c r="BM181" s="234"/>
      <c r="BN181" s="234"/>
      <c r="BO181" s="234"/>
      <c r="BP181" s="234"/>
      <c r="BQ181" s="234"/>
      <c r="BR181" s="234"/>
      <c r="BS181" s="234"/>
      <c r="BT181" s="234"/>
      <c r="BU181" s="234"/>
      <c r="BV181" s="234"/>
      <c r="BW181" s="234"/>
      <c r="DV181" s="234"/>
      <c r="DW181" s="234"/>
      <c r="DX181" s="234"/>
      <c r="DY181" s="234"/>
      <c r="DZ181" s="234"/>
      <c r="EA181" s="234"/>
      <c r="EB181" s="234"/>
    </row>
    <row r="182" spans="2:132" x14ac:dyDescent="0.45">
      <c r="B182" s="615" t="s">
        <v>2083</v>
      </c>
      <c r="C182" s="615"/>
      <c r="D182" s="616"/>
      <c r="E182" s="616"/>
      <c r="F182" s="616"/>
      <c r="G182" s="616"/>
      <c r="H182" s="616"/>
      <c r="I182" s="616"/>
      <c r="J182" s="616"/>
      <c r="K182" s="616"/>
      <c r="L182" s="616"/>
      <c r="M182" s="616"/>
      <c r="N182" s="616"/>
      <c r="O182" s="616"/>
      <c r="P182" s="616"/>
      <c r="Q182" s="616"/>
      <c r="R182" s="616"/>
      <c r="S182" s="616"/>
      <c r="T182" s="616"/>
      <c r="U182" s="616"/>
      <c r="V182" s="616"/>
      <c r="W182" s="616"/>
      <c r="X182" s="616"/>
      <c r="Y182" s="616"/>
      <c r="Z182" s="616"/>
      <c r="AA182" s="616"/>
      <c r="AB182" s="616"/>
      <c r="AC182" s="616"/>
      <c r="AD182" s="616"/>
      <c r="AE182" s="616"/>
      <c r="AF182" s="616"/>
      <c r="AG182" s="616"/>
      <c r="AH182" s="616"/>
      <c r="AI182" s="616"/>
      <c r="AJ182" s="616"/>
      <c r="AK182" s="616"/>
      <c r="AL182" s="616"/>
      <c r="AM182" s="616"/>
      <c r="AN182" s="616"/>
      <c r="AO182" s="616"/>
      <c r="AP182" s="616"/>
      <c r="AQ182" s="616"/>
      <c r="AR182" s="616"/>
      <c r="AS182" s="616"/>
      <c r="AT182" s="616"/>
      <c r="AU182" s="616"/>
      <c r="AV182" s="616"/>
      <c r="AW182" s="616"/>
      <c r="AX182" s="616"/>
      <c r="AY182" s="616"/>
      <c r="AZ182" s="616"/>
      <c r="BA182" s="616"/>
      <c r="BB182" s="616"/>
      <c r="BC182" s="616"/>
      <c r="BD182" s="616"/>
      <c r="BE182" s="616"/>
      <c r="BF182" s="616"/>
      <c r="BG182" s="616"/>
      <c r="BH182" s="616"/>
      <c r="BI182" s="616"/>
      <c r="BJ182" s="616"/>
      <c r="BK182" s="616"/>
      <c r="BL182" s="616"/>
      <c r="BM182" s="616"/>
      <c r="BN182" s="616"/>
      <c r="BO182" s="616"/>
      <c r="BP182" s="616"/>
      <c r="BQ182" s="616"/>
      <c r="BR182" s="616"/>
      <c r="BS182" s="616"/>
      <c r="BT182" s="616"/>
      <c r="BU182" s="616"/>
      <c r="BV182" s="616"/>
      <c r="BW182" s="616"/>
      <c r="BX182" s="614"/>
      <c r="BY182" s="614"/>
      <c r="BZ182" s="614"/>
      <c r="CA182" s="614"/>
      <c r="CB182" s="614"/>
      <c r="CC182" s="614"/>
      <c r="CD182" s="614"/>
      <c r="CE182" s="614"/>
      <c r="CF182" s="614"/>
      <c r="CG182" s="614"/>
      <c r="CH182" s="614"/>
      <c r="CI182" s="614"/>
      <c r="CJ182" s="614"/>
      <c r="CK182" s="614"/>
      <c r="CL182" s="614"/>
      <c r="CM182" s="614"/>
      <c r="CN182" s="614"/>
      <c r="CO182" s="614"/>
      <c r="CP182" s="614"/>
      <c r="CQ182" s="614"/>
      <c r="CR182" s="614"/>
      <c r="CS182" s="614"/>
      <c r="CT182" s="614"/>
      <c r="CU182" s="614"/>
      <c r="CV182" s="614"/>
      <c r="CW182" s="614"/>
      <c r="CX182" s="614"/>
      <c r="CY182" s="614"/>
      <c r="CZ182" s="614"/>
      <c r="DA182" s="614"/>
      <c r="DB182" s="614"/>
      <c r="DC182" s="614"/>
      <c r="DD182" s="614"/>
      <c r="DE182" s="614"/>
      <c r="DF182" s="614"/>
      <c r="DG182" s="614"/>
      <c r="DH182" s="614"/>
      <c r="DI182" s="614"/>
      <c r="DJ182" s="614"/>
      <c r="DK182" s="614"/>
      <c r="DL182" s="614"/>
      <c r="DM182" s="614"/>
      <c r="DN182" s="614"/>
      <c r="DO182" s="614"/>
      <c r="DP182" s="614"/>
      <c r="DQ182" s="614"/>
      <c r="DR182" s="614"/>
      <c r="DS182" s="614"/>
      <c r="DT182" s="614"/>
      <c r="DV182" s="234"/>
      <c r="DW182" s="234"/>
      <c r="DX182" s="234"/>
      <c r="DY182" s="234"/>
      <c r="DZ182" s="234"/>
      <c r="EA182" s="234"/>
      <c r="EB182" s="234"/>
    </row>
    <row r="183" spans="2:132" x14ac:dyDescent="0.45">
      <c r="B183" s="521" t="s">
        <v>1426</v>
      </c>
      <c r="D183" s="250"/>
      <c r="E183" s="250"/>
      <c r="F183" s="535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  <c r="Y183" s="250"/>
      <c r="Z183" s="250"/>
      <c r="AA183" s="250"/>
      <c r="AB183" s="250"/>
      <c r="AC183" s="250"/>
      <c r="AD183" s="250"/>
      <c r="AE183" s="250"/>
      <c r="AF183" s="250"/>
      <c r="AG183" s="250"/>
      <c r="AH183" s="250"/>
      <c r="AI183" s="250"/>
      <c r="AJ183" s="250"/>
      <c r="AK183" s="250"/>
      <c r="AL183" s="250"/>
      <c r="AM183" s="250"/>
      <c r="AN183" s="250"/>
      <c r="AO183" s="250"/>
      <c r="AP183" s="250"/>
      <c r="AQ183" s="250"/>
      <c r="AR183" s="250"/>
      <c r="AS183" s="250"/>
      <c r="AT183" s="250"/>
      <c r="AU183" s="250"/>
      <c r="AV183" s="250"/>
      <c r="AW183" s="250"/>
      <c r="AX183" s="250"/>
      <c r="AY183" s="250"/>
      <c r="AZ183" s="250"/>
      <c r="BA183" s="250"/>
      <c r="BB183" s="250"/>
      <c r="BC183" s="250"/>
      <c r="BD183" s="250"/>
      <c r="BE183" s="250"/>
      <c r="BF183" s="250"/>
      <c r="BG183" s="250"/>
      <c r="BH183" s="250"/>
      <c r="BI183" s="250"/>
      <c r="BJ183" s="250"/>
      <c r="BK183" s="250"/>
      <c r="BL183" s="250"/>
      <c r="BM183" s="250"/>
      <c r="BN183" s="250"/>
      <c r="BO183" s="250"/>
      <c r="BP183" s="250"/>
      <c r="BQ183" s="250"/>
      <c r="BR183" s="250"/>
      <c r="BS183" s="250"/>
      <c r="BT183" s="250"/>
      <c r="BU183" s="250"/>
      <c r="BV183" s="250"/>
      <c r="BW183" s="250"/>
      <c r="BX183" s="260"/>
      <c r="BY183" s="260"/>
      <c r="BZ183" s="535"/>
      <c r="CA183" s="260"/>
      <c r="CB183" s="260"/>
      <c r="CC183" s="260"/>
      <c r="CD183" s="260"/>
      <c r="CE183" s="260"/>
      <c r="CF183" s="260"/>
      <c r="CG183" s="260"/>
      <c r="CH183" s="260"/>
      <c r="CI183" s="260"/>
      <c r="CJ183" s="260"/>
      <c r="CK183" s="260"/>
      <c r="CL183" s="260"/>
      <c r="CM183" s="260"/>
      <c r="CN183" s="260"/>
      <c r="CO183" s="260"/>
      <c r="CP183" s="260"/>
      <c r="CQ183" s="260"/>
      <c r="CR183" s="260"/>
      <c r="CS183" s="260"/>
      <c r="CT183" s="260"/>
      <c r="CU183" s="260"/>
      <c r="CV183" s="260"/>
      <c r="CW183" s="260"/>
      <c r="CX183" s="260"/>
      <c r="CY183" s="260"/>
      <c r="CZ183" s="260"/>
      <c r="DA183" s="260"/>
      <c r="DB183" s="260"/>
      <c r="DC183" s="260"/>
      <c r="DD183" s="260"/>
      <c r="DE183" s="260"/>
      <c r="DF183" s="260"/>
      <c r="DG183" s="260"/>
      <c r="DH183" s="260"/>
      <c r="DI183" s="260"/>
      <c r="DJ183" s="260"/>
      <c r="DK183" s="260"/>
      <c r="DL183" s="260"/>
      <c r="DM183" s="260"/>
      <c r="DN183" s="260"/>
      <c r="DO183" s="260"/>
      <c r="DP183" s="260"/>
      <c r="DQ183" s="260"/>
      <c r="DR183" s="260"/>
      <c r="DS183" s="260"/>
      <c r="DT183" s="260"/>
      <c r="DV183" s="234"/>
      <c r="DW183" s="234"/>
      <c r="DX183" s="234"/>
      <c r="DY183" s="234"/>
      <c r="DZ183" s="234"/>
      <c r="EA183" s="234"/>
      <c r="EB183" s="234"/>
    </row>
    <row r="184" spans="2:132" x14ac:dyDescent="0.45">
      <c r="BZ184" s="246"/>
      <c r="DV184" s="234"/>
      <c r="DW184" s="234"/>
      <c r="DX184" s="234"/>
      <c r="DY184" s="234"/>
      <c r="DZ184" s="234"/>
      <c r="EA184" s="234"/>
      <c r="EB184" s="234"/>
    </row>
    <row r="185" spans="2:132" x14ac:dyDescent="0.45">
      <c r="DV185" s="234"/>
      <c r="DW185" s="234"/>
      <c r="DX185" s="234"/>
      <c r="DY185" s="234"/>
      <c r="DZ185" s="234"/>
      <c r="EA185" s="234"/>
      <c r="EB185" s="234"/>
    </row>
    <row r="186" spans="2:132" x14ac:dyDescent="0.45">
      <c r="B186" s="521" t="s">
        <v>2082</v>
      </c>
      <c r="D186" s="250"/>
      <c r="E186" s="250"/>
      <c r="F186" s="534">
        <v>1</v>
      </c>
      <c r="G186" s="362"/>
      <c r="H186" s="362"/>
      <c r="I186" s="534">
        <v>1</v>
      </c>
      <c r="J186" s="362"/>
      <c r="K186" s="362"/>
      <c r="L186" s="534">
        <v>1</v>
      </c>
      <c r="M186" s="362"/>
      <c r="N186" s="362"/>
      <c r="O186" s="534">
        <v>2</v>
      </c>
      <c r="P186" s="362"/>
      <c r="Q186" s="362"/>
      <c r="R186" s="534">
        <v>2</v>
      </c>
      <c r="S186" s="362"/>
      <c r="T186" s="362"/>
      <c r="U186" s="534">
        <v>2</v>
      </c>
      <c r="V186" s="362"/>
      <c r="W186" s="362"/>
      <c r="X186" s="534">
        <v>3</v>
      </c>
      <c r="Y186" s="362"/>
      <c r="Z186" s="362"/>
      <c r="AA186" s="534">
        <v>3</v>
      </c>
      <c r="AB186" s="362"/>
      <c r="AC186" s="362"/>
      <c r="AD186" s="534">
        <v>3</v>
      </c>
      <c r="AE186" s="362"/>
      <c r="AF186" s="362"/>
      <c r="AG186" s="534">
        <v>4</v>
      </c>
      <c r="AH186" s="362"/>
      <c r="AI186" s="362"/>
      <c r="AJ186" s="534">
        <v>4</v>
      </c>
      <c r="AK186" s="362"/>
      <c r="AL186" s="362"/>
      <c r="AM186" s="534">
        <v>4</v>
      </c>
      <c r="AN186" s="362"/>
      <c r="AO186" s="362"/>
      <c r="AP186" s="534">
        <v>5</v>
      </c>
      <c r="AQ186" s="362"/>
      <c r="AR186" s="362"/>
      <c r="AS186" s="534">
        <v>5</v>
      </c>
      <c r="AT186" s="362"/>
      <c r="AU186" s="362"/>
      <c r="AV186" s="534">
        <v>5</v>
      </c>
      <c r="AW186" s="362"/>
      <c r="AX186" s="362"/>
      <c r="AY186" s="534">
        <v>6</v>
      </c>
      <c r="AZ186" s="362"/>
      <c r="BA186" s="362"/>
      <c r="BB186" s="534">
        <v>6</v>
      </c>
      <c r="BC186" s="362"/>
      <c r="BD186" s="362"/>
      <c r="BE186" s="534">
        <v>6</v>
      </c>
      <c r="BF186" s="362"/>
      <c r="BG186" s="362"/>
      <c r="BH186" s="534">
        <v>7</v>
      </c>
      <c r="BI186" s="362"/>
      <c r="BJ186" s="362"/>
      <c r="BK186" s="534">
        <v>7</v>
      </c>
      <c r="BL186" s="362"/>
      <c r="BM186" s="362"/>
      <c r="BN186" s="534">
        <v>7</v>
      </c>
      <c r="BO186" s="362"/>
      <c r="BP186" s="362"/>
      <c r="BQ186" s="534">
        <v>8</v>
      </c>
      <c r="BR186" s="362"/>
      <c r="BS186" s="362"/>
      <c r="BT186" s="534">
        <v>8</v>
      </c>
      <c r="BU186" s="362"/>
      <c r="BV186" s="362"/>
      <c r="BW186" s="534">
        <v>8</v>
      </c>
      <c r="BX186" s="362"/>
      <c r="BY186" s="362"/>
      <c r="BZ186" s="534">
        <v>1</v>
      </c>
      <c r="CA186" s="362"/>
      <c r="CB186" s="534">
        <v>1</v>
      </c>
      <c r="CC186" s="362"/>
      <c r="CD186" s="534">
        <v>1</v>
      </c>
      <c r="CE186" s="362"/>
      <c r="CF186" s="534">
        <v>2</v>
      </c>
      <c r="CG186" s="362"/>
      <c r="CH186" s="534"/>
      <c r="CI186" s="362"/>
      <c r="CJ186" s="534"/>
      <c r="CK186" s="362"/>
      <c r="CL186" s="534">
        <v>3</v>
      </c>
      <c r="CM186" s="362"/>
      <c r="CN186" s="534"/>
      <c r="CO186" s="362"/>
      <c r="CP186" s="534"/>
      <c r="CQ186" s="362"/>
      <c r="CR186" s="534">
        <v>4</v>
      </c>
      <c r="CS186" s="362"/>
      <c r="CT186" s="534"/>
      <c r="CU186" s="362"/>
      <c r="CV186" s="534"/>
      <c r="CW186" s="362"/>
      <c r="CX186" s="534">
        <v>5</v>
      </c>
      <c r="CY186" s="362"/>
      <c r="CZ186" s="534"/>
      <c r="DA186" s="362"/>
      <c r="DB186" s="534"/>
      <c r="DC186" s="362"/>
      <c r="DD186" s="534">
        <v>6</v>
      </c>
      <c r="DE186" s="362"/>
      <c r="DF186" s="534"/>
      <c r="DG186" s="362"/>
      <c r="DH186" s="534"/>
      <c r="DI186" s="362"/>
      <c r="DJ186" s="534">
        <v>7</v>
      </c>
      <c r="DK186" s="362"/>
      <c r="DL186" s="534"/>
      <c r="DM186" s="362"/>
      <c r="DN186" s="534"/>
      <c r="DO186" s="362"/>
      <c r="DP186" s="534">
        <v>8</v>
      </c>
      <c r="DQ186" s="362"/>
      <c r="DR186" s="534"/>
      <c r="DS186" s="362"/>
      <c r="DT186" s="534"/>
      <c r="DV186" s="234"/>
      <c r="DW186" s="234"/>
      <c r="DX186" s="234"/>
      <c r="DY186" s="234"/>
      <c r="DZ186" s="234"/>
      <c r="EA186" s="234"/>
      <c r="EB186" s="234"/>
    </row>
    <row r="187" spans="2:132" x14ac:dyDescent="0.45">
      <c r="DV187" s="234"/>
      <c r="DW187" s="234"/>
      <c r="DX187" s="234"/>
      <c r="DY187" s="234"/>
      <c r="DZ187" s="234"/>
      <c r="EA187" s="234"/>
      <c r="EB187" s="234"/>
    </row>
    <row r="188" spans="2:132" x14ac:dyDescent="0.45">
      <c r="B188" s="521" t="s">
        <v>1427</v>
      </c>
      <c r="D188" s="309"/>
      <c r="E188" s="309"/>
      <c r="F188" s="525"/>
      <c r="G188" s="526"/>
      <c r="H188" s="526"/>
      <c r="I188" s="526"/>
      <c r="J188" s="526"/>
      <c r="K188" s="526"/>
      <c r="L188" s="526"/>
      <c r="M188" s="526"/>
      <c r="N188" s="533"/>
      <c r="O188" s="525"/>
      <c r="P188" s="526"/>
      <c r="Q188" s="526"/>
      <c r="R188" s="526"/>
      <c r="S188" s="526"/>
      <c r="T188" s="526"/>
      <c r="U188" s="526"/>
      <c r="V188" s="526"/>
      <c r="W188" s="533"/>
      <c r="X188" s="525"/>
      <c r="Y188" s="526"/>
      <c r="Z188" s="526"/>
      <c r="AA188" s="526"/>
      <c r="AB188" s="526"/>
      <c r="AC188" s="526"/>
      <c r="AD188" s="526"/>
      <c r="AE188" s="526"/>
      <c r="AF188" s="533"/>
      <c r="AG188" s="525"/>
      <c r="AH188" s="526"/>
      <c r="AI188" s="526"/>
      <c r="AJ188" s="526"/>
      <c r="AK188" s="526"/>
      <c r="AL188" s="526"/>
      <c r="AM188" s="526"/>
      <c r="AN188" s="526"/>
      <c r="AO188" s="533"/>
      <c r="AP188" s="525"/>
      <c r="AQ188" s="526"/>
      <c r="AR188" s="526"/>
      <c r="AS188" s="526"/>
      <c r="AT188" s="526"/>
      <c r="AU188" s="526"/>
      <c r="AV188" s="526"/>
      <c r="AW188" s="526"/>
      <c r="AX188" s="533"/>
      <c r="AY188" s="525"/>
      <c r="AZ188" s="526"/>
      <c r="BA188" s="526"/>
      <c r="BB188" s="526"/>
      <c r="BC188" s="526"/>
      <c r="BD188" s="526"/>
      <c r="BE188" s="526"/>
      <c r="BF188" s="526"/>
      <c r="BG188" s="533"/>
      <c r="BH188" s="525"/>
      <c r="BI188" s="526"/>
      <c r="BJ188" s="526"/>
      <c r="BK188" s="526"/>
      <c r="BL188" s="526"/>
      <c r="BM188" s="526"/>
      <c r="BN188" s="526"/>
      <c r="BO188" s="526"/>
      <c r="BP188" s="533"/>
      <c r="BQ188" s="525"/>
      <c r="BR188" s="526"/>
      <c r="BS188" s="526"/>
      <c r="BT188" s="526"/>
      <c r="BU188" s="526"/>
      <c r="BV188" s="526"/>
      <c r="BW188" s="526"/>
      <c r="BX188" s="526"/>
      <c r="BY188" s="533"/>
      <c r="BZ188" s="363"/>
      <c r="CA188" s="364"/>
      <c r="CB188" s="364"/>
      <c r="CC188" s="364"/>
      <c r="CD188" s="364"/>
      <c r="CE188" s="365"/>
      <c r="CF188" s="366"/>
      <c r="CG188" s="367"/>
      <c r="CH188" s="367"/>
      <c r="CI188" s="367"/>
      <c r="CJ188" s="367"/>
      <c r="CK188" s="368"/>
      <c r="CL188" s="366"/>
      <c r="CM188" s="367"/>
      <c r="CN188" s="367"/>
      <c r="CO188" s="367"/>
      <c r="CP188" s="367"/>
      <c r="CQ188" s="368"/>
      <c r="CR188" s="366"/>
      <c r="CS188" s="367"/>
      <c r="CT188" s="367"/>
      <c r="CU188" s="367"/>
      <c r="CV188" s="367"/>
      <c r="CW188" s="368"/>
      <c r="CX188" s="366"/>
      <c r="CY188" s="367"/>
      <c r="CZ188" s="367"/>
      <c r="DA188" s="367"/>
      <c r="DB188" s="367"/>
      <c r="DC188" s="368"/>
      <c r="DD188" s="366"/>
      <c r="DE188" s="367"/>
      <c r="DF188" s="367"/>
      <c r="DG188" s="367"/>
      <c r="DH188" s="367"/>
      <c r="DI188" s="368"/>
      <c r="DJ188" s="366"/>
      <c r="DK188" s="367"/>
      <c r="DL188" s="367"/>
      <c r="DM188" s="367"/>
      <c r="DN188" s="367"/>
      <c r="DO188" s="368"/>
      <c r="DP188" s="366"/>
      <c r="DQ188" s="367"/>
      <c r="DR188" s="367"/>
      <c r="DS188" s="367"/>
      <c r="DT188" s="367"/>
      <c r="DV188" s="234"/>
      <c r="DW188" s="234"/>
      <c r="DX188" s="234"/>
      <c r="DY188" s="234"/>
      <c r="DZ188" s="234"/>
      <c r="EA188" s="234"/>
      <c r="EB188" s="234"/>
    </row>
    <row r="189" spans="2:132" x14ac:dyDescent="0.45">
      <c r="B189" s="521" t="s">
        <v>1428</v>
      </c>
      <c r="D189" s="309"/>
      <c r="E189" s="309"/>
      <c r="F189" s="308"/>
      <c r="G189" s="309"/>
      <c r="H189" s="309"/>
      <c r="I189" s="309"/>
      <c r="J189" s="309"/>
      <c r="K189" s="309"/>
      <c r="L189" s="309"/>
      <c r="M189" s="309"/>
      <c r="N189" s="310"/>
      <c r="O189" s="525"/>
      <c r="P189" s="526"/>
      <c r="Q189" s="526"/>
      <c r="R189" s="526"/>
      <c r="S189" s="526"/>
      <c r="T189" s="526"/>
      <c r="U189" s="526"/>
      <c r="V189" s="526"/>
      <c r="W189" s="533"/>
      <c r="X189" s="525"/>
      <c r="Y189" s="526"/>
      <c r="Z189" s="526"/>
      <c r="AA189" s="526"/>
      <c r="AB189" s="526"/>
      <c r="AC189" s="526"/>
      <c r="AD189" s="526"/>
      <c r="AE189" s="526"/>
      <c r="AF189" s="533"/>
      <c r="AG189" s="525"/>
      <c r="AH189" s="526"/>
      <c r="AI189" s="526"/>
      <c r="AJ189" s="526"/>
      <c r="AK189" s="526"/>
      <c r="AL189" s="526"/>
      <c r="AM189" s="526"/>
      <c r="AN189" s="526"/>
      <c r="AO189" s="533"/>
      <c r="AP189" s="525"/>
      <c r="AQ189" s="526"/>
      <c r="AR189" s="526"/>
      <c r="AS189" s="526"/>
      <c r="AT189" s="526"/>
      <c r="AU189" s="526"/>
      <c r="AV189" s="526"/>
      <c r="AW189" s="526"/>
      <c r="AX189" s="533"/>
      <c r="AY189" s="525"/>
      <c r="AZ189" s="526"/>
      <c r="BA189" s="526"/>
      <c r="BB189" s="526"/>
      <c r="BC189" s="526"/>
      <c r="BD189" s="526"/>
      <c r="BE189" s="526"/>
      <c r="BF189" s="526"/>
      <c r="BG189" s="533"/>
      <c r="BH189" s="525"/>
      <c r="BI189" s="526"/>
      <c r="BJ189" s="526"/>
      <c r="BK189" s="526"/>
      <c r="BL189" s="526"/>
      <c r="BM189" s="526"/>
      <c r="BN189" s="526"/>
      <c r="BO189" s="526"/>
      <c r="BP189" s="533"/>
      <c r="BQ189" s="525"/>
      <c r="BR189" s="526"/>
      <c r="BS189" s="526"/>
      <c r="BT189" s="526"/>
      <c r="BU189" s="526"/>
      <c r="BV189" s="526"/>
      <c r="BW189" s="526"/>
      <c r="BX189" s="526"/>
      <c r="BY189" s="526"/>
      <c r="BZ189" s="527"/>
      <c r="CA189" s="528"/>
      <c r="CB189" s="528"/>
      <c r="CC189" s="528"/>
      <c r="CD189" s="528"/>
      <c r="CE189" s="529"/>
      <c r="CF189" s="366"/>
      <c r="CG189" s="367"/>
      <c r="CH189" s="367"/>
      <c r="CI189" s="367"/>
      <c r="CJ189" s="367"/>
      <c r="CK189" s="368"/>
      <c r="CL189" s="366"/>
      <c r="CM189" s="367"/>
      <c r="CN189" s="367"/>
      <c r="CO189" s="367"/>
      <c r="CP189" s="367"/>
      <c r="CQ189" s="368"/>
      <c r="CR189" s="366"/>
      <c r="CS189" s="367"/>
      <c r="CT189" s="367"/>
      <c r="CU189" s="367"/>
      <c r="CV189" s="367"/>
      <c r="CW189" s="368"/>
      <c r="CX189" s="366"/>
      <c r="CY189" s="367"/>
      <c r="CZ189" s="367"/>
      <c r="DA189" s="367"/>
      <c r="DB189" s="367"/>
      <c r="DC189" s="368"/>
      <c r="DD189" s="366"/>
      <c r="DE189" s="367"/>
      <c r="DF189" s="367"/>
      <c r="DG189" s="367"/>
      <c r="DH189" s="367"/>
      <c r="DI189" s="368"/>
      <c r="DJ189" s="366"/>
      <c r="DK189" s="367"/>
      <c r="DL189" s="367"/>
      <c r="DM189" s="367"/>
      <c r="DN189" s="367"/>
      <c r="DO189" s="368"/>
      <c r="DP189" s="366"/>
      <c r="DQ189" s="367"/>
      <c r="DR189" s="367"/>
      <c r="DS189" s="367"/>
      <c r="DT189" s="367"/>
      <c r="DV189" s="234"/>
      <c r="DW189" s="234"/>
      <c r="DX189" s="234"/>
      <c r="DY189" s="234"/>
      <c r="DZ189" s="234"/>
      <c r="EA189" s="234"/>
      <c r="EB189" s="234"/>
    </row>
    <row r="190" spans="2:132" x14ac:dyDescent="0.45">
      <c r="B190" s="521" t="s">
        <v>1429</v>
      </c>
      <c r="D190" s="309"/>
      <c r="E190" s="309"/>
      <c r="F190" s="308"/>
      <c r="G190" s="309"/>
      <c r="H190" s="309"/>
      <c r="I190" s="309"/>
      <c r="J190" s="309"/>
      <c r="K190" s="309"/>
      <c r="L190" s="309"/>
      <c r="M190" s="309"/>
      <c r="N190" s="310"/>
      <c r="O190" s="308"/>
      <c r="P190" s="309"/>
      <c r="Q190" s="309"/>
      <c r="R190" s="309"/>
      <c r="S190" s="309"/>
      <c r="T190" s="309"/>
      <c r="U190" s="309"/>
      <c r="V190" s="309"/>
      <c r="W190" s="310"/>
      <c r="X190" s="525"/>
      <c r="Y190" s="526"/>
      <c r="Z190" s="526"/>
      <c r="AA190" s="526"/>
      <c r="AB190" s="526"/>
      <c r="AC190" s="526"/>
      <c r="AD190" s="526"/>
      <c r="AE190" s="526"/>
      <c r="AF190" s="533"/>
      <c r="AG190" s="525"/>
      <c r="AH190" s="526"/>
      <c r="AI190" s="526"/>
      <c r="AJ190" s="526"/>
      <c r="AK190" s="526"/>
      <c r="AL190" s="526"/>
      <c r="AM190" s="526"/>
      <c r="AN190" s="526"/>
      <c r="AO190" s="533"/>
      <c r="AP190" s="525"/>
      <c r="AQ190" s="526"/>
      <c r="AR190" s="526"/>
      <c r="AS190" s="526"/>
      <c r="AT190" s="526"/>
      <c r="AU190" s="526"/>
      <c r="AV190" s="526"/>
      <c r="AW190" s="526"/>
      <c r="AX190" s="533"/>
      <c r="AY190" s="525"/>
      <c r="AZ190" s="526"/>
      <c r="BA190" s="526"/>
      <c r="BB190" s="526"/>
      <c r="BC190" s="526"/>
      <c r="BD190" s="526"/>
      <c r="BE190" s="526"/>
      <c r="BF190" s="526"/>
      <c r="BG190" s="533"/>
      <c r="BH190" s="525"/>
      <c r="BI190" s="526"/>
      <c r="BJ190" s="526"/>
      <c r="BK190" s="526"/>
      <c r="BL190" s="526"/>
      <c r="BM190" s="526"/>
      <c r="BN190" s="526"/>
      <c r="BO190" s="526"/>
      <c r="BP190" s="533"/>
      <c r="BQ190" s="525"/>
      <c r="BR190" s="526"/>
      <c r="BS190" s="526"/>
      <c r="BT190" s="526"/>
      <c r="BU190" s="526"/>
      <c r="BV190" s="526"/>
      <c r="BW190" s="526"/>
      <c r="BX190" s="526"/>
      <c r="BY190" s="526"/>
      <c r="BZ190" s="527"/>
      <c r="CA190" s="528"/>
      <c r="CB190" s="528"/>
      <c r="CC190" s="528"/>
      <c r="CD190" s="528"/>
      <c r="CE190" s="529"/>
      <c r="CF190" s="527"/>
      <c r="CG190" s="528"/>
      <c r="CH190" s="528"/>
      <c r="CI190" s="528"/>
      <c r="CJ190" s="528"/>
      <c r="CK190" s="529"/>
      <c r="CL190" s="366"/>
      <c r="CM190" s="367"/>
      <c r="CN190" s="367"/>
      <c r="CO190" s="367"/>
      <c r="CP190" s="367"/>
      <c r="CQ190" s="368"/>
      <c r="CR190" s="366"/>
      <c r="CS190" s="367"/>
      <c r="CT190" s="367"/>
      <c r="CU190" s="367"/>
      <c r="CV190" s="367"/>
      <c r="CW190" s="368"/>
      <c r="CX190" s="366"/>
      <c r="CY190" s="367"/>
      <c r="CZ190" s="367"/>
      <c r="DA190" s="367"/>
      <c r="DB190" s="367"/>
      <c r="DC190" s="368"/>
      <c r="DD190" s="366"/>
      <c r="DE190" s="367"/>
      <c r="DF190" s="367"/>
      <c r="DG190" s="367"/>
      <c r="DH190" s="367"/>
      <c r="DI190" s="368"/>
      <c r="DJ190" s="366"/>
      <c r="DK190" s="367"/>
      <c r="DL190" s="367"/>
      <c r="DM190" s="367"/>
      <c r="DN190" s="367"/>
      <c r="DO190" s="368"/>
      <c r="DP190" s="366"/>
      <c r="DQ190" s="367"/>
      <c r="DR190" s="367"/>
      <c r="DS190" s="367"/>
      <c r="DT190" s="367"/>
      <c r="DV190" s="234"/>
      <c r="DW190" s="234"/>
      <c r="DX190" s="234"/>
      <c r="DY190" s="234"/>
      <c r="DZ190" s="234"/>
      <c r="EA190" s="234"/>
      <c r="EB190" s="234"/>
    </row>
    <row r="191" spans="2:132" x14ac:dyDescent="0.45">
      <c r="DV191" s="234"/>
      <c r="DW191" s="234"/>
      <c r="DX191" s="234"/>
      <c r="DY191" s="234"/>
      <c r="DZ191" s="234"/>
      <c r="EA191" s="234"/>
      <c r="EB191" s="234"/>
    </row>
    <row r="192" spans="2:132" x14ac:dyDescent="0.45">
      <c r="B192" s="521" t="s">
        <v>1430</v>
      </c>
      <c r="D192" s="309"/>
      <c r="E192" s="309"/>
      <c r="F192" s="308"/>
      <c r="G192" s="309"/>
      <c r="H192" s="309"/>
      <c r="I192" s="309"/>
      <c r="J192" s="309"/>
      <c r="K192" s="309"/>
      <c r="L192" s="309"/>
      <c r="M192" s="309"/>
      <c r="N192" s="310"/>
      <c r="O192" s="308"/>
      <c r="P192" s="309"/>
      <c r="Q192" s="309"/>
      <c r="R192" s="309"/>
      <c r="S192" s="309"/>
      <c r="T192" s="309"/>
      <c r="U192" s="309"/>
      <c r="V192" s="309"/>
      <c r="W192" s="310"/>
      <c r="X192" s="308"/>
      <c r="Y192" s="309"/>
      <c r="Z192" s="309"/>
      <c r="AA192" s="309"/>
      <c r="AB192" s="309"/>
      <c r="AC192" s="309"/>
      <c r="AD192" s="309"/>
      <c r="AE192" s="309"/>
      <c r="AF192" s="310"/>
      <c r="AG192" s="308"/>
      <c r="AH192" s="309"/>
      <c r="AI192" s="309"/>
      <c r="AJ192" s="309"/>
      <c r="AK192" s="309"/>
      <c r="AL192" s="309"/>
      <c r="AM192" s="309"/>
      <c r="AN192" s="309"/>
      <c r="AO192" s="310"/>
      <c r="AP192" s="308"/>
      <c r="AQ192" s="309"/>
      <c r="AR192" s="309"/>
      <c r="AS192" s="309"/>
      <c r="AT192" s="309"/>
      <c r="AU192" s="309"/>
      <c r="AV192" s="309"/>
      <c r="AW192" s="309"/>
      <c r="AX192" s="310"/>
      <c r="AY192" s="308"/>
      <c r="AZ192" s="309"/>
      <c r="BA192" s="309"/>
      <c r="BB192" s="309"/>
      <c r="BC192" s="309"/>
      <c r="BD192" s="309"/>
      <c r="BE192" s="309"/>
      <c r="BF192" s="309"/>
      <c r="BG192" s="310"/>
      <c r="BH192" s="308"/>
      <c r="BI192" s="309"/>
      <c r="BJ192" s="309"/>
      <c r="BK192" s="309"/>
      <c r="BL192" s="309"/>
      <c r="BM192" s="309"/>
      <c r="BN192" s="309"/>
      <c r="BO192" s="309"/>
      <c r="BP192" s="310"/>
      <c r="BQ192" s="525"/>
      <c r="BR192" s="526"/>
      <c r="BS192" s="526"/>
      <c r="BT192" s="526"/>
      <c r="BU192" s="526"/>
      <c r="BV192" s="526"/>
      <c r="BW192" s="526"/>
      <c r="BX192" s="526"/>
      <c r="BY192" s="526"/>
      <c r="BZ192" s="527"/>
      <c r="CA192" s="528"/>
      <c r="CB192" s="528"/>
      <c r="CC192" s="528"/>
      <c r="CD192" s="528"/>
      <c r="CE192" s="529"/>
      <c r="CF192" s="527"/>
      <c r="CG192" s="528"/>
      <c r="CH192" s="528"/>
      <c r="CI192" s="528"/>
      <c r="CJ192" s="528"/>
      <c r="CK192" s="529"/>
      <c r="CL192" s="527"/>
      <c r="CM192" s="528"/>
      <c r="CN192" s="528"/>
      <c r="CO192" s="528"/>
      <c r="CP192" s="528"/>
      <c r="CQ192" s="529"/>
      <c r="CR192" s="530"/>
      <c r="CS192" s="531"/>
      <c r="CT192" s="531"/>
      <c r="CU192" s="531"/>
      <c r="CV192" s="531"/>
      <c r="CW192" s="532"/>
      <c r="CX192" s="530"/>
      <c r="CY192" s="531"/>
      <c r="CZ192" s="531"/>
      <c r="DA192" s="531"/>
      <c r="DB192" s="531"/>
      <c r="DC192" s="532"/>
      <c r="DD192" s="530"/>
      <c r="DE192" s="531"/>
      <c r="DF192" s="531"/>
      <c r="DG192" s="531"/>
      <c r="DH192" s="531"/>
      <c r="DI192" s="532"/>
      <c r="DJ192" s="530"/>
      <c r="DK192" s="531"/>
      <c r="DL192" s="531"/>
      <c r="DM192" s="531"/>
      <c r="DN192" s="531"/>
      <c r="DO192" s="532"/>
      <c r="DP192" s="366"/>
      <c r="DQ192" s="367"/>
      <c r="DR192" s="367"/>
      <c r="DS192" s="367"/>
      <c r="DT192" s="367"/>
      <c r="DV192" s="234"/>
      <c r="DW192" s="234"/>
      <c r="DX192" s="234"/>
      <c r="DY192" s="234"/>
      <c r="DZ192" s="234"/>
      <c r="EA192" s="234"/>
      <c r="EB192" s="234"/>
    </row>
    <row r="193" spans="2:132" x14ac:dyDescent="0.45">
      <c r="DV193" s="234"/>
      <c r="DW193" s="234"/>
      <c r="DX193" s="234"/>
      <c r="DY193" s="234"/>
      <c r="DZ193" s="234"/>
      <c r="EA193" s="234"/>
      <c r="EB193" s="234"/>
    </row>
    <row r="194" spans="2:132" x14ac:dyDescent="0.45">
      <c r="B194" s="623" t="s">
        <v>2084</v>
      </c>
      <c r="C194" s="615"/>
      <c r="D194" s="616"/>
      <c r="E194" s="616"/>
      <c r="F194" s="616"/>
      <c r="G194" s="616"/>
      <c r="H194" s="616"/>
      <c r="I194" s="616"/>
      <c r="J194" s="616"/>
      <c r="K194" s="616"/>
      <c r="L194" s="616"/>
      <c r="M194" s="616"/>
      <c r="N194" s="616"/>
      <c r="O194" s="616"/>
      <c r="P194" s="616"/>
      <c r="Q194" s="616"/>
      <c r="R194" s="616"/>
      <c r="S194" s="616"/>
      <c r="T194" s="616"/>
      <c r="U194" s="616"/>
      <c r="V194" s="616"/>
      <c r="W194" s="616"/>
      <c r="X194" s="616"/>
      <c r="Y194" s="616"/>
      <c r="Z194" s="616"/>
      <c r="AA194" s="616"/>
      <c r="AB194" s="616"/>
      <c r="AC194" s="616"/>
      <c r="AD194" s="616"/>
      <c r="AE194" s="616"/>
      <c r="AF194" s="616"/>
      <c r="AG194" s="616"/>
      <c r="AH194" s="616"/>
      <c r="AI194" s="616"/>
      <c r="AJ194" s="616"/>
      <c r="AK194" s="616"/>
      <c r="AL194" s="616"/>
      <c r="AM194" s="616"/>
      <c r="AN194" s="616"/>
      <c r="AO194" s="616"/>
      <c r="AP194" s="616"/>
      <c r="AQ194" s="616"/>
      <c r="AR194" s="616"/>
      <c r="AS194" s="616"/>
      <c r="AT194" s="616"/>
      <c r="AU194" s="616"/>
      <c r="AV194" s="616"/>
      <c r="AW194" s="616"/>
      <c r="AX194" s="616"/>
      <c r="AY194" s="616"/>
      <c r="AZ194" s="616"/>
      <c r="BA194" s="616"/>
      <c r="BB194" s="616"/>
      <c r="BC194" s="616"/>
      <c r="BD194" s="616"/>
      <c r="BE194" s="616"/>
      <c r="BF194" s="616"/>
      <c r="BG194" s="616"/>
      <c r="BH194" s="616"/>
      <c r="BI194" s="616"/>
      <c r="BJ194" s="616"/>
      <c r="BK194" s="616"/>
      <c r="BL194" s="616"/>
      <c r="BM194" s="616"/>
      <c r="BN194" s="616"/>
      <c r="BO194" s="616"/>
      <c r="BP194" s="616"/>
      <c r="BQ194" s="616"/>
      <c r="BR194" s="616"/>
      <c r="BS194" s="616"/>
      <c r="BT194" s="616"/>
      <c r="BU194" s="616"/>
      <c r="BV194" s="616"/>
      <c r="BW194" s="616"/>
      <c r="BX194" s="614"/>
      <c r="BY194" s="614"/>
      <c r="BZ194" s="614"/>
      <c r="CA194" s="614"/>
      <c r="CB194" s="614"/>
      <c r="CC194" s="614"/>
      <c r="CD194" s="614"/>
      <c r="CE194" s="614"/>
      <c r="CF194" s="614"/>
      <c r="CG194" s="614"/>
      <c r="CH194" s="614"/>
      <c r="CI194" s="614"/>
      <c r="CJ194" s="614"/>
      <c r="CK194" s="614"/>
      <c r="CL194" s="614"/>
      <c r="CM194" s="614"/>
      <c r="CN194" s="614"/>
      <c r="CO194" s="614"/>
      <c r="CP194" s="614"/>
      <c r="CQ194" s="614"/>
      <c r="CR194" s="614"/>
      <c r="CS194" s="614"/>
      <c r="CT194" s="614"/>
      <c r="CU194" s="614"/>
      <c r="CV194" s="614"/>
      <c r="CW194" s="614"/>
      <c r="CX194" s="614"/>
      <c r="CY194" s="614"/>
      <c r="CZ194" s="614"/>
      <c r="DA194" s="614"/>
      <c r="DB194" s="614"/>
      <c r="DC194" s="614"/>
      <c r="DD194" s="614"/>
      <c r="DE194" s="614"/>
      <c r="DF194" s="614"/>
      <c r="DG194" s="614"/>
      <c r="DH194" s="614"/>
      <c r="DI194" s="614"/>
      <c r="DJ194" s="614"/>
      <c r="DK194" s="614"/>
      <c r="DL194" s="614"/>
      <c r="DM194" s="614"/>
      <c r="DN194" s="614"/>
      <c r="DO194" s="614"/>
      <c r="DP194" s="614"/>
      <c r="DQ194" s="614"/>
      <c r="DR194" s="614"/>
      <c r="DS194" s="614"/>
      <c r="DT194" s="614"/>
      <c r="DV194" s="234"/>
      <c r="DW194" s="234"/>
      <c r="DX194" s="234"/>
      <c r="DY194" s="234"/>
      <c r="DZ194" s="234"/>
      <c r="EA194" s="234"/>
      <c r="EB194" s="234"/>
    </row>
    <row r="195" spans="2:132" x14ac:dyDescent="0.45">
      <c r="B195" s="521" t="s">
        <v>1426</v>
      </c>
      <c r="D195" s="250"/>
      <c r="E195" s="250"/>
      <c r="F195" s="535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  <c r="Y195" s="250"/>
      <c r="Z195" s="250"/>
      <c r="AA195" s="250"/>
      <c r="AB195" s="250"/>
      <c r="AC195" s="250"/>
      <c r="AD195" s="250"/>
      <c r="AE195" s="250"/>
      <c r="AF195" s="250"/>
      <c r="AG195" s="250"/>
      <c r="AH195" s="250"/>
      <c r="AI195" s="250"/>
      <c r="AJ195" s="250"/>
      <c r="AK195" s="250"/>
      <c r="AL195" s="250"/>
      <c r="AM195" s="250"/>
      <c r="AN195" s="250"/>
      <c r="AO195" s="250"/>
      <c r="AP195" s="250"/>
      <c r="AQ195" s="250"/>
      <c r="AR195" s="250"/>
      <c r="AS195" s="250"/>
      <c r="AT195" s="250"/>
      <c r="AU195" s="250"/>
      <c r="AV195" s="250"/>
      <c r="AW195" s="250"/>
      <c r="AX195" s="250"/>
      <c r="AY195" s="250"/>
      <c r="AZ195" s="250"/>
      <c r="BA195" s="250"/>
      <c r="BB195" s="250"/>
      <c r="BC195" s="250"/>
      <c r="BD195" s="250"/>
      <c r="BE195" s="250"/>
      <c r="BF195" s="250"/>
      <c r="BG195" s="250"/>
      <c r="BH195" s="250"/>
      <c r="BI195" s="250"/>
      <c r="BJ195" s="250"/>
      <c r="BK195" s="250"/>
      <c r="BL195" s="250"/>
      <c r="BM195" s="250"/>
      <c r="BN195" s="250"/>
      <c r="BO195" s="250"/>
      <c r="BP195" s="250"/>
      <c r="BQ195" s="250"/>
      <c r="BR195" s="250"/>
      <c r="BS195" s="250"/>
      <c r="BT195" s="250"/>
      <c r="BU195" s="250"/>
      <c r="BV195" s="250"/>
      <c r="BW195" s="250"/>
      <c r="BX195" s="250"/>
      <c r="BY195" s="250"/>
      <c r="BZ195" s="250"/>
      <c r="CA195" s="250"/>
      <c r="CB195" s="250"/>
      <c r="CC195" s="250"/>
      <c r="CD195" s="250"/>
      <c r="CE195" s="260"/>
      <c r="CF195" s="260"/>
      <c r="CG195" s="260"/>
      <c r="CH195" s="535"/>
      <c r="CI195" s="260"/>
      <c r="CJ195" s="260"/>
      <c r="CK195" s="260"/>
      <c r="CL195" s="260"/>
      <c r="CM195" s="260"/>
      <c r="CN195" s="260"/>
      <c r="CO195" s="260"/>
      <c r="CP195" s="260"/>
      <c r="CQ195" s="260"/>
      <c r="CR195" s="260"/>
      <c r="CS195" s="260"/>
      <c r="CT195" s="260"/>
      <c r="CU195" s="260"/>
      <c r="CV195" s="260"/>
      <c r="CW195" s="260"/>
      <c r="CX195" s="260"/>
      <c r="CY195" s="260"/>
      <c r="CZ195" s="260"/>
      <c r="DA195" s="260"/>
      <c r="DB195" s="260"/>
      <c r="DC195" s="260"/>
      <c r="DD195" s="260"/>
      <c r="DE195" s="260"/>
      <c r="DF195" s="260"/>
      <c r="DG195" s="260"/>
      <c r="DH195" s="260"/>
      <c r="DI195" s="260"/>
      <c r="DJ195" s="260"/>
      <c r="DK195" s="260"/>
      <c r="DL195" s="260"/>
      <c r="DM195" s="260"/>
      <c r="DN195" s="260"/>
      <c r="DO195" s="260"/>
      <c r="DP195" s="260"/>
      <c r="DQ195" s="260"/>
      <c r="DR195" s="260"/>
      <c r="DS195" s="260"/>
      <c r="DT195" s="260"/>
      <c r="DV195" s="234"/>
      <c r="DW195" s="234"/>
      <c r="DX195" s="234"/>
      <c r="DY195" s="234"/>
      <c r="DZ195" s="234"/>
      <c r="EA195" s="234"/>
      <c r="EB195" s="234"/>
    </row>
    <row r="196" spans="2:132" x14ac:dyDescent="0.45">
      <c r="BZ196" s="246"/>
      <c r="DV196" s="234"/>
      <c r="DW196" s="234"/>
      <c r="DX196" s="234"/>
      <c r="DY196" s="234"/>
      <c r="DZ196" s="234"/>
      <c r="EA196" s="234"/>
      <c r="EB196" s="234"/>
    </row>
    <row r="197" spans="2:132" x14ac:dyDescent="0.45">
      <c r="DV197" s="234"/>
      <c r="DW197" s="234"/>
      <c r="DX197" s="234"/>
      <c r="DY197" s="234"/>
      <c r="DZ197" s="234"/>
      <c r="EA197" s="234"/>
      <c r="EB197" s="234"/>
    </row>
    <row r="198" spans="2:132" x14ac:dyDescent="0.45">
      <c r="B198" s="521" t="s">
        <v>2082</v>
      </c>
      <c r="D198" s="250"/>
      <c r="E198" s="250"/>
      <c r="F198" s="534">
        <v>1</v>
      </c>
      <c r="G198" s="362"/>
      <c r="H198" s="362"/>
      <c r="I198" s="362"/>
      <c r="J198" s="362"/>
      <c r="K198" s="534">
        <v>1</v>
      </c>
      <c r="L198" s="362"/>
      <c r="M198" s="362"/>
      <c r="N198" s="362"/>
      <c r="O198" s="362"/>
      <c r="P198" s="534">
        <v>2</v>
      </c>
      <c r="Q198" s="362"/>
      <c r="R198" s="362"/>
      <c r="S198" s="362"/>
      <c r="T198" s="362"/>
      <c r="U198" s="534">
        <v>2</v>
      </c>
      <c r="V198" s="362"/>
      <c r="W198" s="362"/>
      <c r="X198" s="362"/>
      <c r="Y198" s="362"/>
      <c r="Z198" s="534">
        <v>3</v>
      </c>
      <c r="AA198" s="362"/>
      <c r="AB198" s="362"/>
      <c r="AC198" s="362"/>
      <c r="AD198" s="362"/>
      <c r="AE198" s="534">
        <v>3</v>
      </c>
      <c r="AF198" s="362"/>
      <c r="AG198" s="362"/>
      <c r="AH198" s="362"/>
      <c r="AI198" s="362"/>
      <c r="AJ198" s="534">
        <v>4</v>
      </c>
      <c r="AK198" s="362"/>
      <c r="AL198" s="362"/>
      <c r="AM198" s="362"/>
      <c r="AN198" s="362"/>
      <c r="AO198" s="534">
        <v>4</v>
      </c>
      <c r="AP198" s="362"/>
      <c r="AQ198" s="362"/>
      <c r="AR198" s="362"/>
      <c r="AS198" s="362"/>
      <c r="AT198" s="534">
        <v>5</v>
      </c>
      <c r="AU198" s="362"/>
      <c r="AV198" s="362"/>
      <c r="AW198" s="362"/>
      <c r="AX198" s="362"/>
      <c r="AY198" s="534">
        <v>5</v>
      </c>
      <c r="AZ198" s="362"/>
      <c r="BA198" s="362"/>
      <c r="BB198" s="362"/>
      <c r="BC198" s="362"/>
      <c r="BD198" s="534">
        <v>6</v>
      </c>
      <c r="BE198" s="362"/>
      <c r="BF198" s="362"/>
      <c r="BG198" s="362"/>
      <c r="BH198" s="362"/>
      <c r="BI198" s="534">
        <v>6</v>
      </c>
      <c r="BJ198" s="362"/>
      <c r="BK198" s="362"/>
      <c r="BL198" s="362"/>
      <c r="BM198" s="362"/>
      <c r="BN198" s="534">
        <v>7</v>
      </c>
      <c r="BO198" s="362"/>
      <c r="BP198" s="362"/>
      <c r="BQ198" s="362"/>
      <c r="BR198" s="362"/>
      <c r="BS198" s="534">
        <v>7</v>
      </c>
      <c r="BT198" s="362"/>
      <c r="BU198" s="362"/>
      <c r="BV198" s="362"/>
      <c r="BW198" s="362"/>
      <c r="BX198" s="534">
        <v>8</v>
      </c>
      <c r="BY198" s="362"/>
      <c r="BZ198" s="362"/>
      <c r="CA198" s="362"/>
      <c r="CB198" s="362"/>
      <c r="CC198" s="534">
        <v>8</v>
      </c>
      <c r="CD198" s="362"/>
      <c r="CE198" s="362"/>
      <c r="CF198" s="362"/>
      <c r="CG198" s="362"/>
      <c r="CH198" s="534">
        <v>1</v>
      </c>
      <c r="CI198" s="362"/>
      <c r="CJ198" s="362"/>
      <c r="CK198" s="534">
        <v>1</v>
      </c>
      <c r="CL198" s="362"/>
      <c r="CM198" s="362"/>
      <c r="CN198" s="534">
        <v>2</v>
      </c>
      <c r="CO198" s="362"/>
      <c r="CP198" s="362"/>
      <c r="CQ198" s="534">
        <v>2</v>
      </c>
      <c r="CR198" s="362"/>
      <c r="CS198" s="362"/>
      <c r="CT198" s="534">
        <v>3</v>
      </c>
      <c r="CU198" s="362"/>
      <c r="CV198" s="362"/>
      <c r="CW198" s="534">
        <v>3</v>
      </c>
      <c r="CX198" s="362"/>
      <c r="CY198" s="362"/>
      <c r="CZ198" s="534">
        <v>4</v>
      </c>
      <c r="DA198" s="362"/>
      <c r="DB198" s="362"/>
      <c r="DC198" s="534">
        <v>4</v>
      </c>
      <c r="DD198" s="362"/>
      <c r="DE198" s="362"/>
      <c r="DF198" s="534">
        <v>5</v>
      </c>
      <c r="DG198" s="362"/>
      <c r="DH198" s="362"/>
      <c r="DI198" s="534">
        <v>5</v>
      </c>
      <c r="DJ198" s="362"/>
      <c r="DK198" s="362"/>
      <c r="DL198" s="534">
        <v>6</v>
      </c>
      <c r="DM198" s="362"/>
      <c r="DN198" s="362"/>
      <c r="DO198" s="534">
        <v>6</v>
      </c>
      <c r="DP198" s="362"/>
      <c r="DQ198" s="362"/>
      <c r="DR198" s="534">
        <v>7</v>
      </c>
      <c r="DS198" s="362"/>
      <c r="DT198" s="362"/>
      <c r="DV198" s="234"/>
      <c r="DW198" s="234"/>
      <c r="DX198" s="234"/>
      <c r="DY198" s="234"/>
      <c r="DZ198" s="234"/>
      <c r="EA198" s="234"/>
      <c r="EB198" s="234"/>
    </row>
    <row r="199" spans="2:132" x14ac:dyDescent="0.45">
      <c r="DV199" s="234"/>
      <c r="DW199" s="234"/>
      <c r="DX199" s="234"/>
      <c r="DY199" s="234"/>
      <c r="DZ199" s="234"/>
      <c r="EA199" s="234"/>
      <c r="EB199" s="234"/>
    </row>
    <row r="200" spans="2:132" x14ac:dyDescent="0.45">
      <c r="B200" s="521" t="s">
        <v>1427</v>
      </c>
      <c r="D200" s="309"/>
      <c r="E200" s="309"/>
      <c r="F200" s="525"/>
      <c r="G200" s="526"/>
      <c r="H200" s="526"/>
      <c r="I200" s="526"/>
      <c r="J200" s="526"/>
      <c r="K200" s="526"/>
      <c r="L200" s="526"/>
      <c r="M200" s="526"/>
      <c r="N200" s="526"/>
      <c r="O200" s="533"/>
      <c r="P200" s="525"/>
      <c r="Q200" s="526"/>
      <c r="R200" s="526"/>
      <c r="S200" s="526"/>
      <c r="T200" s="526"/>
      <c r="U200" s="526"/>
      <c r="V200" s="526"/>
      <c r="W200" s="526"/>
      <c r="X200" s="526"/>
      <c r="Y200" s="533"/>
      <c r="Z200" s="525"/>
      <c r="AA200" s="526"/>
      <c r="AB200" s="526"/>
      <c r="AC200" s="526"/>
      <c r="AD200" s="526"/>
      <c r="AE200" s="526"/>
      <c r="AF200" s="526"/>
      <c r="AG200" s="526"/>
      <c r="AH200" s="526"/>
      <c r="AI200" s="533"/>
      <c r="AJ200" s="525"/>
      <c r="AK200" s="526"/>
      <c r="AL200" s="526"/>
      <c r="AM200" s="526"/>
      <c r="AN200" s="526"/>
      <c r="AO200" s="526"/>
      <c r="AP200" s="526"/>
      <c r="AQ200" s="526"/>
      <c r="AR200" s="526"/>
      <c r="AS200" s="533"/>
      <c r="AT200" s="525"/>
      <c r="AU200" s="526"/>
      <c r="AV200" s="526"/>
      <c r="AW200" s="526"/>
      <c r="AX200" s="526"/>
      <c r="AY200" s="526"/>
      <c r="AZ200" s="526"/>
      <c r="BA200" s="526"/>
      <c r="BB200" s="526"/>
      <c r="BC200" s="533"/>
      <c r="BD200" s="525"/>
      <c r="BE200" s="526"/>
      <c r="BF200" s="526"/>
      <c r="BG200" s="526"/>
      <c r="BH200" s="526"/>
      <c r="BI200" s="526"/>
      <c r="BJ200" s="526"/>
      <c r="BK200" s="526"/>
      <c r="BL200" s="526"/>
      <c r="BM200" s="533"/>
      <c r="BN200" s="525"/>
      <c r="BO200" s="526"/>
      <c r="BP200" s="526"/>
      <c r="BQ200" s="526"/>
      <c r="BR200" s="526"/>
      <c r="BS200" s="526"/>
      <c r="BT200" s="526"/>
      <c r="BU200" s="526"/>
      <c r="BV200" s="526"/>
      <c r="BW200" s="533"/>
      <c r="BX200" s="525"/>
      <c r="BY200" s="526"/>
      <c r="BZ200" s="526"/>
      <c r="CA200" s="526"/>
      <c r="CB200" s="526"/>
      <c r="CC200" s="526"/>
      <c r="CD200" s="526"/>
      <c r="CE200" s="526"/>
      <c r="CF200" s="526"/>
      <c r="CG200" s="533"/>
      <c r="CH200" s="366"/>
      <c r="CI200" s="367"/>
      <c r="CJ200" s="367"/>
      <c r="CK200" s="367"/>
      <c r="CL200" s="367"/>
      <c r="CM200" s="368"/>
      <c r="CN200" s="366"/>
      <c r="CO200" s="367"/>
      <c r="CP200" s="367"/>
      <c r="CQ200" s="367"/>
      <c r="CR200" s="367"/>
      <c r="CS200" s="368"/>
      <c r="CT200" s="366"/>
      <c r="CU200" s="367"/>
      <c r="CV200" s="367"/>
      <c r="CW200" s="367"/>
      <c r="CX200" s="367"/>
      <c r="CY200" s="368"/>
      <c r="CZ200" s="366"/>
      <c r="DA200" s="367"/>
      <c r="DB200" s="367"/>
      <c r="DC200" s="367"/>
      <c r="DD200" s="367"/>
      <c r="DE200" s="368"/>
      <c r="DF200" s="366"/>
      <c r="DG200" s="367"/>
      <c r="DH200" s="367"/>
      <c r="DI200" s="367"/>
      <c r="DJ200" s="367"/>
      <c r="DK200" s="368"/>
      <c r="DL200" s="366"/>
      <c r="DM200" s="367"/>
      <c r="DN200" s="367"/>
      <c r="DO200" s="367"/>
      <c r="DP200" s="367"/>
      <c r="DQ200" s="368"/>
      <c r="DR200" s="366"/>
      <c r="DS200" s="367"/>
      <c r="DT200" s="367"/>
      <c r="DV200" s="234"/>
      <c r="DW200" s="234"/>
      <c r="DX200" s="234"/>
      <c r="DY200" s="234"/>
      <c r="DZ200" s="234"/>
      <c r="EA200" s="234"/>
      <c r="EB200" s="234"/>
    </row>
    <row r="201" spans="2:132" x14ac:dyDescent="0.45">
      <c r="B201" s="521" t="s">
        <v>1428</v>
      </c>
      <c r="D201" s="309"/>
      <c r="E201" s="309"/>
      <c r="F201" s="308"/>
      <c r="G201" s="309"/>
      <c r="H201" s="309"/>
      <c r="I201" s="309"/>
      <c r="J201" s="309"/>
      <c r="K201" s="309"/>
      <c r="L201" s="309"/>
      <c r="M201" s="309"/>
      <c r="N201" s="309"/>
      <c r="O201" s="310"/>
      <c r="P201" s="525"/>
      <c r="Q201" s="526"/>
      <c r="R201" s="526"/>
      <c r="S201" s="526"/>
      <c r="T201" s="526"/>
      <c r="U201" s="526"/>
      <c r="V201" s="526"/>
      <c r="W201" s="526"/>
      <c r="X201" s="526"/>
      <c r="Y201" s="533"/>
      <c r="Z201" s="525"/>
      <c r="AA201" s="526"/>
      <c r="AB201" s="526"/>
      <c r="AC201" s="526"/>
      <c r="AD201" s="526"/>
      <c r="AE201" s="526"/>
      <c r="AF201" s="526"/>
      <c r="AG201" s="526"/>
      <c r="AH201" s="526"/>
      <c r="AI201" s="533"/>
      <c r="AJ201" s="525"/>
      <c r="AK201" s="526"/>
      <c r="AL201" s="526"/>
      <c r="AM201" s="526"/>
      <c r="AN201" s="526"/>
      <c r="AO201" s="526"/>
      <c r="AP201" s="526"/>
      <c r="AQ201" s="526"/>
      <c r="AR201" s="526"/>
      <c r="AS201" s="533"/>
      <c r="AT201" s="525"/>
      <c r="AU201" s="526"/>
      <c r="AV201" s="526"/>
      <c r="AW201" s="526"/>
      <c r="AX201" s="526"/>
      <c r="AY201" s="526"/>
      <c r="AZ201" s="526"/>
      <c r="BA201" s="526"/>
      <c r="BB201" s="526"/>
      <c r="BC201" s="533"/>
      <c r="BD201" s="525"/>
      <c r="BE201" s="526"/>
      <c r="BF201" s="526"/>
      <c r="BG201" s="526"/>
      <c r="BH201" s="526"/>
      <c r="BI201" s="526"/>
      <c r="BJ201" s="526"/>
      <c r="BK201" s="526"/>
      <c r="BL201" s="526"/>
      <c r="BM201" s="533"/>
      <c r="BN201" s="525"/>
      <c r="BO201" s="526"/>
      <c r="BP201" s="526"/>
      <c r="BQ201" s="526"/>
      <c r="BR201" s="526"/>
      <c r="BS201" s="526"/>
      <c r="BT201" s="526"/>
      <c r="BU201" s="526"/>
      <c r="BV201" s="526"/>
      <c r="BW201" s="533"/>
      <c r="BX201" s="525"/>
      <c r="BY201" s="526"/>
      <c r="BZ201" s="526"/>
      <c r="CA201" s="526"/>
      <c r="CB201" s="526"/>
      <c r="CC201" s="526"/>
      <c r="CD201" s="526"/>
      <c r="CE201" s="526"/>
      <c r="CF201" s="526"/>
      <c r="CG201" s="533"/>
      <c r="CH201" s="525"/>
      <c r="CI201" s="526"/>
      <c r="CJ201" s="526"/>
      <c r="CK201" s="526"/>
      <c r="CL201" s="526"/>
      <c r="CM201" s="533"/>
      <c r="CN201" s="366"/>
      <c r="CO201" s="367"/>
      <c r="CP201" s="367"/>
      <c r="CQ201" s="367"/>
      <c r="CR201" s="367"/>
      <c r="CS201" s="368"/>
      <c r="CT201" s="366"/>
      <c r="CU201" s="367"/>
      <c r="CV201" s="367"/>
      <c r="CW201" s="367"/>
      <c r="CX201" s="367"/>
      <c r="CY201" s="368"/>
      <c r="CZ201" s="366"/>
      <c r="DA201" s="367"/>
      <c r="DB201" s="367"/>
      <c r="DC201" s="367"/>
      <c r="DD201" s="367"/>
      <c r="DE201" s="368"/>
      <c r="DF201" s="366"/>
      <c r="DG201" s="367"/>
      <c r="DH201" s="367"/>
      <c r="DI201" s="367"/>
      <c r="DJ201" s="367"/>
      <c r="DK201" s="368"/>
      <c r="DL201" s="366"/>
      <c r="DM201" s="367"/>
      <c r="DN201" s="367"/>
      <c r="DO201" s="367"/>
      <c r="DP201" s="367"/>
      <c r="DQ201" s="368"/>
      <c r="DR201" s="366"/>
      <c r="DS201" s="367"/>
      <c r="DT201" s="367"/>
      <c r="DV201" s="234"/>
      <c r="DW201" s="234"/>
      <c r="DX201" s="234"/>
      <c r="DY201" s="234"/>
      <c r="DZ201" s="234"/>
      <c r="EA201" s="234"/>
      <c r="EB201" s="234"/>
    </row>
    <row r="202" spans="2:132" x14ac:dyDescent="0.45">
      <c r="B202" s="521" t="s">
        <v>1429</v>
      </c>
      <c r="D202" s="309"/>
      <c r="E202" s="309"/>
      <c r="F202" s="308"/>
      <c r="G202" s="309"/>
      <c r="H202" s="309"/>
      <c r="I202" s="309"/>
      <c r="J202" s="309"/>
      <c r="K202" s="309"/>
      <c r="L202" s="309"/>
      <c r="M202" s="309"/>
      <c r="N202" s="309"/>
      <c r="O202" s="310"/>
      <c r="P202" s="308"/>
      <c r="Q202" s="309"/>
      <c r="R202" s="309"/>
      <c r="S202" s="309"/>
      <c r="T202" s="309"/>
      <c r="U202" s="309"/>
      <c r="V202" s="309"/>
      <c r="W202" s="309"/>
      <c r="X202" s="309"/>
      <c r="Y202" s="310"/>
      <c r="Z202" s="525"/>
      <c r="AA202" s="526"/>
      <c r="AB202" s="526"/>
      <c r="AC202" s="526"/>
      <c r="AD202" s="526"/>
      <c r="AE202" s="526"/>
      <c r="AF202" s="526"/>
      <c r="AG202" s="526"/>
      <c r="AH202" s="526"/>
      <c r="AI202" s="533"/>
      <c r="AJ202" s="525"/>
      <c r="AK202" s="526"/>
      <c r="AL202" s="526"/>
      <c r="AM202" s="526"/>
      <c r="AN202" s="526"/>
      <c r="AO202" s="526"/>
      <c r="AP202" s="526"/>
      <c r="AQ202" s="526"/>
      <c r="AR202" s="526"/>
      <c r="AS202" s="533"/>
      <c r="AT202" s="525"/>
      <c r="AU202" s="526"/>
      <c r="AV202" s="526"/>
      <c r="AW202" s="526"/>
      <c r="AX202" s="526"/>
      <c r="AY202" s="526"/>
      <c r="AZ202" s="526"/>
      <c r="BA202" s="526"/>
      <c r="BB202" s="526"/>
      <c r="BC202" s="533"/>
      <c r="BD202" s="525"/>
      <c r="BE202" s="526"/>
      <c r="BF202" s="526"/>
      <c r="BG202" s="526"/>
      <c r="BH202" s="526"/>
      <c r="BI202" s="526"/>
      <c r="BJ202" s="526"/>
      <c r="BK202" s="526"/>
      <c r="BL202" s="526"/>
      <c r="BM202" s="533"/>
      <c r="BN202" s="525"/>
      <c r="BO202" s="526"/>
      <c r="BP202" s="526"/>
      <c r="BQ202" s="526"/>
      <c r="BR202" s="526"/>
      <c r="BS202" s="526"/>
      <c r="BT202" s="526"/>
      <c r="BU202" s="526"/>
      <c r="BV202" s="526"/>
      <c r="BW202" s="533"/>
      <c r="BX202" s="525"/>
      <c r="BY202" s="526"/>
      <c r="BZ202" s="526"/>
      <c r="CA202" s="526"/>
      <c r="CB202" s="526"/>
      <c r="CC202" s="526"/>
      <c r="CD202" s="526"/>
      <c r="CE202" s="526"/>
      <c r="CF202" s="526"/>
      <c r="CG202" s="533"/>
      <c r="CH202" s="525"/>
      <c r="CI202" s="526"/>
      <c r="CJ202" s="526"/>
      <c r="CK202" s="526"/>
      <c r="CL202" s="526"/>
      <c r="CM202" s="533"/>
      <c r="CN202" s="525"/>
      <c r="CO202" s="526"/>
      <c r="CP202" s="526"/>
      <c r="CQ202" s="526"/>
      <c r="CR202" s="526"/>
      <c r="CS202" s="533"/>
      <c r="CT202" s="366"/>
      <c r="CU202" s="367"/>
      <c r="CV202" s="367"/>
      <c r="CW202" s="367"/>
      <c r="CX202" s="367"/>
      <c r="CY202" s="368"/>
      <c r="CZ202" s="366"/>
      <c r="DA202" s="367"/>
      <c r="DB202" s="367"/>
      <c r="DC202" s="367"/>
      <c r="DD202" s="367"/>
      <c r="DE202" s="368"/>
      <c r="DF202" s="366"/>
      <c r="DG202" s="367"/>
      <c r="DH202" s="367"/>
      <c r="DI202" s="367"/>
      <c r="DJ202" s="367"/>
      <c r="DK202" s="368"/>
      <c r="DL202" s="366"/>
      <c r="DM202" s="367"/>
      <c r="DN202" s="367"/>
      <c r="DO202" s="367"/>
      <c r="DP202" s="367"/>
      <c r="DQ202" s="368"/>
      <c r="DR202" s="366"/>
      <c r="DS202" s="367"/>
      <c r="DT202" s="367"/>
      <c r="DV202" s="234"/>
      <c r="DW202" s="234"/>
      <c r="DX202" s="234"/>
      <c r="DY202" s="234"/>
      <c r="DZ202" s="234"/>
      <c r="EA202" s="234"/>
      <c r="EB202" s="234"/>
    </row>
    <row r="203" spans="2:132" x14ac:dyDescent="0.45">
      <c r="D203" s="521"/>
      <c r="E203" s="521"/>
      <c r="F203" s="521"/>
      <c r="G203" s="521"/>
      <c r="H203" s="521"/>
      <c r="I203" s="521"/>
      <c r="J203" s="521"/>
      <c r="K203" s="521"/>
      <c r="L203" s="521"/>
      <c r="M203" s="521"/>
      <c r="N203" s="521"/>
      <c r="O203" s="521"/>
      <c r="P203" s="521"/>
      <c r="Q203" s="521"/>
      <c r="R203" s="521"/>
      <c r="S203" s="521"/>
      <c r="T203" s="521"/>
      <c r="U203" s="521"/>
      <c r="V203" s="521"/>
      <c r="W203" s="521"/>
      <c r="X203" s="521"/>
      <c r="Y203" s="521"/>
      <c r="Z203" s="521"/>
      <c r="AA203" s="521"/>
      <c r="AB203" s="521"/>
      <c r="AC203" s="521"/>
      <c r="AD203" s="521"/>
      <c r="AE203" s="521"/>
      <c r="AF203" s="521"/>
      <c r="AG203" s="521"/>
      <c r="AH203" s="521"/>
      <c r="AI203" s="521"/>
      <c r="AJ203" s="521"/>
      <c r="AK203" s="521"/>
      <c r="AL203" s="521"/>
      <c r="AM203" s="521"/>
      <c r="AN203" s="521"/>
      <c r="AO203" s="521"/>
      <c r="AP203" s="521"/>
      <c r="AQ203" s="521"/>
      <c r="AR203" s="521"/>
      <c r="AS203" s="521"/>
      <c r="AT203" s="521"/>
      <c r="AU203" s="521"/>
      <c r="AV203" s="521"/>
      <c r="AW203" s="521"/>
      <c r="AX203" s="521"/>
      <c r="AY203" s="521"/>
      <c r="AZ203" s="521"/>
      <c r="BA203" s="521"/>
      <c r="BB203" s="521"/>
      <c r="BC203" s="521"/>
      <c r="BD203" s="521"/>
      <c r="BE203" s="521"/>
      <c r="BF203" s="521"/>
      <c r="BG203" s="521"/>
      <c r="BH203" s="521"/>
      <c r="BI203" s="521"/>
      <c r="BJ203" s="521"/>
      <c r="BK203" s="521"/>
      <c r="BL203" s="521"/>
      <c r="BM203" s="521"/>
      <c r="BN203" s="521"/>
      <c r="BO203" s="521"/>
      <c r="BP203" s="521"/>
      <c r="BQ203" s="521"/>
      <c r="BR203" s="521"/>
      <c r="BS203" s="521"/>
      <c r="BT203" s="521"/>
      <c r="BU203" s="521"/>
      <c r="BV203" s="521"/>
      <c r="BW203" s="521"/>
      <c r="BX203" s="521"/>
      <c r="BY203" s="521"/>
      <c r="BZ203" s="521"/>
      <c r="CA203" s="521"/>
      <c r="CB203" s="521"/>
      <c r="CC203" s="521"/>
      <c r="CD203" s="521"/>
      <c r="CE203" s="521"/>
      <c r="CF203" s="521"/>
      <c r="CG203" s="521"/>
      <c r="CH203" s="521"/>
      <c r="CI203" s="521"/>
      <c r="CJ203" s="521"/>
      <c r="CK203" s="521"/>
      <c r="CL203" s="521"/>
      <c r="CM203" s="521"/>
      <c r="CN203" s="521"/>
      <c r="CO203" s="521"/>
      <c r="CP203" s="521"/>
      <c r="CQ203" s="521"/>
      <c r="CR203" s="521"/>
      <c r="CS203" s="521"/>
      <c r="CT203" s="521"/>
      <c r="CU203" s="521"/>
      <c r="CV203" s="521"/>
      <c r="CW203" s="521"/>
      <c r="CX203" s="521"/>
      <c r="CY203" s="521"/>
      <c r="CZ203" s="521"/>
      <c r="DA203" s="521"/>
      <c r="DB203" s="521"/>
      <c r="DC203" s="521"/>
      <c r="DD203" s="521"/>
      <c r="DE203" s="521"/>
      <c r="DF203" s="521"/>
      <c r="DG203" s="521"/>
      <c r="DH203" s="521"/>
      <c r="DI203" s="521"/>
      <c r="DJ203" s="521"/>
      <c r="DK203" s="521"/>
      <c r="DL203" s="521"/>
      <c r="DM203" s="521"/>
      <c r="DN203" s="521"/>
      <c r="DO203" s="521"/>
      <c r="DP203" s="521"/>
      <c r="DQ203" s="521"/>
      <c r="DR203" s="521"/>
      <c r="DS203" s="521"/>
      <c r="DT203" s="521"/>
      <c r="DU203" s="521"/>
      <c r="DV203" s="234"/>
      <c r="DW203" s="234"/>
      <c r="DX203" s="234"/>
      <c r="DY203" s="234"/>
      <c r="DZ203" s="234"/>
      <c r="EA203" s="234"/>
      <c r="EB203" s="234"/>
    </row>
    <row r="204" spans="2:132" x14ac:dyDescent="0.45">
      <c r="B204" s="521" t="s">
        <v>1430</v>
      </c>
      <c r="D204" s="309"/>
      <c r="E204" s="309"/>
      <c r="F204" s="308"/>
      <c r="G204" s="309"/>
      <c r="H204" s="309"/>
      <c r="I204" s="309"/>
      <c r="J204" s="309"/>
      <c r="K204" s="309"/>
      <c r="L204" s="309"/>
      <c r="M204" s="309"/>
      <c r="N204" s="309"/>
      <c r="O204" s="310"/>
      <c r="P204" s="308"/>
      <c r="Q204" s="309"/>
      <c r="R204" s="309"/>
      <c r="S204" s="309"/>
      <c r="T204" s="309"/>
      <c r="U204" s="309"/>
      <c r="V204" s="309"/>
      <c r="W204" s="309"/>
      <c r="X204" s="309"/>
      <c r="Y204" s="310"/>
      <c r="Z204" s="308"/>
      <c r="AA204" s="309"/>
      <c r="AB204" s="309"/>
      <c r="AC204" s="309"/>
      <c r="AD204" s="309"/>
      <c r="AE204" s="309"/>
      <c r="AF204" s="309"/>
      <c r="AG204" s="309"/>
      <c r="AH204" s="309"/>
      <c r="AI204" s="310"/>
      <c r="AJ204" s="308"/>
      <c r="AK204" s="309"/>
      <c r="AL204" s="309"/>
      <c r="AM204" s="309"/>
      <c r="AN204" s="309"/>
      <c r="AO204" s="309"/>
      <c r="AP204" s="309"/>
      <c r="AQ204" s="309"/>
      <c r="AR204" s="309"/>
      <c r="AS204" s="310"/>
      <c r="AT204" s="308"/>
      <c r="AU204" s="309"/>
      <c r="AV204" s="309"/>
      <c r="AW204" s="309"/>
      <c r="AX204" s="309"/>
      <c r="AY204" s="309"/>
      <c r="AZ204" s="309"/>
      <c r="BA204" s="309"/>
      <c r="BB204" s="309"/>
      <c r="BC204" s="310"/>
      <c r="BD204" s="308"/>
      <c r="BE204" s="309"/>
      <c r="BF204" s="309"/>
      <c r="BG204" s="309"/>
      <c r="BH204" s="309"/>
      <c r="BI204" s="309"/>
      <c r="BJ204" s="309"/>
      <c r="BK204" s="309"/>
      <c r="BL204" s="309"/>
      <c r="BM204" s="310"/>
      <c r="BN204" s="308"/>
      <c r="BO204" s="309"/>
      <c r="BP204" s="309"/>
      <c r="BQ204" s="309"/>
      <c r="BR204" s="309"/>
      <c r="BS204" s="309"/>
      <c r="BT204" s="309"/>
      <c r="BU204" s="309"/>
      <c r="BV204" s="309"/>
      <c r="BW204" s="310"/>
      <c r="BX204" s="525"/>
      <c r="BY204" s="526"/>
      <c r="BZ204" s="526"/>
      <c r="CA204" s="526"/>
      <c r="CB204" s="526"/>
      <c r="CC204" s="526"/>
      <c r="CD204" s="526"/>
      <c r="CE204" s="526"/>
      <c r="CF204" s="526"/>
      <c r="CG204" s="533"/>
      <c r="CH204" s="525"/>
      <c r="CI204" s="526"/>
      <c r="CJ204" s="526"/>
      <c r="CK204" s="526"/>
      <c r="CL204" s="526"/>
      <c r="CM204" s="533"/>
      <c r="CN204" s="525"/>
      <c r="CO204" s="526"/>
      <c r="CP204" s="526"/>
      <c r="CQ204" s="526"/>
      <c r="CR204" s="526"/>
      <c r="CS204" s="533"/>
      <c r="CT204" s="525"/>
      <c r="CU204" s="526"/>
      <c r="CV204" s="526"/>
      <c r="CW204" s="526"/>
      <c r="CX204" s="526"/>
      <c r="CY204" s="533"/>
      <c r="CZ204" s="525"/>
      <c r="DA204" s="526"/>
      <c r="DB204" s="526"/>
      <c r="DC204" s="526"/>
      <c r="DD204" s="526"/>
      <c r="DE204" s="533"/>
      <c r="DF204" s="525"/>
      <c r="DG204" s="526"/>
      <c r="DH204" s="526"/>
      <c r="DI204" s="526"/>
      <c r="DJ204" s="526"/>
      <c r="DK204" s="533"/>
      <c r="DL204" s="525"/>
      <c r="DM204" s="526"/>
      <c r="DN204" s="526"/>
      <c r="DO204" s="526"/>
      <c r="DP204" s="526"/>
      <c r="DQ204" s="533"/>
      <c r="DR204" s="525"/>
      <c r="DS204" s="526"/>
      <c r="DT204" s="526"/>
      <c r="DV204" s="234"/>
      <c r="DW204" s="234"/>
      <c r="DX204" s="234"/>
      <c r="DY204" s="234"/>
      <c r="DZ204" s="234"/>
      <c r="EA204" s="234"/>
      <c r="EB204" s="234"/>
    </row>
    <row r="205" spans="2:132" x14ac:dyDescent="0.45">
      <c r="DV205" s="234"/>
      <c r="DW205" s="234"/>
      <c r="DX205" s="234"/>
      <c r="DY205" s="234"/>
      <c r="DZ205" s="234"/>
      <c r="EA205" s="234"/>
      <c r="EB205" s="234"/>
    </row>
    <row r="206" spans="2:132" x14ac:dyDescent="0.45">
      <c r="B206" s="623" t="s">
        <v>2085</v>
      </c>
      <c r="C206" s="615"/>
      <c r="D206" s="616"/>
      <c r="E206" s="616"/>
      <c r="F206" s="616"/>
      <c r="G206" s="616"/>
      <c r="H206" s="616"/>
      <c r="I206" s="616"/>
      <c r="J206" s="616"/>
      <c r="K206" s="616"/>
      <c r="L206" s="616"/>
      <c r="M206" s="616"/>
      <c r="N206" s="616"/>
      <c r="O206" s="616"/>
      <c r="P206" s="616"/>
      <c r="Q206" s="616"/>
      <c r="R206" s="616"/>
      <c r="S206" s="616"/>
      <c r="T206" s="616"/>
      <c r="U206" s="616"/>
      <c r="V206" s="616"/>
      <c r="W206" s="616"/>
      <c r="X206" s="616"/>
      <c r="Y206" s="616"/>
      <c r="Z206" s="616"/>
      <c r="AA206" s="616"/>
      <c r="AB206" s="616"/>
      <c r="AC206" s="616"/>
      <c r="AD206" s="616"/>
      <c r="AE206" s="616"/>
      <c r="AF206" s="616"/>
      <c r="AG206" s="616"/>
      <c r="AH206" s="616"/>
      <c r="AI206" s="616"/>
      <c r="AJ206" s="616"/>
      <c r="AK206" s="616"/>
      <c r="AL206" s="616"/>
      <c r="AM206" s="616"/>
      <c r="AN206" s="616"/>
      <c r="AO206" s="616"/>
      <c r="AP206" s="616"/>
      <c r="AQ206" s="616"/>
      <c r="AR206" s="616"/>
      <c r="AS206" s="616"/>
      <c r="AT206" s="616"/>
      <c r="AU206" s="616"/>
      <c r="AV206" s="616"/>
      <c r="AW206" s="616"/>
      <c r="AX206" s="616"/>
      <c r="AY206" s="616"/>
      <c r="AZ206" s="616"/>
      <c r="BA206" s="616"/>
      <c r="BB206" s="616"/>
      <c r="BC206" s="616"/>
      <c r="BD206" s="616"/>
      <c r="BE206" s="616"/>
      <c r="BF206" s="616"/>
      <c r="BG206" s="616"/>
      <c r="BH206" s="616"/>
      <c r="BI206" s="616"/>
      <c r="BJ206" s="616"/>
      <c r="BK206" s="616"/>
      <c r="BL206" s="616"/>
      <c r="BM206" s="616"/>
      <c r="BN206" s="616"/>
      <c r="BO206" s="616"/>
      <c r="BP206" s="616"/>
      <c r="BQ206" s="616"/>
      <c r="BR206" s="616"/>
      <c r="BS206" s="616"/>
      <c r="BT206" s="616"/>
      <c r="BU206" s="616"/>
      <c r="BV206" s="616"/>
      <c r="BW206" s="616"/>
      <c r="BX206" s="614"/>
      <c r="BY206" s="614"/>
      <c r="BZ206" s="614"/>
      <c r="CA206" s="614"/>
      <c r="CB206" s="614"/>
      <c r="CC206" s="614"/>
      <c r="CD206" s="614"/>
      <c r="CE206" s="614"/>
      <c r="CF206" s="614"/>
      <c r="CG206" s="614"/>
      <c r="CH206" s="614"/>
      <c r="CI206" s="614"/>
      <c r="CJ206" s="614"/>
      <c r="CK206" s="614"/>
      <c r="CL206" s="614"/>
      <c r="CM206" s="614"/>
      <c r="CN206" s="614"/>
      <c r="CO206" s="614"/>
      <c r="CP206" s="614"/>
      <c r="CQ206" s="614"/>
      <c r="CR206" s="614"/>
      <c r="CS206" s="614"/>
      <c r="CT206" s="614"/>
      <c r="CU206" s="614"/>
      <c r="CV206" s="614"/>
      <c r="CW206" s="614"/>
      <c r="CX206" s="614"/>
      <c r="CY206" s="614"/>
      <c r="CZ206" s="614"/>
      <c r="DA206" s="614"/>
      <c r="DB206" s="614"/>
      <c r="DC206" s="614"/>
      <c r="DD206" s="614"/>
      <c r="DE206" s="614"/>
      <c r="DF206" s="614"/>
      <c r="DG206" s="614"/>
      <c r="DH206" s="614"/>
      <c r="DI206" s="614"/>
      <c r="DJ206" s="614"/>
      <c r="DK206" s="614"/>
      <c r="DL206" s="614"/>
      <c r="DM206" s="614"/>
      <c r="DN206" s="614"/>
      <c r="DO206" s="614"/>
      <c r="DP206" s="614"/>
      <c r="DQ206" s="614"/>
      <c r="DR206" s="614"/>
      <c r="DS206" s="614"/>
      <c r="DT206" s="614"/>
      <c r="DV206" s="234"/>
      <c r="DW206" s="234"/>
      <c r="DX206" s="234"/>
      <c r="DY206" s="234"/>
      <c r="DZ206" s="234"/>
      <c r="EA206" s="234"/>
      <c r="EB206" s="234"/>
    </row>
    <row r="207" spans="2:132" x14ac:dyDescent="0.45">
      <c r="B207" s="521" t="s">
        <v>1426</v>
      </c>
      <c r="D207" s="250"/>
      <c r="E207" s="250"/>
      <c r="F207" s="535"/>
      <c r="G207" s="250"/>
      <c r="H207" s="250"/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  <c r="W207" s="250"/>
      <c r="X207" s="250"/>
      <c r="Y207" s="250"/>
      <c r="Z207" s="250"/>
      <c r="AA207" s="250"/>
      <c r="AB207" s="250"/>
      <c r="AC207" s="250"/>
      <c r="AD207" s="250"/>
      <c r="AE207" s="250"/>
      <c r="AF207" s="250"/>
      <c r="AG207" s="250"/>
      <c r="AH207" s="250"/>
      <c r="AI207" s="250"/>
      <c r="AJ207" s="250"/>
      <c r="AK207" s="250"/>
      <c r="AL207" s="250"/>
      <c r="AM207" s="250"/>
      <c r="AN207" s="250"/>
      <c r="AO207" s="250"/>
      <c r="AP207" s="250"/>
      <c r="AQ207" s="250"/>
      <c r="AR207" s="250"/>
      <c r="AS207" s="250"/>
      <c r="AT207" s="250"/>
      <c r="AU207" s="250"/>
      <c r="AV207" s="250"/>
      <c r="AW207" s="250"/>
      <c r="AX207" s="250"/>
      <c r="AY207" s="250"/>
      <c r="AZ207" s="250"/>
      <c r="BA207" s="250"/>
      <c r="BB207" s="250"/>
      <c r="BC207" s="250"/>
      <c r="BD207" s="250"/>
      <c r="BE207" s="250"/>
      <c r="BF207" s="250"/>
      <c r="BG207" s="250"/>
      <c r="BH207" s="250"/>
      <c r="BI207" s="250"/>
      <c r="BJ207" s="250"/>
      <c r="BK207" s="250"/>
      <c r="BL207" s="250"/>
      <c r="BM207" s="250"/>
      <c r="BN207" s="250"/>
      <c r="BO207" s="250"/>
      <c r="BP207" s="250"/>
      <c r="BQ207" s="250"/>
      <c r="BR207" s="250"/>
      <c r="BS207" s="250"/>
      <c r="BT207" s="250"/>
      <c r="BU207" s="250"/>
      <c r="BV207" s="250"/>
      <c r="BW207" s="250"/>
      <c r="BX207" s="250"/>
      <c r="BY207" s="250"/>
      <c r="BZ207" s="250"/>
      <c r="CA207" s="250"/>
      <c r="CB207" s="250"/>
      <c r="CC207" s="250"/>
      <c r="CD207" s="250"/>
      <c r="CE207" s="260"/>
      <c r="CF207" s="260"/>
      <c r="CG207" s="260"/>
      <c r="CH207" s="535"/>
      <c r="CI207" s="260"/>
      <c r="CJ207" s="260"/>
      <c r="CK207" s="260"/>
      <c r="CL207" s="260"/>
      <c r="CM207" s="260"/>
      <c r="CN207" s="260"/>
      <c r="CO207" s="260"/>
      <c r="CP207" s="260"/>
      <c r="CQ207" s="260"/>
      <c r="CR207" s="260"/>
      <c r="CS207" s="260"/>
      <c r="CT207" s="260"/>
      <c r="CU207" s="260"/>
      <c r="CV207" s="260"/>
      <c r="CW207" s="260"/>
      <c r="CX207" s="260"/>
      <c r="CY207" s="260"/>
      <c r="CZ207" s="260"/>
      <c r="DA207" s="260"/>
      <c r="DB207" s="260"/>
      <c r="DC207" s="260"/>
      <c r="DD207" s="260"/>
      <c r="DE207" s="260"/>
      <c r="DF207" s="260"/>
      <c r="DG207" s="260"/>
      <c r="DH207" s="260"/>
      <c r="DI207" s="260"/>
      <c r="DJ207" s="260"/>
      <c r="DK207" s="260"/>
      <c r="DL207" s="260"/>
      <c r="DM207" s="260"/>
      <c r="DN207" s="260"/>
      <c r="DO207" s="260"/>
      <c r="DP207" s="260"/>
      <c r="DQ207" s="260"/>
      <c r="DR207" s="260"/>
      <c r="DS207" s="260"/>
      <c r="DT207" s="260"/>
      <c r="DV207" s="234"/>
      <c r="DW207" s="234"/>
      <c r="DX207" s="234"/>
      <c r="DY207" s="234"/>
      <c r="DZ207" s="234"/>
      <c r="EA207" s="234"/>
      <c r="EB207" s="234"/>
    </row>
    <row r="208" spans="2:132" x14ac:dyDescent="0.45">
      <c r="BZ208" s="246"/>
      <c r="DV208" s="234"/>
      <c r="DW208" s="234"/>
      <c r="DX208" s="234"/>
      <c r="DY208" s="234"/>
      <c r="DZ208" s="234"/>
      <c r="EA208" s="234"/>
      <c r="EB208" s="234"/>
    </row>
    <row r="209" spans="2:132" x14ac:dyDescent="0.45">
      <c r="DV209" s="234"/>
      <c r="DW209" s="234"/>
      <c r="DX209" s="234"/>
      <c r="DY209" s="234"/>
      <c r="DZ209" s="234"/>
      <c r="EA209" s="234"/>
      <c r="EB209" s="234"/>
    </row>
    <row r="210" spans="2:132" x14ac:dyDescent="0.45">
      <c r="B210" s="521" t="s">
        <v>2082</v>
      </c>
      <c r="D210" s="250"/>
      <c r="E210" s="250"/>
      <c r="F210" s="534">
        <v>1</v>
      </c>
      <c r="G210" s="362"/>
      <c r="H210" s="362"/>
      <c r="I210" s="362"/>
      <c r="J210" s="362"/>
      <c r="K210" s="362"/>
      <c r="L210" s="362"/>
      <c r="M210" s="362"/>
      <c r="N210" s="362"/>
      <c r="O210" s="362"/>
      <c r="P210" s="534">
        <v>2</v>
      </c>
      <c r="Q210" s="362"/>
      <c r="R210" s="362"/>
      <c r="S210" s="362"/>
      <c r="T210" s="362"/>
      <c r="U210" s="362"/>
      <c r="V210" s="362"/>
      <c r="W210" s="362"/>
      <c r="X210" s="362"/>
      <c r="Y210" s="362"/>
      <c r="Z210" s="534">
        <v>3</v>
      </c>
      <c r="AA210" s="362"/>
      <c r="AB210" s="362"/>
      <c r="AC210" s="362"/>
      <c r="AD210" s="362"/>
      <c r="AE210" s="362"/>
      <c r="AF210" s="362"/>
      <c r="AG210" s="362"/>
      <c r="AH210" s="362"/>
      <c r="AI210" s="362"/>
      <c r="AJ210" s="534">
        <v>4</v>
      </c>
      <c r="AK210" s="362"/>
      <c r="AL210" s="362"/>
      <c r="AM210" s="362"/>
      <c r="AN210" s="362"/>
      <c r="AO210" s="362"/>
      <c r="AP210" s="362"/>
      <c r="AQ210" s="362"/>
      <c r="AR210" s="362"/>
      <c r="AS210" s="362"/>
      <c r="AT210" s="534">
        <v>5</v>
      </c>
      <c r="AU210" s="362"/>
      <c r="AV210" s="362"/>
      <c r="AW210" s="362"/>
      <c r="AX210" s="362"/>
      <c r="AY210" s="362"/>
      <c r="AZ210" s="362"/>
      <c r="BA210" s="362"/>
      <c r="BB210" s="362"/>
      <c r="BC210" s="362"/>
      <c r="BD210" s="534">
        <v>6</v>
      </c>
      <c r="BE210" s="362"/>
      <c r="BF210" s="362"/>
      <c r="BG210" s="362"/>
      <c r="BH210" s="362"/>
      <c r="BI210" s="362"/>
      <c r="BJ210" s="362"/>
      <c r="BK210" s="362"/>
      <c r="BL210" s="362"/>
      <c r="BM210" s="362"/>
      <c r="BN210" s="534">
        <v>7</v>
      </c>
      <c r="BO210" s="362"/>
      <c r="BP210" s="362"/>
      <c r="BQ210" s="362"/>
      <c r="BR210" s="362"/>
      <c r="BS210" s="362"/>
      <c r="BT210" s="362"/>
      <c r="BU210" s="362"/>
      <c r="BV210" s="362"/>
      <c r="BW210" s="362"/>
      <c r="BX210" s="534">
        <v>8</v>
      </c>
      <c r="BY210" s="362"/>
      <c r="BZ210" s="362"/>
      <c r="CA210" s="362"/>
      <c r="CB210" s="362"/>
      <c r="CC210" s="362"/>
      <c r="CD210" s="362"/>
      <c r="CE210" s="362"/>
      <c r="CF210" s="362"/>
      <c r="CG210" s="362"/>
      <c r="CH210" s="534">
        <v>1</v>
      </c>
      <c r="CI210" s="362"/>
      <c r="CJ210" s="362"/>
      <c r="CK210" s="362"/>
      <c r="CL210" s="362"/>
      <c r="CM210" s="362"/>
      <c r="CN210" s="534">
        <v>2</v>
      </c>
      <c r="CO210" s="362"/>
      <c r="CP210" s="362"/>
      <c r="CQ210" s="362"/>
      <c r="CR210" s="362"/>
      <c r="CS210" s="362"/>
      <c r="CT210" s="534">
        <v>3</v>
      </c>
      <c r="CU210" s="362"/>
      <c r="CV210" s="362"/>
      <c r="CW210" s="362"/>
      <c r="CX210" s="362"/>
      <c r="CY210" s="362"/>
      <c r="CZ210" s="534">
        <v>4</v>
      </c>
      <c r="DA210" s="362"/>
      <c r="DB210" s="362"/>
      <c r="DC210" s="362"/>
      <c r="DD210" s="362"/>
      <c r="DE210" s="362"/>
      <c r="DF210" s="534">
        <v>5</v>
      </c>
      <c r="DG210" s="362"/>
      <c r="DH210" s="362"/>
      <c r="DI210" s="362"/>
      <c r="DJ210" s="362"/>
      <c r="DK210" s="362"/>
      <c r="DL210" s="534">
        <v>6</v>
      </c>
      <c r="DM210" s="362"/>
      <c r="DN210" s="362"/>
      <c r="DO210" s="362"/>
      <c r="DP210" s="362"/>
      <c r="DQ210" s="362"/>
      <c r="DR210" s="534">
        <v>7</v>
      </c>
      <c r="DS210" s="362"/>
      <c r="DT210" s="362"/>
      <c r="DV210" s="234"/>
      <c r="DW210" s="234"/>
      <c r="DX210" s="234"/>
      <c r="DY210" s="234"/>
      <c r="DZ210" s="234"/>
      <c r="EA210" s="234"/>
      <c r="EB210" s="234"/>
    </row>
    <row r="211" spans="2:132" x14ac:dyDescent="0.45">
      <c r="DV211" s="234"/>
      <c r="DW211" s="234"/>
      <c r="DX211" s="234"/>
      <c r="DY211" s="234"/>
      <c r="DZ211" s="234"/>
      <c r="EA211" s="234"/>
      <c r="EB211" s="234"/>
    </row>
    <row r="212" spans="2:132" x14ac:dyDescent="0.45">
      <c r="B212" s="521" t="s">
        <v>1427</v>
      </c>
      <c r="D212" s="309"/>
      <c r="E212" s="309"/>
      <c r="F212" s="525"/>
      <c r="G212" s="526"/>
      <c r="H212" s="526"/>
      <c r="I212" s="526"/>
      <c r="J212" s="526"/>
      <c r="K212" s="526"/>
      <c r="L212" s="526"/>
      <c r="M212" s="526"/>
      <c r="N212" s="526"/>
      <c r="O212" s="533"/>
      <c r="P212" s="525"/>
      <c r="Q212" s="526"/>
      <c r="R212" s="526"/>
      <c r="S212" s="526"/>
      <c r="T212" s="526"/>
      <c r="U212" s="526"/>
      <c r="V212" s="526"/>
      <c r="W212" s="526"/>
      <c r="X212" s="526"/>
      <c r="Y212" s="533"/>
      <c r="Z212" s="525"/>
      <c r="AA212" s="526"/>
      <c r="AB212" s="526"/>
      <c r="AC212" s="526"/>
      <c r="AD212" s="526"/>
      <c r="AE212" s="526"/>
      <c r="AF212" s="526"/>
      <c r="AG212" s="526"/>
      <c r="AH212" s="526"/>
      <c r="AI212" s="533"/>
      <c r="AJ212" s="525"/>
      <c r="AK212" s="526"/>
      <c r="AL212" s="526"/>
      <c r="AM212" s="526"/>
      <c r="AN212" s="526"/>
      <c r="AO212" s="526"/>
      <c r="AP212" s="526"/>
      <c r="AQ212" s="526"/>
      <c r="AR212" s="526"/>
      <c r="AS212" s="533"/>
      <c r="AT212" s="525"/>
      <c r="AU212" s="526"/>
      <c r="AV212" s="526"/>
      <c r="AW212" s="526"/>
      <c r="AX212" s="526"/>
      <c r="AY212" s="526"/>
      <c r="AZ212" s="526"/>
      <c r="BA212" s="526"/>
      <c r="BB212" s="526"/>
      <c r="BC212" s="533"/>
      <c r="BD212" s="525"/>
      <c r="BE212" s="526"/>
      <c r="BF212" s="526"/>
      <c r="BG212" s="526"/>
      <c r="BH212" s="526"/>
      <c r="BI212" s="526"/>
      <c r="BJ212" s="526"/>
      <c r="BK212" s="526"/>
      <c r="BL212" s="526"/>
      <c r="BM212" s="533"/>
      <c r="BN212" s="525"/>
      <c r="BO212" s="526"/>
      <c r="BP212" s="526"/>
      <c r="BQ212" s="526"/>
      <c r="BR212" s="526"/>
      <c r="BS212" s="526"/>
      <c r="BT212" s="526"/>
      <c r="BU212" s="526"/>
      <c r="BV212" s="526"/>
      <c r="BW212" s="533"/>
      <c r="BX212" s="525"/>
      <c r="BY212" s="526"/>
      <c r="BZ212" s="526"/>
      <c r="CA212" s="526"/>
      <c r="CB212" s="526"/>
      <c r="CC212" s="526"/>
      <c r="CD212" s="526"/>
      <c r="CE212" s="526"/>
      <c r="CF212" s="526"/>
      <c r="CG212" s="533"/>
      <c r="CH212" s="366"/>
      <c r="CI212" s="367"/>
      <c r="CJ212" s="367"/>
      <c r="CK212" s="367"/>
      <c r="CL212" s="367"/>
      <c r="CM212" s="368"/>
      <c r="CN212" s="366"/>
      <c r="CO212" s="367"/>
      <c r="CP212" s="367"/>
      <c r="CQ212" s="367"/>
      <c r="CR212" s="367"/>
      <c r="CS212" s="368"/>
      <c r="CT212" s="366"/>
      <c r="CU212" s="367"/>
      <c r="CV212" s="367"/>
      <c r="CW212" s="367"/>
      <c r="CX212" s="367"/>
      <c r="CY212" s="368"/>
      <c r="CZ212" s="366"/>
      <c r="DA212" s="367"/>
      <c r="DB212" s="367"/>
      <c r="DC212" s="367"/>
      <c r="DD212" s="367"/>
      <c r="DE212" s="368"/>
      <c r="DF212" s="366"/>
      <c r="DG212" s="367"/>
      <c r="DH212" s="367"/>
      <c r="DI212" s="367"/>
      <c r="DJ212" s="367"/>
      <c r="DK212" s="368"/>
      <c r="DL212" s="366"/>
      <c r="DM212" s="367"/>
      <c r="DN212" s="367"/>
      <c r="DO212" s="367"/>
      <c r="DP212" s="367"/>
      <c r="DQ212" s="368"/>
      <c r="DR212" s="366"/>
      <c r="DS212" s="367"/>
      <c r="DT212" s="367"/>
      <c r="DV212" s="234"/>
      <c r="DW212" s="234"/>
      <c r="DX212" s="234"/>
      <c r="DY212" s="234"/>
      <c r="DZ212" s="234"/>
      <c r="EA212" s="234"/>
      <c r="EB212" s="234"/>
    </row>
    <row r="213" spans="2:132" x14ac:dyDescent="0.45">
      <c r="B213" s="521" t="s">
        <v>1428</v>
      </c>
      <c r="D213" s="309"/>
      <c r="E213" s="309"/>
      <c r="F213" s="308"/>
      <c r="G213" s="309"/>
      <c r="H213" s="309"/>
      <c r="I213" s="309"/>
      <c r="J213" s="309"/>
      <c r="K213" s="309"/>
      <c r="L213" s="309"/>
      <c r="M213" s="309"/>
      <c r="N213" s="309"/>
      <c r="O213" s="310"/>
      <c r="P213" s="525"/>
      <c r="Q213" s="526"/>
      <c r="R213" s="526"/>
      <c r="S213" s="526"/>
      <c r="T213" s="526"/>
      <c r="U213" s="526"/>
      <c r="V213" s="526"/>
      <c r="W213" s="526"/>
      <c r="X213" s="526"/>
      <c r="Y213" s="533"/>
      <c r="Z213" s="525"/>
      <c r="AA213" s="526"/>
      <c r="AB213" s="526"/>
      <c r="AC213" s="526"/>
      <c r="AD213" s="526"/>
      <c r="AE213" s="526"/>
      <c r="AF213" s="526"/>
      <c r="AG213" s="526"/>
      <c r="AH213" s="526"/>
      <c r="AI213" s="533"/>
      <c r="AJ213" s="525"/>
      <c r="AK213" s="526"/>
      <c r="AL213" s="526"/>
      <c r="AM213" s="526"/>
      <c r="AN213" s="526"/>
      <c r="AO213" s="526"/>
      <c r="AP213" s="526"/>
      <c r="AQ213" s="526"/>
      <c r="AR213" s="526"/>
      <c r="AS213" s="533"/>
      <c r="AT213" s="525"/>
      <c r="AU213" s="526"/>
      <c r="AV213" s="526"/>
      <c r="AW213" s="526"/>
      <c r="AX213" s="526"/>
      <c r="AY213" s="526"/>
      <c r="AZ213" s="526"/>
      <c r="BA213" s="526"/>
      <c r="BB213" s="526"/>
      <c r="BC213" s="533"/>
      <c r="BD213" s="525"/>
      <c r="BE213" s="526"/>
      <c r="BF213" s="526"/>
      <c r="BG213" s="526"/>
      <c r="BH213" s="526"/>
      <c r="BI213" s="526"/>
      <c r="BJ213" s="526"/>
      <c r="BK213" s="526"/>
      <c r="BL213" s="526"/>
      <c r="BM213" s="533"/>
      <c r="BN213" s="525"/>
      <c r="BO213" s="526"/>
      <c r="BP213" s="526"/>
      <c r="BQ213" s="526"/>
      <c r="BR213" s="526"/>
      <c r="BS213" s="526"/>
      <c r="BT213" s="526"/>
      <c r="BU213" s="526"/>
      <c r="BV213" s="526"/>
      <c r="BW213" s="533"/>
      <c r="BX213" s="525"/>
      <c r="BY213" s="526"/>
      <c r="BZ213" s="526"/>
      <c r="CA213" s="526"/>
      <c r="CB213" s="526"/>
      <c r="CC213" s="526"/>
      <c r="CD213" s="526"/>
      <c r="CE213" s="526"/>
      <c r="CF213" s="526"/>
      <c r="CG213" s="533"/>
      <c r="CH213" s="525"/>
      <c r="CI213" s="526"/>
      <c r="CJ213" s="526"/>
      <c r="CK213" s="526"/>
      <c r="CL213" s="526"/>
      <c r="CM213" s="533"/>
      <c r="CN213" s="366"/>
      <c r="CO213" s="367"/>
      <c r="CP213" s="367"/>
      <c r="CQ213" s="367"/>
      <c r="CR213" s="367"/>
      <c r="CS213" s="368"/>
      <c r="CT213" s="366"/>
      <c r="CU213" s="367"/>
      <c r="CV213" s="367"/>
      <c r="CW213" s="367"/>
      <c r="CX213" s="367"/>
      <c r="CY213" s="368"/>
      <c r="CZ213" s="366"/>
      <c r="DA213" s="367"/>
      <c r="DB213" s="367"/>
      <c r="DC213" s="367"/>
      <c r="DD213" s="367"/>
      <c r="DE213" s="368"/>
      <c r="DF213" s="366"/>
      <c r="DG213" s="367"/>
      <c r="DH213" s="367"/>
      <c r="DI213" s="367"/>
      <c r="DJ213" s="367"/>
      <c r="DK213" s="368"/>
      <c r="DL213" s="366"/>
      <c r="DM213" s="367"/>
      <c r="DN213" s="367"/>
      <c r="DO213" s="367"/>
      <c r="DP213" s="367"/>
      <c r="DQ213" s="368"/>
      <c r="DR213" s="366"/>
      <c r="DS213" s="367"/>
      <c r="DT213" s="367"/>
      <c r="DV213" s="234"/>
      <c r="DW213" s="234"/>
      <c r="DX213" s="234"/>
      <c r="DY213" s="234"/>
      <c r="DZ213" s="234"/>
      <c r="EA213" s="234"/>
      <c r="EB213" s="234"/>
    </row>
    <row r="214" spans="2:132" x14ac:dyDescent="0.45">
      <c r="B214" s="521" t="s">
        <v>1429</v>
      </c>
      <c r="D214" s="309"/>
      <c r="E214" s="309"/>
      <c r="F214" s="308"/>
      <c r="G214" s="309"/>
      <c r="H214" s="309"/>
      <c r="I214" s="309"/>
      <c r="J214" s="309"/>
      <c r="K214" s="309"/>
      <c r="L214" s="309"/>
      <c r="M214" s="309"/>
      <c r="N214" s="309"/>
      <c r="O214" s="310"/>
      <c r="P214" s="308"/>
      <c r="Q214" s="309"/>
      <c r="R214" s="309"/>
      <c r="S214" s="309"/>
      <c r="T214" s="309"/>
      <c r="U214" s="309"/>
      <c r="V214" s="309"/>
      <c r="W214" s="309"/>
      <c r="X214" s="309"/>
      <c r="Y214" s="310"/>
      <c r="Z214" s="525"/>
      <c r="AA214" s="526"/>
      <c r="AB214" s="526"/>
      <c r="AC214" s="526"/>
      <c r="AD214" s="526"/>
      <c r="AE214" s="526"/>
      <c r="AF214" s="526"/>
      <c r="AG214" s="526"/>
      <c r="AH214" s="526"/>
      <c r="AI214" s="533"/>
      <c r="AJ214" s="525"/>
      <c r="AK214" s="526"/>
      <c r="AL214" s="526"/>
      <c r="AM214" s="526"/>
      <c r="AN214" s="526"/>
      <c r="AO214" s="526"/>
      <c r="AP214" s="526"/>
      <c r="AQ214" s="526"/>
      <c r="AR214" s="526"/>
      <c r="AS214" s="533"/>
      <c r="AT214" s="525"/>
      <c r="AU214" s="526"/>
      <c r="AV214" s="526"/>
      <c r="AW214" s="526"/>
      <c r="AX214" s="526"/>
      <c r="AY214" s="526"/>
      <c r="AZ214" s="526"/>
      <c r="BA214" s="526"/>
      <c r="BB214" s="526"/>
      <c r="BC214" s="533"/>
      <c r="BD214" s="525"/>
      <c r="BE214" s="526"/>
      <c r="BF214" s="526"/>
      <c r="BG214" s="526"/>
      <c r="BH214" s="526"/>
      <c r="BI214" s="526"/>
      <c r="BJ214" s="526"/>
      <c r="BK214" s="526"/>
      <c r="BL214" s="526"/>
      <c r="BM214" s="533"/>
      <c r="BN214" s="525"/>
      <c r="BO214" s="526"/>
      <c r="BP214" s="526"/>
      <c r="BQ214" s="526"/>
      <c r="BR214" s="526"/>
      <c r="BS214" s="526"/>
      <c r="BT214" s="526"/>
      <c r="BU214" s="526"/>
      <c r="BV214" s="526"/>
      <c r="BW214" s="533"/>
      <c r="BX214" s="525"/>
      <c r="BY214" s="526"/>
      <c r="BZ214" s="526"/>
      <c r="CA214" s="526"/>
      <c r="CB214" s="526"/>
      <c r="CC214" s="526"/>
      <c r="CD214" s="526"/>
      <c r="CE214" s="526"/>
      <c r="CF214" s="526"/>
      <c r="CG214" s="533"/>
      <c r="CH214" s="525"/>
      <c r="CI214" s="526"/>
      <c r="CJ214" s="526"/>
      <c r="CK214" s="526"/>
      <c r="CL214" s="526"/>
      <c r="CM214" s="533"/>
      <c r="CN214" s="525"/>
      <c r="CO214" s="526"/>
      <c r="CP214" s="526"/>
      <c r="CQ214" s="526"/>
      <c r="CR214" s="526"/>
      <c r="CS214" s="533"/>
      <c r="CT214" s="366"/>
      <c r="CU214" s="367"/>
      <c r="CV214" s="367"/>
      <c r="CW214" s="367"/>
      <c r="CX214" s="367"/>
      <c r="CY214" s="368"/>
      <c r="CZ214" s="366"/>
      <c r="DA214" s="367"/>
      <c r="DB214" s="367"/>
      <c r="DC214" s="367"/>
      <c r="DD214" s="367"/>
      <c r="DE214" s="368"/>
      <c r="DF214" s="366"/>
      <c r="DG214" s="367"/>
      <c r="DH214" s="367"/>
      <c r="DI214" s="367"/>
      <c r="DJ214" s="367"/>
      <c r="DK214" s="368"/>
      <c r="DL214" s="366"/>
      <c r="DM214" s="367"/>
      <c r="DN214" s="367"/>
      <c r="DO214" s="367"/>
      <c r="DP214" s="367"/>
      <c r="DQ214" s="368"/>
      <c r="DR214" s="366"/>
      <c r="DS214" s="367"/>
      <c r="DT214" s="367"/>
      <c r="DV214" s="234"/>
      <c r="DW214" s="234"/>
      <c r="DX214" s="234"/>
      <c r="DY214" s="234"/>
      <c r="DZ214" s="234"/>
      <c r="EA214" s="234"/>
      <c r="EB214" s="234"/>
    </row>
    <row r="215" spans="2:132" x14ac:dyDescent="0.45">
      <c r="D215" s="521"/>
      <c r="E215" s="521"/>
      <c r="F215" s="521"/>
      <c r="G215" s="521"/>
      <c r="H215" s="521"/>
      <c r="I215" s="521"/>
      <c r="J215" s="521"/>
      <c r="K215" s="521"/>
      <c r="L215" s="521"/>
      <c r="M215" s="521"/>
      <c r="N215" s="521"/>
      <c r="O215" s="521"/>
      <c r="P215" s="521"/>
      <c r="Q215" s="521"/>
      <c r="R215" s="521"/>
      <c r="S215" s="521"/>
      <c r="T215" s="521"/>
      <c r="U215" s="521"/>
      <c r="V215" s="521"/>
      <c r="W215" s="521"/>
      <c r="X215" s="521"/>
      <c r="Y215" s="521"/>
      <c r="Z215" s="521"/>
      <c r="AA215" s="521"/>
      <c r="AB215" s="521"/>
      <c r="AC215" s="521"/>
      <c r="AD215" s="521"/>
      <c r="AE215" s="521"/>
      <c r="AF215" s="521"/>
      <c r="AG215" s="521"/>
      <c r="AH215" s="521"/>
      <c r="AI215" s="521"/>
      <c r="AJ215" s="521"/>
      <c r="AK215" s="521"/>
      <c r="AL215" s="521"/>
      <c r="AM215" s="521"/>
      <c r="AN215" s="521"/>
      <c r="AO215" s="521"/>
      <c r="AP215" s="521"/>
      <c r="AQ215" s="521"/>
      <c r="AR215" s="521"/>
      <c r="AS215" s="521"/>
      <c r="AT215" s="521"/>
      <c r="AU215" s="521"/>
      <c r="AV215" s="521"/>
      <c r="AW215" s="521"/>
      <c r="AX215" s="521"/>
      <c r="AY215" s="521"/>
      <c r="AZ215" s="521"/>
      <c r="BA215" s="521"/>
      <c r="BB215" s="521"/>
      <c r="BC215" s="521"/>
      <c r="BD215" s="521"/>
      <c r="BE215" s="521"/>
      <c r="BF215" s="521"/>
      <c r="BG215" s="521"/>
      <c r="BH215" s="521"/>
      <c r="BI215" s="521"/>
      <c r="BJ215" s="521"/>
      <c r="BK215" s="521"/>
      <c r="BL215" s="521"/>
      <c r="BM215" s="521"/>
      <c r="BN215" s="521"/>
      <c r="BO215" s="521"/>
      <c r="BP215" s="521"/>
      <c r="BQ215" s="521"/>
      <c r="BR215" s="521"/>
      <c r="BS215" s="521"/>
      <c r="BT215" s="521"/>
      <c r="BU215" s="521"/>
      <c r="BV215" s="521"/>
      <c r="BW215" s="521"/>
      <c r="BX215" s="521"/>
      <c r="BY215" s="521"/>
      <c r="BZ215" s="521"/>
      <c r="CA215" s="521"/>
      <c r="CB215" s="521"/>
      <c r="CC215" s="521"/>
      <c r="CD215" s="521"/>
      <c r="CE215" s="521"/>
      <c r="CF215" s="521"/>
      <c r="CG215" s="521"/>
      <c r="CH215" s="521"/>
      <c r="CI215" s="521"/>
      <c r="CJ215" s="521"/>
      <c r="CK215" s="521"/>
      <c r="CL215" s="521"/>
      <c r="CM215" s="521"/>
      <c r="CN215" s="521"/>
      <c r="CO215" s="521"/>
      <c r="CP215" s="521"/>
      <c r="CQ215" s="521"/>
      <c r="CR215" s="521"/>
      <c r="CS215" s="521"/>
      <c r="CT215" s="521"/>
      <c r="CU215" s="521"/>
      <c r="CV215" s="521"/>
      <c r="CW215" s="521"/>
      <c r="CX215" s="521"/>
      <c r="CY215" s="521"/>
      <c r="CZ215" s="521"/>
      <c r="DA215" s="521"/>
      <c r="DB215" s="521"/>
      <c r="DC215" s="521"/>
      <c r="DD215" s="521"/>
      <c r="DE215" s="521"/>
      <c r="DF215" s="521"/>
      <c r="DG215" s="521"/>
      <c r="DH215" s="521"/>
      <c r="DI215" s="521"/>
      <c r="DJ215" s="521"/>
      <c r="DK215" s="521"/>
      <c r="DL215" s="521"/>
      <c r="DM215" s="521"/>
      <c r="DN215" s="521"/>
      <c r="DO215" s="521"/>
      <c r="DP215" s="521"/>
      <c r="DQ215" s="521"/>
      <c r="DR215" s="521"/>
      <c r="DS215" s="521"/>
      <c r="DT215" s="521"/>
      <c r="DU215" s="521"/>
      <c r="DV215" s="234"/>
      <c r="DW215" s="234"/>
      <c r="DX215" s="234"/>
      <c r="DY215" s="234"/>
      <c r="DZ215" s="234"/>
      <c r="EA215" s="234"/>
      <c r="EB215" s="234"/>
    </row>
    <row r="216" spans="2:132" x14ac:dyDescent="0.45">
      <c r="B216" s="521" t="s">
        <v>1430</v>
      </c>
      <c r="D216" s="309"/>
      <c r="E216" s="309"/>
      <c r="F216" s="308"/>
      <c r="G216" s="309"/>
      <c r="H216" s="309"/>
      <c r="I216" s="309"/>
      <c r="J216" s="309"/>
      <c r="K216" s="309"/>
      <c r="L216" s="309"/>
      <c r="M216" s="309"/>
      <c r="N216" s="309"/>
      <c r="O216" s="310"/>
      <c r="P216" s="308"/>
      <c r="Q216" s="309"/>
      <c r="R216" s="309"/>
      <c r="S216" s="309"/>
      <c r="T216" s="309"/>
      <c r="U216" s="309"/>
      <c r="V216" s="309"/>
      <c r="W216" s="309"/>
      <c r="X216" s="309"/>
      <c r="Y216" s="310"/>
      <c r="Z216" s="308"/>
      <c r="AA216" s="309"/>
      <c r="AB216" s="309"/>
      <c r="AC216" s="309"/>
      <c r="AD216" s="309"/>
      <c r="AE216" s="309"/>
      <c r="AF216" s="309"/>
      <c r="AG216" s="309"/>
      <c r="AH216" s="309"/>
      <c r="AI216" s="310"/>
      <c r="AJ216" s="308"/>
      <c r="AK216" s="309"/>
      <c r="AL216" s="309"/>
      <c r="AM216" s="309"/>
      <c r="AN216" s="309"/>
      <c r="AO216" s="309"/>
      <c r="AP216" s="309"/>
      <c r="AQ216" s="309"/>
      <c r="AR216" s="309"/>
      <c r="AS216" s="310"/>
      <c r="AT216" s="308"/>
      <c r="AU216" s="309"/>
      <c r="AV216" s="309"/>
      <c r="AW216" s="309"/>
      <c r="AX216" s="309"/>
      <c r="AY216" s="309"/>
      <c r="AZ216" s="309"/>
      <c r="BA216" s="309"/>
      <c r="BB216" s="309"/>
      <c r="BC216" s="310"/>
      <c r="BD216" s="308"/>
      <c r="BE216" s="309"/>
      <c r="BF216" s="309"/>
      <c r="BG216" s="309"/>
      <c r="BH216" s="309"/>
      <c r="BI216" s="309"/>
      <c r="BJ216" s="309"/>
      <c r="BK216" s="309"/>
      <c r="BL216" s="309"/>
      <c r="BM216" s="310"/>
      <c r="BN216" s="308"/>
      <c r="BO216" s="309"/>
      <c r="BP216" s="309"/>
      <c r="BQ216" s="309"/>
      <c r="BR216" s="309"/>
      <c r="BS216" s="309"/>
      <c r="BT216" s="309"/>
      <c r="BU216" s="309"/>
      <c r="BV216" s="309"/>
      <c r="BW216" s="310"/>
      <c r="BX216" s="525"/>
      <c r="BY216" s="526"/>
      <c r="BZ216" s="526"/>
      <c r="CA216" s="526"/>
      <c r="CB216" s="526"/>
      <c r="CC216" s="526"/>
      <c r="CD216" s="526"/>
      <c r="CE216" s="526"/>
      <c r="CF216" s="526"/>
      <c r="CG216" s="533"/>
      <c r="CH216" s="525"/>
      <c r="CI216" s="526"/>
      <c r="CJ216" s="526"/>
      <c r="CK216" s="526"/>
      <c r="CL216" s="526"/>
      <c r="CM216" s="533"/>
      <c r="CN216" s="525"/>
      <c r="CO216" s="526"/>
      <c r="CP216" s="526"/>
      <c r="CQ216" s="526"/>
      <c r="CR216" s="526"/>
      <c r="CS216" s="533"/>
      <c r="CT216" s="525"/>
      <c r="CU216" s="526"/>
      <c r="CV216" s="526"/>
      <c r="CW216" s="526"/>
      <c r="CX216" s="526"/>
      <c r="CY216" s="533"/>
      <c r="CZ216" s="525"/>
      <c r="DA216" s="526"/>
      <c r="DB216" s="526"/>
      <c r="DC216" s="526"/>
      <c r="DD216" s="526"/>
      <c r="DE216" s="533"/>
      <c r="DF216" s="525"/>
      <c r="DG216" s="526"/>
      <c r="DH216" s="526"/>
      <c r="DI216" s="526"/>
      <c r="DJ216" s="526"/>
      <c r="DK216" s="533"/>
      <c r="DL216" s="525"/>
      <c r="DM216" s="526"/>
      <c r="DN216" s="526"/>
      <c r="DO216" s="526"/>
      <c r="DP216" s="526"/>
      <c r="DQ216" s="533"/>
      <c r="DR216" s="525"/>
      <c r="DS216" s="526"/>
      <c r="DT216" s="526"/>
      <c r="DV216" s="234"/>
      <c r="DW216" s="234"/>
      <c r="DX216" s="234"/>
      <c r="DY216" s="234"/>
      <c r="DZ216" s="234"/>
      <c r="EA216" s="234"/>
      <c r="EB216" s="234"/>
    </row>
    <row r="217" spans="2:132" x14ac:dyDescent="0.45">
      <c r="DV217" s="234"/>
      <c r="DW217" s="234"/>
      <c r="DX217" s="234"/>
      <c r="DY217" s="234"/>
      <c r="DZ217" s="234"/>
      <c r="EA217" s="234"/>
      <c r="EB217" s="234"/>
    </row>
    <row r="218" spans="2:132" x14ac:dyDescent="0.45">
      <c r="DV218" s="234"/>
      <c r="DW218" s="234"/>
      <c r="DX218" s="234"/>
      <c r="DY218" s="234"/>
      <c r="DZ218" s="234"/>
      <c r="EA218" s="234"/>
      <c r="EB218" s="234"/>
    </row>
    <row r="219" spans="2:132" x14ac:dyDescent="0.45">
      <c r="DV219" s="234"/>
      <c r="DW219" s="234"/>
      <c r="DX219" s="234"/>
      <c r="DY219" s="234"/>
      <c r="DZ219" s="234"/>
      <c r="EA219" s="234"/>
      <c r="EB219" s="234"/>
    </row>
    <row r="220" spans="2:132" x14ac:dyDescent="0.45">
      <c r="BX220" s="246"/>
      <c r="BY220" s="246"/>
      <c r="BZ220" s="246"/>
      <c r="DV220" s="234"/>
      <c r="DW220" s="234"/>
      <c r="DX220" s="234"/>
      <c r="DY220" s="234"/>
      <c r="DZ220" s="234"/>
      <c r="EA220" s="234"/>
      <c r="EB220" s="234"/>
    </row>
    <row r="221" spans="2:132" x14ac:dyDescent="0.45">
      <c r="BX221" s="246"/>
      <c r="BY221" s="246"/>
      <c r="BZ221" s="246"/>
      <c r="DV221" s="234"/>
      <c r="DW221" s="234"/>
      <c r="DX221" s="234"/>
      <c r="DY221" s="234"/>
      <c r="DZ221" s="234"/>
      <c r="EA221" s="234"/>
      <c r="EB221" s="234"/>
    </row>
    <row r="222" spans="2:132" x14ac:dyDescent="0.45">
      <c r="B222" s="623" t="s">
        <v>2653</v>
      </c>
      <c r="C222" s="615"/>
      <c r="D222" s="616"/>
      <c r="E222" s="616"/>
      <c r="F222" s="616"/>
      <c r="G222" s="616"/>
      <c r="H222" s="616"/>
      <c r="I222" s="616"/>
      <c r="J222" s="616"/>
      <c r="K222" s="616"/>
      <c r="L222" s="616"/>
      <c r="M222" s="616"/>
      <c r="N222" s="616"/>
      <c r="O222" s="616"/>
      <c r="P222" s="616"/>
      <c r="Q222" s="616"/>
      <c r="R222" s="616"/>
      <c r="S222" s="616"/>
      <c r="T222" s="616"/>
      <c r="U222" s="616"/>
      <c r="V222" s="616"/>
      <c r="W222" s="616"/>
      <c r="X222" s="616"/>
      <c r="Y222" s="616"/>
      <c r="Z222" s="616"/>
      <c r="AA222" s="616"/>
      <c r="AB222" s="616"/>
      <c r="AC222" s="616"/>
      <c r="AD222" s="616"/>
      <c r="AE222" s="616"/>
      <c r="AF222" s="616"/>
      <c r="AG222" s="616"/>
      <c r="AH222" s="616"/>
      <c r="AI222" s="616"/>
      <c r="AJ222" s="616"/>
      <c r="AK222" s="616"/>
      <c r="AL222" s="616"/>
      <c r="AM222" s="616"/>
      <c r="AN222" s="616"/>
      <c r="AO222" s="616"/>
      <c r="AP222" s="616"/>
      <c r="AQ222" s="616"/>
      <c r="AR222" s="616"/>
      <c r="AS222" s="616"/>
      <c r="AT222" s="616"/>
      <c r="AU222" s="616"/>
      <c r="AV222" s="616"/>
      <c r="AW222" s="616"/>
      <c r="AX222" s="616"/>
      <c r="AY222" s="616"/>
      <c r="AZ222" s="616"/>
      <c r="BA222" s="616"/>
      <c r="BB222" s="616"/>
      <c r="BC222" s="616"/>
      <c r="BD222" s="616"/>
      <c r="BE222" s="616"/>
      <c r="BF222" s="616"/>
      <c r="BG222" s="616"/>
      <c r="BH222" s="616"/>
      <c r="BI222" s="616"/>
      <c r="BJ222" s="616"/>
      <c r="BK222" s="616"/>
      <c r="BL222" s="616"/>
      <c r="BM222" s="616"/>
      <c r="BN222" s="616"/>
      <c r="BO222" s="616"/>
      <c r="BP222" s="616"/>
      <c r="BQ222" s="616"/>
      <c r="BR222" s="616"/>
      <c r="BS222" s="616"/>
      <c r="BT222" s="616"/>
      <c r="BU222" s="616"/>
      <c r="BV222" s="616"/>
      <c r="BW222" s="616"/>
      <c r="BX222" s="614"/>
      <c r="BY222" s="614"/>
      <c r="BZ222" s="614"/>
      <c r="CA222" s="614"/>
      <c r="CB222" s="614"/>
      <c r="CC222" s="614"/>
      <c r="CD222" s="614"/>
      <c r="CE222" s="614"/>
      <c r="CF222" s="614"/>
      <c r="CG222" s="614"/>
      <c r="CH222" s="614"/>
      <c r="CI222" s="614"/>
      <c r="CJ222" s="614"/>
      <c r="CK222" s="614"/>
      <c r="CL222" s="614"/>
      <c r="CM222" s="614"/>
      <c r="CN222" s="614"/>
      <c r="CO222" s="614"/>
      <c r="CP222" s="614"/>
      <c r="CQ222" s="614"/>
      <c r="CR222" s="614"/>
      <c r="CS222" s="614"/>
      <c r="CT222" s="614"/>
      <c r="CU222" s="614"/>
      <c r="CV222" s="614"/>
      <c r="CW222" s="614"/>
      <c r="CX222" s="614"/>
      <c r="CY222" s="614"/>
      <c r="CZ222" s="614"/>
      <c r="DA222" s="614"/>
      <c r="DB222" s="614"/>
      <c r="DC222" s="614"/>
      <c r="DD222" s="614"/>
      <c r="DE222" s="614"/>
      <c r="DF222" s="614"/>
      <c r="DG222" s="614"/>
      <c r="DH222" s="614"/>
      <c r="DI222" s="614"/>
      <c r="DJ222" s="614"/>
      <c r="DK222" s="614"/>
      <c r="DL222" s="614"/>
      <c r="DM222" s="614"/>
      <c r="DN222" s="614"/>
      <c r="DO222" s="614"/>
      <c r="DP222" s="614"/>
      <c r="DQ222" s="614"/>
      <c r="DR222" s="614"/>
      <c r="DS222" s="614"/>
      <c r="DT222" s="614"/>
      <c r="DV222" s="234"/>
      <c r="DW222" s="234"/>
      <c r="DX222" s="234"/>
      <c r="DY222" s="234"/>
      <c r="DZ222" s="234"/>
      <c r="EA222" s="234"/>
      <c r="EB222" s="234"/>
    </row>
    <row r="223" spans="2:132" x14ac:dyDescent="0.45">
      <c r="B223" s="521" t="s">
        <v>1431</v>
      </c>
      <c r="D223" s="247"/>
      <c r="E223" s="247"/>
      <c r="F223" s="247"/>
      <c r="G223" s="247"/>
      <c r="H223" s="247"/>
      <c r="I223" s="247"/>
      <c r="J223" s="347"/>
      <c r="K223" s="348"/>
      <c r="L223" s="348"/>
      <c r="M223" s="348"/>
      <c r="N223" s="349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  <c r="AA223" s="256"/>
      <c r="AB223" s="256"/>
      <c r="AC223" s="256"/>
      <c r="AD223" s="256"/>
      <c r="AE223" s="256"/>
      <c r="AF223" s="256"/>
      <c r="AG223" s="256"/>
      <c r="AH223" s="256"/>
      <c r="AI223" s="256"/>
      <c r="AJ223" s="256"/>
      <c r="AK223" s="256"/>
      <c r="AL223" s="256"/>
      <c r="AM223" s="256"/>
      <c r="AN223" s="256"/>
      <c r="AO223" s="256"/>
      <c r="AP223" s="256"/>
      <c r="AQ223" s="256"/>
      <c r="AR223" s="256"/>
      <c r="AS223" s="256"/>
      <c r="AT223" s="256"/>
      <c r="AU223" s="256"/>
      <c r="AV223" s="256"/>
      <c r="AW223" s="256"/>
      <c r="AX223" s="256"/>
      <c r="AY223" s="256"/>
      <c r="AZ223" s="256"/>
      <c r="BA223" s="256"/>
      <c r="BB223" s="256"/>
      <c r="BC223" s="256"/>
      <c r="BD223" s="256"/>
      <c r="BE223" s="256"/>
      <c r="BF223" s="256"/>
      <c r="BG223" s="256"/>
      <c r="BH223" s="256"/>
      <c r="BI223" s="256"/>
      <c r="BJ223" s="256"/>
      <c r="BK223" s="256"/>
      <c r="BL223" s="256"/>
      <c r="BM223" s="256"/>
      <c r="BN223" s="256"/>
      <c r="BO223" s="256"/>
      <c r="BP223" s="256"/>
      <c r="BQ223" s="256"/>
      <c r="BR223" s="256"/>
      <c r="BS223" s="256"/>
      <c r="BT223" s="256"/>
      <c r="BU223" s="256"/>
      <c r="BV223" s="256"/>
      <c r="BW223" s="256"/>
      <c r="BX223" s="256"/>
      <c r="BY223" s="256"/>
      <c r="BZ223" s="256"/>
      <c r="CA223" s="256"/>
      <c r="CB223" s="256"/>
      <c r="CC223" s="256"/>
      <c r="CD223" s="256"/>
      <c r="CE223" s="256"/>
      <c r="CF223" s="256"/>
      <c r="CG223" s="256"/>
      <c r="CH223" s="256"/>
      <c r="CI223" s="256"/>
      <c r="CJ223" s="256"/>
      <c r="CK223" s="256"/>
      <c r="CL223" s="256"/>
      <c r="CM223" s="256"/>
      <c r="CN223" s="256"/>
      <c r="CO223" s="256"/>
      <c r="CP223" s="256"/>
      <c r="CQ223" s="256"/>
      <c r="CR223" s="256"/>
      <c r="CS223" s="256"/>
      <c r="CT223" s="256"/>
      <c r="CU223" s="256"/>
      <c r="CV223" s="256"/>
      <c r="CW223" s="256"/>
      <c r="CX223" s="256"/>
      <c r="CY223" s="347"/>
      <c r="CZ223" s="348"/>
      <c r="DA223" s="348"/>
      <c r="DB223" s="348"/>
      <c r="DC223" s="349"/>
      <c r="DD223" s="256"/>
      <c r="DE223" s="256"/>
      <c r="DF223" s="256"/>
      <c r="DG223" s="256"/>
      <c r="DH223" s="256"/>
      <c r="DI223" s="256"/>
      <c r="DJ223" s="256"/>
      <c r="DK223" s="256"/>
      <c r="DL223" s="256"/>
      <c r="DM223" s="256"/>
      <c r="DN223" s="256"/>
      <c r="DO223" s="256"/>
      <c r="DP223" s="256"/>
      <c r="DQ223" s="256"/>
      <c r="DR223" s="256"/>
      <c r="DS223" s="256"/>
      <c r="DT223" s="256"/>
      <c r="DV223" s="234"/>
      <c r="DW223" s="234"/>
      <c r="DX223" s="234"/>
      <c r="DY223" s="234"/>
      <c r="DZ223" s="234"/>
      <c r="EA223" s="234"/>
      <c r="EB223" s="234"/>
    </row>
    <row r="224" spans="2:132" x14ac:dyDescent="0.45">
      <c r="D224" s="248"/>
      <c r="E224" s="248"/>
      <c r="F224" s="248"/>
      <c r="G224" s="248"/>
      <c r="H224" s="248"/>
      <c r="I224" s="248"/>
      <c r="J224" s="248"/>
      <c r="K224" s="248"/>
      <c r="L224" s="248"/>
      <c r="M224" s="248"/>
      <c r="N224" s="257"/>
      <c r="O224" s="257"/>
      <c r="P224" s="257"/>
      <c r="Q224" s="257"/>
      <c r="R224" s="257"/>
      <c r="S224" s="257"/>
      <c r="T224" s="257"/>
      <c r="U224" s="257"/>
      <c r="V224" s="257"/>
      <c r="W224" s="257"/>
      <c r="X224" s="257"/>
      <c r="Y224" s="257"/>
      <c r="Z224" s="257"/>
      <c r="AA224" s="257"/>
      <c r="AB224" s="257"/>
      <c r="AC224" s="257"/>
      <c r="AD224" s="257"/>
      <c r="AE224" s="257"/>
      <c r="AF224" s="257"/>
      <c r="AG224" s="257"/>
      <c r="AH224" s="257"/>
      <c r="AI224" s="257"/>
      <c r="AJ224" s="257"/>
      <c r="AK224" s="257"/>
      <c r="AL224" s="257"/>
      <c r="AM224" s="257"/>
      <c r="AN224" s="257"/>
      <c r="AO224" s="257"/>
      <c r="AP224" s="257"/>
      <c r="AQ224" s="257"/>
      <c r="AR224" s="257"/>
      <c r="AS224" s="257"/>
      <c r="AT224" s="257"/>
      <c r="AU224" s="257"/>
      <c r="AV224" s="257"/>
      <c r="AW224" s="257"/>
      <c r="AX224" s="257"/>
      <c r="AY224" s="257"/>
      <c r="AZ224" s="257"/>
      <c r="BA224" s="257"/>
      <c r="BB224" s="257"/>
      <c r="BC224" s="257"/>
      <c r="BD224" s="257"/>
      <c r="BE224" s="257"/>
      <c r="BF224" s="257"/>
      <c r="BG224" s="257"/>
      <c r="BH224" s="257"/>
      <c r="BI224" s="257"/>
      <c r="BJ224" s="257"/>
      <c r="BK224" s="257"/>
      <c r="BL224" s="257"/>
      <c r="BM224" s="257"/>
      <c r="BN224" s="257"/>
      <c r="BO224" s="257"/>
      <c r="BP224" s="257"/>
      <c r="BQ224" s="257"/>
      <c r="BR224" s="257"/>
      <c r="BS224" s="257"/>
      <c r="BT224" s="257"/>
      <c r="BU224" s="257"/>
      <c r="BV224" s="257"/>
      <c r="BW224" s="257"/>
      <c r="BX224" s="257"/>
      <c r="BY224" s="257"/>
      <c r="BZ224" s="257"/>
      <c r="CA224" s="257"/>
      <c r="CB224" s="257"/>
      <c r="CC224" s="257"/>
      <c r="CD224" s="257"/>
      <c r="CE224" s="257"/>
      <c r="CF224" s="257"/>
      <c r="CG224" s="257"/>
      <c r="CH224" s="257"/>
      <c r="CI224" s="257"/>
      <c r="CJ224" s="257"/>
      <c r="CK224" s="257"/>
      <c r="CL224" s="257"/>
      <c r="CM224" s="257"/>
      <c r="CN224" s="257"/>
      <c r="CO224" s="257"/>
      <c r="CP224" s="257"/>
      <c r="CQ224" s="257"/>
      <c r="CR224" s="257"/>
      <c r="CS224" s="257"/>
      <c r="CT224" s="257"/>
      <c r="CU224" s="257"/>
      <c r="CV224" s="257"/>
      <c r="CW224" s="257"/>
      <c r="CX224" s="257"/>
      <c r="CY224" s="257"/>
      <c r="CZ224" s="257"/>
      <c r="DA224" s="257"/>
      <c r="DB224" s="257"/>
      <c r="DC224" s="257"/>
      <c r="DD224" s="257"/>
      <c r="DE224" s="257"/>
      <c r="DF224" s="257"/>
      <c r="DG224" s="257"/>
      <c r="DH224" s="257"/>
      <c r="DI224" s="257"/>
      <c r="DJ224" s="257"/>
      <c r="DK224" s="257"/>
      <c r="DL224" s="257"/>
      <c r="DN224" s="257"/>
      <c r="DP224" s="257"/>
      <c r="DR224" s="257"/>
      <c r="DT224" s="257"/>
      <c r="DV224" s="234"/>
      <c r="DW224" s="234"/>
      <c r="DX224" s="234"/>
      <c r="DY224" s="234"/>
      <c r="DZ224" s="234"/>
      <c r="EA224" s="234"/>
      <c r="EB224" s="234"/>
    </row>
    <row r="225" spans="2:132" x14ac:dyDescent="0.45">
      <c r="B225" s="521" t="s">
        <v>2081</v>
      </c>
      <c r="D225" s="247"/>
      <c r="E225" s="247"/>
      <c r="F225" s="247"/>
      <c r="G225" s="247"/>
      <c r="H225" s="247"/>
      <c r="I225" s="247"/>
      <c r="J225" s="880"/>
      <c r="K225" s="880"/>
      <c r="L225" s="880"/>
      <c r="M225" s="880"/>
      <c r="N225" s="881"/>
      <c r="O225" s="881"/>
      <c r="P225" s="881"/>
      <c r="Q225" s="881"/>
      <c r="R225" s="256"/>
      <c r="S225" s="256"/>
      <c r="T225" s="256"/>
      <c r="U225" s="256"/>
      <c r="V225" s="256"/>
      <c r="W225" s="256"/>
      <c r="X225" s="256"/>
      <c r="Y225" s="256"/>
      <c r="Z225" s="256"/>
      <c r="AA225" s="256"/>
      <c r="AB225" s="256"/>
      <c r="AC225" s="256"/>
      <c r="AD225" s="256"/>
      <c r="AE225" s="256"/>
      <c r="AF225" s="256"/>
      <c r="AG225" s="256"/>
      <c r="AH225" s="256"/>
      <c r="AI225" s="256"/>
      <c r="AJ225" s="256"/>
      <c r="AK225" s="256"/>
      <c r="AL225" s="256"/>
      <c r="AM225" s="256"/>
      <c r="AN225" s="256"/>
      <c r="AO225" s="256"/>
      <c r="AP225" s="256"/>
      <c r="AQ225" s="256"/>
      <c r="AR225" s="256"/>
      <c r="AS225" s="256"/>
      <c r="AT225" s="256"/>
      <c r="AU225" s="256"/>
      <c r="AV225" s="256"/>
      <c r="AW225" s="256"/>
      <c r="AX225" s="256"/>
      <c r="AY225" s="256"/>
      <c r="AZ225" s="256"/>
      <c r="BA225" s="256"/>
      <c r="BB225" s="256"/>
      <c r="BC225" s="256"/>
      <c r="BD225" s="256"/>
      <c r="BE225" s="256"/>
      <c r="BF225" s="256"/>
      <c r="BG225" s="256"/>
      <c r="BH225" s="256"/>
      <c r="BI225" s="256"/>
      <c r="BJ225" s="256"/>
      <c r="BK225" s="256"/>
      <c r="BL225" s="256"/>
      <c r="BM225" s="256"/>
      <c r="BN225" s="256"/>
      <c r="BO225" s="256"/>
      <c r="BP225" s="256"/>
      <c r="BQ225" s="256"/>
      <c r="BR225" s="256"/>
      <c r="BS225" s="256"/>
      <c r="BT225" s="256"/>
      <c r="BU225" s="256"/>
      <c r="BV225" s="256"/>
      <c r="BW225" s="256"/>
      <c r="BX225" s="256"/>
      <c r="BY225" s="256"/>
      <c r="BZ225" s="256"/>
      <c r="CA225" s="256"/>
      <c r="CB225" s="256"/>
      <c r="CC225" s="256"/>
      <c r="CD225" s="256"/>
      <c r="CE225" s="256"/>
      <c r="CF225" s="256"/>
      <c r="CG225" s="256"/>
      <c r="CH225" s="256"/>
      <c r="CI225" s="256"/>
      <c r="CJ225" s="256"/>
      <c r="CK225" s="256"/>
      <c r="CL225" s="256"/>
      <c r="CM225" s="256"/>
      <c r="CN225" s="256"/>
      <c r="CO225" s="256"/>
      <c r="CP225" s="256"/>
      <c r="CQ225" s="256"/>
      <c r="CR225" s="256"/>
      <c r="CS225" s="256"/>
      <c r="CT225" s="256"/>
      <c r="CU225" s="256"/>
      <c r="CV225" s="256"/>
      <c r="CW225" s="256"/>
      <c r="CX225" s="256"/>
      <c r="CY225" s="880"/>
      <c r="CZ225" s="880"/>
      <c r="DA225" s="880"/>
      <c r="DB225" s="880"/>
      <c r="DC225" s="881"/>
      <c r="DD225" s="881"/>
      <c r="DE225" s="881"/>
      <c r="DF225" s="881"/>
      <c r="DG225" s="256"/>
      <c r="DH225" s="256"/>
      <c r="DI225" s="256"/>
      <c r="DJ225" s="256"/>
      <c r="DK225" s="256"/>
      <c r="DL225" s="256"/>
      <c r="DM225" s="260"/>
      <c r="DN225" s="256"/>
      <c r="DO225" s="260"/>
      <c r="DP225" s="256"/>
      <c r="DQ225" s="260"/>
      <c r="DR225" s="256"/>
      <c r="DS225" s="260"/>
      <c r="DT225" s="256"/>
      <c r="DV225" s="234"/>
      <c r="DW225" s="234"/>
      <c r="DX225" s="234"/>
      <c r="DY225" s="234"/>
      <c r="DZ225" s="234"/>
      <c r="EA225" s="234"/>
      <c r="EB225" s="234"/>
    </row>
    <row r="226" spans="2:132" x14ac:dyDescent="0.45">
      <c r="W226" s="234"/>
      <c r="X226" s="234"/>
      <c r="BX226" s="246"/>
      <c r="BY226" s="246"/>
      <c r="BZ226" s="246"/>
      <c r="CY226" s="246"/>
      <c r="CZ226" s="246"/>
      <c r="DA226" s="246"/>
      <c r="DB226" s="246"/>
      <c r="DC226" s="246"/>
      <c r="DD226" s="246"/>
      <c r="DE226" s="246"/>
      <c r="DF226" s="246"/>
      <c r="DG226" s="246"/>
      <c r="DH226" s="246"/>
      <c r="DI226" s="246"/>
      <c r="DJ226" s="246"/>
      <c r="DK226" s="246"/>
      <c r="DV226" s="234"/>
      <c r="DW226" s="234"/>
      <c r="DX226" s="234"/>
      <c r="DY226" s="234"/>
      <c r="DZ226" s="234"/>
      <c r="EA226" s="234"/>
      <c r="EB226" s="234"/>
    </row>
    <row r="227" spans="2:132" x14ac:dyDescent="0.45">
      <c r="B227" s="521" t="s">
        <v>2089</v>
      </c>
      <c r="D227" s="250"/>
      <c r="E227" s="250"/>
      <c r="F227" s="250"/>
      <c r="G227" s="250"/>
      <c r="H227" s="250"/>
      <c r="I227" s="250"/>
      <c r="J227" s="250"/>
      <c r="K227" s="250"/>
      <c r="L227" s="250"/>
      <c r="M227" s="250"/>
      <c r="N227" s="250"/>
      <c r="O227" s="250"/>
      <c r="P227" s="250"/>
      <c r="Q227" s="250"/>
      <c r="R227" s="250"/>
      <c r="S227" s="250"/>
      <c r="T227" s="313"/>
      <c r="U227" s="250"/>
      <c r="V227" s="250"/>
      <c r="W227" s="260"/>
      <c r="X227" s="260"/>
      <c r="Y227" s="250"/>
      <c r="Z227" s="250"/>
      <c r="AA227" s="250"/>
      <c r="AB227" s="250"/>
      <c r="AC227" s="250"/>
      <c r="AD227" s="250"/>
      <c r="AE227" s="250"/>
      <c r="AF227" s="250"/>
      <c r="AG227" s="250"/>
      <c r="AH227" s="250"/>
      <c r="AI227" s="250"/>
      <c r="AJ227" s="250"/>
      <c r="AK227" s="250"/>
      <c r="AL227" s="250"/>
      <c r="AM227" s="250"/>
      <c r="AN227" s="250"/>
      <c r="AO227" s="250"/>
      <c r="AP227" s="250"/>
      <c r="AQ227" s="250"/>
      <c r="AR227" s="250"/>
      <c r="AS227" s="250"/>
      <c r="AT227" s="250"/>
      <c r="AU227" s="250"/>
      <c r="AV227" s="250"/>
      <c r="AW227" s="250"/>
      <c r="AX227" s="250"/>
      <c r="AY227" s="250"/>
      <c r="AZ227" s="250"/>
      <c r="BA227" s="250"/>
      <c r="BB227" s="250"/>
      <c r="BC227" s="250"/>
      <c r="BD227" s="250"/>
      <c r="BE227" s="250"/>
      <c r="BF227" s="250"/>
      <c r="BG227" s="250"/>
      <c r="BH227" s="250"/>
      <c r="BI227" s="250"/>
      <c r="BJ227" s="250"/>
      <c r="BK227" s="250"/>
      <c r="BL227" s="250"/>
      <c r="BM227" s="250"/>
      <c r="BN227" s="250"/>
      <c r="BO227" s="250"/>
      <c r="BP227" s="250"/>
      <c r="BQ227" s="250"/>
      <c r="BR227" s="250"/>
      <c r="BS227" s="250"/>
      <c r="BT227" s="250"/>
      <c r="BU227" s="250"/>
      <c r="BV227" s="250"/>
      <c r="BW227" s="250"/>
      <c r="BX227" s="250"/>
      <c r="BY227" s="250"/>
      <c r="BZ227" s="250"/>
      <c r="CA227" s="260"/>
      <c r="CB227" s="260"/>
      <c r="CC227" s="260"/>
      <c r="CD227" s="260"/>
      <c r="CE227" s="260"/>
      <c r="CF227" s="260"/>
      <c r="CG227" s="260"/>
      <c r="CH227" s="260"/>
      <c r="CI227" s="260"/>
      <c r="CJ227" s="260"/>
      <c r="CK227" s="260"/>
      <c r="CL227" s="260"/>
      <c r="CM227" s="260"/>
      <c r="CN227" s="260"/>
      <c r="CO227" s="260"/>
      <c r="CP227" s="260"/>
      <c r="CQ227" s="260"/>
      <c r="CR227" s="260"/>
      <c r="CS227" s="260"/>
      <c r="CT227" s="260"/>
      <c r="CU227" s="260"/>
      <c r="CV227" s="260"/>
      <c r="CW227" s="260"/>
      <c r="CX227" s="260"/>
      <c r="CY227" s="250"/>
      <c r="CZ227" s="250"/>
      <c r="DA227" s="250"/>
      <c r="DB227" s="250"/>
      <c r="DC227" s="250"/>
      <c r="DD227" s="250"/>
      <c r="DE227" s="250"/>
      <c r="DF227" s="250"/>
      <c r="DG227" s="250"/>
      <c r="DH227" s="250"/>
      <c r="DI227" s="313"/>
      <c r="DJ227" s="250"/>
      <c r="DK227" s="250"/>
      <c r="DL227" s="260"/>
      <c r="DM227" s="260"/>
      <c r="DN227" s="260"/>
      <c r="DO227" s="260"/>
      <c r="DP227" s="260"/>
      <c r="DQ227" s="260"/>
      <c r="DR227" s="260"/>
      <c r="DS227" s="260"/>
      <c r="DT227" s="260"/>
      <c r="DV227" s="234"/>
      <c r="DW227" s="234"/>
      <c r="DX227" s="234"/>
      <c r="DY227" s="234"/>
      <c r="DZ227" s="234"/>
      <c r="EA227" s="234"/>
      <c r="EB227" s="234"/>
    </row>
    <row r="228" spans="2:132" x14ac:dyDescent="0.45">
      <c r="W228" s="234"/>
      <c r="X228" s="234"/>
      <c r="BX228" s="246"/>
      <c r="BY228" s="246"/>
      <c r="BZ228" s="246"/>
      <c r="DG228" s="246"/>
      <c r="DH228" s="246"/>
      <c r="DI228" s="246"/>
      <c r="DJ228" s="246"/>
      <c r="DK228" s="246"/>
      <c r="DV228" s="234"/>
      <c r="DW228" s="234"/>
      <c r="DX228" s="234"/>
      <c r="DY228" s="234"/>
      <c r="DZ228" s="234"/>
      <c r="EA228" s="234"/>
      <c r="EB228" s="234"/>
    </row>
    <row r="229" spans="2:132" x14ac:dyDescent="0.45">
      <c r="W229" s="234"/>
      <c r="X229" s="234"/>
      <c r="BX229" s="246"/>
      <c r="BY229" s="246"/>
      <c r="BZ229" s="246"/>
      <c r="DG229" s="246"/>
      <c r="DH229" s="246"/>
      <c r="DI229" s="246"/>
      <c r="DJ229" s="246"/>
      <c r="DK229" s="246"/>
      <c r="DV229" s="234"/>
      <c r="DW229" s="234"/>
      <c r="DX229" s="234"/>
      <c r="DY229" s="234"/>
      <c r="DZ229" s="234"/>
      <c r="EA229" s="234"/>
      <c r="EB229" s="234"/>
    </row>
    <row r="230" spans="2:132" x14ac:dyDescent="0.45">
      <c r="W230" s="234"/>
      <c r="X230" s="234"/>
      <c r="BX230" s="246"/>
      <c r="BY230" s="246"/>
      <c r="BZ230" s="246"/>
      <c r="DG230" s="246"/>
      <c r="DH230" s="246"/>
      <c r="DI230" s="246"/>
      <c r="DJ230" s="246"/>
      <c r="DK230" s="246"/>
      <c r="DV230" s="234"/>
      <c r="DW230" s="234"/>
      <c r="DX230" s="234"/>
      <c r="DY230" s="234"/>
      <c r="DZ230" s="234"/>
      <c r="EA230" s="234"/>
      <c r="EB230" s="234"/>
    </row>
    <row r="231" spans="2:132" x14ac:dyDescent="0.45">
      <c r="B231" s="521" t="s">
        <v>2057</v>
      </c>
      <c r="D231" s="249"/>
      <c r="E231" s="323"/>
      <c r="F231" s="247"/>
      <c r="G231" s="247"/>
      <c r="H231" s="247"/>
      <c r="I231" s="247"/>
      <c r="J231" s="247"/>
      <c r="K231" s="247"/>
      <c r="L231" s="882" t="s">
        <v>2063</v>
      </c>
      <c r="M231" s="249"/>
      <c r="N231" s="323"/>
      <c r="O231" s="247"/>
      <c r="P231" s="247"/>
      <c r="Q231" s="247"/>
      <c r="R231" s="247"/>
      <c r="S231" s="247"/>
      <c r="T231" s="247"/>
      <c r="U231" s="882" t="s">
        <v>1292</v>
      </c>
      <c r="V231" s="249"/>
      <c r="W231" s="323"/>
      <c r="X231" s="247"/>
      <c r="Y231" s="247"/>
      <c r="Z231" s="247"/>
      <c r="AA231" s="247"/>
      <c r="AB231" s="247"/>
      <c r="AC231" s="247"/>
      <c r="AD231" s="882" t="s">
        <v>2058</v>
      </c>
      <c r="AE231" s="249"/>
      <c r="AF231" s="323"/>
      <c r="AG231" s="247"/>
      <c r="AH231" s="247"/>
      <c r="AI231" s="247"/>
      <c r="AJ231" s="247"/>
      <c r="AK231" s="247"/>
      <c r="AL231" s="247"/>
      <c r="AM231" s="882" t="s">
        <v>2059</v>
      </c>
      <c r="AN231" s="249"/>
      <c r="AO231" s="323"/>
      <c r="AP231" s="247"/>
      <c r="AQ231" s="247"/>
      <c r="AR231" s="247"/>
      <c r="AS231" s="247"/>
      <c r="AT231" s="247"/>
      <c r="AU231" s="247"/>
      <c r="AV231" s="882" t="s">
        <v>2060</v>
      </c>
      <c r="AW231" s="249"/>
      <c r="AX231" s="323"/>
      <c r="AY231" s="247"/>
      <c r="AZ231" s="247"/>
      <c r="BA231" s="247"/>
      <c r="BB231" s="247"/>
      <c r="BC231" s="247"/>
      <c r="BD231" s="247"/>
      <c r="BE231" s="882" t="s">
        <v>2066</v>
      </c>
      <c r="BF231" s="249"/>
      <c r="BG231" s="323"/>
      <c r="BH231" s="247"/>
      <c r="BI231" s="247"/>
      <c r="BJ231" s="247"/>
      <c r="BK231" s="247"/>
      <c r="BL231" s="247"/>
      <c r="BM231" s="247"/>
      <c r="BN231" s="882" t="s">
        <v>2061</v>
      </c>
      <c r="BO231" s="249"/>
      <c r="BP231" s="323"/>
      <c r="BQ231" s="247"/>
      <c r="BR231" s="247"/>
      <c r="BS231" s="247"/>
      <c r="BT231" s="247"/>
      <c r="BU231" s="247"/>
      <c r="BV231" s="247"/>
      <c r="BW231" s="882"/>
      <c r="BX231" s="249"/>
      <c r="BY231" s="246"/>
      <c r="BZ231" s="246"/>
      <c r="CA231" s="249"/>
      <c r="CB231" s="323"/>
      <c r="CC231" s="247"/>
      <c r="CD231" s="247"/>
      <c r="CE231" s="247"/>
      <c r="CF231" s="247"/>
      <c r="CG231" s="247"/>
      <c r="CH231" s="247"/>
      <c r="CI231" s="882" t="s">
        <v>2065</v>
      </c>
      <c r="CJ231" s="249"/>
      <c r="CK231" s="323"/>
      <c r="CL231" s="247"/>
      <c r="CM231" s="247"/>
      <c r="CN231" s="247"/>
      <c r="CO231" s="247"/>
      <c r="CP231" s="247"/>
      <c r="CQ231" s="247"/>
      <c r="CR231" s="882" t="s">
        <v>2064</v>
      </c>
      <c r="CS231" s="249"/>
      <c r="CT231" s="323"/>
      <c r="CU231" s="247"/>
      <c r="CV231" s="247"/>
      <c r="CW231" s="247"/>
      <c r="CX231" s="247"/>
      <c r="CY231" s="247"/>
      <c r="CZ231" s="247"/>
      <c r="DA231" s="882" t="s">
        <v>2063</v>
      </c>
      <c r="DB231" s="249"/>
      <c r="DC231" s="323"/>
      <c r="DD231" s="247"/>
      <c r="DE231" s="247"/>
      <c r="DF231" s="247"/>
      <c r="DG231" s="247"/>
      <c r="DH231" s="247"/>
      <c r="DI231" s="247"/>
      <c r="DJ231" s="882" t="s">
        <v>1292</v>
      </c>
      <c r="DK231" s="249"/>
      <c r="DL231" s="323"/>
      <c r="DM231" s="247"/>
      <c r="DN231" s="247"/>
      <c r="DO231" s="247"/>
      <c r="DP231" s="247"/>
      <c r="DQ231" s="247"/>
      <c r="DR231" s="247"/>
      <c r="DS231" s="882" t="s">
        <v>2058</v>
      </c>
      <c r="DT231" s="249"/>
      <c r="DV231" s="234"/>
      <c r="DW231" s="234"/>
      <c r="DX231" s="234"/>
      <c r="DY231" s="234"/>
      <c r="DZ231" s="234"/>
      <c r="EA231" s="234"/>
      <c r="EB231" s="234"/>
    </row>
    <row r="232" spans="2:132" ht="15" thickBot="1" x14ac:dyDescent="0.5">
      <c r="W232" s="234"/>
      <c r="X232" s="234"/>
      <c r="BX232" s="246"/>
      <c r="BY232" s="246"/>
      <c r="BZ232" s="246"/>
      <c r="DG232" s="246"/>
      <c r="DH232" s="246"/>
      <c r="DI232" s="246"/>
      <c r="DJ232" s="246"/>
      <c r="DK232" s="246"/>
      <c r="DV232" s="234"/>
      <c r="DW232" s="234"/>
      <c r="DX232" s="234"/>
      <c r="DY232" s="234"/>
      <c r="DZ232" s="234"/>
      <c r="EA232" s="234"/>
      <c r="EB232" s="234"/>
    </row>
    <row r="233" spans="2:132" ht="15" thickBot="1" x14ac:dyDescent="0.5">
      <c r="B233" s="521" t="s">
        <v>1419</v>
      </c>
      <c r="D233" s="497"/>
      <c r="E233" s="497"/>
      <c r="F233" s="497"/>
      <c r="G233" s="497"/>
      <c r="H233" s="497"/>
      <c r="I233" s="497"/>
      <c r="J233" s="497"/>
      <c r="K233" s="497"/>
      <c r="L233" s="497"/>
      <c r="M233" s="497"/>
      <c r="N233" s="497"/>
      <c r="O233" s="497"/>
      <c r="P233" s="497"/>
      <c r="Q233" s="497"/>
      <c r="R233" s="497"/>
      <c r="S233" s="497"/>
      <c r="T233" s="497"/>
      <c r="U233" s="499"/>
      <c r="V233" s="500"/>
      <c r="W233" s="500"/>
      <c r="X233" s="500"/>
      <c r="Y233" s="500"/>
      <c r="Z233" s="500"/>
      <c r="AA233" s="500"/>
      <c r="AB233" s="500"/>
      <c r="AC233" s="502"/>
      <c r="AD233" s="497"/>
      <c r="AE233" s="497"/>
      <c r="AF233" s="497"/>
      <c r="AG233" s="497"/>
      <c r="AH233" s="497"/>
      <c r="AI233" s="497"/>
      <c r="AJ233" s="497"/>
      <c r="AK233" s="497"/>
      <c r="AL233" s="497"/>
      <c r="AM233" s="497"/>
      <c r="AN233" s="497"/>
      <c r="AO233" s="497"/>
      <c r="AP233" s="497"/>
      <c r="AQ233" s="497"/>
      <c r="AR233" s="497"/>
      <c r="AS233" s="497"/>
      <c r="AT233" s="497"/>
      <c r="AU233" s="497"/>
      <c r="AV233" s="499"/>
      <c r="AW233" s="500"/>
      <c r="AX233" s="500"/>
      <c r="AY233" s="500"/>
      <c r="AZ233" s="500"/>
      <c r="BA233" s="500"/>
      <c r="BB233" s="500"/>
      <c r="BC233" s="500"/>
      <c r="BD233" s="502"/>
      <c r="BE233" s="497"/>
      <c r="BF233" s="497"/>
      <c r="BG233" s="497"/>
      <c r="BH233" s="497"/>
      <c r="BI233" s="497"/>
      <c r="BJ233" s="497"/>
      <c r="BK233" s="497"/>
      <c r="BL233" s="497"/>
      <c r="BM233" s="497"/>
      <c r="BN233" s="497"/>
      <c r="BO233" s="497"/>
      <c r="BP233" s="497"/>
      <c r="BQ233" s="497"/>
      <c r="BR233" s="497"/>
      <c r="BS233" s="497"/>
      <c r="BT233" s="497"/>
      <c r="BU233" s="497"/>
      <c r="BV233" s="497"/>
      <c r="BW233" s="499"/>
      <c r="BX233" s="500"/>
      <c r="BY233" s="246"/>
      <c r="BZ233" s="246"/>
      <c r="CA233" s="497"/>
      <c r="CB233" s="497"/>
      <c r="CC233" s="497"/>
      <c r="CD233" s="497"/>
      <c r="CE233" s="497"/>
      <c r="CF233" s="497"/>
      <c r="CG233" s="497"/>
      <c r="CH233" s="497"/>
      <c r="CI233" s="499"/>
      <c r="CJ233" s="500"/>
      <c r="CK233" s="500"/>
      <c r="CL233" s="500"/>
      <c r="CM233" s="500"/>
      <c r="CN233" s="500"/>
      <c r="CO233" s="500"/>
      <c r="CP233" s="500"/>
      <c r="CQ233" s="502"/>
      <c r="CR233" s="497"/>
      <c r="CS233" s="497"/>
      <c r="CT233" s="497"/>
      <c r="CU233" s="497"/>
      <c r="CV233" s="497"/>
      <c r="CW233" s="497"/>
      <c r="CX233" s="497"/>
      <c r="CY233" s="497"/>
      <c r="CZ233" s="497"/>
      <c r="DA233" s="497"/>
      <c r="DB233" s="497"/>
      <c r="DC233" s="497"/>
      <c r="DD233" s="497"/>
      <c r="DE233" s="497"/>
      <c r="DF233" s="497"/>
      <c r="DG233" s="497"/>
      <c r="DH233" s="497"/>
      <c r="DI233" s="497"/>
      <c r="DJ233" s="499"/>
      <c r="DK233" s="500"/>
      <c r="DL233" s="500"/>
      <c r="DM233" s="500"/>
      <c r="DN233" s="500"/>
      <c r="DO233" s="500"/>
      <c r="DP233" s="500"/>
      <c r="DQ233" s="500"/>
      <c r="DR233" s="502"/>
      <c r="DS233" s="497"/>
      <c r="DT233" s="497"/>
      <c r="DV233" s="234"/>
      <c r="DW233" s="234"/>
      <c r="DX233" s="234"/>
      <c r="DY233" s="234"/>
      <c r="DZ233" s="234"/>
      <c r="EA233" s="234"/>
      <c r="EB233" s="234"/>
    </row>
    <row r="234" spans="2:132" ht="15" thickBot="1" x14ac:dyDescent="0.5"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AI234" s="234"/>
      <c r="AJ234" s="234"/>
      <c r="BS234" s="234"/>
      <c r="BT234" s="234"/>
      <c r="BU234" s="234"/>
      <c r="BV234" s="234"/>
      <c r="BW234" s="234"/>
      <c r="BY234" s="246"/>
      <c r="BZ234" s="246"/>
      <c r="CI234" s="246"/>
      <c r="CJ234" s="246"/>
      <c r="CK234" s="246"/>
      <c r="CL234" s="246"/>
      <c r="CM234" s="246"/>
      <c r="CN234" s="246"/>
      <c r="CO234" s="246"/>
      <c r="CP234" s="246"/>
      <c r="CQ234" s="246"/>
      <c r="CR234" s="246"/>
      <c r="CS234" s="246"/>
      <c r="CT234" s="246"/>
      <c r="CU234" s="246"/>
      <c r="CV234" s="246"/>
      <c r="CW234" s="246"/>
      <c r="CX234" s="246"/>
      <c r="CY234" s="246"/>
      <c r="CZ234" s="246"/>
      <c r="DA234" s="246"/>
      <c r="DB234" s="246"/>
      <c r="DC234" s="246"/>
      <c r="DD234" s="246"/>
      <c r="DE234" s="246"/>
      <c r="DF234" s="246"/>
      <c r="DG234" s="246"/>
      <c r="DH234" s="246"/>
      <c r="DI234" s="246"/>
      <c r="DJ234" s="246"/>
      <c r="DK234" s="246"/>
      <c r="DL234" s="246"/>
      <c r="DM234" s="246"/>
      <c r="DN234" s="246"/>
      <c r="DQ234" s="246"/>
      <c r="DR234" s="246"/>
      <c r="DS234" s="246"/>
      <c r="DT234" s="246"/>
      <c r="DV234" s="234"/>
      <c r="DW234" s="234"/>
      <c r="DX234" s="234"/>
      <c r="DY234" s="234"/>
      <c r="DZ234" s="234"/>
      <c r="EA234" s="234"/>
      <c r="EB234" s="234"/>
    </row>
    <row r="235" spans="2:132" ht="15" thickBot="1" x14ac:dyDescent="0.5">
      <c r="B235" s="521" t="s">
        <v>1420</v>
      </c>
      <c r="D235" s="505"/>
      <c r="E235" s="505"/>
      <c r="F235" s="505"/>
      <c r="G235" s="505"/>
      <c r="H235" s="505"/>
      <c r="I235" s="505"/>
      <c r="J235" s="505"/>
      <c r="K235" s="506"/>
      <c r="L235" s="511"/>
      <c r="M235" s="511"/>
      <c r="N235" s="511"/>
      <c r="O235" s="511"/>
      <c r="P235" s="511"/>
      <c r="Q235" s="511"/>
      <c r="R235" s="511"/>
      <c r="S235" s="511"/>
      <c r="T235" s="511"/>
      <c r="U235" s="511"/>
      <c r="V235" s="511"/>
      <c r="W235" s="511"/>
      <c r="X235" s="511"/>
      <c r="Y235" s="511"/>
      <c r="Z235" s="511"/>
      <c r="AA235" s="511"/>
      <c r="AB235" s="511"/>
      <c r="AC235" s="511"/>
      <c r="AD235" s="504"/>
      <c r="AE235" s="505"/>
      <c r="AF235" s="505"/>
      <c r="AG235" s="505"/>
      <c r="AH235" s="505"/>
      <c r="AI235" s="505"/>
      <c r="AJ235" s="505"/>
      <c r="AK235" s="505"/>
      <c r="AL235" s="506"/>
      <c r="AM235" s="511"/>
      <c r="AN235" s="511"/>
      <c r="AO235" s="511"/>
      <c r="AP235" s="511"/>
      <c r="AQ235" s="511"/>
      <c r="AR235" s="511"/>
      <c r="AS235" s="511"/>
      <c r="AT235" s="511"/>
      <c r="AU235" s="511"/>
      <c r="AV235" s="511"/>
      <c r="AW235" s="511"/>
      <c r="AX235" s="511"/>
      <c r="AY235" s="511"/>
      <c r="AZ235" s="511"/>
      <c r="BA235" s="511"/>
      <c r="BB235" s="511"/>
      <c r="BC235" s="511"/>
      <c r="BD235" s="511"/>
      <c r="BE235" s="504"/>
      <c r="BF235" s="505"/>
      <c r="BG235" s="505"/>
      <c r="BH235" s="505"/>
      <c r="BI235" s="505"/>
      <c r="BJ235" s="505"/>
      <c r="BK235" s="505"/>
      <c r="BL235" s="505"/>
      <c r="BM235" s="506"/>
      <c r="BN235" s="511"/>
      <c r="BO235" s="511"/>
      <c r="BP235" s="511"/>
      <c r="BQ235" s="511"/>
      <c r="BR235" s="511"/>
      <c r="BS235" s="511"/>
      <c r="BT235" s="511"/>
      <c r="BU235" s="511"/>
      <c r="BV235" s="511"/>
      <c r="BW235" s="511"/>
      <c r="BX235" s="511"/>
      <c r="BY235" s="246"/>
      <c r="BZ235" s="246"/>
      <c r="CA235" s="511"/>
      <c r="CB235" s="511"/>
      <c r="CC235" s="511"/>
      <c r="CD235" s="511"/>
      <c r="CE235" s="511"/>
      <c r="CF235" s="511"/>
      <c r="CG235" s="511"/>
      <c r="CH235" s="511"/>
      <c r="CI235" s="511"/>
      <c r="CJ235" s="511"/>
      <c r="CK235" s="511"/>
      <c r="CL235" s="511"/>
      <c r="CM235" s="511"/>
      <c r="CN235" s="511"/>
      <c r="CO235" s="511"/>
      <c r="CP235" s="511"/>
      <c r="CQ235" s="511"/>
      <c r="CR235" s="504"/>
      <c r="CS235" s="505"/>
      <c r="CT235" s="505"/>
      <c r="CU235" s="505"/>
      <c r="CV235" s="505"/>
      <c r="CW235" s="505"/>
      <c r="CX235" s="505"/>
      <c r="CY235" s="505"/>
      <c r="CZ235" s="506"/>
      <c r="DA235" s="511"/>
      <c r="DB235" s="511"/>
      <c r="DC235" s="511"/>
      <c r="DD235" s="511"/>
      <c r="DE235" s="511"/>
      <c r="DF235" s="511"/>
      <c r="DG235" s="511"/>
      <c r="DH235" s="511"/>
      <c r="DI235" s="511"/>
      <c r="DJ235" s="511"/>
      <c r="DK235" s="511"/>
      <c r="DL235" s="511"/>
      <c r="DM235" s="511"/>
      <c r="DN235" s="511"/>
      <c r="DO235" s="511"/>
      <c r="DP235" s="511"/>
      <c r="DQ235" s="511"/>
      <c r="DR235" s="511"/>
      <c r="DS235" s="504"/>
      <c r="DT235" s="505"/>
      <c r="DV235" s="234"/>
      <c r="DW235" s="234"/>
      <c r="DX235" s="234"/>
      <c r="DY235" s="234"/>
      <c r="DZ235" s="234"/>
      <c r="EA235" s="234"/>
      <c r="EB235" s="234"/>
    </row>
    <row r="236" spans="2:132" ht="15" thickBot="1" x14ac:dyDescent="0.5"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AI236" s="234"/>
      <c r="AJ236" s="234"/>
      <c r="BS236" s="234"/>
      <c r="BT236" s="234"/>
      <c r="BW236" s="234"/>
      <c r="BY236" s="246"/>
      <c r="BZ236" s="246"/>
      <c r="CI236" s="246"/>
      <c r="CJ236" s="246"/>
      <c r="CK236" s="246"/>
      <c r="CL236" s="246"/>
      <c r="CM236" s="246"/>
      <c r="CN236" s="246"/>
      <c r="CO236" s="246"/>
      <c r="CP236" s="246"/>
      <c r="CQ236" s="246"/>
      <c r="CR236" s="246"/>
      <c r="CS236" s="246"/>
      <c r="CT236" s="246"/>
      <c r="CU236" s="246"/>
      <c r="CV236" s="246"/>
      <c r="CW236" s="246"/>
      <c r="CX236" s="246"/>
      <c r="CY236" s="246"/>
      <c r="CZ236" s="246"/>
      <c r="DA236" s="246"/>
      <c r="DB236" s="246"/>
      <c r="DC236" s="246"/>
      <c r="DD236" s="246"/>
      <c r="DE236" s="246"/>
      <c r="DF236" s="246"/>
      <c r="DG236" s="246"/>
      <c r="DH236" s="246"/>
      <c r="DI236" s="246"/>
      <c r="DJ236" s="246"/>
      <c r="DK236" s="246"/>
      <c r="DL236" s="246"/>
      <c r="DM236" s="246"/>
      <c r="DN236" s="246"/>
      <c r="DQ236" s="246"/>
      <c r="DR236" s="246"/>
      <c r="DS236" s="246"/>
      <c r="DT236" s="246"/>
      <c r="DV236" s="234"/>
      <c r="DW236" s="234"/>
      <c r="DX236" s="234"/>
      <c r="DY236" s="234"/>
      <c r="DZ236" s="234"/>
      <c r="EA236" s="234"/>
      <c r="EB236" s="234"/>
    </row>
    <row r="237" spans="2:132" ht="15" thickBot="1" x14ac:dyDescent="0.5">
      <c r="B237" s="521" t="s">
        <v>1421</v>
      </c>
      <c r="D237" s="507"/>
      <c r="E237" s="507"/>
      <c r="F237" s="507"/>
      <c r="G237" s="507"/>
      <c r="H237" s="507"/>
      <c r="I237" s="507"/>
      <c r="J237" s="507"/>
      <c r="K237" s="507"/>
      <c r="L237" s="508"/>
      <c r="M237" s="509"/>
      <c r="N237" s="509"/>
      <c r="O237" s="509"/>
      <c r="P237" s="509"/>
      <c r="Q237" s="509"/>
      <c r="R237" s="509"/>
      <c r="S237" s="509"/>
      <c r="T237" s="510"/>
      <c r="U237" s="507"/>
      <c r="V237" s="507"/>
      <c r="W237" s="507"/>
      <c r="X237" s="507"/>
      <c r="Y237" s="507"/>
      <c r="Z237" s="507"/>
      <c r="AA237" s="507"/>
      <c r="AB237" s="507"/>
      <c r="AC237" s="507"/>
      <c r="AD237" s="507"/>
      <c r="AE237" s="507"/>
      <c r="AF237" s="507"/>
      <c r="AG237" s="507"/>
      <c r="AH237" s="507"/>
      <c r="AI237" s="507"/>
      <c r="AJ237" s="507"/>
      <c r="AK237" s="507"/>
      <c r="AL237" s="507"/>
      <c r="AM237" s="508"/>
      <c r="AN237" s="509"/>
      <c r="AO237" s="509"/>
      <c r="AP237" s="509"/>
      <c r="AQ237" s="509"/>
      <c r="AR237" s="509"/>
      <c r="AS237" s="509"/>
      <c r="AT237" s="509"/>
      <c r="AU237" s="510"/>
      <c r="AV237" s="507"/>
      <c r="AW237" s="507"/>
      <c r="AX237" s="507"/>
      <c r="AY237" s="507"/>
      <c r="AZ237" s="507"/>
      <c r="BA237" s="507"/>
      <c r="BB237" s="507"/>
      <c r="BC237" s="507"/>
      <c r="BD237" s="507"/>
      <c r="BE237" s="507"/>
      <c r="BF237" s="507"/>
      <c r="BG237" s="507"/>
      <c r="BH237" s="507"/>
      <c r="BI237" s="507"/>
      <c r="BJ237" s="507"/>
      <c r="BK237" s="507"/>
      <c r="BL237" s="507"/>
      <c r="BM237" s="507"/>
      <c r="BN237" s="508"/>
      <c r="BO237" s="509"/>
      <c r="BP237" s="509"/>
      <c r="BQ237" s="509"/>
      <c r="BR237" s="509"/>
      <c r="BS237" s="509"/>
      <c r="BT237" s="509"/>
      <c r="BU237" s="509"/>
      <c r="BV237" s="510"/>
      <c r="BW237" s="507"/>
      <c r="BX237" s="507"/>
      <c r="BY237" s="246"/>
      <c r="BZ237" s="246"/>
      <c r="CA237" s="509"/>
      <c r="CB237" s="509"/>
      <c r="CC237" s="509"/>
      <c r="CD237" s="509"/>
      <c r="CE237" s="509"/>
      <c r="CF237" s="509"/>
      <c r="CG237" s="509"/>
      <c r="CH237" s="510"/>
      <c r="CI237" s="507"/>
      <c r="CJ237" s="507"/>
      <c r="CK237" s="507"/>
      <c r="CL237" s="507"/>
      <c r="CM237" s="507"/>
      <c r="CN237" s="507"/>
      <c r="CO237" s="507"/>
      <c r="CP237" s="507"/>
      <c r="CQ237" s="507"/>
      <c r="CR237" s="507"/>
      <c r="CS237" s="507"/>
      <c r="CT237" s="507"/>
      <c r="CU237" s="507"/>
      <c r="CV237" s="507"/>
      <c r="CW237" s="507"/>
      <c r="CX237" s="507"/>
      <c r="CY237" s="507"/>
      <c r="CZ237" s="507"/>
      <c r="DA237" s="508"/>
      <c r="DB237" s="509"/>
      <c r="DC237" s="509"/>
      <c r="DD237" s="509"/>
      <c r="DE237" s="509"/>
      <c r="DF237" s="509"/>
      <c r="DG237" s="509"/>
      <c r="DH237" s="509"/>
      <c r="DI237" s="510"/>
      <c r="DJ237" s="507"/>
      <c r="DK237" s="507"/>
      <c r="DL237" s="507"/>
      <c r="DM237" s="507"/>
      <c r="DN237" s="507"/>
      <c r="DO237" s="507"/>
      <c r="DP237" s="507"/>
      <c r="DQ237" s="507"/>
      <c r="DR237" s="507"/>
      <c r="DS237" s="507"/>
      <c r="DT237" s="507"/>
      <c r="DV237" s="234"/>
      <c r="DW237" s="234"/>
      <c r="DX237" s="234"/>
      <c r="DY237" s="234"/>
      <c r="DZ237" s="234"/>
      <c r="EA237" s="234"/>
      <c r="EB237" s="234"/>
    </row>
    <row r="238" spans="2:132" x14ac:dyDescent="0.45">
      <c r="BI238" s="234"/>
      <c r="BJ238" s="234"/>
      <c r="BK238" s="234"/>
      <c r="BL238" s="234"/>
      <c r="BM238" s="234"/>
      <c r="BN238" s="234"/>
      <c r="BO238" s="234"/>
      <c r="BP238" s="234"/>
      <c r="BQ238" s="234"/>
      <c r="BR238" s="234"/>
      <c r="BS238" s="234"/>
      <c r="BT238" s="234"/>
      <c r="BU238" s="234"/>
      <c r="BV238" s="234"/>
      <c r="BW238" s="234"/>
      <c r="BY238" s="246"/>
      <c r="BZ238" s="246"/>
      <c r="DV238" s="234"/>
      <c r="DW238" s="234"/>
      <c r="DX238" s="234"/>
      <c r="DY238" s="234"/>
      <c r="DZ238" s="234"/>
      <c r="EA238" s="234"/>
      <c r="EB238" s="234"/>
    </row>
    <row r="239" spans="2:132" x14ac:dyDescent="0.45">
      <c r="B239" s="623" t="s">
        <v>2652</v>
      </c>
      <c r="C239" s="615"/>
      <c r="D239" s="616"/>
      <c r="E239" s="616"/>
      <c r="F239" s="616"/>
      <c r="G239" s="616"/>
      <c r="H239" s="616"/>
      <c r="I239" s="616"/>
      <c r="J239" s="616"/>
      <c r="K239" s="616"/>
      <c r="L239" s="616"/>
      <c r="M239" s="616"/>
      <c r="N239" s="616"/>
      <c r="O239" s="616"/>
      <c r="P239" s="616"/>
      <c r="Q239" s="616"/>
      <c r="R239" s="616"/>
      <c r="S239" s="616"/>
      <c r="T239" s="616"/>
      <c r="U239" s="616"/>
      <c r="V239" s="616"/>
      <c r="W239" s="616"/>
      <c r="X239" s="616"/>
      <c r="Y239" s="616"/>
      <c r="Z239" s="616"/>
      <c r="AA239" s="616"/>
      <c r="AB239" s="616"/>
      <c r="AC239" s="616"/>
      <c r="AD239" s="616"/>
      <c r="AE239" s="616"/>
      <c r="AF239" s="616"/>
      <c r="AG239" s="616"/>
      <c r="AH239" s="616"/>
      <c r="AI239" s="616"/>
      <c r="AJ239" s="616"/>
      <c r="AK239" s="616"/>
      <c r="AL239" s="616"/>
      <c r="AM239" s="616"/>
      <c r="AN239" s="616"/>
      <c r="AO239" s="616"/>
      <c r="AP239" s="616"/>
      <c r="AQ239" s="616"/>
      <c r="AR239" s="616"/>
      <c r="AS239" s="616"/>
      <c r="AT239" s="616"/>
      <c r="AU239" s="616"/>
      <c r="AV239" s="616"/>
      <c r="AW239" s="616"/>
      <c r="AX239" s="616"/>
      <c r="AY239" s="616"/>
      <c r="AZ239" s="616"/>
      <c r="BA239" s="616"/>
      <c r="BB239" s="616"/>
      <c r="BC239" s="616"/>
      <c r="BD239" s="616"/>
      <c r="BE239" s="616"/>
      <c r="BF239" s="616"/>
      <c r="BG239" s="616"/>
      <c r="BH239" s="616"/>
      <c r="BI239" s="616"/>
      <c r="BJ239" s="616"/>
      <c r="BK239" s="616"/>
      <c r="BL239" s="616"/>
      <c r="BM239" s="616"/>
      <c r="BN239" s="616"/>
      <c r="BO239" s="616"/>
      <c r="BP239" s="616"/>
      <c r="BQ239" s="616"/>
      <c r="BR239" s="616"/>
      <c r="BS239" s="616"/>
      <c r="BT239" s="616"/>
      <c r="BU239" s="616"/>
      <c r="BV239" s="616"/>
      <c r="BW239" s="616"/>
      <c r="BX239" s="614"/>
      <c r="BY239" s="614"/>
      <c r="BZ239" s="614"/>
      <c r="CA239" s="614"/>
      <c r="CB239" s="614"/>
      <c r="CC239" s="614"/>
      <c r="CD239" s="614"/>
      <c r="CE239" s="614"/>
      <c r="CF239" s="614"/>
      <c r="CG239" s="614"/>
      <c r="CH239" s="614"/>
      <c r="CI239" s="614"/>
      <c r="CJ239" s="614"/>
      <c r="CK239" s="614"/>
      <c r="CL239" s="614"/>
      <c r="CM239" s="614"/>
      <c r="CN239" s="614"/>
      <c r="CO239" s="614"/>
      <c r="CP239" s="614"/>
      <c r="CQ239" s="614"/>
      <c r="CR239" s="614"/>
      <c r="CS239" s="614"/>
      <c r="CT239" s="614"/>
      <c r="CU239" s="614"/>
      <c r="CV239" s="614"/>
      <c r="CW239" s="614"/>
      <c r="CX239" s="614"/>
      <c r="CY239" s="614"/>
      <c r="CZ239" s="614"/>
      <c r="DA239" s="614"/>
      <c r="DB239" s="614"/>
      <c r="DC239" s="614"/>
      <c r="DD239" s="614"/>
      <c r="DE239" s="614"/>
      <c r="DF239" s="614"/>
      <c r="DG239" s="614"/>
      <c r="DH239" s="614"/>
      <c r="DI239" s="614"/>
      <c r="DJ239" s="614"/>
      <c r="DK239" s="614"/>
      <c r="DL239" s="614"/>
      <c r="DM239" s="614"/>
      <c r="DN239" s="614"/>
      <c r="DO239" s="614"/>
      <c r="DP239" s="614"/>
      <c r="DQ239" s="614"/>
      <c r="DR239" s="614"/>
      <c r="DS239" s="614"/>
      <c r="DT239" s="614"/>
      <c r="DV239" s="234"/>
      <c r="DW239" s="234"/>
      <c r="DX239" s="234"/>
      <c r="DY239" s="234"/>
      <c r="DZ239" s="234"/>
      <c r="EA239" s="234"/>
      <c r="EB239" s="234"/>
    </row>
    <row r="240" spans="2:132" x14ac:dyDescent="0.45">
      <c r="B240" s="521" t="s">
        <v>1431</v>
      </c>
      <c r="D240" s="247"/>
      <c r="E240" s="247"/>
      <c r="F240" s="247"/>
      <c r="G240" s="247"/>
      <c r="H240" s="247"/>
      <c r="I240" s="247"/>
      <c r="J240" s="347"/>
      <c r="K240" s="348"/>
      <c r="L240" s="348"/>
      <c r="M240" s="348"/>
      <c r="N240" s="349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  <c r="AA240" s="256"/>
      <c r="AB240" s="256"/>
      <c r="AC240" s="256"/>
      <c r="AD240" s="256"/>
      <c r="AE240" s="256"/>
      <c r="AF240" s="256"/>
      <c r="AG240" s="256"/>
      <c r="AH240" s="256"/>
      <c r="AI240" s="256"/>
      <c r="AJ240" s="256"/>
      <c r="AK240" s="256"/>
      <c r="AL240" s="256"/>
      <c r="AM240" s="256"/>
      <c r="AN240" s="256"/>
      <c r="AO240" s="256"/>
      <c r="AP240" s="256"/>
      <c r="AQ240" s="256"/>
      <c r="AR240" s="256"/>
      <c r="AS240" s="256"/>
      <c r="AT240" s="256"/>
      <c r="AU240" s="256"/>
      <c r="AV240" s="256"/>
      <c r="AW240" s="256"/>
      <c r="AX240" s="256"/>
      <c r="AY240" s="256"/>
      <c r="AZ240" s="256"/>
      <c r="BA240" s="256"/>
      <c r="BB240" s="256"/>
      <c r="BC240" s="256"/>
      <c r="BD240" s="256"/>
      <c r="BE240" s="256"/>
      <c r="BF240" s="256"/>
      <c r="BG240" s="256"/>
      <c r="BH240" s="256"/>
      <c r="BI240" s="256"/>
      <c r="BJ240" s="256"/>
      <c r="BK240" s="256"/>
      <c r="BL240" s="256"/>
      <c r="BM240" s="256"/>
      <c r="BN240" s="256"/>
      <c r="BO240" s="256"/>
      <c r="BP240" s="256"/>
      <c r="BQ240" s="256"/>
      <c r="BR240" s="256"/>
      <c r="BS240" s="256"/>
      <c r="BT240" s="256"/>
      <c r="BU240" s="256"/>
      <c r="BV240" s="256"/>
      <c r="BW240" s="256"/>
      <c r="BX240" s="256"/>
      <c r="BY240" s="256"/>
      <c r="BZ240" s="256"/>
      <c r="CA240" s="256"/>
      <c r="CB240" s="256"/>
      <c r="CC240" s="256"/>
      <c r="CD240" s="256"/>
      <c r="CE240" s="256"/>
      <c r="CF240" s="256"/>
      <c r="CG240" s="256"/>
      <c r="CH240" s="256"/>
      <c r="CI240" s="256"/>
      <c r="CJ240" s="256"/>
      <c r="CK240" s="256"/>
      <c r="CL240" s="256"/>
      <c r="CM240" s="256"/>
      <c r="CN240" s="256"/>
      <c r="CO240" s="256"/>
      <c r="CP240" s="256"/>
      <c r="CQ240" s="256"/>
      <c r="CR240" s="256"/>
      <c r="CS240" s="256"/>
      <c r="CT240" s="256"/>
      <c r="CU240" s="256"/>
      <c r="CV240" s="256"/>
      <c r="CW240" s="256"/>
      <c r="CX240" s="256"/>
      <c r="CY240" s="347"/>
      <c r="CZ240" s="348"/>
      <c r="DA240" s="348"/>
      <c r="DB240" s="348"/>
      <c r="DC240" s="349"/>
      <c r="DD240" s="256"/>
      <c r="DE240" s="256"/>
      <c r="DF240" s="256"/>
      <c r="DG240" s="256"/>
      <c r="DH240" s="256"/>
      <c r="DI240" s="256"/>
      <c r="DJ240" s="256"/>
      <c r="DK240" s="256"/>
      <c r="DL240" s="256"/>
      <c r="DM240" s="256"/>
      <c r="DN240" s="256"/>
      <c r="DO240" s="256"/>
      <c r="DP240" s="256"/>
      <c r="DQ240" s="256"/>
      <c r="DR240" s="256"/>
      <c r="DS240" s="256"/>
      <c r="DT240" s="256"/>
      <c r="DV240" s="234"/>
      <c r="DW240" s="234"/>
      <c r="DX240" s="234"/>
      <c r="DY240" s="234"/>
      <c r="DZ240" s="234"/>
      <c r="EA240" s="234"/>
      <c r="EB240" s="234"/>
    </row>
    <row r="241" spans="2:132" x14ac:dyDescent="0.45">
      <c r="D241" s="248"/>
      <c r="E241" s="248"/>
      <c r="F241" s="248"/>
      <c r="G241" s="248"/>
      <c r="H241" s="248"/>
      <c r="I241" s="248"/>
      <c r="J241" s="248"/>
      <c r="K241" s="248"/>
      <c r="L241" s="248"/>
      <c r="M241" s="248"/>
      <c r="N241" s="257"/>
      <c r="O241" s="257"/>
      <c r="P241" s="257"/>
      <c r="Q241" s="257"/>
      <c r="R241" s="257"/>
      <c r="S241" s="257"/>
      <c r="T241" s="257"/>
      <c r="U241" s="257"/>
      <c r="V241" s="257"/>
      <c r="W241" s="257"/>
      <c r="X241" s="257"/>
      <c r="Y241" s="257"/>
      <c r="Z241" s="257"/>
      <c r="AA241" s="257"/>
      <c r="AB241" s="257"/>
      <c r="AC241" s="257"/>
      <c r="AD241" s="257"/>
      <c r="AE241" s="257"/>
      <c r="AF241" s="257"/>
      <c r="AG241" s="257"/>
      <c r="AH241" s="257"/>
      <c r="AI241" s="257"/>
      <c r="AJ241" s="257"/>
      <c r="AK241" s="257"/>
      <c r="AL241" s="257"/>
      <c r="AM241" s="257"/>
      <c r="AN241" s="257"/>
      <c r="AO241" s="257"/>
      <c r="AP241" s="257"/>
      <c r="AQ241" s="257"/>
      <c r="AR241" s="257"/>
      <c r="AS241" s="257"/>
      <c r="AT241" s="257"/>
      <c r="AU241" s="257"/>
      <c r="AV241" s="257"/>
      <c r="AW241" s="257"/>
      <c r="AX241" s="257"/>
      <c r="AY241" s="257"/>
      <c r="AZ241" s="257"/>
      <c r="BA241" s="257"/>
      <c r="BB241" s="257"/>
      <c r="BC241" s="257"/>
      <c r="BD241" s="257"/>
      <c r="BE241" s="257"/>
      <c r="BF241" s="257"/>
      <c r="BG241" s="257"/>
      <c r="BH241" s="257"/>
      <c r="BI241" s="257"/>
      <c r="BJ241" s="257"/>
      <c r="BK241" s="257"/>
      <c r="BL241" s="257"/>
      <c r="BM241" s="257"/>
      <c r="BN241" s="257"/>
      <c r="BO241" s="257"/>
      <c r="BP241" s="257"/>
      <c r="BQ241" s="257"/>
      <c r="BR241" s="257"/>
      <c r="BS241" s="257"/>
      <c r="BT241" s="257"/>
      <c r="BU241" s="257"/>
      <c r="BV241" s="257"/>
      <c r="BW241" s="257"/>
      <c r="BX241" s="257"/>
      <c r="BY241" s="257"/>
      <c r="BZ241" s="257"/>
      <c r="CA241" s="257"/>
      <c r="CB241" s="257"/>
      <c r="CC241" s="257"/>
      <c r="CD241" s="257"/>
      <c r="CE241" s="257"/>
      <c r="CF241" s="257"/>
      <c r="CG241" s="257"/>
      <c r="CH241" s="257"/>
      <c r="CI241" s="257"/>
      <c r="CJ241" s="257"/>
      <c r="CK241" s="257"/>
      <c r="CL241" s="257"/>
      <c r="CM241" s="257"/>
      <c r="CN241" s="257"/>
      <c r="CO241" s="257"/>
      <c r="CP241" s="257"/>
      <c r="CQ241" s="257"/>
      <c r="CR241" s="257"/>
      <c r="CS241" s="257"/>
      <c r="CT241" s="257"/>
      <c r="CU241" s="257"/>
      <c r="CV241" s="257"/>
      <c r="CW241" s="257"/>
      <c r="CX241" s="257"/>
      <c r="CY241" s="257"/>
      <c r="CZ241" s="257"/>
      <c r="DA241" s="257"/>
      <c r="DB241" s="257"/>
      <c r="DC241" s="257"/>
      <c r="DD241" s="257"/>
      <c r="DE241" s="257"/>
      <c r="DF241" s="257"/>
      <c r="DG241" s="257"/>
      <c r="DH241" s="257"/>
      <c r="DI241" s="257"/>
      <c r="DJ241" s="257"/>
      <c r="DK241" s="257"/>
      <c r="DL241" s="257"/>
      <c r="DN241" s="257"/>
      <c r="DP241" s="257"/>
      <c r="DR241" s="257"/>
      <c r="DT241" s="257"/>
      <c r="DV241" s="234"/>
      <c r="DW241" s="234"/>
      <c r="DX241" s="234"/>
      <c r="DY241" s="234"/>
      <c r="DZ241" s="234"/>
      <c r="EA241" s="234"/>
      <c r="EB241" s="234"/>
    </row>
    <row r="242" spans="2:132" x14ac:dyDescent="0.45">
      <c r="B242" s="521" t="s">
        <v>2081</v>
      </c>
      <c r="D242" s="247"/>
      <c r="E242" s="247"/>
      <c r="F242" s="247"/>
      <c r="G242" s="247"/>
      <c r="H242" s="247"/>
      <c r="I242" s="247"/>
      <c r="J242" s="880"/>
      <c r="K242" s="880"/>
      <c r="L242" s="880"/>
      <c r="M242" s="880"/>
      <c r="N242" s="881"/>
      <c r="O242" s="881"/>
      <c r="P242" s="881"/>
      <c r="Q242" s="881"/>
      <c r="R242" s="256"/>
      <c r="S242" s="256"/>
      <c r="T242" s="256"/>
      <c r="U242" s="256"/>
      <c r="V242" s="256"/>
      <c r="W242" s="256"/>
      <c r="X242" s="256"/>
      <c r="Y242" s="256"/>
      <c r="Z242" s="256"/>
      <c r="AA242" s="256"/>
      <c r="AB242" s="256"/>
      <c r="AC242" s="256"/>
      <c r="AD242" s="256"/>
      <c r="AE242" s="256"/>
      <c r="AF242" s="256"/>
      <c r="AG242" s="256"/>
      <c r="AH242" s="256"/>
      <c r="AI242" s="256"/>
      <c r="AJ242" s="256"/>
      <c r="AK242" s="256"/>
      <c r="AL242" s="256"/>
      <c r="AM242" s="256"/>
      <c r="AN242" s="256"/>
      <c r="AO242" s="256"/>
      <c r="AP242" s="256"/>
      <c r="AQ242" s="256"/>
      <c r="AR242" s="256"/>
      <c r="AS242" s="256"/>
      <c r="AT242" s="256"/>
      <c r="AU242" s="256"/>
      <c r="AV242" s="256"/>
      <c r="AW242" s="256"/>
      <c r="AX242" s="256"/>
      <c r="AY242" s="256"/>
      <c r="AZ242" s="256"/>
      <c r="BA242" s="256"/>
      <c r="BB242" s="256"/>
      <c r="BC242" s="256"/>
      <c r="BD242" s="256"/>
      <c r="BE242" s="256"/>
      <c r="BF242" s="256"/>
      <c r="BG242" s="256"/>
      <c r="BH242" s="256"/>
      <c r="BI242" s="256"/>
      <c r="BJ242" s="256"/>
      <c r="BK242" s="256"/>
      <c r="BL242" s="256"/>
      <c r="BM242" s="256"/>
      <c r="BN242" s="256"/>
      <c r="BO242" s="256"/>
      <c r="BP242" s="256"/>
      <c r="BQ242" s="256"/>
      <c r="BR242" s="256"/>
      <c r="BS242" s="256"/>
      <c r="BT242" s="256"/>
      <c r="BU242" s="256"/>
      <c r="BV242" s="256"/>
      <c r="BW242" s="256"/>
      <c r="BX242" s="256"/>
      <c r="BY242" s="256"/>
      <c r="BZ242" s="256"/>
      <c r="CA242" s="256"/>
      <c r="CB242" s="256"/>
      <c r="CC242" s="256"/>
      <c r="CD242" s="256"/>
      <c r="CE242" s="256"/>
      <c r="CF242" s="256"/>
      <c r="CG242" s="256"/>
      <c r="CH242" s="256"/>
      <c r="CI242" s="256"/>
      <c r="CJ242" s="256"/>
      <c r="CK242" s="256"/>
      <c r="CL242" s="256"/>
      <c r="CM242" s="256"/>
      <c r="CN242" s="256"/>
      <c r="CO242" s="256"/>
      <c r="CP242" s="256"/>
      <c r="CQ242" s="256"/>
      <c r="CR242" s="256"/>
      <c r="CS242" s="256"/>
      <c r="CT242" s="256"/>
      <c r="CU242" s="256"/>
      <c r="CV242" s="256"/>
      <c r="CW242" s="256"/>
      <c r="CX242" s="256"/>
      <c r="CY242" s="880"/>
      <c r="CZ242" s="880"/>
      <c r="DA242" s="880"/>
      <c r="DB242" s="880"/>
      <c r="DC242" s="881"/>
      <c r="DD242" s="881"/>
      <c r="DE242" s="881"/>
      <c r="DF242" s="881"/>
      <c r="DG242" s="256"/>
      <c r="DH242" s="256"/>
      <c r="DI242" s="256"/>
      <c r="DJ242" s="256"/>
      <c r="DK242" s="256"/>
      <c r="DL242" s="256"/>
      <c r="DM242" s="260"/>
      <c r="DN242" s="256"/>
      <c r="DO242" s="260"/>
      <c r="DP242" s="256"/>
      <c r="DQ242" s="260"/>
      <c r="DR242" s="256"/>
      <c r="DS242" s="260"/>
      <c r="DT242" s="256"/>
      <c r="DV242" s="234"/>
      <c r="DW242" s="234"/>
      <c r="DX242" s="234"/>
      <c r="DY242" s="234"/>
      <c r="DZ242" s="234"/>
      <c r="EA242" s="234"/>
      <c r="EB242" s="234"/>
    </row>
    <row r="243" spans="2:132" x14ac:dyDescent="0.45">
      <c r="W243" s="234"/>
      <c r="X243" s="234"/>
      <c r="BX243" s="246"/>
      <c r="BY243" s="246"/>
      <c r="BZ243" s="246"/>
      <c r="CY243" s="246"/>
      <c r="CZ243" s="246"/>
      <c r="DA243" s="246"/>
      <c r="DB243" s="246"/>
      <c r="DC243" s="246"/>
      <c r="DD243" s="246"/>
      <c r="DE243" s="246"/>
      <c r="DF243" s="246"/>
      <c r="DG243" s="246"/>
      <c r="DH243" s="246"/>
      <c r="DI243" s="246"/>
      <c r="DJ243" s="246"/>
      <c r="DK243" s="246"/>
      <c r="DV243" s="234"/>
      <c r="DW243" s="234"/>
      <c r="DX243" s="234"/>
      <c r="DY243" s="234"/>
      <c r="DZ243" s="234"/>
      <c r="EA243" s="234"/>
      <c r="EB243" s="234"/>
    </row>
    <row r="244" spans="2:132" x14ac:dyDescent="0.45">
      <c r="B244" s="521" t="s">
        <v>2089</v>
      </c>
      <c r="D244" s="250"/>
      <c r="E244" s="250"/>
      <c r="F244" s="250"/>
      <c r="G244" s="250"/>
      <c r="H244" s="250"/>
      <c r="I244" s="250"/>
      <c r="J244" s="250"/>
      <c r="K244" s="250"/>
      <c r="L244" s="250"/>
      <c r="M244" s="250"/>
      <c r="N244" s="250"/>
      <c r="O244" s="250"/>
      <c r="P244" s="250"/>
      <c r="Q244" s="250"/>
      <c r="R244" s="250"/>
      <c r="S244" s="250"/>
      <c r="T244" s="313"/>
      <c r="U244" s="250"/>
      <c r="V244" s="250"/>
      <c r="W244" s="260"/>
      <c r="X244" s="260"/>
      <c r="Y244" s="250"/>
      <c r="Z244" s="250"/>
      <c r="AA244" s="250"/>
      <c r="AB244" s="250"/>
      <c r="AC244" s="250"/>
      <c r="AD244" s="250"/>
      <c r="AE244" s="250"/>
      <c r="AF244" s="250"/>
      <c r="AG244" s="250"/>
      <c r="AH244" s="250"/>
      <c r="AI244" s="250"/>
      <c r="AJ244" s="250"/>
      <c r="AK244" s="250"/>
      <c r="AL244" s="250"/>
      <c r="AM244" s="250"/>
      <c r="AN244" s="250"/>
      <c r="AO244" s="250"/>
      <c r="AP244" s="250"/>
      <c r="AQ244" s="250"/>
      <c r="AR244" s="250"/>
      <c r="AS244" s="250"/>
      <c r="AT244" s="250"/>
      <c r="AU244" s="250"/>
      <c r="AV244" s="250"/>
      <c r="AW244" s="250"/>
      <c r="AX244" s="250"/>
      <c r="AY244" s="250"/>
      <c r="AZ244" s="250"/>
      <c r="BA244" s="250"/>
      <c r="BB244" s="250"/>
      <c r="BC244" s="250"/>
      <c r="BD244" s="250"/>
      <c r="BE244" s="250"/>
      <c r="BF244" s="250"/>
      <c r="BG244" s="250"/>
      <c r="BH244" s="250"/>
      <c r="BI244" s="250"/>
      <c r="BJ244" s="250"/>
      <c r="BK244" s="250"/>
      <c r="BL244" s="250"/>
      <c r="BM244" s="250"/>
      <c r="BN244" s="250"/>
      <c r="BO244" s="250"/>
      <c r="BP244" s="250"/>
      <c r="BQ244" s="250"/>
      <c r="BR244" s="250"/>
      <c r="BS244" s="250"/>
      <c r="BT244" s="250"/>
      <c r="BU244" s="250"/>
      <c r="BV244" s="250"/>
      <c r="BW244" s="250"/>
      <c r="BX244" s="250"/>
      <c r="BY244" s="250"/>
      <c r="BZ244" s="250"/>
      <c r="CA244" s="260"/>
      <c r="CB244" s="260"/>
      <c r="CC244" s="260"/>
      <c r="CD244" s="260"/>
      <c r="CE244" s="260"/>
      <c r="CF244" s="260"/>
      <c r="CG244" s="260"/>
      <c r="CH244" s="260"/>
      <c r="CI244" s="260"/>
      <c r="CJ244" s="260"/>
      <c r="CK244" s="260"/>
      <c r="CL244" s="260"/>
      <c r="CM244" s="260"/>
      <c r="CN244" s="260"/>
      <c r="CO244" s="260"/>
      <c r="CP244" s="260"/>
      <c r="CQ244" s="260"/>
      <c r="CR244" s="260"/>
      <c r="CS244" s="260"/>
      <c r="CT244" s="260"/>
      <c r="CU244" s="260"/>
      <c r="CV244" s="260"/>
      <c r="CW244" s="260"/>
      <c r="CX244" s="260"/>
      <c r="CY244" s="250"/>
      <c r="CZ244" s="250"/>
      <c r="DA244" s="250"/>
      <c r="DB244" s="250"/>
      <c r="DC244" s="250"/>
      <c r="DD244" s="250"/>
      <c r="DE244" s="250"/>
      <c r="DF244" s="250"/>
      <c r="DG244" s="250"/>
      <c r="DH244" s="250"/>
      <c r="DI244" s="313"/>
      <c r="DJ244" s="250"/>
      <c r="DK244" s="250"/>
      <c r="DL244" s="260"/>
      <c r="DM244" s="260"/>
      <c r="DN244" s="260"/>
      <c r="DO244" s="260"/>
      <c r="DP244" s="260"/>
      <c r="DQ244" s="260"/>
      <c r="DR244" s="260"/>
      <c r="DS244" s="260"/>
      <c r="DT244" s="260"/>
      <c r="DV244" s="234"/>
      <c r="DW244" s="234"/>
      <c r="DX244" s="234"/>
      <c r="DY244" s="234"/>
      <c r="DZ244" s="234"/>
      <c r="EA244" s="234"/>
      <c r="EB244" s="234"/>
    </row>
    <row r="245" spans="2:132" x14ac:dyDescent="0.45">
      <c r="W245" s="234"/>
      <c r="X245" s="234"/>
      <c r="BX245" s="246"/>
      <c r="BY245" s="246"/>
      <c r="BZ245" s="246"/>
      <c r="DG245" s="246"/>
      <c r="DH245" s="246"/>
      <c r="DI245" s="246"/>
      <c r="DJ245" s="246"/>
      <c r="DK245" s="246"/>
      <c r="DV245" s="234"/>
      <c r="DW245" s="234"/>
      <c r="DX245" s="234"/>
      <c r="DY245" s="234"/>
      <c r="DZ245" s="234"/>
      <c r="EA245" s="234"/>
      <c r="EB245" s="234"/>
    </row>
    <row r="246" spans="2:132" x14ac:dyDescent="0.45">
      <c r="W246" s="234"/>
      <c r="X246" s="234"/>
      <c r="BX246" s="246"/>
      <c r="BY246" s="246"/>
      <c r="BZ246" s="246"/>
      <c r="DG246" s="246"/>
      <c r="DH246" s="246"/>
      <c r="DI246" s="246"/>
      <c r="DJ246" s="246"/>
      <c r="DK246" s="246"/>
      <c r="DV246" s="234"/>
      <c r="DW246" s="234"/>
      <c r="DX246" s="234"/>
      <c r="DY246" s="234"/>
      <c r="DZ246" s="234"/>
      <c r="EA246" s="234"/>
      <c r="EB246" s="234"/>
    </row>
    <row r="247" spans="2:132" x14ac:dyDescent="0.45">
      <c r="W247" s="234"/>
      <c r="X247" s="234"/>
      <c r="BX247" s="246"/>
      <c r="BY247" s="246"/>
      <c r="BZ247" s="246"/>
      <c r="DG247" s="246"/>
      <c r="DH247" s="246"/>
      <c r="DI247" s="246"/>
      <c r="DJ247" s="246"/>
      <c r="DK247" s="246"/>
      <c r="DV247" s="234"/>
      <c r="DW247" s="234"/>
      <c r="DX247" s="234"/>
      <c r="DY247" s="234"/>
      <c r="DZ247" s="234"/>
      <c r="EA247" s="234"/>
      <c r="EB247" s="234"/>
    </row>
    <row r="248" spans="2:132" x14ac:dyDescent="0.45">
      <c r="B248" s="521" t="s">
        <v>2057</v>
      </c>
      <c r="D248" s="249"/>
      <c r="E248" s="323"/>
      <c r="F248" s="247"/>
      <c r="G248" s="247"/>
      <c r="H248" s="247"/>
      <c r="I248" s="247"/>
      <c r="J248" s="247"/>
      <c r="K248" s="247"/>
      <c r="L248" s="882" t="s">
        <v>2063</v>
      </c>
      <c r="M248" s="249"/>
      <c r="N248" s="323"/>
      <c r="O248" s="247"/>
      <c r="P248" s="247"/>
      <c r="Q248" s="247"/>
      <c r="R248" s="247"/>
      <c r="S248" s="247"/>
      <c r="T248" s="247"/>
      <c r="U248" s="882" t="s">
        <v>1292</v>
      </c>
      <c r="V248" s="249"/>
      <c r="W248" s="323"/>
      <c r="X248" s="247"/>
      <c r="Y248" s="247"/>
      <c r="Z248" s="247"/>
      <c r="AA248" s="247"/>
      <c r="AB248" s="247"/>
      <c r="AC248" s="247"/>
      <c r="AD248" s="882" t="s">
        <v>2058</v>
      </c>
      <c r="AE248" s="249"/>
      <c r="AF248" s="323"/>
      <c r="AG248" s="247"/>
      <c r="AH248" s="247"/>
      <c r="AI248" s="247"/>
      <c r="AJ248" s="247"/>
      <c r="AK248" s="247"/>
      <c r="AL248" s="247"/>
      <c r="AM248" s="882" t="s">
        <v>2060</v>
      </c>
      <c r="AN248" s="249"/>
      <c r="AO248" s="323"/>
      <c r="AP248" s="247"/>
      <c r="AQ248" s="247"/>
      <c r="AR248" s="247"/>
      <c r="AS248" s="247"/>
      <c r="AT248" s="247"/>
      <c r="AU248" s="247"/>
      <c r="AV248" s="882" t="s">
        <v>2066</v>
      </c>
      <c r="AW248" s="249"/>
      <c r="AX248" s="323"/>
      <c r="AY248" s="247"/>
      <c r="AZ248" s="247"/>
      <c r="BA248" s="247"/>
      <c r="BB248" s="247"/>
      <c r="BC248" s="247"/>
      <c r="BD248" s="247"/>
      <c r="BE248" s="882" t="s">
        <v>2062</v>
      </c>
      <c r="BF248" s="249"/>
      <c r="BG248" s="323"/>
      <c r="BH248" s="247"/>
      <c r="BI248" s="247"/>
      <c r="BJ248" s="247"/>
      <c r="BK248" s="247"/>
      <c r="BL248" s="247"/>
      <c r="BM248" s="247"/>
      <c r="BN248" s="882" t="s">
        <v>2068</v>
      </c>
      <c r="BO248" s="249"/>
      <c r="BP248" s="323"/>
      <c r="BQ248" s="247"/>
      <c r="BR248" s="247"/>
      <c r="BS248" s="247"/>
      <c r="BT248" s="247"/>
      <c r="BU248" s="247"/>
      <c r="BV248" s="247"/>
      <c r="BW248" s="882" t="s">
        <v>2069</v>
      </c>
      <c r="BX248" s="249"/>
      <c r="BY248" s="323"/>
      <c r="BZ248" s="247"/>
      <c r="CA248" s="247"/>
      <c r="CB248" s="247"/>
      <c r="CC248" s="247"/>
      <c r="CD248" s="247"/>
      <c r="CE248" s="247"/>
      <c r="CF248" s="882" t="s">
        <v>2070</v>
      </c>
      <c r="CG248" s="249"/>
      <c r="CH248" s="323"/>
      <c r="CI248" s="247"/>
      <c r="CJ248" s="247"/>
      <c r="CK248" s="247"/>
      <c r="CL248" s="247"/>
      <c r="CM248" s="247"/>
      <c r="CN248" s="246"/>
      <c r="CO248" s="246"/>
      <c r="CP248" s="247"/>
      <c r="CQ248" s="247"/>
      <c r="CR248" s="882" t="s">
        <v>2065</v>
      </c>
      <c r="CS248" s="249"/>
      <c r="CT248" s="323"/>
      <c r="CU248" s="247"/>
      <c r="CV248" s="247"/>
      <c r="CW248" s="247"/>
      <c r="CX248" s="247"/>
      <c r="CY248" s="247"/>
      <c r="CZ248" s="247"/>
      <c r="DA248" s="882" t="s">
        <v>2064</v>
      </c>
      <c r="DB248" s="249"/>
      <c r="DC248" s="323"/>
      <c r="DD248" s="247"/>
      <c r="DE248" s="247"/>
      <c r="DF248" s="247"/>
      <c r="DG248" s="247"/>
      <c r="DH248" s="247"/>
      <c r="DI248" s="247"/>
      <c r="DJ248" s="882" t="s">
        <v>1292</v>
      </c>
      <c r="DK248" s="249"/>
      <c r="DL248" s="323"/>
      <c r="DM248" s="247"/>
      <c r="DN248" s="247"/>
      <c r="DO248" s="247"/>
      <c r="DP248" s="247"/>
      <c r="DQ248" s="247"/>
      <c r="DR248" s="247"/>
      <c r="DS248" s="882" t="s">
        <v>2058</v>
      </c>
      <c r="DT248" s="249"/>
      <c r="DV248" s="234"/>
      <c r="DW248" s="234"/>
      <c r="DX248" s="234"/>
      <c r="DY248" s="234"/>
      <c r="DZ248" s="234"/>
      <c r="EA248" s="234"/>
      <c r="EB248" s="234"/>
    </row>
    <row r="249" spans="2:132" ht="15" thickBot="1" x14ac:dyDescent="0.5">
      <c r="W249" s="234"/>
      <c r="X249" s="234"/>
      <c r="BX249" s="246"/>
      <c r="BY249" s="246"/>
      <c r="BZ249" s="246"/>
      <c r="CN249" s="246"/>
      <c r="CO249" s="246"/>
      <c r="DG249" s="246"/>
      <c r="DH249" s="246"/>
      <c r="DI249" s="246"/>
      <c r="DJ249" s="246"/>
      <c r="DK249" s="246"/>
      <c r="DV249" s="234"/>
      <c r="DW249" s="234"/>
      <c r="DX249" s="234"/>
      <c r="DY249" s="234"/>
      <c r="DZ249" s="234"/>
      <c r="EA249" s="234"/>
      <c r="EB249" s="234"/>
    </row>
    <row r="250" spans="2:132" x14ac:dyDescent="0.45">
      <c r="B250" s="521" t="s">
        <v>1419</v>
      </c>
      <c r="E250" s="500"/>
      <c r="F250" s="500"/>
      <c r="G250" s="500"/>
      <c r="H250" s="500"/>
      <c r="I250" s="500"/>
      <c r="J250" s="500"/>
      <c r="K250" s="500"/>
      <c r="L250" s="500"/>
      <c r="M250" s="500"/>
      <c r="N250" s="500"/>
      <c r="O250" s="500"/>
      <c r="P250" s="500"/>
      <c r="Q250" s="500"/>
      <c r="R250" s="500"/>
      <c r="S250" s="500"/>
      <c r="T250" s="500"/>
      <c r="U250" s="500"/>
      <c r="V250" s="500"/>
      <c r="W250" s="500"/>
      <c r="X250" s="500"/>
      <c r="Y250" s="500"/>
      <c r="Z250" s="500"/>
      <c r="AA250" s="500"/>
      <c r="AB250" s="500"/>
      <c r="AC250" s="500"/>
      <c r="AD250" s="500"/>
      <c r="AE250" s="500"/>
      <c r="AF250" s="500"/>
      <c r="AG250" s="500"/>
      <c r="AH250" s="500"/>
      <c r="AI250" s="500"/>
      <c r="AJ250" s="500"/>
      <c r="AK250" s="500"/>
      <c r="AL250" s="500"/>
      <c r="AM250" s="500"/>
      <c r="AN250" s="500"/>
      <c r="AO250" s="500"/>
      <c r="AP250" s="500"/>
      <c r="AQ250" s="500"/>
      <c r="AR250" s="500"/>
      <c r="AS250" s="500"/>
      <c r="AT250" s="500"/>
      <c r="AU250" s="500"/>
      <c r="AV250" s="500"/>
      <c r="AW250" s="500"/>
      <c r="AX250" s="500"/>
      <c r="AY250" s="500"/>
      <c r="AZ250" s="500"/>
      <c r="BA250" s="500"/>
      <c r="BB250" s="500"/>
      <c r="BC250" s="500"/>
      <c r="BD250" s="500"/>
      <c r="BE250" s="500"/>
      <c r="BF250" s="500"/>
      <c r="BG250" s="500"/>
      <c r="BH250" s="500"/>
      <c r="BI250" s="500"/>
      <c r="BJ250" s="500"/>
      <c r="BK250" s="500"/>
      <c r="BL250" s="500"/>
      <c r="BM250" s="500"/>
      <c r="BN250" s="500"/>
      <c r="BO250" s="500"/>
      <c r="BP250" s="500"/>
      <c r="BQ250" s="500"/>
      <c r="BR250" s="500"/>
      <c r="BS250" s="500"/>
      <c r="BT250" s="500"/>
      <c r="BU250" s="500"/>
      <c r="BV250" s="500"/>
      <c r="BW250" s="500"/>
      <c r="BX250" s="500"/>
      <c r="BY250" s="500"/>
      <c r="BZ250" s="500"/>
      <c r="CA250" s="500"/>
      <c r="CB250" s="500"/>
      <c r="CC250" s="500"/>
      <c r="CD250" s="500"/>
      <c r="CE250" s="500"/>
      <c r="CF250" s="500"/>
      <c r="CG250" s="500"/>
      <c r="CH250" s="500"/>
      <c r="CI250" s="500"/>
      <c r="CJ250" s="500"/>
      <c r="CK250" s="500"/>
      <c r="CL250" s="500"/>
      <c r="CM250" s="500"/>
      <c r="CN250" s="500"/>
      <c r="CO250" s="500"/>
      <c r="CP250" s="500"/>
      <c r="CQ250" s="500"/>
      <c r="CR250" s="500"/>
      <c r="CS250" s="500"/>
      <c r="CT250" s="500"/>
      <c r="CU250" s="500"/>
      <c r="CV250" s="500"/>
      <c r="CW250" s="500"/>
      <c r="CX250" s="500"/>
      <c r="CY250" s="500"/>
      <c r="CZ250" s="500"/>
      <c r="DA250" s="500"/>
      <c r="DB250" s="500"/>
      <c r="DC250" s="500"/>
      <c r="DD250" s="500"/>
      <c r="DE250" s="500"/>
      <c r="DF250" s="500"/>
      <c r="DG250" s="500"/>
      <c r="DH250" s="500"/>
      <c r="DI250" s="500"/>
      <c r="DJ250" s="500"/>
      <c r="DK250" s="500"/>
      <c r="DL250" s="500"/>
      <c r="DM250" s="500"/>
      <c r="DN250" s="500"/>
      <c r="DO250" s="500"/>
      <c r="DP250" s="500"/>
      <c r="DQ250" s="500"/>
      <c r="DR250" s="500"/>
      <c r="DS250" s="500"/>
      <c r="DT250" s="500"/>
      <c r="DV250" s="234"/>
      <c r="DW250" s="234"/>
      <c r="DX250" s="234"/>
      <c r="DY250" s="234"/>
      <c r="DZ250" s="234"/>
      <c r="EA250" s="234"/>
      <c r="EB250" s="234"/>
    </row>
    <row r="251" spans="2:132" ht="15" thickBot="1" x14ac:dyDescent="0.5"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AI251" s="234"/>
      <c r="AJ251" s="234"/>
      <c r="BS251" s="234"/>
      <c r="BT251" s="234"/>
      <c r="BU251" s="234"/>
      <c r="BV251" s="234"/>
      <c r="BW251" s="234"/>
      <c r="BY251" s="246"/>
      <c r="BZ251" s="246"/>
      <c r="CI251" s="246"/>
      <c r="CJ251" s="246"/>
      <c r="CK251" s="246"/>
      <c r="CL251" s="246"/>
      <c r="CM251" s="246"/>
      <c r="CN251" s="246"/>
      <c r="CO251" s="246"/>
      <c r="CP251" s="246"/>
      <c r="CQ251" s="246"/>
      <c r="CR251" s="246"/>
      <c r="CS251" s="246"/>
      <c r="CT251" s="246"/>
      <c r="CU251" s="246"/>
      <c r="CV251" s="246"/>
      <c r="CW251" s="246"/>
      <c r="CX251" s="246"/>
      <c r="CY251" s="246"/>
      <c r="CZ251" s="246"/>
      <c r="DA251" s="246"/>
      <c r="DB251" s="246"/>
      <c r="DC251" s="246"/>
      <c r="DD251" s="246"/>
      <c r="DE251" s="246"/>
      <c r="DF251" s="246"/>
      <c r="DG251" s="246"/>
      <c r="DH251" s="246"/>
      <c r="DI251" s="246"/>
      <c r="DJ251" s="246"/>
      <c r="DK251" s="246"/>
      <c r="DL251" s="246"/>
      <c r="DM251" s="246"/>
      <c r="DN251" s="246"/>
      <c r="DQ251" s="246"/>
      <c r="DR251" s="246"/>
      <c r="DS251" s="246"/>
      <c r="DT251" s="246"/>
      <c r="DV251" s="234"/>
      <c r="DW251" s="234"/>
      <c r="DX251" s="234"/>
      <c r="DY251" s="234"/>
      <c r="DZ251" s="234"/>
      <c r="EA251" s="234"/>
      <c r="EB251" s="234"/>
    </row>
    <row r="252" spans="2:132" ht="15" thickBot="1" x14ac:dyDescent="0.5">
      <c r="B252" s="521" t="s">
        <v>1420</v>
      </c>
      <c r="D252" s="505"/>
      <c r="E252" s="505"/>
      <c r="F252" s="505"/>
      <c r="G252" s="505"/>
      <c r="H252" s="505"/>
      <c r="I252" s="505"/>
      <c r="J252" s="505"/>
      <c r="K252" s="506"/>
      <c r="L252" s="511"/>
      <c r="M252" s="511"/>
      <c r="N252" s="511"/>
      <c r="O252" s="511"/>
      <c r="P252" s="511"/>
      <c r="Q252" s="511"/>
      <c r="R252" s="511"/>
      <c r="S252" s="511"/>
      <c r="T252" s="511"/>
      <c r="U252" s="504"/>
      <c r="V252" s="505"/>
      <c r="W252" s="505"/>
      <c r="X252" s="505"/>
      <c r="Y252" s="505"/>
      <c r="Z252" s="505"/>
      <c r="AA252" s="505"/>
      <c r="AB252" s="505"/>
      <c r="AC252" s="506"/>
      <c r="AD252" s="511"/>
      <c r="AE252" s="511"/>
      <c r="AF252" s="511"/>
      <c r="AG252" s="511"/>
      <c r="AH252" s="511"/>
      <c r="AI252" s="511"/>
      <c r="AJ252" s="511"/>
      <c r="AK252" s="511"/>
      <c r="AL252" s="511"/>
      <c r="AM252" s="504"/>
      <c r="AN252" s="505"/>
      <c r="AO252" s="505"/>
      <c r="AP252" s="505"/>
      <c r="AQ252" s="505"/>
      <c r="AR252" s="505"/>
      <c r="AS252" s="505"/>
      <c r="AT252" s="505"/>
      <c r="AU252" s="506"/>
      <c r="AV252" s="511"/>
      <c r="AW252" s="511"/>
      <c r="AX252" s="511"/>
      <c r="AY252" s="511"/>
      <c r="AZ252" s="511"/>
      <c r="BA252" s="511"/>
      <c r="BB252" s="511"/>
      <c r="BC252" s="511"/>
      <c r="BD252" s="511"/>
      <c r="BE252" s="504"/>
      <c r="BF252" s="505"/>
      <c r="BG252" s="505"/>
      <c r="BH252" s="505"/>
      <c r="BI252" s="505"/>
      <c r="BJ252" s="505"/>
      <c r="BK252" s="505"/>
      <c r="BL252" s="505"/>
      <c r="BM252" s="506"/>
      <c r="BN252" s="511"/>
      <c r="BO252" s="511"/>
      <c r="BP252" s="511"/>
      <c r="BQ252" s="511"/>
      <c r="BR252" s="511"/>
      <c r="BS252" s="511"/>
      <c r="BT252" s="511"/>
      <c r="BU252" s="511"/>
      <c r="BV252" s="511"/>
      <c r="BW252" s="504"/>
      <c r="BX252" s="505"/>
      <c r="BY252" s="505"/>
      <c r="BZ252" s="505"/>
      <c r="CA252" s="505"/>
      <c r="CB252" s="505"/>
      <c r="CC252" s="505"/>
      <c r="CD252" s="505"/>
      <c r="CE252" s="506"/>
      <c r="CF252" s="511"/>
      <c r="CG252" s="511"/>
      <c r="CH252" s="511"/>
      <c r="CI252" s="511"/>
      <c r="CJ252" s="511"/>
      <c r="CK252" s="511"/>
      <c r="CL252" s="511"/>
      <c r="CM252" s="511"/>
      <c r="CN252" s="246"/>
      <c r="CO252" s="246"/>
      <c r="CP252" s="511"/>
      <c r="CQ252" s="511"/>
      <c r="CR252" s="504"/>
      <c r="CS252" s="505"/>
      <c r="CT252" s="505"/>
      <c r="CU252" s="505"/>
      <c r="CV252" s="505"/>
      <c r="CW252" s="505"/>
      <c r="CX252" s="505"/>
      <c r="CY252" s="505"/>
      <c r="CZ252" s="506"/>
      <c r="DA252" s="511"/>
      <c r="DB252" s="511"/>
      <c r="DC252" s="511"/>
      <c r="DD252" s="511"/>
      <c r="DE252" s="511"/>
      <c r="DF252" s="511"/>
      <c r="DG252" s="511"/>
      <c r="DH252" s="511"/>
      <c r="DI252" s="511"/>
      <c r="DJ252" s="504"/>
      <c r="DK252" s="505"/>
      <c r="DL252" s="505"/>
      <c r="DM252" s="505"/>
      <c r="DN252" s="505"/>
      <c r="DO252" s="505"/>
      <c r="DP252" s="505"/>
      <c r="DQ252" s="505"/>
      <c r="DR252" s="506"/>
      <c r="DS252" s="883"/>
      <c r="DT252" s="884"/>
      <c r="DV252" s="234"/>
      <c r="DW252" s="234"/>
      <c r="DX252" s="234"/>
      <c r="DY252" s="234"/>
      <c r="DZ252" s="234"/>
      <c r="EA252" s="234"/>
      <c r="EB252" s="234"/>
    </row>
    <row r="253" spans="2:132" ht="15" thickBot="1" x14ac:dyDescent="0.5"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Z253" s="234"/>
      <c r="AA253" s="234"/>
      <c r="BS253" s="234"/>
      <c r="BT253" s="234"/>
      <c r="BW253" s="234"/>
      <c r="BY253" s="246"/>
      <c r="BZ253" s="246"/>
      <c r="CI253" s="246"/>
      <c r="CJ253" s="246"/>
      <c r="CK253" s="246"/>
      <c r="CL253" s="246"/>
      <c r="CM253" s="246"/>
      <c r="CN253" s="246"/>
      <c r="CO253" s="246"/>
      <c r="CR253" s="246"/>
      <c r="CS253" s="246"/>
      <c r="CT253" s="246"/>
      <c r="CU253" s="246"/>
      <c r="CV253" s="246"/>
      <c r="CW253" s="246"/>
      <c r="CX253" s="246"/>
      <c r="CY253" s="246"/>
      <c r="CZ253" s="246"/>
      <c r="DA253" s="246"/>
      <c r="DB253" s="246"/>
      <c r="DC253" s="246"/>
      <c r="DD253" s="246"/>
      <c r="DE253" s="246"/>
      <c r="DF253" s="246"/>
      <c r="DG253" s="246"/>
      <c r="DH253" s="246"/>
      <c r="DI253" s="246"/>
      <c r="DJ253" s="246"/>
      <c r="DK253" s="246"/>
      <c r="DL253" s="246"/>
      <c r="DM253" s="246"/>
      <c r="DN253" s="246"/>
      <c r="DQ253" s="246"/>
      <c r="DR253" s="246"/>
      <c r="DS253" s="246"/>
      <c r="DT253" s="246"/>
      <c r="DV253" s="234"/>
      <c r="DW253" s="234"/>
      <c r="DX253" s="234"/>
      <c r="DY253" s="234"/>
      <c r="DZ253" s="234"/>
      <c r="EA253" s="234"/>
      <c r="EB253" s="234"/>
    </row>
    <row r="254" spans="2:132" ht="15" thickBot="1" x14ac:dyDescent="0.5">
      <c r="B254" s="521" t="s">
        <v>1421</v>
      </c>
      <c r="D254" s="507"/>
      <c r="E254" s="507"/>
      <c r="F254" s="507"/>
      <c r="G254" s="507"/>
      <c r="H254" s="507"/>
      <c r="I254" s="507"/>
      <c r="J254" s="507"/>
      <c r="K254" s="507"/>
      <c r="L254" s="508"/>
      <c r="M254" s="509"/>
      <c r="N254" s="509"/>
      <c r="O254" s="509"/>
      <c r="P254" s="509"/>
      <c r="Q254" s="509"/>
      <c r="R254" s="509"/>
      <c r="S254" s="509"/>
      <c r="T254" s="510"/>
      <c r="U254" s="507"/>
      <c r="V254" s="507"/>
      <c r="W254" s="507"/>
      <c r="X254" s="507"/>
      <c r="Y254" s="507"/>
      <c r="Z254" s="507"/>
      <c r="AA254" s="507"/>
      <c r="AB254" s="507"/>
      <c r="AC254" s="507"/>
      <c r="AD254" s="508"/>
      <c r="AE254" s="509"/>
      <c r="AF254" s="509"/>
      <c r="AG254" s="509"/>
      <c r="AH254" s="509"/>
      <c r="AI254" s="509"/>
      <c r="AJ254" s="509"/>
      <c r="AK254" s="509"/>
      <c r="AL254" s="510"/>
      <c r="AM254" s="507"/>
      <c r="AN254" s="507"/>
      <c r="AO254" s="507"/>
      <c r="AP254" s="507"/>
      <c r="AQ254" s="507"/>
      <c r="AR254" s="507"/>
      <c r="AS254" s="507"/>
      <c r="AT254" s="507"/>
      <c r="AU254" s="507"/>
      <c r="AV254" s="508"/>
      <c r="AW254" s="509"/>
      <c r="AX254" s="509"/>
      <c r="AY254" s="509"/>
      <c r="AZ254" s="509"/>
      <c r="BA254" s="509"/>
      <c r="BB254" s="509"/>
      <c r="BC254" s="509"/>
      <c r="BD254" s="510"/>
      <c r="BE254" s="507"/>
      <c r="BF254" s="507"/>
      <c r="BG254" s="507"/>
      <c r="BH254" s="507"/>
      <c r="BI254" s="507"/>
      <c r="BJ254" s="507"/>
      <c r="BK254" s="507"/>
      <c r="BL254" s="507"/>
      <c r="BM254" s="507"/>
      <c r="BN254" s="508"/>
      <c r="BO254" s="509"/>
      <c r="BP254" s="509"/>
      <c r="BQ254" s="509"/>
      <c r="BR254" s="509"/>
      <c r="BS254" s="509"/>
      <c r="BT254" s="509"/>
      <c r="BU254" s="509"/>
      <c r="BV254" s="510"/>
      <c r="BW254" s="507"/>
      <c r="BX254" s="507"/>
      <c r="BY254" s="507"/>
      <c r="BZ254" s="507"/>
      <c r="CA254" s="507"/>
      <c r="CB254" s="507"/>
      <c r="CC254" s="507"/>
      <c r="CD254" s="507"/>
      <c r="CE254" s="507"/>
      <c r="CF254" s="508"/>
      <c r="CG254" s="509"/>
      <c r="CH254" s="509"/>
      <c r="CI254" s="509"/>
      <c r="CJ254" s="509"/>
      <c r="CK254" s="509"/>
      <c r="CL254" s="509"/>
      <c r="CM254" s="509"/>
      <c r="CN254" s="246"/>
      <c r="CO254" s="246"/>
      <c r="CP254" s="507"/>
      <c r="CQ254" s="507"/>
      <c r="CR254" s="507"/>
      <c r="CS254" s="507"/>
      <c r="CT254" s="507"/>
      <c r="CU254" s="507"/>
      <c r="CV254" s="507"/>
      <c r="CW254" s="507"/>
      <c r="CX254" s="507"/>
      <c r="CY254" s="507"/>
      <c r="CZ254" s="507"/>
      <c r="DA254" s="508"/>
      <c r="DB254" s="509"/>
      <c r="DC254" s="509"/>
      <c r="DD254" s="509"/>
      <c r="DE254" s="509"/>
      <c r="DF254" s="509"/>
      <c r="DG254" s="509"/>
      <c r="DH254" s="509"/>
      <c r="DI254" s="510"/>
      <c r="DJ254" s="507"/>
      <c r="DK254" s="507"/>
      <c r="DL254" s="507"/>
      <c r="DM254" s="507"/>
      <c r="DN254" s="507"/>
      <c r="DO254" s="507"/>
      <c r="DP254" s="507"/>
      <c r="DQ254" s="507"/>
      <c r="DR254" s="507"/>
      <c r="DS254" s="508"/>
      <c r="DT254" s="509"/>
      <c r="DV254" s="234"/>
      <c r="DW254" s="234"/>
      <c r="DX254" s="234"/>
      <c r="DY254" s="234"/>
      <c r="DZ254" s="234"/>
      <c r="EA254" s="234"/>
      <c r="EB254" s="234"/>
    </row>
    <row r="255" spans="2:132" x14ac:dyDescent="0.45">
      <c r="BX255" s="246"/>
      <c r="BY255" s="246"/>
      <c r="BZ255" s="246"/>
      <c r="CN255" s="246"/>
      <c r="CO255" s="246"/>
      <c r="DV255" s="234"/>
      <c r="DW255" s="234"/>
      <c r="DX255" s="234"/>
      <c r="DY255" s="234"/>
      <c r="DZ255" s="234"/>
      <c r="EA255" s="234"/>
      <c r="EB255" s="234"/>
    </row>
    <row r="256" spans="2:132" x14ac:dyDescent="0.45">
      <c r="B256" s="623" t="s">
        <v>2651</v>
      </c>
      <c r="C256" s="615"/>
      <c r="D256" s="616"/>
      <c r="E256" s="616"/>
      <c r="F256" s="616"/>
      <c r="G256" s="616"/>
      <c r="H256" s="616"/>
      <c r="I256" s="616"/>
      <c r="J256" s="616"/>
      <c r="K256" s="616"/>
      <c r="L256" s="616"/>
      <c r="M256" s="616"/>
      <c r="N256" s="616"/>
      <c r="O256" s="616"/>
      <c r="P256" s="616"/>
      <c r="Q256" s="616"/>
      <c r="R256" s="616"/>
      <c r="S256" s="616"/>
      <c r="T256" s="616"/>
      <c r="U256" s="616"/>
      <c r="V256" s="616"/>
      <c r="W256" s="616"/>
      <c r="X256" s="616"/>
      <c r="Y256" s="616"/>
      <c r="Z256" s="616"/>
      <c r="AA256" s="616"/>
      <c r="AB256" s="616"/>
      <c r="AC256" s="616"/>
      <c r="AD256" s="616"/>
      <c r="AE256" s="616"/>
      <c r="AF256" s="616"/>
      <c r="AG256" s="616"/>
      <c r="AH256" s="616"/>
      <c r="AI256" s="616"/>
      <c r="AJ256" s="616"/>
      <c r="AK256" s="616"/>
      <c r="AL256" s="616"/>
      <c r="AM256" s="616"/>
      <c r="AN256" s="616"/>
      <c r="AO256" s="616"/>
      <c r="AP256" s="616"/>
      <c r="AQ256" s="616"/>
      <c r="AR256" s="616"/>
      <c r="AS256" s="616"/>
      <c r="AT256" s="616"/>
      <c r="AU256" s="616"/>
      <c r="AV256" s="616"/>
      <c r="AW256" s="616"/>
      <c r="AX256" s="616"/>
      <c r="AY256" s="616"/>
      <c r="AZ256" s="616"/>
      <c r="BA256" s="616"/>
      <c r="BB256" s="616"/>
      <c r="BC256" s="616"/>
      <c r="BD256" s="616"/>
      <c r="BE256" s="616"/>
      <c r="BF256" s="616"/>
      <c r="BG256" s="616"/>
      <c r="BH256" s="616"/>
      <c r="BI256" s="616"/>
      <c r="BJ256" s="616"/>
      <c r="BK256" s="616"/>
      <c r="BL256" s="616"/>
      <c r="BM256" s="616"/>
      <c r="BN256" s="616"/>
      <c r="BO256" s="616"/>
      <c r="BP256" s="616"/>
      <c r="BQ256" s="616"/>
      <c r="BR256" s="616"/>
      <c r="BS256" s="616"/>
      <c r="BT256" s="616"/>
      <c r="BU256" s="616"/>
      <c r="BV256" s="616"/>
      <c r="BW256" s="616"/>
      <c r="BX256" s="614"/>
      <c r="BY256" s="614"/>
      <c r="BZ256" s="614"/>
      <c r="CA256" s="614"/>
      <c r="CB256" s="614"/>
      <c r="CC256" s="614"/>
      <c r="CD256" s="614"/>
      <c r="CE256" s="614"/>
      <c r="CF256" s="614"/>
      <c r="CG256" s="614"/>
      <c r="CH256" s="614"/>
      <c r="CI256" s="614"/>
      <c r="CJ256" s="614"/>
      <c r="CK256" s="614"/>
      <c r="CL256" s="614"/>
      <c r="CM256" s="614"/>
      <c r="CN256" s="614"/>
      <c r="CO256" s="614"/>
      <c r="CP256" s="614"/>
      <c r="CQ256" s="614"/>
      <c r="CR256" s="614"/>
      <c r="CS256" s="614"/>
      <c r="CT256" s="614"/>
      <c r="CU256" s="614"/>
      <c r="CV256" s="614"/>
      <c r="CW256" s="614"/>
      <c r="CX256" s="614"/>
      <c r="CY256" s="614"/>
      <c r="CZ256" s="614"/>
      <c r="DA256" s="614"/>
      <c r="DB256" s="614"/>
      <c r="DC256" s="614"/>
      <c r="DD256" s="614"/>
      <c r="DE256" s="614"/>
      <c r="DF256" s="614"/>
      <c r="DG256" s="614"/>
      <c r="DH256" s="614"/>
      <c r="DI256" s="614"/>
      <c r="DJ256" s="614"/>
      <c r="DK256" s="614"/>
      <c r="DL256" s="614"/>
      <c r="DM256" s="614"/>
      <c r="DN256" s="614"/>
      <c r="DO256" s="614"/>
      <c r="DP256" s="614"/>
      <c r="DQ256" s="614"/>
      <c r="DR256" s="614"/>
      <c r="DS256" s="614"/>
      <c r="DT256" s="614"/>
      <c r="DV256" s="234"/>
      <c r="DW256" s="234"/>
      <c r="DX256" s="234"/>
      <c r="DY256" s="234"/>
      <c r="DZ256" s="234"/>
      <c r="EA256" s="234"/>
      <c r="EB256" s="234"/>
    </row>
    <row r="257" spans="2:132" x14ac:dyDescent="0.45">
      <c r="B257" s="521" t="s">
        <v>1431</v>
      </c>
      <c r="D257" s="247"/>
      <c r="E257" s="247"/>
      <c r="F257" s="247"/>
      <c r="G257" s="247"/>
      <c r="H257" s="247"/>
      <c r="I257" s="347"/>
      <c r="J257" s="348"/>
      <c r="K257" s="348"/>
      <c r="L257" s="348"/>
      <c r="M257" s="349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  <c r="AA257" s="256"/>
      <c r="AB257" s="256"/>
      <c r="AC257" s="256"/>
      <c r="AD257" s="256"/>
      <c r="AE257" s="256"/>
      <c r="AF257" s="256"/>
      <c r="AG257" s="256"/>
      <c r="AH257" s="256"/>
      <c r="AI257" s="256"/>
      <c r="AJ257" s="256"/>
      <c r="AK257" s="256"/>
      <c r="AL257" s="256"/>
      <c r="AM257" s="256"/>
      <c r="AN257" s="256"/>
      <c r="AO257" s="256"/>
      <c r="AP257" s="256"/>
      <c r="AQ257" s="256"/>
      <c r="AR257" s="256"/>
      <c r="AS257" s="256"/>
      <c r="AT257" s="256"/>
      <c r="AU257" s="256"/>
      <c r="AV257" s="256"/>
      <c r="AW257" s="256"/>
      <c r="AX257" s="256"/>
      <c r="AY257" s="256"/>
      <c r="AZ257" s="256"/>
      <c r="BA257" s="256"/>
      <c r="BB257" s="256"/>
      <c r="BC257" s="256"/>
      <c r="BD257" s="256"/>
      <c r="BE257" s="256"/>
      <c r="BF257" s="256"/>
      <c r="BG257" s="256"/>
      <c r="BH257" s="256"/>
      <c r="BI257" s="256"/>
      <c r="BJ257" s="256"/>
      <c r="BK257" s="256"/>
      <c r="BL257" s="256"/>
      <c r="BM257" s="256"/>
      <c r="BN257" s="256"/>
      <c r="BO257" s="256"/>
      <c r="BP257" s="256"/>
      <c r="BQ257" s="256"/>
      <c r="BR257" s="256"/>
      <c r="BS257" s="256"/>
      <c r="BT257" s="256"/>
      <c r="BU257" s="256"/>
      <c r="BV257" s="256"/>
      <c r="BW257" s="256"/>
      <c r="BX257" s="256"/>
      <c r="BY257" s="256"/>
      <c r="BZ257" s="256"/>
      <c r="CA257" s="256"/>
      <c r="CB257" s="256"/>
      <c r="CC257" s="256"/>
      <c r="CD257" s="256"/>
      <c r="CE257" s="256"/>
      <c r="CF257" s="256"/>
      <c r="CG257" s="256"/>
      <c r="CH257" s="256"/>
      <c r="CI257" s="256"/>
      <c r="CJ257" s="256"/>
      <c r="CK257" s="256"/>
      <c r="CL257" s="256"/>
      <c r="CM257" s="256"/>
      <c r="CN257" s="256"/>
      <c r="CO257" s="256"/>
      <c r="CP257" s="256"/>
      <c r="CQ257" s="256"/>
      <c r="CR257" s="256"/>
      <c r="CS257" s="256"/>
      <c r="CT257" s="256"/>
      <c r="CU257" s="256"/>
      <c r="CV257" s="256"/>
      <c r="CW257" s="256"/>
      <c r="CX257" s="256"/>
      <c r="CY257" s="256"/>
      <c r="CZ257" s="256"/>
      <c r="DA257" s="256"/>
      <c r="DB257" s="256"/>
      <c r="DC257" s="256"/>
      <c r="DD257" s="347"/>
      <c r="DE257" s="348"/>
      <c r="DF257" s="348"/>
      <c r="DG257" s="348"/>
      <c r="DH257" s="349"/>
      <c r="DI257" s="256"/>
      <c r="DJ257" s="256"/>
      <c r="DK257" s="256"/>
      <c r="DL257" s="256"/>
      <c r="DM257" s="256"/>
      <c r="DN257" s="256"/>
      <c r="DO257" s="256"/>
      <c r="DP257" s="256"/>
      <c r="DQ257" s="256"/>
      <c r="DR257" s="256"/>
      <c r="DS257" s="256"/>
      <c r="DT257" s="256"/>
      <c r="DV257" s="234"/>
      <c r="DW257" s="234"/>
      <c r="DX257" s="234"/>
      <c r="DY257" s="234"/>
      <c r="DZ257" s="234"/>
      <c r="EA257" s="234"/>
      <c r="EB257" s="234"/>
    </row>
    <row r="258" spans="2:132" x14ac:dyDescent="0.45">
      <c r="D258" s="248"/>
      <c r="E258" s="248"/>
      <c r="F258" s="248"/>
      <c r="G258" s="248"/>
      <c r="H258" s="248"/>
      <c r="I258" s="248"/>
      <c r="J258" s="248"/>
      <c r="K258" s="248"/>
      <c r="L258" s="248"/>
      <c r="M258" s="248"/>
      <c r="N258" s="257"/>
      <c r="O258" s="257"/>
      <c r="P258" s="257"/>
      <c r="Q258" s="257"/>
      <c r="R258" s="257"/>
      <c r="S258" s="257"/>
      <c r="T258" s="257"/>
      <c r="U258" s="257"/>
      <c r="V258" s="257"/>
      <c r="W258" s="257"/>
      <c r="X258" s="257"/>
      <c r="Y258" s="257"/>
      <c r="Z258" s="257"/>
      <c r="AA258" s="257"/>
      <c r="AB258" s="257"/>
      <c r="AC258" s="257"/>
      <c r="AD258" s="257"/>
      <c r="AE258" s="257"/>
      <c r="AF258" s="257"/>
      <c r="AG258" s="257"/>
      <c r="AH258" s="257"/>
      <c r="AI258" s="257"/>
      <c r="AJ258" s="257"/>
      <c r="AK258" s="257"/>
      <c r="AL258" s="257"/>
      <c r="AM258" s="257"/>
      <c r="AN258" s="257"/>
      <c r="AO258" s="257"/>
      <c r="AP258" s="257"/>
      <c r="AQ258" s="257"/>
      <c r="AR258" s="257"/>
      <c r="AS258" s="257"/>
      <c r="AT258" s="257"/>
      <c r="AU258" s="257"/>
      <c r="AV258" s="257"/>
      <c r="AW258" s="257"/>
      <c r="AX258" s="257"/>
      <c r="AY258" s="257"/>
      <c r="AZ258" s="257"/>
      <c r="BA258" s="257"/>
      <c r="BB258" s="257"/>
      <c r="BC258" s="257"/>
      <c r="BD258" s="257"/>
      <c r="BE258" s="257"/>
      <c r="BF258" s="257"/>
      <c r="BG258" s="257"/>
      <c r="BH258" s="257"/>
      <c r="BI258" s="257"/>
      <c r="BJ258" s="257"/>
      <c r="BK258" s="257"/>
      <c r="BL258" s="257"/>
      <c r="BM258" s="257"/>
      <c r="BN258" s="257"/>
      <c r="BO258" s="257"/>
      <c r="BP258" s="257"/>
      <c r="BQ258" s="257"/>
      <c r="BR258" s="257"/>
      <c r="BS258" s="257"/>
      <c r="BT258" s="257"/>
      <c r="BU258" s="257"/>
      <c r="BV258" s="257"/>
      <c r="BW258" s="257"/>
      <c r="BX258" s="257"/>
      <c r="BY258" s="257"/>
      <c r="BZ258" s="257"/>
      <c r="CA258" s="257"/>
      <c r="CB258" s="257"/>
      <c r="CC258" s="257"/>
      <c r="CD258" s="257"/>
      <c r="CE258" s="257"/>
      <c r="CF258" s="257"/>
      <c r="CG258" s="257"/>
      <c r="CH258" s="257"/>
      <c r="CI258" s="257"/>
      <c r="CJ258" s="257"/>
      <c r="CK258" s="257"/>
      <c r="CL258" s="257"/>
      <c r="CM258" s="257"/>
      <c r="CN258" s="257"/>
      <c r="CO258" s="257"/>
      <c r="CP258" s="257"/>
      <c r="CQ258" s="257"/>
      <c r="CR258" s="257"/>
      <c r="CS258" s="257"/>
      <c r="CT258" s="257"/>
      <c r="CU258" s="257"/>
      <c r="CV258" s="257"/>
      <c r="CW258" s="257"/>
      <c r="CX258" s="257"/>
      <c r="CY258" s="257"/>
      <c r="CZ258" s="257"/>
      <c r="DA258" s="257"/>
      <c r="DB258" s="257"/>
      <c r="DC258" s="257"/>
      <c r="DD258" s="257"/>
      <c r="DE258" s="257"/>
      <c r="DF258" s="257"/>
      <c r="DG258" s="257"/>
      <c r="DH258" s="257"/>
      <c r="DJ258" s="257"/>
      <c r="DL258" s="257"/>
      <c r="DN258" s="257"/>
      <c r="DO258" s="257"/>
      <c r="DP258" s="257"/>
      <c r="DQ258" s="257"/>
      <c r="DR258" s="257"/>
      <c r="DS258" s="257"/>
      <c r="DT258" s="257"/>
      <c r="DV258" s="234"/>
      <c r="DW258" s="234"/>
      <c r="DX258" s="234"/>
      <c r="DY258" s="234"/>
      <c r="DZ258" s="234"/>
      <c r="EA258" s="234"/>
      <c r="EB258" s="234"/>
    </row>
    <row r="259" spans="2:132" x14ac:dyDescent="0.45">
      <c r="B259" s="521" t="s">
        <v>2071</v>
      </c>
      <c r="D259" s="247"/>
      <c r="E259" s="247"/>
      <c r="F259" s="247"/>
      <c r="G259" s="247"/>
      <c r="H259" s="247"/>
      <c r="I259" s="885"/>
      <c r="J259" s="256"/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  <c r="AA259" s="256"/>
      <c r="AB259" s="256"/>
      <c r="AC259" s="256"/>
      <c r="AD259" s="256"/>
      <c r="AE259" s="256"/>
      <c r="AF259" s="256"/>
      <c r="AG259" s="256"/>
      <c r="AH259" s="256"/>
      <c r="AI259" s="256"/>
      <c r="AJ259" s="256"/>
      <c r="AK259" s="256"/>
      <c r="AL259" s="256"/>
      <c r="AM259" s="256"/>
      <c r="AN259" s="256"/>
      <c r="AO259" s="256"/>
      <c r="AP259" s="256"/>
      <c r="AQ259" s="256"/>
      <c r="AR259" s="256"/>
      <c r="AS259" s="256"/>
      <c r="AT259" s="256"/>
      <c r="AU259" s="256"/>
      <c r="AV259" s="256"/>
      <c r="AW259" s="256"/>
      <c r="AX259" s="256"/>
      <c r="AY259" s="256"/>
      <c r="AZ259" s="256"/>
      <c r="BA259" s="256"/>
      <c r="BB259" s="256"/>
      <c r="BC259" s="256"/>
      <c r="BD259" s="256"/>
      <c r="BE259" s="256"/>
      <c r="BF259" s="256"/>
      <c r="BG259" s="256"/>
      <c r="BH259" s="256"/>
      <c r="BI259" s="256"/>
      <c r="BJ259" s="256"/>
      <c r="BK259" s="256"/>
      <c r="BL259" s="256"/>
      <c r="BM259" s="256"/>
      <c r="BN259" s="256"/>
      <c r="BO259" s="256"/>
      <c r="BP259" s="256"/>
      <c r="BQ259" s="256"/>
      <c r="BR259" s="256"/>
      <c r="BS259" s="256"/>
      <c r="BT259" s="256"/>
      <c r="BU259" s="256"/>
      <c r="BV259" s="256"/>
      <c r="BW259" s="256"/>
      <c r="BX259" s="256"/>
      <c r="BY259" s="256"/>
      <c r="BZ259" s="256"/>
      <c r="CA259" s="256"/>
      <c r="CB259" s="256"/>
      <c r="CC259" s="256"/>
      <c r="CD259" s="256"/>
      <c r="CE259" s="256"/>
      <c r="CF259" s="256"/>
      <c r="CG259" s="256"/>
      <c r="CH259" s="256"/>
      <c r="CI259" s="256"/>
      <c r="CJ259" s="256"/>
      <c r="CK259" s="256"/>
      <c r="CL259" s="256"/>
      <c r="CM259" s="256"/>
      <c r="CN259" s="256"/>
      <c r="CO259" s="256"/>
      <c r="CP259" s="256"/>
      <c r="CQ259" s="256"/>
      <c r="CR259" s="256"/>
      <c r="CS259" s="256"/>
      <c r="CT259" s="256"/>
      <c r="CU259" s="256"/>
      <c r="CV259" s="256"/>
      <c r="CW259" s="256"/>
      <c r="CX259" s="256"/>
      <c r="CY259" s="256"/>
      <c r="CZ259" s="256"/>
      <c r="DA259" s="256"/>
      <c r="DB259" s="256"/>
      <c r="DC259" s="256"/>
      <c r="DD259" s="256"/>
      <c r="DE259" s="885"/>
      <c r="DF259" s="256"/>
      <c r="DG259" s="256"/>
      <c r="DH259" s="256"/>
      <c r="DI259" s="260"/>
      <c r="DJ259" s="256"/>
      <c r="DK259" s="260"/>
      <c r="DL259" s="256"/>
      <c r="DM259" s="260"/>
      <c r="DN259" s="256"/>
      <c r="DO259" s="256"/>
      <c r="DP259" s="256"/>
      <c r="DQ259" s="256"/>
      <c r="DR259" s="256"/>
      <c r="DS259" s="256"/>
      <c r="DT259" s="256"/>
      <c r="DV259" s="234"/>
      <c r="DW259" s="234"/>
      <c r="DX259" s="234"/>
      <c r="DY259" s="234"/>
      <c r="DZ259" s="234"/>
      <c r="EA259" s="234"/>
      <c r="EB259" s="234"/>
    </row>
    <row r="260" spans="2:132" x14ac:dyDescent="0.45">
      <c r="W260" s="234"/>
      <c r="X260" s="234"/>
      <c r="CU260" s="246"/>
      <c r="CV260" s="246"/>
      <c r="CW260" s="246"/>
      <c r="CX260" s="246"/>
      <c r="CY260" s="246"/>
      <c r="CZ260" s="246"/>
      <c r="DA260" s="246"/>
      <c r="DB260" s="246"/>
      <c r="DC260" s="246"/>
      <c r="DD260" s="246"/>
      <c r="DE260" s="246"/>
      <c r="DF260" s="246"/>
      <c r="DG260" s="246"/>
      <c r="DV260" s="234"/>
      <c r="DW260" s="234"/>
      <c r="DX260" s="234"/>
      <c r="DY260" s="234"/>
      <c r="DZ260" s="234"/>
      <c r="EA260" s="234"/>
      <c r="EB260" s="234"/>
    </row>
    <row r="261" spans="2:132" x14ac:dyDescent="0.45">
      <c r="W261" s="234"/>
      <c r="X261" s="234"/>
      <c r="CU261" s="246"/>
      <c r="CV261" s="246"/>
      <c r="CW261" s="246"/>
      <c r="CX261" s="246"/>
      <c r="CY261" s="246"/>
      <c r="CZ261" s="246"/>
      <c r="DA261" s="246"/>
      <c r="DB261" s="246"/>
      <c r="DC261" s="246"/>
      <c r="DD261" s="246"/>
      <c r="DE261" s="246"/>
      <c r="DF261" s="246"/>
      <c r="DG261" s="246"/>
      <c r="DV261" s="234"/>
      <c r="DW261" s="234"/>
      <c r="DX261" s="234"/>
      <c r="DY261" s="234"/>
      <c r="DZ261" s="234"/>
      <c r="EA261" s="234"/>
      <c r="EB261" s="234"/>
    </row>
    <row r="262" spans="2:132" x14ac:dyDescent="0.45">
      <c r="W262" s="234"/>
      <c r="X262" s="234"/>
      <c r="CU262" s="246"/>
      <c r="CV262" s="246"/>
      <c r="CW262" s="246"/>
      <c r="CX262" s="246"/>
      <c r="CY262" s="246"/>
      <c r="CZ262" s="246"/>
      <c r="DA262" s="246"/>
      <c r="DB262" s="246"/>
      <c r="DC262" s="246"/>
      <c r="DD262" s="246"/>
      <c r="DE262" s="246"/>
      <c r="DF262" s="246"/>
      <c r="DG262" s="246"/>
      <c r="DV262" s="234"/>
      <c r="DW262" s="234"/>
      <c r="DX262" s="234"/>
      <c r="DY262" s="234"/>
      <c r="DZ262" s="234"/>
      <c r="EA262" s="234"/>
      <c r="EB262" s="234"/>
    </row>
    <row r="263" spans="2:132" x14ac:dyDescent="0.45">
      <c r="B263" s="521" t="s">
        <v>2057</v>
      </c>
      <c r="D263" s="249"/>
      <c r="E263" s="323"/>
      <c r="F263" s="247"/>
      <c r="G263" s="247"/>
      <c r="H263" s="247"/>
      <c r="I263" s="247"/>
      <c r="J263" s="1114" t="s">
        <v>2623</v>
      </c>
      <c r="K263" s="323"/>
      <c r="L263" s="247"/>
      <c r="M263" s="247"/>
      <c r="N263" s="882" t="s">
        <v>1292</v>
      </c>
      <c r="O263" s="249"/>
      <c r="P263" s="323"/>
      <c r="Q263" s="247"/>
      <c r="R263" s="247"/>
      <c r="S263" s="247"/>
      <c r="T263" s="247"/>
      <c r="U263" s="247"/>
      <c r="V263" s="247"/>
      <c r="W263" s="247"/>
      <c r="X263" s="247"/>
      <c r="Y263" s="882" t="s">
        <v>2058</v>
      </c>
      <c r="Z263" s="249"/>
      <c r="AA263" s="323"/>
      <c r="AB263" s="247"/>
      <c r="AC263" s="247"/>
      <c r="AD263" s="247"/>
      <c r="AE263" s="247"/>
      <c r="AF263" s="247"/>
      <c r="AG263" s="247"/>
      <c r="AH263" s="247"/>
      <c r="AI263" s="247"/>
      <c r="AJ263" s="882" t="s">
        <v>2059</v>
      </c>
      <c r="AK263" s="249"/>
      <c r="AL263" s="323"/>
      <c r="AM263" s="247"/>
      <c r="AN263" s="247"/>
      <c r="AO263" s="247"/>
      <c r="AP263" s="247"/>
      <c r="AQ263" s="247"/>
      <c r="AR263" s="247"/>
      <c r="AS263" s="247"/>
      <c r="AT263" s="247"/>
      <c r="AU263" s="882" t="s">
        <v>2060</v>
      </c>
      <c r="AV263" s="249"/>
      <c r="AW263" s="323"/>
      <c r="AX263" s="247"/>
      <c r="AY263" s="247"/>
      <c r="AZ263" s="247"/>
      <c r="BA263" s="247"/>
      <c r="BB263" s="247"/>
      <c r="BC263" s="247"/>
      <c r="BD263" s="247"/>
      <c r="BE263" s="247"/>
      <c r="BF263" s="882" t="s">
        <v>2066</v>
      </c>
      <c r="BG263" s="249"/>
      <c r="BH263" s="323"/>
      <c r="BI263" s="247"/>
      <c r="BJ263" s="247"/>
      <c r="BK263" s="247"/>
      <c r="BL263" s="247"/>
      <c r="BM263" s="247"/>
      <c r="BN263" s="247"/>
      <c r="BO263" s="247"/>
      <c r="BP263" s="247"/>
      <c r="BQ263" s="882" t="s">
        <v>2067</v>
      </c>
      <c r="BR263" s="249"/>
      <c r="BS263" s="323"/>
      <c r="BT263" s="247"/>
      <c r="BU263" s="247"/>
      <c r="BV263" s="247"/>
      <c r="BY263" s="247"/>
      <c r="BZ263" s="247"/>
      <c r="CA263" s="247"/>
      <c r="CB263" s="882" t="s">
        <v>2065</v>
      </c>
      <c r="CC263" s="249"/>
      <c r="CD263" s="323"/>
      <c r="CE263" s="247"/>
      <c r="CF263" s="247"/>
      <c r="CG263" s="247"/>
      <c r="CH263" s="247"/>
      <c r="CI263" s="247"/>
      <c r="CJ263" s="247"/>
      <c r="CK263" s="247"/>
      <c r="CL263" s="247"/>
      <c r="CM263" s="882" t="s">
        <v>2064</v>
      </c>
      <c r="CN263" s="249"/>
      <c r="CO263" s="323"/>
      <c r="CP263" s="247"/>
      <c r="CQ263" s="247"/>
      <c r="CR263" s="247"/>
      <c r="CS263" s="247"/>
      <c r="CT263" s="247"/>
      <c r="CU263" s="247"/>
      <c r="CV263" s="247"/>
      <c r="CW263" s="247"/>
      <c r="CX263" s="882" t="s">
        <v>2063</v>
      </c>
      <c r="CY263" s="249"/>
      <c r="CZ263" s="323"/>
      <c r="DA263" s="247"/>
      <c r="DB263" s="247"/>
      <c r="DC263" s="247"/>
      <c r="DD263" s="247"/>
      <c r="DE263" s="885"/>
      <c r="DF263" s="247"/>
      <c r="DG263" s="247"/>
      <c r="DH263" s="247"/>
      <c r="DI263" s="882" t="s">
        <v>1292</v>
      </c>
      <c r="DJ263" s="249"/>
      <c r="DK263" s="323"/>
      <c r="DL263" s="247"/>
      <c r="DM263" s="247"/>
      <c r="DN263" s="247"/>
      <c r="DO263" s="247"/>
      <c r="DP263" s="247"/>
      <c r="DQ263" s="247"/>
      <c r="DR263" s="247"/>
      <c r="DS263" s="247"/>
      <c r="DT263" s="882"/>
      <c r="DV263" s="234"/>
      <c r="DW263" s="234"/>
      <c r="DX263" s="234"/>
      <c r="DY263" s="234"/>
      <c r="DZ263" s="234"/>
      <c r="EA263" s="234"/>
      <c r="EB263" s="234"/>
    </row>
    <row r="264" spans="2:132" ht="15" thickBot="1" x14ac:dyDescent="0.5">
      <c r="W264" s="234"/>
      <c r="X264" s="234"/>
      <c r="BY264" s="246"/>
      <c r="BZ264" s="246"/>
      <c r="DG264" s="246"/>
      <c r="DH264" s="246"/>
      <c r="DI264" s="246"/>
      <c r="DJ264" s="246"/>
      <c r="DK264" s="246"/>
      <c r="DV264" s="234"/>
      <c r="DW264" s="234"/>
      <c r="DX264" s="234"/>
      <c r="DY264" s="234"/>
      <c r="DZ264" s="234"/>
      <c r="EA264" s="234"/>
      <c r="EB264" s="234"/>
    </row>
    <row r="265" spans="2:132" ht="15" thickBot="1" x14ac:dyDescent="0.5">
      <c r="B265" s="521" t="s">
        <v>1419</v>
      </c>
      <c r="D265" s="497"/>
      <c r="E265" s="497"/>
      <c r="F265" s="497"/>
      <c r="G265" s="497"/>
      <c r="H265" s="497"/>
      <c r="I265" s="497"/>
      <c r="J265" s="497"/>
      <c r="K265" s="497"/>
      <c r="L265" s="497"/>
      <c r="M265" s="497"/>
      <c r="N265" s="499"/>
      <c r="O265" s="500"/>
      <c r="P265" s="500"/>
      <c r="Q265" s="500"/>
      <c r="R265" s="500"/>
      <c r="S265" s="500"/>
      <c r="T265" s="500"/>
      <c r="U265" s="500"/>
      <c r="V265" s="500"/>
      <c r="W265" s="500"/>
      <c r="X265" s="502"/>
      <c r="Y265" s="497"/>
      <c r="Z265" s="497"/>
      <c r="AA265" s="497"/>
      <c r="AB265" s="497"/>
      <c r="AC265" s="497"/>
      <c r="AD265" s="497"/>
      <c r="AE265" s="497"/>
      <c r="AF265" s="497"/>
      <c r="AG265" s="497"/>
      <c r="AH265" s="497"/>
      <c r="AI265" s="497"/>
      <c r="AJ265" s="497"/>
      <c r="AK265" s="497"/>
      <c r="AL265" s="497"/>
      <c r="AM265" s="497"/>
      <c r="AN265" s="497"/>
      <c r="AO265" s="497"/>
      <c r="AP265" s="497"/>
      <c r="AQ265" s="497"/>
      <c r="AR265" s="497"/>
      <c r="AS265" s="497"/>
      <c r="AT265" s="497"/>
      <c r="AU265" s="499"/>
      <c r="AV265" s="500"/>
      <c r="AW265" s="500"/>
      <c r="AX265" s="500"/>
      <c r="AY265" s="500"/>
      <c r="AZ265" s="500"/>
      <c r="BA265" s="500"/>
      <c r="BB265" s="500"/>
      <c r="BC265" s="500"/>
      <c r="BD265" s="500"/>
      <c r="BE265" s="502"/>
      <c r="BF265" s="497"/>
      <c r="BG265" s="497"/>
      <c r="BH265" s="497"/>
      <c r="BI265" s="497"/>
      <c r="BJ265" s="497"/>
      <c r="BK265" s="497"/>
      <c r="BL265" s="497"/>
      <c r="BM265" s="497"/>
      <c r="BN265" s="497"/>
      <c r="BO265" s="497"/>
      <c r="BP265" s="497"/>
      <c r="BQ265" s="497"/>
      <c r="BR265" s="497"/>
      <c r="BS265" s="497"/>
      <c r="BT265" s="497"/>
      <c r="BU265" s="497"/>
      <c r="BV265" s="497"/>
      <c r="BY265" s="497"/>
      <c r="BZ265" s="497"/>
      <c r="CA265" s="497"/>
      <c r="CB265" s="499"/>
      <c r="CC265" s="500"/>
      <c r="CD265" s="500"/>
      <c r="CE265" s="500"/>
      <c r="CF265" s="500"/>
      <c r="CG265" s="500"/>
      <c r="CH265" s="500"/>
      <c r="CI265" s="500"/>
      <c r="CJ265" s="500"/>
      <c r="CK265" s="500"/>
      <c r="CL265" s="502"/>
      <c r="CM265" s="497"/>
      <c r="CN265" s="497"/>
      <c r="CO265" s="497"/>
      <c r="CP265" s="497"/>
      <c r="CQ265" s="497"/>
      <c r="CR265" s="497"/>
      <c r="CS265" s="497"/>
      <c r="CT265" s="497"/>
      <c r="CU265" s="497"/>
      <c r="CV265" s="497"/>
      <c r="CW265" s="497"/>
      <c r="CX265" s="497"/>
      <c r="CY265" s="497"/>
      <c r="CZ265" s="497"/>
      <c r="DA265" s="497"/>
      <c r="DB265" s="497"/>
      <c r="DC265" s="497"/>
      <c r="DD265" s="497"/>
      <c r="DE265" s="497"/>
      <c r="DF265" s="497"/>
      <c r="DG265" s="497"/>
      <c r="DH265" s="497"/>
      <c r="DI265" s="499"/>
      <c r="DJ265" s="500"/>
      <c r="DK265" s="500"/>
      <c r="DL265" s="500"/>
      <c r="DM265" s="500"/>
      <c r="DN265" s="500"/>
      <c r="DO265" s="500"/>
      <c r="DP265" s="500"/>
      <c r="DQ265" s="500"/>
      <c r="DR265" s="500"/>
      <c r="DS265" s="502"/>
      <c r="DT265" s="497"/>
      <c r="DV265" s="234"/>
      <c r="DW265" s="234"/>
      <c r="DX265" s="234"/>
      <c r="DY265" s="234"/>
      <c r="DZ265" s="234"/>
      <c r="EA265" s="234"/>
      <c r="EB265" s="234"/>
    </row>
    <row r="266" spans="2:132" ht="15" thickBot="1" x14ac:dyDescent="0.5">
      <c r="K266" s="234"/>
      <c r="L266" s="234"/>
      <c r="M266" s="234"/>
      <c r="N266" s="234"/>
      <c r="O266" s="234"/>
      <c r="P266" s="234"/>
      <c r="Q266" s="234"/>
      <c r="R266" s="234"/>
      <c r="T266" s="234"/>
      <c r="AI266" s="234"/>
      <c r="AJ266" s="234"/>
      <c r="BS266" s="234"/>
      <c r="BT266" s="234"/>
      <c r="BU266" s="234"/>
      <c r="BV266" s="234"/>
      <c r="BY266" s="246"/>
      <c r="BZ266" s="246"/>
      <c r="CI266" s="246"/>
      <c r="CJ266" s="246"/>
      <c r="CK266" s="246"/>
      <c r="CL266" s="246"/>
      <c r="CM266" s="246"/>
      <c r="CN266" s="246"/>
      <c r="CO266" s="246"/>
      <c r="CP266" s="246"/>
      <c r="CQ266" s="246"/>
      <c r="CR266" s="246"/>
      <c r="CS266" s="246"/>
      <c r="CT266" s="246"/>
      <c r="CU266" s="246"/>
      <c r="CV266" s="246"/>
      <c r="CW266" s="246"/>
      <c r="CX266" s="246"/>
      <c r="CY266" s="246"/>
      <c r="CZ266" s="246"/>
      <c r="DA266" s="246"/>
      <c r="DB266" s="246"/>
      <c r="DC266" s="246"/>
      <c r="DD266" s="246"/>
      <c r="DE266" s="246"/>
      <c r="DF266" s="246"/>
      <c r="DG266" s="246"/>
      <c r="DH266" s="246"/>
      <c r="DI266" s="246"/>
      <c r="DJ266" s="246"/>
      <c r="DK266" s="246"/>
      <c r="DL266" s="246"/>
      <c r="DM266" s="246"/>
      <c r="DN266" s="246"/>
      <c r="DQ266" s="246"/>
      <c r="DR266" s="246"/>
      <c r="DS266" s="246"/>
      <c r="DT266" s="246"/>
      <c r="DV266" s="234"/>
      <c r="DW266" s="234"/>
      <c r="DX266" s="234"/>
      <c r="DY266" s="234"/>
      <c r="DZ266" s="234"/>
      <c r="EA266" s="234"/>
      <c r="EB266" s="234"/>
    </row>
    <row r="267" spans="2:132" ht="15" thickBot="1" x14ac:dyDescent="0.5">
      <c r="B267" s="521" t="s">
        <v>1420</v>
      </c>
      <c r="D267" s="511"/>
      <c r="E267" s="511"/>
      <c r="F267" s="511"/>
      <c r="G267" s="511"/>
      <c r="H267" s="511"/>
      <c r="I267" s="511"/>
      <c r="J267" s="511"/>
      <c r="K267" s="511"/>
      <c r="L267" s="511"/>
      <c r="M267" s="511"/>
      <c r="N267" s="511"/>
      <c r="O267" s="511"/>
      <c r="P267" s="511"/>
      <c r="Q267" s="511"/>
      <c r="R267" s="511"/>
      <c r="S267" s="511"/>
      <c r="T267" s="511"/>
      <c r="U267" s="511"/>
      <c r="V267" s="511"/>
      <c r="W267" s="511"/>
      <c r="X267" s="511"/>
      <c r="Y267" s="504"/>
      <c r="Z267" s="505"/>
      <c r="AA267" s="505"/>
      <c r="AB267" s="505"/>
      <c r="AC267" s="505"/>
      <c r="AD267" s="505"/>
      <c r="AE267" s="505"/>
      <c r="AF267" s="505"/>
      <c r="AG267" s="505"/>
      <c r="AH267" s="505"/>
      <c r="AI267" s="506"/>
      <c r="AJ267" s="511"/>
      <c r="AK267" s="511"/>
      <c r="AL267" s="511"/>
      <c r="AM267" s="511"/>
      <c r="AN267" s="511"/>
      <c r="AO267" s="511"/>
      <c r="AP267" s="511"/>
      <c r="AQ267" s="511"/>
      <c r="AR267" s="511"/>
      <c r="AS267" s="511"/>
      <c r="AT267" s="511"/>
      <c r="AU267" s="511"/>
      <c r="AV267" s="511"/>
      <c r="AW267" s="511"/>
      <c r="AX267" s="511"/>
      <c r="AY267" s="511"/>
      <c r="AZ267" s="511"/>
      <c r="BA267" s="511"/>
      <c r="BB267" s="511"/>
      <c r="BC267" s="511"/>
      <c r="BD267" s="511"/>
      <c r="BE267" s="511"/>
      <c r="BF267" s="504"/>
      <c r="BG267" s="505"/>
      <c r="BH267" s="505"/>
      <c r="BI267" s="505"/>
      <c r="BJ267" s="505"/>
      <c r="BK267" s="505"/>
      <c r="BL267" s="505"/>
      <c r="BM267" s="505"/>
      <c r="BN267" s="505"/>
      <c r="BO267" s="505"/>
      <c r="BP267" s="506"/>
      <c r="BQ267" s="511"/>
      <c r="BR267" s="511"/>
      <c r="BS267" s="511"/>
      <c r="BT267" s="511"/>
      <c r="BU267" s="511"/>
      <c r="BV267" s="511"/>
      <c r="BY267" s="511"/>
      <c r="BZ267" s="511"/>
      <c r="CA267" s="511"/>
      <c r="CB267" s="511"/>
      <c r="CC267" s="511"/>
      <c r="CD267" s="511"/>
      <c r="CE267" s="511"/>
      <c r="CF267" s="511"/>
      <c r="CG267" s="511"/>
      <c r="CH267" s="511"/>
      <c r="CI267" s="511"/>
      <c r="CJ267" s="511"/>
      <c r="CK267" s="511"/>
      <c r="CL267" s="511"/>
      <c r="CM267" s="504"/>
      <c r="CN267" s="505"/>
      <c r="CO267" s="505"/>
      <c r="CP267" s="505"/>
      <c r="CQ267" s="505"/>
      <c r="CR267" s="505"/>
      <c r="CS267" s="505"/>
      <c r="CT267" s="505"/>
      <c r="CU267" s="505"/>
      <c r="CV267" s="505"/>
      <c r="CW267" s="506"/>
      <c r="CX267" s="511"/>
      <c r="CY267" s="511"/>
      <c r="CZ267" s="511"/>
      <c r="DA267" s="511"/>
      <c r="DB267" s="511"/>
      <c r="DC267" s="511"/>
      <c r="DD267" s="511"/>
      <c r="DE267" s="511"/>
      <c r="DF267" s="511"/>
      <c r="DG267" s="511"/>
      <c r="DH267" s="511"/>
      <c r="DI267" s="511"/>
      <c r="DJ267" s="511"/>
      <c r="DK267" s="511"/>
      <c r="DL267" s="511"/>
      <c r="DM267" s="511"/>
      <c r="DN267" s="511"/>
      <c r="DO267" s="511"/>
      <c r="DP267" s="511"/>
      <c r="DQ267" s="511"/>
      <c r="DR267" s="511"/>
      <c r="DS267" s="511"/>
      <c r="DT267" s="504"/>
      <c r="DV267" s="234"/>
      <c r="DW267" s="234"/>
      <c r="DX267" s="234"/>
      <c r="DY267" s="234"/>
      <c r="DZ267" s="234"/>
      <c r="EA267" s="234"/>
      <c r="EB267" s="234"/>
    </row>
    <row r="268" spans="2:132" ht="15" thickBot="1" x14ac:dyDescent="0.5"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AI268" s="234"/>
      <c r="AJ268" s="234"/>
      <c r="BS268" s="234"/>
      <c r="BT268" s="234"/>
      <c r="BY268" s="246"/>
      <c r="BZ268" s="246"/>
      <c r="CI268" s="246"/>
      <c r="CJ268" s="246"/>
      <c r="CK268" s="246"/>
      <c r="CL268" s="246"/>
      <c r="CM268" s="246"/>
      <c r="CN268" s="246"/>
      <c r="CO268" s="246"/>
      <c r="CP268" s="246"/>
      <c r="CQ268" s="246"/>
      <c r="CR268" s="246"/>
      <c r="CS268" s="246"/>
      <c r="CT268" s="246"/>
      <c r="CU268" s="246"/>
      <c r="CV268" s="246"/>
      <c r="CW268" s="246"/>
      <c r="CX268" s="246"/>
      <c r="CY268" s="246"/>
      <c r="CZ268" s="246"/>
      <c r="DA268" s="246"/>
      <c r="DB268" s="246"/>
      <c r="DC268" s="246"/>
      <c r="DD268" s="246"/>
      <c r="DE268" s="246"/>
      <c r="DF268" s="246"/>
      <c r="DG268" s="246"/>
      <c r="DH268" s="246"/>
      <c r="DI268" s="246"/>
      <c r="DJ268" s="246"/>
      <c r="DK268" s="246"/>
      <c r="DL268" s="246"/>
      <c r="DM268" s="246"/>
      <c r="DN268" s="246"/>
      <c r="DQ268" s="246"/>
      <c r="DR268" s="246"/>
      <c r="DS268" s="246"/>
      <c r="DT268" s="246"/>
      <c r="DV268" s="234"/>
      <c r="DW268" s="234"/>
      <c r="DX268" s="234"/>
      <c r="DY268" s="234"/>
      <c r="DZ268" s="234"/>
      <c r="EA268" s="234"/>
      <c r="EB268" s="234"/>
    </row>
    <row r="269" spans="2:132" ht="15" thickBot="1" x14ac:dyDescent="0.5">
      <c r="B269" s="521" t="s">
        <v>1421</v>
      </c>
      <c r="D269" s="509"/>
      <c r="E269" s="509"/>
      <c r="F269" s="509"/>
      <c r="G269" s="509"/>
      <c r="H269" s="509"/>
      <c r="I269" s="509"/>
      <c r="J269" s="509"/>
      <c r="K269" s="509"/>
      <c r="L269" s="509"/>
      <c r="M269" s="510"/>
      <c r="N269" s="507"/>
      <c r="O269" s="507"/>
      <c r="P269" s="507"/>
      <c r="Q269" s="507"/>
      <c r="R269" s="507"/>
      <c r="S269" s="507"/>
      <c r="T269" s="507"/>
      <c r="U269" s="507"/>
      <c r="V269" s="507"/>
      <c r="W269" s="507"/>
      <c r="X269" s="507"/>
      <c r="Y269" s="507"/>
      <c r="Z269" s="507"/>
      <c r="AA269" s="507"/>
      <c r="AB269" s="507"/>
      <c r="AC269" s="507"/>
      <c r="AD269" s="507"/>
      <c r="AE269" s="507"/>
      <c r="AF269" s="507"/>
      <c r="AG269" s="507"/>
      <c r="AH269" s="507"/>
      <c r="AI269" s="507"/>
      <c r="AJ269" s="508"/>
      <c r="AK269" s="509"/>
      <c r="AL269" s="509"/>
      <c r="AM269" s="509"/>
      <c r="AN269" s="509"/>
      <c r="AO269" s="509"/>
      <c r="AP269" s="509"/>
      <c r="AQ269" s="509"/>
      <c r="AR269" s="509"/>
      <c r="AS269" s="509"/>
      <c r="AT269" s="510"/>
      <c r="AU269" s="507"/>
      <c r="AV269" s="507"/>
      <c r="AW269" s="507"/>
      <c r="AX269" s="507"/>
      <c r="AY269" s="507"/>
      <c r="AZ269" s="507"/>
      <c r="BA269" s="507"/>
      <c r="BB269" s="507"/>
      <c r="BC269" s="507"/>
      <c r="BD269" s="507"/>
      <c r="BE269" s="507"/>
      <c r="BF269" s="507"/>
      <c r="BG269" s="507"/>
      <c r="BH269" s="507"/>
      <c r="BI269" s="507"/>
      <c r="BJ269" s="507"/>
      <c r="BK269" s="507"/>
      <c r="BL269" s="507"/>
      <c r="BM269" s="507"/>
      <c r="BN269" s="507"/>
      <c r="BO269" s="507"/>
      <c r="BP269" s="507"/>
      <c r="BQ269" s="508"/>
      <c r="BR269" s="509"/>
      <c r="BS269" s="509"/>
      <c r="BT269" s="509"/>
      <c r="BU269" s="509"/>
      <c r="BV269" s="509"/>
      <c r="BY269" s="509"/>
      <c r="BZ269" s="509"/>
      <c r="CA269" s="510"/>
      <c r="CB269" s="507"/>
      <c r="CC269" s="507"/>
      <c r="CD269" s="507"/>
      <c r="CE269" s="507"/>
      <c r="CF269" s="507"/>
      <c r="CG269" s="507"/>
      <c r="CH269" s="507"/>
      <c r="CI269" s="507"/>
      <c r="CJ269" s="507"/>
      <c r="CK269" s="507"/>
      <c r="CL269" s="507"/>
      <c r="CM269" s="507"/>
      <c r="CN269" s="507"/>
      <c r="CO269" s="507"/>
      <c r="CP269" s="507"/>
      <c r="CQ269" s="507"/>
      <c r="CR269" s="507"/>
      <c r="CS269" s="507"/>
      <c r="CT269" s="507"/>
      <c r="CU269" s="507"/>
      <c r="CV269" s="507"/>
      <c r="CW269" s="507"/>
      <c r="CX269" s="508"/>
      <c r="CY269" s="509"/>
      <c r="CZ269" s="509"/>
      <c r="DA269" s="509"/>
      <c r="DB269" s="509"/>
      <c r="DC269" s="509"/>
      <c r="DD269" s="509"/>
      <c r="DE269" s="509"/>
      <c r="DF269" s="509"/>
      <c r="DG269" s="509"/>
      <c r="DH269" s="510"/>
      <c r="DI269" s="507"/>
      <c r="DJ269" s="507"/>
      <c r="DK269" s="507"/>
      <c r="DL269" s="507"/>
      <c r="DM269" s="507"/>
      <c r="DN269" s="507"/>
      <c r="DO269" s="507"/>
      <c r="DP269" s="507"/>
      <c r="DQ269" s="507"/>
      <c r="DR269" s="507"/>
      <c r="DS269" s="507"/>
      <c r="DT269" s="507"/>
      <c r="DV269" s="234"/>
      <c r="DW269" s="234"/>
      <c r="DX269" s="234"/>
      <c r="DY269" s="234"/>
      <c r="DZ269" s="234"/>
      <c r="EA269" s="234"/>
      <c r="EB269" s="234"/>
    </row>
    <row r="270" spans="2:132" x14ac:dyDescent="0.45">
      <c r="BI270" s="234"/>
      <c r="BJ270" s="234"/>
      <c r="BK270" s="234"/>
      <c r="BL270" s="234"/>
      <c r="BM270" s="234"/>
      <c r="BN270" s="234"/>
      <c r="BO270" s="234"/>
      <c r="BP270" s="234"/>
      <c r="BQ270" s="234"/>
      <c r="BR270" s="234"/>
      <c r="BS270" s="234"/>
      <c r="BT270" s="234"/>
      <c r="BU270" s="234"/>
      <c r="BV270" s="234"/>
      <c r="BW270" s="234"/>
      <c r="BY270" s="246"/>
      <c r="BZ270" s="246"/>
      <c r="DV270" s="234"/>
      <c r="DW270" s="234"/>
      <c r="DX270" s="234"/>
      <c r="DY270" s="234"/>
      <c r="DZ270" s="234"/>
      <c r="EA270" s="234"/>
      <c r="EB270" s="234"/>
    </row>
    <row r="271" spans="2:132" x14ac:dyDescent="0.45">
      <c r="B271" s="623" t="s">
        <v>2650</v>
      </c>
      <c r="C271" s="615"/>
      <c r="D271" s="616"/>
      <c r="E271" s="616"/>
      <c r="F271" s="616"/>
      <c r="G271" s="616"/>
      <c r="H271" s="616"/>
      <c r="I271" s="616"/>
      <c r="J271" s="616"/>
      <c r="K271" s="616"/>
      <c r="L271" s="616"/>
      <c r="M271" s="616"/>
      <c r="N271" s="616"/>
      <c r="O271" s="616"/>
      <c r="P271" s="616"/>
      <c r="Q271" s="616"/>
      <c r="R271" s="616"/>
      <c r="S271" s="616"/>
      <c r="T271" s="616"/>
      <c r="U271" s="616"/>
      <c r="V271" s="616"/>
      <c r="W271" s="616"/>
      <c r="X271" s="616"/>
      <c r="Y271" s="616"/>
      <c r="Z271" s="616"/>
      <c r="AA271" s="616"/>
      <c r="AB271" s="616"/>
      <c r="AC271" s="616"/>
      <c r="AD271" s="616"/>
      <c r="AE271" s="616"/>
      <c r="AF271" s="616"/>
      <c r="AG271" s="616"/>
      <c r="AH271" s="616"/>
      <c r="AI271" s="616"/>
      <c r="AJ271" s="616"/>
      <c r="AK271" s="616"/>
      <c r="AL271" s="616"/>
      <c r="AM271" s="616"/>
      <c r="AN271" s="616"/>
      <c r="AO271" s="616"/>
      <c r="AP271" s="616"/>
      <c r="AQ271" s="616"/>
      <c r="AR271" s="616"/>
      <c r="AS271" s="616"/>
      <c r="AT271" s="616"/>
      <c r="AU271" s="616"/>
      <c r="AV271" s="616"/>
      <c r="AW271" s="616"/>
      <c r="AX271" s="616"/>
      <c r="AY271" s="616"/>
      <c r="AZ271" s="616"/>
      <c r="BA271" s="616"/>
      <c r="BB271" s="616"/>
      <c r="BC271" s="616"/>
      <c r="BD271" s="616"/>
      <c r="BE271" s="616"/>
      <c r="BF271" s="616"/>
      <c r="BG271" s="616"/>
      <c r="BH271" s="616"/>
      <c r="BI271" s="616"/>
      <c r="BJ271" s="616"/>
      <c r="BK271" s="616"/>
      <c r="BL271" s="616"/>
      <c r="BM271" s="616"/>
      <c r="BN271" s="616"/>
      <c r="BO271" s="616"/>
      <c r="BP271" s="616"/>
      <c r="BQ271" s="616"/>
      <c r="BR271" s="616"/>
      <c r="BS271" s="616"/>
      <c r="BT271" s="616"/>
      <c r="BU271" s="616"/>
      <c r="BV271" s="616"/>
      <c r="BW271" s="616"/>
      <c r="BX271" s="614"/>
      <c r="BY271" s="614"/>
      <c r="BZ271" s="614"/>
      <c r="CA271" s="614"/>
      <c r="CB271" s="614"/>
      <c r="CC271" s="614"/>
      <c r="CD271" s="614"/>
      <c r="CE271" s="614"/>
      <c r="CF271" s="614"/>
      <c r="CG271" s="614"/>
      <c r="CH271" s="614"/>
      <c r="CI271" s="614"/>
      <c r="CJ271" s="614"/>
      <c r="CK271" s="614"/>
      <c r="CL271" s="614"/>
      <c r="CM271" s="614"/>
      <c r="CN271" s="614"/>
      <c r="CO271" s="614"/>
      <c r="CP271" s="614"/>
      <c r="CQ271" s="614"/>
      <c r="CR271" s="614"/>
      <c r="CS271" s="614"/>
      <c r="CT271" s="614"/>
      <c r="CU271" s="614"/>
      <c r="CV271" s="614"/>
      <c r="CW271" s="614"/>
      <c r="CX271" s="614"/>
      <c r="CY271" s="614"/>
      <c r="CZ271" s="614"/>
      <c r="DA271" s="614"/>
      <c r="DB271" s="614"/>
      <c r="DC271" s="614"/>
      <c r="DD271" s="614"/>
      <c r="DE271" s="614"/>
      <c r="DF271" s="614"/>
      <c r="DG271" s="614"/>
      <c r="DH271" s="614"/>
      <c r="DI271" s="614"/>
      <c r="DJ271" s="614"/>
      <c r="DK271" s="614"/>
      <c r="DL271" s="614"/>
      <c r="DM271" s="614"/>
      <c r="DN271" s="614"/>
      <c r="DO271" s="614"/>
      <c r="DP271" s="614"/>
      <c r="DQ271" s="614"/>
      <c r="DR271" s="614"/>
      <c r="DS271" s="614"/>
      <c r="DT271" s="614"/>
      <c r="DV271" s="234"/>
      <c r="DW271" s="234"/>
      <c r="DX271" s="234"/>
      <c r="DY271" s="234"/>
      <c r="DZ271" s="234"/>
      <c r="EA271" s="234"/>
      <c r="EB271" s="234"/>
    </row>
    <row r="272" spans="2:132" x14ac:dyDescent="0.45">
      <c r="B272" s="521" t="s">
        <v>1431</v>
      </c>
      <c r="D272" s="247"/>
      <c r="E272" s="247"/>
      <c r="F272" s="247"/>
      <c r="G272" s="247"/>
      <c r="H272" s="247"/>
      <c r="I272" s="347"/>
      <c r="J272" s="348"/>
      <c r="K272" s="348"/>
      <c r="L272" s="348"/>
      <c r="M272" s="349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  <c r="AA272" s="256"/>
      <c r="AB272" s="256"/>
      <c r="AC272" s="256"/>
      <c r="AD272" s="256"/>
      <c r="AE272" s="256"/>
      <c r="AF272" s="256"/>
      <c r="AG272" s="256"/>
      <c r="AH272" s="256"/>
      <c r="AI272" s="256"/>
      <c r="AJ272" s="256"/>
      <c r="AK272" s="256"/>
      <c r="AL272" s="256"/>
      <c r="AM272" s="256"/>
      <c r="AN272" s="256"/>
      <c r="AO272" s="256"/>
      <c r="AP272" s="256"/>
      <c r="AQ272" s="256"/>
      <c r="AR272" s="256"/>
      <c r="AS272" s="256"/>
      <c r="AT272" s="256"/>
      <c r="AU272" s="256"/>
      <c r="AV272" s="256"/>
      <c r="AW272" s="256"/>
      <c r="AX272" s="256"/>
      <c r="AY272" s="256"/>
      <c r="AZ272" s="256"/>
      <c r="BA272" s="256"/>
      <c r="BB272" s="256"/>
      <c r="BC272" s="256"/>
      <c r="BD272" s="256"/>
      <c r="BE272" s="256"/>
      <c r="BF272" s="256"/>
      <c r="BG272" s="256"/>
      <c r="BH272" s="256"/>
      <c r="BI272" s="256"/>
      <c r="BJ272" s="256"/>
      <c r="BK272" s="256"/>
      <c r="BL272" s="256"/>
      <c r="BM272" s="256"/>
      <c r="BN272" s="256"/>
      <c r="BO272" s="256"/>
      <c r="BP272" s="256"/>
      <c r="BQ272" s="256"/>
      <c r="BR272" s="256"/>
      <c r="BS272" s="256"/>
      <c r="BT272" s="256"/>
      <c r="BU272" s="256"/>
      <c r="BV272" s="256"/>
      <c r="BW272" s="256"/>
      <c r="BX272" s="256"/>
      <c r="BY272" s="256"/>
      <c r="BZ272" s="256"/>
      <c r="CA272" s="256"/>
      <c r="CB272" s="256"/>
      <c r="CC272" s="256"/>
      <c r="CD272" s="256"/>
      <c r="CE272" s="256"/>
      <c r="CF272" s="256"/>
      <c r="CG272" s="256"/>
      <c r="CH272" s="256"/>
      <c r="CI272" s="256"/>
      <c r="CJ272" s="256"/>
      <c r="CK272" s="256"/>
      <c r="CL272" s="256"/>
      <c r="CM272" s="256"/>
      <c r="CN272" s="256"/>
      <c r="CO272" s="256"/>
      <c r="CP272" s="256"/>
      <c r="CQ272" s="256"/>
      <c r="CR272" s="256"/>
      <c r="CS272" s="256"/>
      <c r="CT272" s="256"/>
      <c r="CU272" s="256"/>
      <c r="CV272" s="256"/>
      <c r="CW272" s="256"/>
      <c r="CX272" s="256"/>
      <c r="CY272" s="256"/>
      <c r="CZ272" s="256"/>
      <c r="DA272" s="256"/>
      <c r="DB272" s="256"/>
      <c r="DC272" s="256"/>
      <c r="DD272" s="347"/>
      <c r="DE272" s="348"/>
      <c r="DF272" s="348"/>
      <c r="DG272" s="348"/>
      <c r="DH272" s="349"/>
      <c r="DI272" s="256"/>
      <c r="DJ272" s="256"/>
      <c r="DK272" s="256"/>
      <c r="DL272" s="256"/>
      <c r="DM272" s="256"/>
      <c r="DN272" s="256"/>
      <c r="DO272" s="256"/>
      <c r="DP272" s="256"/>
      <c r="DQ272" s="256"/>
      <c r="DR272" s="256"/>
      <c r="DS272" s="256"/>
      <c r="DT272" s="256"/>
      <c r="DV272" s="234"/>
      <c r="DW272" s="234"/>
      <c r="DX272" s="234"/>
      <c r="DY272" s="234"/>
      <c r="DZ272" s="234"/>
      <c r="EA272" s="234"/>
      <c r="EB272" s="234"/>
    </row>
    <row r="273" spans="2:132" x14ac:dyDescent="0.45">
      <c r="D273" s="248"/>
      <c r="E273" s="248"/>
      <c r="F273" s="248"/>
      <c r="G273" s="248"/>
      <c r="H273" s="248"/>
      <c r="I273" s="248"/>
      <c r="J273" s="248"/>
      <c r="K273" s="248"/>
      <c r="L273" s="248"/>
      <c r="M273" s="248"/>
      <c r="N273" s="257"/>
      <c r="O273" s="257"/>
      <c r="P273" s="257"/>
      <c r="Q273" s="257"/>
      <c r="R273" s="257"/>
      <c r="S273" s="257"/>
      <c r="T273" s="257"/>
      <c r="U273" s="257"/>
      <c r="V273" s="257"/>
      <c r="W273" s="257"/>
      <c r="X273" s="257"/>
      <c r="Y273" s="257"/>
      <c r="Z273" s="257"/>
      <c r="AA273" s="257"/>
      <c r="AB273" s="257"/>
      <c r="AC273" s="257"/>
      <c r="AD273" s="257"/>
      <c r="AE273" s="257"/>
      <c r="AF273" s="257"/>
      <c r="AG273" s="257"/>
      <c r="AH273" s="257"/>
      <c r="AI273" s="257"/>
      <c r="AJ273" s="257"/>
      <c r="AK273" s="257"/>
      <c r="AL273" s="257"/>
      <c r="AM273" s="257"/>
      <c r="AN273" s="257"/>
      <c r="AO273" s="257"/>
      <c r="AP273" s="257"/>
      <c r="AQ273" s="257"/>
      <c r="AR273" s="257"/>
      <c r="AS273" s="257"/>
      <c r="AT273" s="257"/>
      <c r="AU273" s="257"/>
      <c r="AV273" s="257"/>
      <c r="AW273" s="257"/>
      <c r="AX273" s="257"/>
      <c r="AY273" s="257"/>
      <c r="AZ273" s="257"/>
      <c r="BA273" s="257"/>
      <c r="BB273" s="257"/>
      <c r="BC273" s="257"/>
      <c r="BD273" s="257"/>
      <c r="BE273" s="257"/>
      <c r="BF273" s="257"/>
      <c r="BG273" s="257"/>
      <c r="BH273" s="257"/>
      <c r="BI273" s="257"/>
      <c r="BJ273" s="257"/>
      <c r="BK273" s="257"/>
      <c r="BL273" s="257"/>
      <c r="BM273" s="257"/>
      <c r="BN273" s="257"/>
      <c r="BO273" s="257"/>
      <c r="BP273" s="257"/>
      <c r="BQ273" s="257"/>
      <c r="BR273" s="257"/>
      <c r="BS273" s="257"/>
      <c r="BT273" s="257"/>
      <c r="BU273" s="257"/>
      <c r="BV273" s="257"/>
      <c r="BW273" s="257"/>
      <c r="BX273" s="257"/>
      <c r="BY273" s="257"/>
      <c r="BZ273" s="257"/>
      <c r="CA273" s="257"/>
      <c r="CB273" s="257"/>
      <c r="CC273" s="257"/>
      <c r="CD273" s="257"/>
      <c r="CE273" s="257"/>
      <c r="CF273" s="257"/>
      <c r="CG273" s="257"/>
      <c r="CH273" s="257"/>
      <c r="CI273" s="257"/>
      <c r="CJ273" s="257"/>
      <c r="CK273" s="257"/>
      <c r="CL273" s="257"/>
      <c r="CM273" s="257"/>
      <c r="CN273" s="257"/>
      <c r="CO273" s="257"/>
      <c r="CP273" s="257"/>
      <c r="CQ273" s="257"/>
      <c r="CR273" s="257"/>
      <c r="CS273" s="257"/>
      <c r="CT273" s="257"/>
      <c r="CU273" s="257"/>
      <c r="CV273" s="257"/>
      <c r="CW273" s="257"/>
      <c r="CX273" s="257"/>
      <c r="CY273" s="257"/>
      <c r="CZ273" s="257"/>
      <c r="DA273" s="257"/>
      <c r="DB273" s="257"/>
      <c r="DC273" s="257"/>
      <c r="DD273" s="257"/>
      <c r="DE273" s="257"/>
      <c r="DF273" s="257"/>
      <c r="DG273" s="257"/>
      <c r="DH273" s="257"/>
      <c r="DJ273" s="257"/>
      <c r="DL273" s="257"/>
      <c r="DN273" s="257"/>
      <c r="DO273" s="257"/>
      <c r="DP273" s="257"/>
      <c r="DQ273" s="257"/>
      <c r="DR273" s="257"/>
      <c r="DS273" s="257"/>
      <c r="DT273" s="257"/>
      <c r="DV273" s="234"/>
      <c r="DW273" s="234"/>
      <c r="DX273" s="234"/>
      <c r="DY273" s="234"/>
      <c r="DZ273" s="234"/>
      <c r="EA273" s="234"/>
      <c r="EB273" s="234"/>
    </row>
    <row r="274" spans="2:132" x14ac:dyDescent="0.45">
      <c r="B274" s="521" t="s">
        <v>2071</v>
      </c>
      <c r="D274" s="247"/>
      <c r="E274" s="247"/>
      <c r="F274" s="247"/>
      <c r="G274" s="247"/>
      <c r="H274" s="247"/>
      <c r="I274" s="885"/>
      <c r="J274" s="256"/>
      <c r="K274" s="256"/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  <c r="AA274" s="256"/>
      <c r="AB274" s="256"/>
      <c r="AC274" s="256"/>
      <c r="AD274" s="256"/>
      <c r="AE274" s="256"/>
      <c r="AF274" s="256"/>
      <c r="AG274" s="256"/>
      <c r="AH274" s="256"/>
      <c r="AI274" s="256"/>
      <c r="AJ274" s="256"/>
      <c r="AK274" s="256"/>
      <c r="AL274" s="256"/>
      <c r="AM274" s="256"/>
      <c r="AN274" s="256"/>
      <c r="AO274" s="256"/>
      <c r="AP274" s="256"/>
      <c r="AQ274" s="256"/>
      <c r="AR274" s="256"/>
      <c r="AS274" s="256"/>
      <c r="AT274" s="256"/>
      <c r="AU274" s="256"/>
      <c r="AV274" s="256"/>
      <c r="AW274" s="256"/>
      <c r="AX274" s="256"/>
      <c r="AY274" s="256"/>
      <c r="AZ274" s="256"/>
      <c r="BA274" s="256"/>
      <c r="BB274" s="256"/>
      <c r="BC274" s="256"/>
      <c r="BD274" s="256"/>
      <c r="BE274" s="256"/>
      <c r="BF274" s="256"/>
      <c r="BG274" s="256"/>
      <c r="BH274" s="256"/>
      <c r="BI274" s="256"/>
      <c r="BJ274" s="256"/>
      <c r="BK274" s="256"/>
      <c r="BL274" s="256"/>
      <c r="BM274" s="256"/>
      <c r="BN274" s="256"/>
      <c r="BO274" s="256"/>
      <c r="BP274" s="256"/>
      <c r="BQ274" s="256"/>
      <c r="BR274" s="256"/>
      <c r="BS274" s="256"/>
      <c r="BT274" s="256"/>
      <c r="BU274" s="256"/>
      <c r="BV274" s="256"/>
      <c r="BW274" s="256"/>
      <c r="BX274" s="256"/>
      <c r="BY274" s="256"/>
      <c r="BZ274" s="256"/>
      <c r="CA274" s="256"/>
      <c r="CB274" s="256"/>
      <c r="CC274" s="256"/>
      <c r="CD274" s="256"/>
      <c r="CE274" s="256"/>
      <c r="CF274" s="256"/>
      <c r="CG274" s="256"/>
      <c r="CH274" s="256"/>
      <c r="CI274" s="256"/>
      <c r="CJ274" s="256"/>
      <c r="CK274" s="256"/>
      <c r="CL274" s="256"/>
      <c r="CM274" s="256"/>
      <c r="CN274" s="256"/>
      <c r="CO274" s="256"/>
      <c r="CP274" s="256"/>
      <c r="CQ274" s="256"/>
      <c r="CR274" s="256"/>
      <c r="CS274" s="256"/>
      <c r="CT274" s="256"/>
      <c r="CU274" s="256"/>
      <c r="CV274" s="256"/>
      <c r="CW274" s="256"/>
      <c r="CX274" s="256"/>
      <c r="CY274" s="256"/>
      <c r="CZ274" s="256"/>
      <c r="DA274" s="256"/>
      <c r="DB274" s="256"/>
      <c r="DC274" s="256"/>
      <c r="DD274" s="256"/>
      <c r="DE274" s="885"/>
      <c r="DF274" s="256"/>
      <c r="DG274" s="256"/>
      <c r="DH274" s="256"/>
      <c r="DI274" s="260"/>
      <c r="DJ274" s="256"/>
      <c r="DK274" s="260"/>
      <c r="DL274" s="256"/>
      <c r="DM274" s="260"/>
      <c r="DN274" s="256"/>
      <c r="DO274" s="256"/>
      <c r="DP274" s="256"/>
      <c r="DQ274" s="256"/>
      <c r="DR274" s="256"/>
      <c r="DS274" s="256"/>
      <c r="DT274" s="256"/>
      <c r="DV274" s="234"/>
      <c r="DW274" s="234"/>
      <c r="DX274" s="234"/>
      <c r="DY274" s="234"/>
      <c r="DZ274" s="234"/>
      <c r="EA274" s="234"/>
      <c r="EB274" s="234"/>
    </row>
    <row r="275" spans="2:132" x14ac:dyDescent="0.45">
      <c r="W275" s="234"/>
      <c r="X275" s="234"/>
      <c r="CU275" s="246"/>
      <c r="CV275" s="246"/>
      <c r="CW275" s="246"/>
      <c r="CX275" s="246"/>
      <c r="CY275" s="246"/>
      <c r="CZ275" s="246"/>
      <c r="DA275" s="246"/>
      <c r="DB275" s="246"/>
      <c r="DC275" s="246"/>
      <c r="DD275" s="246"/>
      <c r="DE275" s="246"/>
      <c r="DF275" s="246"/>
      <c r="DG275" s="246"/>
      <c r="DV275" s="234"/>
      <c r="DW275" s="234"/>
      <c r="DX275" s="234"/>
      <c r="DY275" s="234"/>
      <c r="DZ275" s="234"/>
      <c r="EA275" s="234"/>
      <c r="EB275" s="234"/>
    </row>
    <row r="276" spans="2:132" x14ac:dyDescent="0.45">
      <c r="W276" s="234"/>
      <c r="X276" s="234"/>
      <c r="CU276" s="246"/>
      <c r="CV276" s="246"/>
      <c r="CW276" s="246"/>
      <c r="CX276" s="246"/>
      <c r="CY276" s="246"/>
      <c r="CZ276" s="246"/>
      <c r="DA276" s="246"/>
      <c r="DB276" s="246"/>
      <c r="DC276" s="246"/>
      <c r="DD276" s="246"/>
      <c r="DE276" s="246"/>
      <c r="DF276" s="246"/>
      <c r="DG276" s="246"/>
      <c r="DV276" s="234"/>
      <c r="DW276" s="234"/>
      <c r="DX276" s="234"/>
      <c r="DY276" s="234"/>
      <c r="DZ276" s="234"/>
      <c r="EA276" s="234"/>
      <c r="EB276" s="234"/>
    </row>
    <row r="277" spans="2:132" x14ac:dyDescent="0.45">
      <c r="W277" s="234"/>
      <c r="X277" s="234"/>
      <c r="CU277" s="246"/>
      <c r="CV277" s="246"/>
      <c r="CW277" s="246"/>
      <c r="CX277" s="246"/>
      <c r="CY277" s="246"/>
      <c r="CZ277" s="246"/>
      <c r="DA277" s="246"/>
      <c r="DB277" s="246"/>
      <c r="DC277" s="246"/>
      <c r="DD277" s="246"/>
      <c r="DE277" s="246"/>
      <c r="DF277" s="246"/>
      <c r="DG277" s="246"/>
      <c r="DV277" s="234"/>
      <c r="DW277" s="234"/>
      <c r="DX277" s="234"/>
      <c r="DY277" s="234"/>
      <c r="DZ277" s="234"/>
      <c r="EA277" s="234"/>
      <c r="EB277" s="234"/>
    </row>
    <row r="278" spans="2:132" x14ac:dyDescent="0.45">
      <c r="B278" s="521" t="s">
        <v>2057</v>
      </c>
      <c r="D278" s="249"/>
      <c r="E278" s="323"/>
      <c r="F278" s="247"/>
      <c r="G278" s="247"/>
      <c r="H278" s="247"/>
      <c r="I278" s="247"/>
      <c r="J278" s="1114" t="s">
        <v>2623</v>
      </c>
      <c r="K278" s="323"/>
      <c r="L278" s="247"/>
      <c r="M278" s="247"/>
      <c r="N278" s="882" t="s">
        <v>1292</v>
      </c>
      <c r="O278" s="249"/>
      <c r="P278" s="323"/>
      <c r="Q278" s="247"/>
      <c r="R278" s="247"/>
      <c r="S278" s="247"/>
      <c r="T278" s="247"/>
      <c r="U278" s="247"/>
      <c r="V278" s="247"/>
      <c r="W278" s="247"/>
      <c r="X278" s="247"/>
      <c r="Y278" s="882" t="s">
        <v>2058</v>
      </c>
      <c r="Z278" s="249"/>
      <c r="AA278" s="323"/>
      <c r="AB278" s="247"/>
      <c r="AC278" s="247"/>
      <c r="AD278" s="247"/>
      <c r="AE278" s="247"/>
      <c r="AF278" s="247"/>
      <c r="AG278" s="247"/>
      <c r="AH278" s="247"/>
      <c r="AI278" s="247"/>
      <c r="AJ278" s="882" t="s">
        <v>2060</v>
      </c>
      <c r="AK278" s="249"/>
      <c r="AL278" s="323"/>
      <c r="AM278" s="247"/>
      <c r="AN278" s="247"/>
      <c r="AO278" s="247"/>
      <c r="AP278" s="247"/>
      <c r="AQ278" s="247"/>
      <c r="AR278" s="247"/>
      <c r="AS278" s="247"/>
      <c r="AT278" s="247"/>
      <c r="AU278" s="882" t="s">
        <v>2066</v>
      </c>
      <c r="AV278" s="249"/>
      <c r="AW278" s="323"/>
      <c r="AX278" s="247"/>
      <c r="AY278" s="247"/>
      <c r="AZ278" s="247"/>
      <c r="BA278" s="247"/>
      <c r="BB278" s="247"/>
      <c r="BC278" s="247"/>
      <c r="BD278" s="247"/>
      <c r="BE278" s="247"/>
      <c r="BF278" s="882" t="s">
        <v>2062</v>
      </c>
      <c r="BG278" s="249"/>
      <c r="BH278" s="323"/>
      <c r="BI278" s="247"/>
      <c r="BJ278" s="247"/>
      <c r="BK278" s="247"/>
      <c r="BL278" s="247"/>
      <c r="BM278" s="247"/>
      <c r="BN278" s="247"/>
      <c r="BO278" s="247"/>
      <c r="BP278" s="247"/>
      <c r="BQ278" s="882" t="s">
        <v>2072</v>
      </c>
      <c r="BR278" s="249"/>
      <c r="BS278" s="323"/>
      <c r="BT278" s="247"/>
      <c r="BU278" s="247"/>
      <c r="BV278" s="247"/>
      <c r="BW278" s="247"/>
      <c r="BX278" s="247"/>
      <c r="BY278" s="247"/>
      <c r="BZ278" s="247"/>
      <c r="CA278" s="247"/>
      <c r="CB278" s="882" t="s">
        <v>2073</v>
      </c>
      <c r="CC278" s="249"/>
      <c r="CD278" s="323"/>
      <c r="CE278" s="247"/>
      <c r="CF278" s="247"/>
      <c r="CG278" s="247"/>
      <c r="CJ278" s="247"/>
      <c r="CK278" s="247"/>
      <c r="CL278" s="247"/>
      <c r="CM278" s="882" t="s">
        <v>2065</v>
      </c>
      <c r="CN278" s="249"/>
      <c r="CO278" s="323"/>
      <c r="CP278" s="247"/>
      <c r="CQ278" s="247"/>
      <c r="CR278" s="247"/>
      <c r="CS278" s="247"/>
      <c r="CT278" s="247"/>
      <c r="CU278" s="247"/>
      <c r="CV278" s="247"/>
      <c r="CW278" s="247"/>
      <c r="CX278" s="882" t="s">
        <v>2064</v>
      </c>
      <c r="CY278" s="249"/>
      <c r="CZ278" s="323"/>
      <c r="DA278" s="247"/>
      <c r="DB278" s="247"/>
      <c r="DC278" s="247"/>
      <c r="DD278" s="247"/>
      <c r="DE278" s="322"/>
      <c r="DF278" s="323"/>
      <c r="DG278" s="247"/>
      <c r="DH278" s="247"/>
      <c r="DI278" s="882" t="s">
        <v>1292</v>
      </c>
      <c r="DJ278" s="249"/>
      <c r="DK278" s="323"/>
      <c r="DL278" s="247"/>
      <c r="DM278" s="247"/>
      <c r="DN278" s="247"/>
      <c r="DO278" s="247"/>
      <c r="DP278" s="247"/>
      <c r="DQ278" s="247"/>
      <c r="DR278" s="247"/>
      <c r="DS278" s="247"/>
      <c r="DT278" s="882"/>
      <c r="DV278" s="234"/>
      <c r="DW278" s="234"/>
      <c r="DX278" s="234"/>
      <c r="DY278" s="234"/>
      <c r="DZ278" s="234"/>
      <c r="EA278" s="234"/>
      <c r="EB278" s="234"/>
    </row>
    <row r="279" spans="2:132" ht="15" thickBot="1" x14ac:dyDescent="0.5">
      <c r="W279" s="234"/>
      <c r="X279" s="234"/>
      <c r="BY279" s="246"/>
      <c r="BZ279" s="246"/>
      <c r="DG279" s="246"/>
      <c r="DH279" s="246"/>
      <c r="DI279" s="246"/>
      <c r="DJ279" s="246"/>
      <c r="DK279" s="246"/>
      <c r="DV279" s="234"/>
      <c r="DW279" s="234"/>
      <c r="DX279" s="234"/>
      <c r="DY279" s="234"/>
      <c r="DZ279" s="234"/>
      <c r="EA279" s="234"/>
      <c r="EB279" s="234"/>
    </row>
    <row r="280" spans="2:132" x14ac:dyDescent="0.45">
      <c r="B280" s="521" t="s">
        <v>1419</v>
      </c>
      <c r="D280" s="500"/>
      <c r="E280" s="500"/>
      <c r="F280" s="500"/>
      <c r="G280" s="500"/>
      <c r="H280" s="500"/>
      <c r="I280" s="500"/>
      <c r="J280" s="500"/>
      <c r="K280" s="500"/>
      <c r="L280" s="500"/>
      <c r="M280" s="500"/>
      <c r="N280" s="500"/>
      <c r="O280" s="500"/>
      <c r="P280" s="500"/>
      <c r="Q280" s="500"/>
      <c r="R280" s="500"/>
      <c r="S280" s="500"/>
      <c r="T280" s="500"/>
      <c r="U280" s="500"/>
      <c r="V280" s="500"/>
      <c r="W280" s="500"/>
      <c r="X280" s="500"/>
      <c r="Y280" s="500"/>
      <c r="Z280" s="500"/>
      <c r="AA280" s="500"/>
      <c r="AB280" s="500"/>
      <c r="AC280" s="500"/>
      <c r="AD280" s="500"/>
      <c r="AE280" s="500"/>
      <c r="AF280" s="500"/>
      <c r="AG280" s="500"/>
      <c r="AH280" s="500"/>
      <c r="AI280" s="500"/>
      <c r="AJ280" s="500"/>
      <c r="AK280" s="500"/>
      <c r="AL280" s="500"/>
      <c r="AM280" s="500"/>
      <c r="AN280" s="500"/>
      <c r="AO280" s="500"/>
      <c r="AP280" s="500"/>
      <c r="AQ280" s="500"/>
      <c r="AR280" s="500"/>
      <c r="AS280" s="500"/>
      <c r="AT280" s="500"/>
      <c r="AU280" s="500"/>
      <c r="AV280" s="500"/>
      <c r="AW280" s="500"/>
      <c r="AX280" s="500"/>
      <c r="AY280" s="500"/>
      <c r="AZ280" s="500"/>
      <c r="BA280" s="500"/>
      <c r="BB280" s="500"/>
      <c r="BC280" s="500"/>
      <c r="BD280" s="500"/>
      <c r="BE280" s="500"/>
      <c r="BF280" s="500"/>
      <c r="BG280" s="500"/>
      <c r="BH280" s="500"/>
      <c r="BI280" s="500"/>
      <c r="BJ280" s="500"/>
      <c r="BK280" s="500"/>
      <c r="BL280" s="500"/>
      <c r="BM280" s="500"/>
      <c r="BN280" s="500"/>
      <c r="BO280" s="500"/>
      <c r="BP280" s="500"/>
      <c r="BQ280" s="500"/>
      <c r="BR280" s="500"/>
      <c r="BS280" s="500"/>
      <c r="BT280" s="500"/>
      <c r="BU280" s="500"/>
      <c r="BV280" s="500"/>
      <c r="BW280" s="500"/>
      <c r="BX280" s="500"/>
      <c r="BY280" s="500"/>
      <c r="BZ280" s="500"/>
      <c r="CA280" s="500"/>
      <c r="CB280" s="500"/>
      <c r="CC280" s="500"/>
      <c r="CD280" s="500"/>
      <c r="CE280" s="500"/>
      <c r="CF280" s="500"/>
      <c r="CG280" s="500"/>
      <c r="CJ280" s="500"/>
      <c r="CK280" s="500"/>
      <c r="CL280" s="500"/>
      <c r="CM280" s="500"/>
      <c r="CN280" s="500"/>
      <c r="CO280" s="500"/>
      <c r="CP280" s="500"/>
      <c r="CQ280" s="500"/>
      <c r="CR280" s="500"/>
      <c r="CS280" s="500"/>
      <c r="CT280" s="500"/>
      <c r="CU280" s="500"/>
      <c r="CV280" s="500"/>
      <c r="CW280" s="500"/>
      <c r="CX280" s="500"/>
      <c r="CY280" s="500"/>
      <c r="CZ280" s="500"/>
      <c r="DA280" s="500"/>
      <c r="DB280" s="500"/>
      <c r="DC280" s="500"/>
      <c r="DD280" s="500"/>
      <c r="DE280" s="500"/>
      <c r="DF280" s="500"/>
      <c r="DG280" s="500"/>
      <c r="DH280" s="500"/>
      <c r="DI280" s="500"/>
      <c r="DJ280" s="500"/>
      <c r="DK280" s="500"/>
      <c r="DL280" s="500"/>
      <c r="DM280" s="500"/>
      <c r="DN280" s="500"/>
      <c r="DO280" s="500"/>
      <c r="DP280" s="500"/>
      <c r="DQ280" s="500"/>
      <c r="DR280" s="500"/>
      <c r="DS280" s="500"/>
      <c r="DT280" s="500"/>
      <c r="DV280" s="234"/>
      <c r="DW280" s="234"/>
      <c r="DX280" s="234"/>
      <c r="DY280" s="234"/>
      <c r="DZ280" s="234"/>
      <c r="EA280" s="234"/>
      <c r="EB280" s="234"/>
    </row>
    <row r="281" spans="2:132" ht="15" thickBot="1" x14ac:dyDescent="0.5"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AI281" s="234"/>
      <c r="AJ281" s="234"/>
      <c r="BS281" s="234"/>
      <c r="BT281" s="234"/>
      <c r="BU281" s="234"/>
      <c r="BV281" s="234"/>
      <c r="BY281" s="246"/>
      <c r="BZ281" s="246"/>
      <c r="CJ281" s="246"/>
      <c r="CK281" s="246"/>
      <c r="CL281" s="246"/>
      <c r="CM281" s="246"/>
      <c r="CN281" s="246"/>
      <c r="CO281" s="246"/>
      <c r="CP281" s="246"/>
      <c r="CQ281" s="246"/>
      <c r="CR281" s="246"/>
      <c r="CS281" s="246"/>
      <c r="CT281" s="246"/>
      <c r="CU281" s="246"/>
      <c r="CV281" s="246"/>
      <c r="CW281" s="246"/>
      <c r="CX281" s="246"/>
      <c r="CY281" s="246"/>
      <c r="CZ281" s="246"/>
      <c r="DA281" s="246"/>
      <c r="DB281" s="246"/>
      <c r="DC281" s="246"/>
      <c r="DD281" s="246"/>
      <c r="DE281" s="246"/>
      <c r="DF281" s="246"/>
      <c r="DG281" s="246"/>
      <c r="DH281" s="246"/>
      <c r="DI281" s="246"/>
      <c r="DJ281" s="246"/>
      <c r="DK281" s="246"/>
      <c r="DL281" s="246"/>
      <c r="DM281" s="246"/>
      <c r="DN281" s="246"/>
      <c r="DQ281" s="246"/>
      <c r="DR281" s="246"/>
      <c r="DS281" s="246"/>
      <c r="DT281" s="246"/>
      <c r="DV281" s="234"/>
      <c r="DW281" s="234"/>
      <c r="DX281" s="234"/>
      <c r="DY281" s="234"/>
      <c r="DZ281" s="234"/>
      <c r="EA281" s="234"/>
      <c r="EB281" s="234"/>
    </row>
    <row r="282" spans="2:132" ht="15" thickBot="1" x14ac:dyDescent="0.5">
      <c r="B282" s="521" t="s">
        <v>1420</v>
      </c>
      <c r="D282" s="511"/>
      <c r="E282" s="511"/>
      <c r="F282" s="511"/>
      <c r="G282" s="511"/>
      <c r="H282" s="511"/>
      <c r="I282" s="511"/>
      <c r="J282" s="511"/>
      <c r="K282" s="511"/>
      <c r="L282" s="511"/>
      <c r="M282" s="511"/>
      <c r="N282" s="504"/>
      <c r="O282" s="505"/>
      <c r="P282" s="505"/>
      <c r="Q282" s="505"/>
      <c r="R282" s="505"/>
      <c r="S282" s="505"/>
      <c r="T282" s="505"/>
      <c r="U282" s="505"/>
      <c r="V282" s="505"/>
      <c r="W282" s="505"/>
      <c r="X282" s="506"/>
      <c r="Y282" s="511"/>
      <c r="Z282" s="511"/>
      <c r="AA282" s="511"/>
      <c r="AB282" s="511"/>
      <c r="AC282" s="511"/>
      <c r="AD282" s="511"/>
      <c r="AE282" s="511"/>
      <c r="AF282" s="511"/>
      <c r="AG282" s="511"/>
      <c r="AH282" s="511"/>
      <c r="AI282" s="511"/>
      <c r="AJ282" s="504"/>
      <c r="AK282" s="505"/>
      <c r="AL282" s="505"/>
      <c r="AM282" s="505"/>
      <c r="AN282" s="505"/>
      <c r="AO282" s="505"/>
      <c r="AP282" s="505"/>
      <c r="AQ282" s="505"/>
      <c r="AR282" s="505"/>
      <c r="AS282" s="505"/>
      <c r="AT282" s="506"/>
      <c r="AU282" s="511"/>
      <c r="AV282" s="511"/>
      <c r="AW282" s="511"/>
      <c r="AX282" s="511"/>
      <c r="AY282" s="511"/>
      <c r="AZ282" s="511"/>
      <c r="BA282" s="511"/>
      <c r="BB282" s="511"/>
      <c r="BC282" s="511"/>
      <c r="BD282" s="511"/>
      <c r="BE282" s="511"/>
      <c r="BF282" s="504"/>
      <c r="BG282" s="505"/>
      <c r="BH282" s="505"/>
      <c r="BI282" s="505"/>
      <c r="BJ282" s="505"/>
      <c r="BK282" s="505"/>
      <c r="BL282" s="505"/>
      <c r="BM282" s="505"/>
      <c r="BN282" s="505"/>
      <c r="BO282" s="505"/>
      <c r="BP282" s="506"/>
      <c r="BQ282" s="511"/>
      <c r="BR282" s="511"/>
      <c r="BS282" s="511"/>
      <c r="BT282" s="511"/>
      <c r="BU282" s="511"/>
      <c r="BV282" s="511"/>
      <c r="BW282" s="511"/>
      <c r="BX282" s="511"/>
      <c r="BY282" s="511"/>
      <c r="BZ282" s="511"/>
      <c r="CA282" s="511"/>
      <c r="CB282" s="504"/>
      <c r="CC282" s="505"/>
      <c r="CD282" s="505"/>
      <c r="CE282" s="505"/>
      <c r="CF282" s="505"/>
      <c r="CG282" s="505"/>
      <c r="CJ282" s="511"/>
      <c r="CK282" s="511"/>
      <c r="CL282" s="511"/>
      <c r="CM282" s="504"/>
      <c r="CN282" s="505"/>
      <c r="CO282" s="505"/>
      <c r="CP282" s="505"/>
      <c r="CQ282" s="505"/>
      <c r="CR282" s="505"/>
      <c r="CS282" s="505"/>
      <c r="CT282" s="505"/>
      <c r="CU282" s="505"/>
      <c r="CV282" s="505"/>
      <c r="CW282" s="506"/>
      <c r="CX282" s="511"/>
      <c r="CY282" s="511"/>
      <c r="CZ282" s="511"/>
      <c r="DA282" s="511"/>
      <c r="DB282" s="511"/>
      <c r="DC282" s="511"/>
      <c r="DD282" s="511"/>
      <c r="DE282" s="511"/>
      <c r="DF282" s="511"/>
      <c r="DG282" s="511"/>
      <c r="DH282" s="511"/>
      <c r="DI282" s="504"/>
      <c r="DJ282" s="505"/>
      <c r="DK282" s="505"/>
      <c r="DL282" s="505"/>
      <c r="DM282" s="505"/>
      <c r="DN282" s="505"/>
      <c r="DO282" s="505"/>
      <c r="DP282" s="505"/>
      <c r="DQ282" s="505"/>
      <c r="DR282" s="505"/>
      <c r="DS282" s="506"/>
      <c r="DT282" s="511"/>
      <c r="DV282" s="234"/>
      <c r="DW282" s="234"/>
      <c r="DX282" s="234"/>
      <c r="DY282" s="234"/>
      <c r="DZ282" s="234"/>
      <c r="EA282" s="234"/>
      <c r="EB282" s="234"/>
    </row>
    <row r="283" spans="2:132" ht="15" thickBot="1" x14ac:dyDescent="0.5"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AI283" s="234"/>
      <c r="AJ283" s="234"/>
      <c r="BS283" s="234"/>
      <c r="BT283" s="234"/>
      <c r="BU283" s="234"/>
      <c r="BV283" s="234"/>
      <c r="BW283" s="234"/>
      <c r="BY283" s="246"/>
      <c r="BZ283" s="246"/>
      <c r="CJ283" s="246"/>
      <c r="CK283" s="246"/>
      <c r="CL283" s="246"/>
      <c r="CM283" s="246"/>
      <c r="CN283" s="246"/>
      <c r="CO283" s="246"/>
      <c r="CP283" s="246"/>
      <c r="CQ283" s="246"/>
      <c r="CR283" s="246"/>
      <c r="CS283" s="246"/>
      <c r="CT283" s="246"/>
      <c r="CU283" s="246"/>
      <c r="CV283" s="246"/>
      <c r="CW283" s="246"/>
      <c r="CX283" s="246"/>
      <c r="CY283" s="246"/>
      <c r="CZ283" s="246"/>
      <c r="DA283" s="246"/>
      <c r="DB283" s="246"/>
      <c r="DC283" s="246"/>
      <c r="DD283" s="246"/>
      <c r="DE283" s="246"/>
      <c r="DF283" s="246"/>
      <c r="DG283" s="246"/>
      <c r="DH283" s="246"/>
      <c r="DI283" s="246"/>
      <c r="DJ283" s="246"/>
      <c r="DK283" s="246"/>
      <c r="DL283" s="246"/>
      <c r="DM283" s="246"/>
      <c r="DN283" s="246"/>
      <c r="DQ283" s="246"/>
      <c r="DR283" s="246"/>
      <c r="DS283" s="246"/>
      <c r="DT283" s="246"/>
      <c r="DV283" s="234"/>
      <c r="DW283" s="234"/>
      <c r="DX283" s="234"/>
      <c r="DY283" s="234"/>
      <c r="DZ283" s="234"/>
      <c r="EA283" s="234"/>
      <c r="EB283" s="234"/>
    </row>
    <row r="284" spans="2:132" ht="15" thickBot="1" x14ac:dyDescent="0.5">
      <c r="B284" s="521" t="s">
        <v>1421</v>
      </c>
      <c r="D284" s="509"/>
      <c r="E284" s="509"/>
      <c r="F284" s="509"/>
      <c r="G284" s="509"/>
      <c r="H284" s="509"/>
      <c r="I284" s="509"/>
      <c r="J284" s="509"/>
      <c r="K284" s="509"/>
      <c r="L284" s="509"/>
      <c r="M284" s="510"/>
      <c r="N284" s="507"/>
      <c r="O284" s="507"/>
      <c r="P284" s="507"/>
      <c r="Q284" s="507"/>
      <c r="R284" s="507"/>
      <c r="S284" s="507"/>
      <c r="T284" s="507"/>
      <c r="U284" s="507"/>
      <c r="V284" s="507"/>
      <c r="W284" s="507"/>
      <c r="X284" s="507"/>
      <c r="Y284" s="508"/>
      <c r="Z284" s="509"/>
      <c r="AA284" s="509"/>
      <c r="AB284" s="509"/>
      <c r="AC284" s="509"/>
      <c r="AD284" s="509"/>
      <c r="AE284" s="509"/>
      <c r="AF284" s="509"/>
      <c r="AG284" s="509"/>
      <c r="AH284" s="509"/>
      <c r="AI284" s="510"/>
      <c r="AJ284" s="507"/>
      <c r="AK284" s="507"/>
      <c r="AL284" s="507"/>
      <c r="AM284" s="507"/>
      <c r="AN284" s="507"/>
      <c r="AO284" s="507"/>
      <c r="AP284" s="507"/>
      <c r="AQ284" s="507"/>
      <c r="AR284" s="507"/>
      <c r="AS284" s="507"/>
      <c r="AT284" s="507"/>
      <c r="AU284" s="508"/>
      <c r="AV284" s="509"/>
      <c r="AW284" s="509"/>
      <c r="AX284" s="509"/>
      <c r="AY284" s="509"/>
      <c r="AZ284" s="509"/>
      <c r="BA284" s="509"/>
      <c r="BB284" s="509"/>
      <c r="BC284" s="509"/>
      <c r="BD284" s="509"/>
      <c r="BE284" s="510"/>
      <c r="BF284" s="507"/>
      <c r="BG284" s="507"/>
      <c r="BH284" s="507"/>
      <c r="BI284" s="507"/>
      <c r="BJ284" s="507"/>
      <c r="BK284" s="507"/>
      <c r="BL284" s="507"/>
      <c r="BM284" s="507"/>
      <c r="BN284" s="507"/>
      <c r="BO284" s="507"/>
      <c r="BP284" s="507"/>
      <c r="BQ284" s="508"/>
      <c r="BR284" s="509"/>
      <c r="BS284" s="509"/>
      <c r="BT284" s="509"/>
      <c r="BU284" s="509"/>
      <c r="BV284" s="509"/>
      <c r="BW284" s="509"/>
      <c r="BX284" s="509"/>
      <c r="BY284" s="509"/>
      <c r="BZ284" s="509"/>
      <c r="CA284" s="510"/>
      <c r="CB284" s="507"/>
      <c r="CC284" s="507"/>
      <c r="CD284" s="507"/>
      <c r="CE284" s="507"/>
      <c r="CF284" s="507"/>
      <c r="CG284" s="507"/>
      <c r="CJ284" s="509"/>
      <c r="CK284" s="509"/>
      <c r="CL284" s="509"/>
      <c r="CM284" s="886"/>
      <c r="CN284" s="507"/>
      <c r="CO284" s="507"/>
      <c r="CP284" s="507"/>
      <c r="CQ284" s="507"/>
      <c r="CR284" s="507"/>
      <c r="CS284" s="507"/>
      <c r="CT284" s="507"/>
      <c r="CU284" s="507"/>
      <c r="CV284" s="507"/>
      <c r="CW284" s="507"/>
      <c r="CX284" s="508"/>
      <c r="CY284" s="509"/>
      <c r="CZ284" s="509"/>
      <c r="DA284" s="509"/>
      <c r="DB284" s="509"/>
      <c r="DC284" s="509"/>
      <c r="DD284" s="509"/>
      <c r="DE284" s="509"/>
      <c r="DF284" s="509"/>
      <c r="DG284" s="509"/>
      <c r="DH284" s="510"/>
      <c r="DI284" s="886"/>
      <c r="DJ284" s="507"/>
      <c r="DK284" s="507"/>
      <c r="DL284" s="507"/>
      <c r="DM284" s="507"/>
      <c r="DN284" s="507"/>
      <c r="DO284" s="507"/>
      <c r="DP284" s="507"/>
      <c r="DQ284" s="507"/>
      <c r="DR284" s="507"/>
      <c r="DS284" s="507"/>
      <c r="DT284" s="508"/>
      <c r="DV284" s="234"/>
      <c r="DW284" s="234"/>
      <c r="DX284" s="234"/>
      <c r="DY284" s="234"/>
      <c r="DZ284" s="234"/>
      <c r="EA284" s="234"/>
      <c r="EB284" s="234"/>
    </row>
    <row r="285" spans="2:132" x14ac:dyDescent="0.45">
      <c r="BY285" s="246"/>
      <c r="BZ285" s="246"/>
      <c r="DV285" s="234"/>
      <c r="DW285" s="234"/>
      <c r="DX285" s="234"/>
      <c r="DY285" s="234"/>
      <c r="DZ285" s="234"/>
      <c r="EA285" s="234"/>
      <c r="EB285" s="234"/>
    </row>
    <row r="286" spans="2:132" x14ac:dyDescent="0.45">
      <c r="BY286" s="246"/>
      <c r="BZ286" s="246"/>
      <c r="DV286" s="234"/>
      <c r="DW286" s="234"/>
      <c r="DX286" s="234"/>
      <c r="DY286" s="234"/>
      <c r="DZ286" s="234"/>
      <c r="EA286" s="234"/>
      <c r="EB286" s="234"/>
    </row>
    <row r="287" spans="2:132" x14ac:dyDescent="0.45">
      <c r="BY287" s="246"/>
      <c r="BZ287" s="246"/>
      <c r="DV287" s="234"/>
      <c r="DW287" s="234"/>
      <c r="DX287" s="234"/>
      <c r="DY287" s="234"/>
      <c r="DZ287" s="234"/>
      <c r="EA287" s="234"/>
      <c r="EB287" s="234"/>
    </row>
    <row r="288" spans="2:132" x14ac:dyDescent="0.45">
      <c r="BY288" s="246"/>
      <c r="BZ288" s="246"/>
      <c r="DV288" s="234"/>
      <c r="DW288" s="234"/>
      <c r="DX288" s="234"/>
      <c r="DY288" s="234"/>
      <c r="DZ288" s="234"/>
      <c r="EA288" s="234"/>
      <c r="EB288" s="234"/>
    </row>
    <row r="289" spans="2:132" x14ac:dyDescent="0.45">
      <c r="BY289" s="246"/>
      <c r="BZ289" s="246"/>
      <c r="DV289" s="234"/>
      <c r="DW289" s="234"/>
      <c r="DX289" s="234"/>
      <c r="DY289" s="234"/>
      <c r="DZ289" s="234"/>
      <c r="EA289" s="234"/>
      <c r="EB289" s="234"/>
    </row>
    <row r="290" spans="2:132" x14ac:dyDescent="0.45">
      <c r="B290" s="623" t="s">
        <v>2649</v>
      </c>
      <c r="C290" s="615"/>
      <c r="D290" s="616"/>
      <c r="E290" s="616"/>
      <c r="F290" s="616"/>
      <c r="G290" s="616"/>
      <c r="H290" s="616"/>
      <c r="I290" s="616"/>
      <c r="J290" s="616"/>
      <c r="K290" s="616"/>
      <c r="L290" s="616"/>
      <c r="M290" s="616"/>
      <c r="N290" s="616"/>
      <c r="O290" s="616"/>
      <c r="P290" s="616"/>
      <c r="Q290" s="616"/>
      <c r="R290" s="616"/>
      <c r="S290" s="616"/>
      <c r="T290" s="616"/>
      <c r="U290" s="616"/>
      <c r="V290" s="616"/>
      <c r="W290" s="616"/>
      <c r="X290" s="616"/>
      <c r="Y290" s="616"/>
      <c r="Z290" s="616"/>
      <c r="AA290" s="616"/>
      <c r="AB290" s="616"/>
      <c r="AC290" s="616"/>
      <c r="AD290" s="616"/>
      <c r="AE290" s="616"/>
      <c r="AF290" s="616"/>
      <c r="AG290" s="616"/>
      <c r="AH290" s="616"/>
      <c r="AI290" s="616"/>
      <c r="AJ290" s="616"/>
      <c r="AK290" s="616"/>
      <c r="AL290" s="616"/>
      <c r="AM290" s="616"/>
      <c r="AN290" s="616"/>
      <c r="AO290" s="616"/>
      <c r="AP290" s="616"/>
      <c r="AQ290" s="616"/>
      <c r="AR290" s="616"/>
      <c r="AS290" s="616"/>
      <c r="AT290" s="616"/>
      <c r="AU290" s="616"/>
      <c r="AV290" s="616"/>
      <c r="AW290" s="616"/>
      <c r="AX290" s="616"/>
      <c r="AY290" s="616"/>
      <c r="AZ290" s="616"/>
      <c r="BA290" s="616"/>
      <c r="BB290" s="616"/>
      <c r="BC290" s="616"/>
      <c r="BD290" s="616"/>
      <c r="BE290" s="616"/>
      <c r="BF290" s="616"/>
      <c r="BG290" s="616"/>
      <c r="BH290" s="616"/>
      <c r="BI290" s="616"/>
      <c r="BJ290" s="616"/>
      <c r="BK290" s="616"/>
      <c r="BL290" s="616"/>
      <c r="BM290" s="616"/>
      <c r="BN290" s="616"/>
      <c r="BO290" s="616"/>
      <c r="BP290" s="616"/>
      <c r="BQ290" s="616"/>
      <c r="BR290" s="616"/>
      <c r="BS290" s="616"/>
      <c r="BT290" s="616"/>
      <c r="BU290" s="616"/>
      <c r="BV290" s="616"/>
      <c r="BW290" s="616"/>
      <c r="BX290" s="614"/>
      <c r="BY290" s="614"/>
      <c r="BZ290" s="614"/>
      <c r="CA290" s="614"/>
      <c r="CB290" s="614"/>
      <c r="CC290" s="614"/>
      <c r="CD290" s="614"/>
      <c r="CE290" s="614"/>
      <c r="CF290" s="614"/>
      <c r="CG290" s="614"/>
      <c r="CH290" s="614"/>
      <c r="CI290" s="614"/>
      <c r="CJ290" s="614"/>
      <c r="CK290" s="614"/>
      <c r="CL290" s="614"/>
      <c r="CM290" s="614"/>
      <c r="CN290" s="614"/>
      <c r="CO290" s="614"/>
      <c r="CP290" s="614"/>
      <c r="CQ290" s="614"/>
      <c r="CR290" s="614"/>
      <c r="CS290" s="614"/>
      <c r="CT290" s="614"/>
      <c r="CU290" s="614"/>
      <c r="CV290" s="614"/>
      <c r="CW290" s="614"/>
      <c r="CX290" s="614"/>
      <c r="CY290" s="614"/>
      <c r="CZ290" s="614"/>
      <c r="DA290" s="614"/>
      <c r="DB290" s="614"/>
      <c r="DC290" s="614"/>
      <c r="DD290" s="614"/>
      <c r="DE290" s="614"/>
      <c r="DF290" s="614"/>
      <c r="DG290" s="614"/>
      <c r="DH290" s="614"/>
      <c r="DI290" s="614"/>
      <c r="DJ290" s="614"/>
      <c r="DK290" s="614"/>
      <c r="DL290" s="614"/>
      <c r="DM290" s="614"/>
      <c r="DN290" s="614"/>
      <c r="DO290" s="614"/>
      <c r="DP290" s="614"/>
      <c r="DQ290" s="614"/>
      <c r="DR290" s="614"/>
      <c r="DS290" s="614"/>
      <c r="DT290" s="614"/>
      <c r="DV290" s="234"/>
      <c r="DW290" s="234"/>
      <c r="DX290" s="234"/>
      <c r="DY290" s="234"/>
      <c r="DZ290" s="234"/>
      <c r="EA290" s="234"/>
      <c r="EB290" s="234"/>
    </row>
    <row r="291" spans="2:132" x14ac:dyDescent="0.45">
      <c r="B291" s="521" t="s">
        <v>1431</v>
      </c>
      <c r="D291" s="247"/>
      <c r="E291" s="247"/>
      <c r="F291" s="347"/>
      <c r="G291" s="348"/>
      <c r="H291" s="348"/>
      <c r="I291" s="348"/>
      <c r="J291" s="348"/>
      <c r="K291" s="348"/>
      <c r="L291" s="348"/>
      <c r="M291" s="348"/>
      <c r="N291" s="348"/>
      <c r="O291" s="349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  <c r="AA291" s="256"/>
      <c r="AB291" s="256"/>
      <c r="AC291" s="256"/>
      <c r="AD291" s="256"/>
      <c r="AE291" s="256"/>
      <c r="AF291" s="256"/>
      <c r="AG291" s="256"/>
      <c r="AH291" s="256"/>
      <c r="AI291" s="256"/>
      <c r="AJ291" s="256"/>
      <c r="AK291" s="256"/>
      <c r="AL291" s="256"/>
      <c r="AM291" s="256"/>
      <c r="AN291" s="256"/>
      <c r="AO291" s="256"/>
      <c r="AP291" s="256"/>
      <c r="AQ291" s="256"/>
      <c r="AR291" s="256"/>
      <c r="AS291" s="256"/>
      <c r="AT291" s="256"/>
      <c r="AU291" s="256"/>
      <c r="AV291" s="256"/>
      <c r="AW291" s="256"/>
      <c r="AX291" s="256"/>
      <c r="AY291" s="256"/>
      <c r="AZ291" s="256"/>
      <c r="BA291" s="256"/>
      <c r="BB291" s="256"/>
      <c r="BC291" s="256"/>
      <c r="BD291" s="256"/>
      <c r="BE291" s="256"/>
      <c r="BF291" s="256"/>
      <c r="BG291" s="256"/>
      <c r="BH291" s="256"/>
      <c r="BI291" s="256"/>
      <c r="BJ291" s="256"/>
      <c r="BK291" s="256"/>
      <c r="BL291" s="256"/>
      <c r="BM291" s="256"/>
      <c r="BN291" s="256"/>
      <c r="BO291" s="256"/>
      <c r="BP291" s="256"/>
      <c r="BQ291" s="256"/>
      <c r="BR291" s="256"/>
      <c r="BS291" s="256"/>
      <c r="BT291" s="256"/>
      <c r="BU291" s="256"/>
      <c r="BV291" s="256"/>
      <c r="BW291" s="256"/>
      <c r="BX291" s="256"/>
      <c r="BY291" s="256"/>
      <c r="BZ291" s="256"/>
      <c r="CA291" s="256"/>
      <c r="CB291" s="256"/>
      <c r="CC291" s="256"/>
      <c r="CD291" s="256"/>
      <c r="CE291" s="256"/>
      <c r="CF291" s="256"/>
      <c r="CG291" s="256"/>
      <c r="CH291" s="256"/>
      <c r="CI291" s="256"/>
      <c r="CJ291" s="256"/>
      <c r="CK291" s="256"/>
      <c r="CL291" s="256"/>
      <c r="CM291" s="256"/>
      <c r="CN291" s="256"/>
      <c r="CO291" s="256"/>
      <c r="CP291" s="256"/>
      <c r="CQ291" s="256"/>
      <c r="CR291" s="256"/>
      <c r="CS291" s="256"/>
      <c r="CT291" s="256"/>
      <c r="CU291" s="256"/>
      <c r="CV291" s="256"/>
      <c r="CW291" s="256"/>
      <c r="CX291" s="256"/>
      <c r="CY291" s="256"/>
      <c r="CZ291" s="256"/>
      <c r="DA291" s="256"/>
      <c r="DB291" s="256"/>
      <c r="DC291" s="256"/>
      <c r="DD291" s="256"/>
      <c r="DE291" s="256"/>
      <c r="DF291" s="256"/>
      <c r="DG291" s="256"/>
      <c r="DH291" s="256"/>
      <c r="DI291" s="256"/>
      <c r="DJ291" s="256"/>
      <c r="DK291" s="256"/>
      <c r="DL291" s="256"/>
      <c r="DM291" s="256"/>
      <c r="DN291" s="256"/>
      <c r="DO291" s="256"/>
      <c r="DP291" s="256"/>
      <c r="DQ291" s="256"/>
      <c r="DR291" s="256"/>
      <c r="DS291" s="256"/>
      <c r="DT291" s="256"/>
      <c r="DV291" s="234"/>
      <c r="DW291" s="234"/>
      <c r="DX291" s="234"/>
      <c r="DY291" s="234"/>
      <c r="DZ291" s="234"/>
      <c r="EA291" s="234"/>
      <c r="EB291" s="234"/>
    </row>
    <row r="292" spans="2:132" ht="7" customHeight="1" x14ac:dyDescent="0.45">
      <c r="B292" s="554"/>
      <c r="D292" s="248"/>
      <c r="E292" s="248"/>
      <c r="F292" s="248"/>
      <c r="G292" s="248"/>
      <c r="H292" s="248"/>
      <c r="I292" s="248"/>
      <c r="J292" s="257"/>
      <c r="K292" s="257"/>
      <c r="L292" s="257"/>
      <c r="M292" s="257"/>
      <c r="N292" s="257"/>
      <c r="O292" s="257"/>
      <c r="P292" s="257"/>
      <c r="Q292" s="257"/>
      <c r="R292" s="257"/>
      <c r="S292" s="257"/>
      <c r="T292" s="257"/>
      <c r="U292" s="257"/>
      <c r="V292" s="257"/>
      <c r="W292" s="257"/>
      <c r="X292" s="257"/>
      <c r="Y292" s="257"/>
      <c r="Z292" s="257"/>
      <c r="AA292" s="257"/>
      <c r="AB292" s="257"/>
      <c r="AC292" s="257"/>
      <c r="AD292" s="257"/>
      <c r="AE292" s="257"/>
      <c r="AF292" s="257"/>
      <c r="AG292" s="257"/>
      <c r="AH292" s="257"/>
      <c r="AI292" s="257"/>
      <c r="AJ292" s="257"/>
      <c r="AK292" s="257"/>
      <c r="AL292" s="257"/>
      <c r="AM292" s="257"/>
      <c r="AN292" s="257"/>
      <c r="AO292" s="257"/>
      <c r="AP292" s="257"/>
      <c r="AQ292" s="257"/>
      <c r="AR292" s="257"/>
      <c r="AS292" s="257"/>
      <c r="AT292" s="257"/>
      <c r="AU292" s="257"/>
      <c r="AV292" s="257"/>
      <c r="AW292" s="257"/>
      <c r="AX292" s="257"/>
      <c r="AY292" s="257"/>
      <c r="AZ292" s="257"/>
      <c r="BA292" s="257"/>
      <c r="BB292" s="257"/>
      <c r="BC292" s="257"/>
      <c r="BD292" s="257"/>
      <c r="BE292" s="257"/>
      <c r="BF292" s="257"/>
      <c r="BG292" s="257"/>
      <c r="BH292" s="257"/>
      <c r="BI292" s="257"/>
      <c r="BJ292" s="257"/>
      <c r="BK292" s="257"/>
      <c r="BL292" s="257"/>
      <c r="BM292" s="257"/>
      <c r="BN292" s="257"/>
      <c r="BO292" s="257"/>
      <c r="BP292" s="257"/>
      <c r="BQ292" s="257"/>
      <c r="BR292" s="257"/>
      <c r="BS292" s="257"/>
      <c r="BT292" s="257"/>
      <c r="BU292" s="257"/>
      <c r="BV292" s="257"/>
      <c r="BW292" s="257"/>
      <c r="BX292" s="257"/>
      <c r="BY292" s="257"/>
      <c r="BZ292" s="257"/>
      <c r="CA292" s="257"/>
      <c r="CB292" s="257"/>
      <c r="CC292" s="257"/>
      <c r="CD292" s="257"/>
      <c r="CE292" s="257"/>
      <c r="CF292" s="257"/>
      <c r="CG292" s="257"/>
      <c r="CH292" s="257"/>
      <c r="CI292" s="257"/>
      <c r="CJ292" s="257"/>
      <c r="CK292" s="257"/>
      <c r="CL292" s="257"/>
      <c r="CM292" s="257"/>
      <c r="CN292" s="257"/>
      <c r="CO292" s="257"/>
      <c r="CP292" s="257"/>
      <c r="CQ292" s="257"/>
      <c r="CR292" s="257"/>
      <c r="CS292" s="257"/>
      <c r="CT292" s="257"/>
      <c r="CU292" s="257"/>
      <c r="CV292" s="257"/>
      <c r="CW292" s="257"/>
      <c r="CX292" s="257"/>
      <c r="CY292" s="257"/>
      <c r="CZ292" s="257"/>
      <c r="DA292" s="257"/>
      <c r="DB292" s="257"/>
      <c r="DC292" s="257"/>
      <c r="DD292" s="257"/>
      <c r="DE292" s="257"/>
      <c r="DF292" s="257"/>
      <c r="DG292" s="257"/>
      <c r="DH292" s="257"/>
      <c r="DI292" s="257"/>
      <c r="DJ292" s="257"/>
      <c r="DK292" s="257"/>
      <c r="DL292" s="257"/>
      <c r="DM292" s="257"/>
      <c r="DN292" s="257"/>
      <c r="DO292" s="257"/>
      <c r="DP292" s="257"/>
      <c r="DQ292" s="257"/>
      <c r="DR292" s="257"/>
      <c r="DS292" s="257"/>
      <c r="DT292" s="257"/>
      <c r="DV292" s="234"/>
      <c r="DW292" s="234"/>
      <c r="DX292" s="234"/>
      <c r="DY292" s="234"/>
      <c r="DZ292" s="234"/>
      <c r="EA292" s="234"/>
      <c r="EB292" s="234"/>
    </row>
    <row r="293" spans="2:132" ht="7" customHeight="1" x14ac:dyDescent="0.45">
      <c r="B293" s="521" t="s">
        <v>2090</v>
      </c>
      <c r="D293" s="247"/>
      <c r="E293" s="247"/>
      <c r="F293" s="890"/>
      <c r="G293" s="891"/>
      <c r="H293" s="891"/>
      <c r="I293" s="891"/>
      <c r="J293" s="891"/>
      <c r="K293" s="891"/>
      <c r="L293" s="348"/>
      <c r="M293" s="348"/>
      <c r="N293" s="348"/>
      <c r="O293" s="349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  <c r="AA293" s="256"/>
      <c r="AB293" s="256"/>
      <c r="AC293" s="256"/>
      <c r="AD293" s="256"/>
      <c r="AE293" s="256"/>
      <c r="AF293" s="256"/>
      <c r="AG293" s="256"/>
      <c r="AH293" s="256"/>
      <c r="AI293" s="256"/>
      <c r="AJ293" s="256"/>
      <c r="AK293" s="256"/>
      <c r="AL293" s="256"/>
      <c r="AM293" s="256"/>
      <c r="AN293" s="256"/>
      <c r="AO293" s="256"/>
      <c r="AP293" s="256"/>
      <c r="AQ293" s="256"/>
      <c r="AR293" s="256"/>
      <c r="AS293" s="256"/>
      <c r="AT293" s="256"/>
      <c r="AU293" s="256"/>
      <c r="AV293" s="256"/>
      <c r="AW293" s="256"/>
      <c r="AX293" s="256"/>
      <c r="AY293" s="256"/>
      <c r="AZ293" s="256"/>
      <c r="BA293" s="256"/>
      <c r="BB293" s="256"/>
      <c r="BC293" s="256"/>
      <c r="BD293" s="256"/>
      <c r="BE293" s="256"/>
      <c r="BF293" s="256"/>
      <c r="BG293" s="256"/>
      <c r="BH293" s="256"/>
      <c r="BI293" s="256"/>
      <c r="BJ293" s="256"/>
      <c r="BK293" s="256"/>
      <c r="BL293" s="256"/>
      <c r="BM293" s="256"/>
      <c r="BN293" s="256"/>
      <c r="BO293" s="256"/>
      <c r="BP293" s="256"/>
      <c r="BQ293" s="256"/>
      <c r="BR293" s="256"/>
      <c r="BS293" s="256"/>
      <c r="BT293" s="256"/>
      <c r="BU293" s="256"/>
      <c r="BV293" s="256"/>
      <c r="BW293" s="256"/>
      <c r="BX293" s="256"/>
      <c r="BY293" s="256"/>
      <c r="BZ293" s="256"/>
      <c r="CA293" s="256"/>
      <c r="CB293" s="256"/>
      <c r="CC293" s="256"/>
      <c r="CD293" s="256"/>
      <c r="CE293" s="256"/>
      <c r="CF293" s="256"/>
      <c r="CG293" s="256"/>
      <c r="CH293" s="256"/>
      <c r="CI293" s="256"/>
      <c r="CJ293" s="256"/>
      <c r="CK293" s="256"/>
      <c r="CL293" s="256"/>
      <c r="CM293" s="256"/>
      <c r="CN293" s="256"/>
      <c r="CO293" s="256"/>
      <c r="CP293" s="256"/>
      <c r="CQ293" s="256"/>
      <c r="CR293" s="256"/>
      <c r="CS293" s="256"/>
      <c r="CT293" s="256"/>
      <c r="CU293" s="256"/>
      <c r="CV293" s="256"/>
      <c r="CW293" s="256"/>
      <c r="CX293" s="256"/>
      <c r="CY293" s="256"/>
      <c r="CZ293" s="256"/>
      <c r="DA293" s="256"/>
      <c r="DB293" s="256"/>
      <c r="DC293" s="256"/>
      <c r="DD293" s="256"/>
      <c r="DE293" s="256"/>
      <c r="DF293" s="256"/>
      <c r="DG293" s="256"/>
      <c r="DH293" s="256"/>
      <c r="DI293" s="256"/>
      <c r="DJ293" s="256"/>
      <c r="DK293" s="256"/>
      <c r="DL293" s="256"/>
      <c r="DM293" s="256"/>
      <c r="DN293" s="256"/>
      <c r="DO293" s="256"/>
      <c r="DP293" s="256"/>
      <c r="DQ293" s="256"/>
      <c r="DR293" s="256"/>
      <c r="DS293" s="256"/>
      <c r="DT293" s="256"/>
      <c r="DV293" s="234"/>
      <c r="DW293" s="234"/>
      <c r="DX293" s="234"/>
      <c r="DY293" s="234"/>
      <c r="DZ293" s="234"/>
      <c r="EA293" s="234"/>
      <c r="EB293" s="234"/>
    </row>
    <row r="294" spans="2:132" ht="7" customHeight="1" x14ac:dyDescent="0.45">
      <c r="D294" s="248"/>
      <c r="E294" s="248"/>
      <c r="F294" s="892"/>
      <c r="G294" s="892"/>
      <c r="H294" s="892"/>
      <c r="I294" s="892"/>
      <c r="J294" s="892"/>
      <c r="K294" s="892"/>
      <c r="L294" s="248"/>
      <c r="M294" s="248"/>
      <c r="N294" s="257"/>
      <c r="O294" s="257"/>
      <c r="P294" s="257"/>
      <c r="Q294" s="257"/>
      <c r="R294" s="257"/>
      <c r="S294" s="257"/>
      <c r="T294" s="257"/>
      <c r="U294" s="257"/>
      <c r="V294" s="257"/>
      <c r="W294" s="257"/>
      <c r="X294" s="257"/>
      <c r="Y294" s="257"/>
      <c r="Z294" s="257"/>
      <c r="AA294" s="257"/>
      <c r="AB294" s="257"/>
      <c r="AC294" s="257"/>
      <c r="AD294" s="257"/>
      <c r="AE294" s="257"/>
      <c r="AF294" s="257"/>
      <c r="AG294" s="257"/>
      <c r="AH294" s="257"/>
      <c r="AI294" s="257"/>
      <c r="AJ294" s="257"/>
      <c r="AK294" s="257"/>
      <c r="AL294" s="257"/>
      <c r="AM294" s="257"/>
      <c r="AN294" s="257"/>
      <c r="AO294" s="257"/>
      <c r="AP294" s="257"/>
      <c r="AQ294" s="257"/>
      <c r="AR294" s="257"/>
      <c r="AS294" s="257"/>
      <c r="AT294" s="257"/>
      <c r="AU294" s="257"/>
      <c r="AV294" s="257"/>
      <c r="AW294" s="257"/>
      <c r="AX294" s="257"/>
      <c r="AY294" s="257"/>
      <c r="AZ294" s="257"/>
      <c r="BA294" s="257"/>
      <c r="BB294" s="257"/>
      <c r="BC294" s="257"/>
      <c r="BD294" s="257"/>
      <c r="BE294" s="257"/>
      <c r="BF294" s="257"/>
      <c r="BG294" s="257"/>
      <c r="BH294" s="257"/>
      <c r="BI294" s="257"/>
      <c r="BJ294" s="257"/>
      <c r="BK294" s="257"/>
      <c r="BL294" s="257"/>
      <c r="BM294" s="257"/>
      <c r="BN294" s="257"/>
      <c r="BO294" s="257"/>
      <c r="BP294" s="257"/>
      <c r="BQ294" s="257"/>
      <c r="BR294" s="257"/>
      <c r="BS294" s="257"/>
      <c r="BT294" s="257"/>
      <c r="BU294" s="257"/>
      <c r="BV294" s="257"/>
      <c r="BW294" s="257"/>
      <c r="BX294" s="257"/>
      <c r="BY294" s="257"/>
      <c r="BZ294" s="257"/>
      <c r="CA294" s="257"/>
      <c r="CB294" s="257"/>
      <c r="CC294" s="257"/>
      <c r="CD294" s="257"/>
      <c r="CE294" s="257"/>
      <c r="CF294" s="257"/>
      <c r="CG294" s="257"/>
      <c r="CH294" s="257"/>
      <c r="CI294" s="257"/>
      <c r="CJ294" s="257"/>
      <c r="CK294" s="257"/>
      <c r="CL294" s="257"/>
      <c r="CM294" s="257"/>
      <c r="CN294" s="257"/>
      <c r="CO294" s="257"/>
      <c r="CP294" s="257"/>
      <c r="CQ294" s="257"/>
      <c r="CR294" s="257"/>
      <c r="CS294" s="257"/>
      <c r="CT294" s="257"/>
      <c r="CU294" s="257"/>
      <c r="CV294" s="257"/>
      <c r="CW294" s="257"/>
      <c r="CX294" s="257"/>
      <c r="CY294" s="257"/>
      <c r="CZ294" s="257"/>
      <c r="DA294" s="257"/>
      <c r="DB294" s="257"/>
      <c r="DC294" s="257"/>
      <c r="DD294" s="257"/>
      <c r="DE294" s="257"/>
      <c r="DF294" s="257"/>
      <c r="DG294" s="257"/>
      <c r="DH294" s="257"/>
      <c r="DI294" s="257"/>
      <c r="DJ294" s="257"/>
      <c r="DK294" s="257"/>
      <c r="DL294" s="257"/>
      <c r="DM294" s="257"/>
      <c r="DN294" s="257"/>
      <c r="DO294" s="257"/>
      <c r="DP294" s="257"/>
      <c r="DQ294" s="257"/>
      <c r="DR294" s="257"/>
      <c r="DS294" s="257"/>
      <c r="DT294" s="257"/>
      <c r="DV294" s="234"/>
      <c r="DW294" s="234"/>
      <c r="DX294" s="234"/>
      <c r="DY294" s="234"/>
      <c r="DZ294" s="234"/>
      <c r="EA294" s="234"/>
      <c r="EB294" s="234"/>
    </row>
    <row r="295" spans="2:132" ht="7" customHeight="1" x14ac:dyDescent="0.45">
      <c r="B295" s="521" t="s">
        <v>2091</v>
      </c>
      <c r="D295" s="247"/>
      <c r="E295" s="247"/>
      <c r="F295" s="894"/>
      <c r="G295" s="890"/>
      <c r="H295" s="891"/>
      <c r="I295" s="891"/>
      <c r="J295" s="891"/>
      <c r="K295" s="891"/>
      <c r="L295" s="348"/>
      <c r="M295" s="348"/>
      <c r="N295" s="348"/>
      <c r="O295" s="348"/>
      <c r="P295" s="349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  <c r="AA295" s="256"/>
      <c r="AB295" s="256"/>
      <c r="AC295" s="256"/>
      <c r="AD295" s="256"/>
      <c r="AE295" s="256"/>
      <c r="AF295" s="256"/>
      <c r="AG295" s="256"/>
      <c r="AH295" s="256"/>
      <c r="AI295" s="256"/>
      <c r="AJ295" s="256"/>
      <c r="AK295" s="256"/>
      <c r="AL295" s="256"/>
      <c r="AM295" s="256"/>
      <c r="AN295" s="256"/>
      <c r="AO295" s="256"/>
      <c r="AP295" s="256"/>
      <c r="AQ295" s="256"/>
      <c r="AR295" s="256"/>
      <c r="AS295" s="256"/>
      <c r="AT295" s="256"/>
      <c r="AU295" s="256"/>
      <c r="AV295" s="256"/>
      <c r="AW295" s="256"/>
      <c r="AX295" s="256"/>
      <c r="AY295" s="256"/>
      <c r="AZ295" s="256"/>
      <c r="BA295" s="256"/>
      <c r="BB295" s="256"/>
      <c r="BC295" s="256"/>
      <c r="BD295" s="256"/>
      <c r="BE295" s="256"/>
      <c r="BF295" s="256"/>
      <c r="BG295" s="256"/>
      <c r="BH295" s="256"/>
      <c r="BI295" s="256"/>
      <c r="BJ295" s="256"/>
      <c r="BK295" s="256"/>
      <c r="BL295" s="256"/>
      <c r="BM295" s="256"/>
      <c r="BN295" s="256"/>
      <c r="BO295" s="256"/>
      <c r="BP295" s="256"/>
      <c r="BQ295" s="256"/>
      <c r="BR295" s="256"/>
      <c r="BS295" s="256"/>
      <c r="BT295" s="256"/>
      <c r="BU295" s="256"/>
      <c r="BV295" s="256"/>
      <c r="BW295" s="256"/>
      <c r="BX295" s="256"/>
      <c r="BY295" s="256"/>
      <c r="BZ295" s="256"/>
      <c r="CA295" s="256"/>
      <c r="CB295" s="256"/>
      <c r="CC295" s="256"/>
      <c r="CD295" s="256"/>
      <c r="CE295" s="256"/>
      <c r="CF295" s="256"/>
      <c r="CG295" s="256"/>
      <c r="CH295" s="256"/>
      <c r="CI295" s="256"/>
      <c r="CJ295" s="256"/>
      <c r="CK295" s="256"/>
      <c r="CL295" s="256"/>
      <c r="CM295" s="256"/>
      <c r="CN295" s="256"/>
      <c r="CO295" s="256"/>
      <c r="CP295" s="256"/>
      <c r="CQ295" s="256"/>
      <c r="CR295" s="256"/>
      <c r="CS295" s="256"/>
      <c r="CT295" s="256"/>
      <c r="CU295" s="256"/>
      <c r="CV295" s="256"/>
      <c r="CW295" s="256"/>
      <c r="CX295" s="256"/>
      <c r="CY295" s="256"/>
      <c r="CZ295" s="256"/>
      <c r="DA295" s="256"/>
      <c r="DB295" s="256"/>
      <c r="DC295" s="256"/>
      <c r="DD295" s="256"/>
      <c r="DE295" s="256"/>
      <c r="DF295" s="256"/>
      <c r="DG295" s="256"/>
      <c r="DH295" s="256"/>
      <c r="DI295" s="256"/>
      <c r="DJ295" s="256"/>
      <c r="DK295" s="256"/>
      <c r="DL295" s="256"/>
      <c r="DM295" s="256"/>
      <c r="DN295" s="256"/>
      <c r="DO295" s="256"/>
      <c r="DP295" s="256"/>
      <c r="DQ295" s="256"/>
      <c r="DR295" s="256"/>
      <c r="DS295" s="256"/>
      <c r="DT295" s="256"/>
      <c r="DV295" s="234"/>
      <c r="DW295" s="234"/>
      <c r="DX295" s="234"/>
      <c r="DY295" s="234"/>
      <c r="DZ295" s="234"/>
      <c r="EA295" s="234"/>
      <c r="EB295" s="234"/>
    </row>
    <row r="296" spans="2:132" ht="7" customHeight="1" x14ac:dyDescent="0.45">
      <c r="D296" s="248"/>
      <c r="E296" s="248"/>
      <c r="F296" s="892"/>
      <c r="G296" s="892"/>
      <c r="H296" s="892"/>
      <c r="I296" s="892"/>
      <c r="J296" s="892"/>
      <c r="K296" s="892"/>
      <c r="L296" s="248"/>
      <c r="M296" s="248"/>
      <c r="N296" s="257"/>
      <c r="O296" s="257"/>
      <c r="P296" s="257"/>
      <c r="Q296" s="257"/>
      <c r="R296" s="257"/>
      <c r="S296" s="257"/>
      <c r="T296" s="257"/>
      <c r="U296" s="257"/>
      <c r="V296" s="257"/>
      <c r="W296" s="257"/>
      <c r="X296" s="257"/>
      <c r="Y296" s="257"/>
      <c r="Z296" s="257"/>
      <c r="AA296" s="257"/>
      <c r="AB296" s="257"/>
      <c r="AC296" s="257"/>
      <c r="AD296" s="257"/>
      <c r="AE296" s="257"/>
      <c r="AF296" s="257"/>
      <c r="AG296" s="257"/>
      <c r="AH296" s="257"/>
      <c r="AI296" s="257"/>
      <c r="AJ296" s="257"/>
      <c r="AK296" s="257"/>
      <c r="AL296" s="257"/>
      <c r="AM296" s="257"/>
      <c r="AN296" s="257"/>
      <c r="AO296" s="257"/>
      <c r="AP296" s="257"/>
      <c r="AQ296" s="257"/>
      <c r="AR296" s="257"/>
      <c r="AS296" s="257"/>
      <c r="AT296" s="257"/>
      <c r="AU296" s="257"/>
      <c r="AV296" s="257"/>
      <c r="AW296" s="257"/>
      <c r="AX296" s="257"/>
      <c r="AY296" s="257"/>
      <c r="AZ296" s="257"/>
      <c r="BA296" s="257"/>
      <c r="BB296" s="257"/>
      <c r="BC296" s="257"/>
      <c r="BD296" s="257"/>
      <c r="BE296" s="257"/>
      <c r="BF296" s="257"/>
      <c r="BG296" s="257"/>
      <c r="BH296" s="257"/>
      <c r="BI296" s="257"/>
      <c r="BJ296" s="257"/>
      <c r="BK296" s="257"/>
      <c r="BL296" s="257"/>
      <c r="BM296" s="257"/>
      <c r="BN296" s="257"/>
      <c r="BO296" s="257"/>
      <c r="BP296" s="257"/>
      <c r="BQ296" s="257"/>
      <c r="BR296" s="257"/>
      <c r="BS296" s="257"/>
      <c r="BT296" s="257"/>
      <c r="BU296" s="257"/>
      <c r="BV296" s="257"/>
      <c r="BW296" s="257"/>
      <c r="BX296" s="257"/>
      <c r="BY296" s="257"/>
      <c r="BZ296" s="257"/>
      <c r="CA296" s="257"/>
      <c r="CB296" s="257"/>
      <c r="CC296" s="257"/>
      <c r="CD296" s="257"/>
      <c r="CE296" s="257"/>
      <c r="CF296" s="257"/>
      <c r="CG296" s="257"/>
      <c r="CH296" s="257"/>
      <c r="CI296" s="257"/>
      <c r="CJ296" s="257"/>
      <c r="CK296" s="257"/>
      <c r="CL296" s="257"/>
      <c r="CM296" s="257"/>
      <c r="CN296" s="257"/>
      <c r="CO296" s="257"/>
      <c r="CP296" s="257"/>
      <c r="CQ296" s="257"/>
      <c r="CR296" s="257"/>
      <c r="CS296" s="257"/>
      <c r="CT296" s="257"/>
      <c r="CU296" s="257"/>
      <c r="CV296" s="257"/>
      <c r="CW296" s="257"/>
      <c r="CX296" s="257"/>
      <c r="CY296" s="257"/>
      <c r="CZ296" s="257"/>
      <c r="DA296" s="257"/>
      <c r="DB296" s="257"/>
      <c r="DC296" s="257"/>
      <c r="DD296" s="257"/>
      <c r="DE296" s="257"/>
      <c r="DF296" s="257"/>
      <c r="DG296" s="257"/>
      <c r="DH296" s="257"/>
      <c r="DI296" s="257"/>
      <c r="DJ296" s="257"/>
      <c r="DK296" s="257"/>
      <c r="DL296" s="257"/>
      <c r="DM296" s="257"/>
      <c r="DN296" s="257"/>
      <c r="DO296" s="257"/>
      <c r="DP296" s="257"/>
      <c r="DQ296" s="257"/>
      <c r="DR296" s="257"/>
      <c r="DS296" s="257"/>
      <c r="DT296" s="257"/>
      <c r="DV296" s="234"/>
      <c r="DW296" s="234"/>
      <c r="DX296" s="234"/>
      <c r="DY296" s="234"/>
      <c r="DZ296" s="234"/>
      <c r="EA296" s="234"/>
      <c r="EB296" s="234"/>
    </row>
    <row r="297" spans="2:132" ht="7" customHeight="1" x14ac:dyDescent="0.45">
      <c r="B297" s="521" t="s">
        <v>2092</v>
      </c>
      <c r="D297" s="247"/>
      <c r="E297" s="247"/>
      <c r="F297" s="893"/>
      <c r="G297" s="893"/>
      <c r="H297" s="890"/>
      <c r="I297" s="891"/>
      <c r="J297" s="891"/>
      <c r="K297" s="891"/>
      <c r="L297" s="348"/>
      <c r="M297" s="348"/>
      <c r="N297" s="348"/>
      <c r="O297" s="348"/>
      <c r="P297" s="348"/>
      <c r="Q297" s="349"/>
      <c r="R297" s="256"/>
      <c r="S297" s="256"/>
      <c r="T297" s="256"/>
      <c r="U297" s="256"/>
      <c r="V297" s="256"/>
      <c r="W297" s="256"/>
      <c r="X297" s="256"/>
      <c r="Y297" s="256"/>
      <c r="Z297" s="256"/>
      <c r="AA297" s="256"/>
      <c r="AB297" s="256"/>
      <c r="AC297" s="256"/>
      <c r="AD297" s="256"/>
      <c r="AE297" s="256"/>
      <c r="AF297" s="256"/>
      <c r="AG297" s="256"/>
      <c r="AH297" s="256"/>
      <c r="AI297" s="256"/>
      <c r="AJ297" s="256"/>
      <c r="AK297" s="256"/>
      <c r="AL297" s="256"/>
      <c r="AM297" s="256"/>
      <c r="AN297" s="256"/>
      <c r="AO297" s="256"/>
      <c r="AP297" s="256"/>
      <c r="AQ297" s="256"/>
      <c r="AR297" s="256"/>
      <c r="AS297" s="256"/>
      <c r="AT297" s="256"/>
      <c r="AU297" s="256"/>
      <c r="AV297" s="256"/>
      <c r="AW297" s="256"/>
      <c r="AX297" s="256"/>
      <c r="AY297" s="256"/>
      <c r="AZ297" s="256"/>
      <c r="BA297" s="256"/>
      <c r="BB297" s="256"/>
      <c r="BC297" s="256"/>
      <c r="BD297" s="256"/>
      <c r="BE297" s="256"/>
      <c r="BF297" s="256"/>
      <c r="BG297" s="256"/>
      <c r="BH297" s="256"/>
      <c r="BI297" s="256"/>
      <c r="BJ297" s="256"/>
      <c r="BK297" s="256"/>
      <c r="BL297" s="256"/>
      <c r="BM297" s="256"/>
      <c r="BN297" s="256"/>
      <c r="BO297" s="256"/>
      <c r="BP297" s="256"/>
      <c r="BQ297" s="256"/>
      <c r="BR297" s="256"/>
      <c r="BS297" s="256"/>
      <c r="BT297" s="256"/>
      <c r="BU297" s="256"/>
      <c r="BV297" s="256"/>
      <c r="BW297" s="256"/>
      <c r="BX297" s="256"/>
      <c r="BY297" s="256"/>
      <c r="BZ297" s="256"/>
      <c r="CA297" s="256"/>
      <c r="CB297" s="256"/>
      <c r="CC297" s="256"/>
      <c r="CD297" s="256"/>
      <c r="CE297" s="256"/>
      <c r="CF297" s="256"/>
      <c r="CG297" s="256"/>
      <c r="CH297" s="256"/>
      <c r="CI297" s="256"/>
      <c r="CJ297" s="256"/>
      <c r="CK297" s="256"/>
      <c r="CL297" s="256"/>
      <c r="CM297" s="256"/>
      <c r="CN297" s="256"/>
      <c r="CO297" s="256"/>
      <c r="CP297" s="256"/>
      <c r="CQ297" s="256"/>
      <c r="CR297" s="256"/>
      <c r="CS297" s="256"/>
      <c r="CT297" s="256"/>
      <c r="CU297" s="256"/>
      <c r="CV297" s="256"/>
      <c r="CW297" s="256"/>
      <c r="CX297" s="256"/>
      <c r="CY297" s="256"/>
      <c r="CZ297" s="256"/>
      <c r="DA297" s="256"/>
      <c r="DB297" s="256"/>
      <c r="DC297" s="256"/>
      <c r="DD297" s="256"/>
      <c r="DE297" s="256"/>
      <c r="DF297" s="256"/>
      <c r="DG297" s="256"/>
      <c r="DH297" s="256"/>
      <c r="DI297" s="256"/>
      <c r="DJ297" s="256"/>
      <c r="DK297" s="256"/>
      <c r="DL297" s="256"/>
      <c r="DM297" s="256"/>
      <c r="DN297" s="256"/>
      <c r="DO297" s="256"/>
      <c r="DP297" s="256"/>
      <c r="DQ297" s="256"/>
      <c r="DR297" s="256"/>
      <c r="DS297" s="256"/>
      <c r="DT297" s="256"/>
      <c r="DV297" s="234"/>
      <c r="DW297" s="234"/>
      <c r="DX297" s="234"/>
      <c r="DY297" s="234"/>
      <c r="DZ297" s="234"/>
      <c r="EA297" s="234"/>
      <c r="EB297" s="234"/>
    </row>
    <row r="298" spans="2:132" ht="7" customHeight="1" x14ac:dyDescent="0.45">
      <c r="D298" s="248"/>
      <c r="E298" s="248"/>
      <c r="F298" s="248"/>
      <c r="G298" s="248"/>
      <c r="H298" s="257"/>
      <c r="I298" s="257"/>
      <c r="J298" s="257"/>
      <c r="K298" s="257"/>
      <c r="L298" s="257"/>
      <c r="M298" s="257"/>
      <c r="N298" s="257"/>
      <c r="O298" s="257"/>
      <c r="P298" s="257"/>
      <c r="Q298" s="257"/>
      <c r="R298" s="257"/>
      <c r="S298" s="257"/>
      <c r="T298" s="257"/>
      <c r="U298" s="257"/>
      <c r="V298" s="257"/>
      <c r="W298" s="257"/>
      <c r="X298" s="257"/>
      <c r="Y298" s="257"/>
      <c r="Z298" s="257"/>
      <c r="AA298" s="257"/>
      <c r="AB298" s="257"/>
      <c r="AC298" s="257"/>
      <c r="AD298" s="257"/>
      <c r="AE298" s="257"/>
      <c r="AF298" s="257"/>
      <c r="AG298" s="257"/>
      <c r="AH298" s="257"/>
      <c r="AI298" s="257"/>
      <c r="AJ298" s="257"/>
      <c r="AK298" s="257"/>
      <c r="AL298" s="257"/>
      <c r="AM298" s="257"/>
      <c r="AN298" s="257"/>
      <c r="AO298" s="257"/>
      <c r="AP298" s="257"/>
      <c r="AQ298" s="257"/>
      <c r="AR298" s="257"/>
      <c r="AS298" s="257"/>
      <c r="AT298" s="257"/>
      <c r="AU298" s="257"/>
      <c r="AV298" s="257"/>
      <c r="AW298" s="257"/>
      <c r="AX298" s="257"/>
      <c r="AY298" s="257"/>
      <c r="AZ298" s="257"/>
      <c r="BA298" s="257"/>
      <c r="BB298" s="257"/>
      <c r="BC298" s="257"/>
      <c r="BD298" s="257"/>
      <c r="BE298" s="257"/>
      <c r="BF298" s="257"/>
      <c r="BG298" s="257"/>
      <c r="BH298" s="257"/>
      <c r="BI298" s="257"/>
      <c r="BJ298" s="257"/>
      <c r="BK298" s="257"/>
      <c r="BL298" s="257"/>
      <c r="BM298" s="257"/>
      <c r="BN298" s="257"/>
      <c r="BO298" s="257"/>
      <c r="BP298" s="257"/>
      <c r="BQ298" s="257"/>
      <c r="BR298" s="257"/>
      <c r="BS298" s="257"/>
      <c r="BT298" s="257"/>
      <c r="BU298" s="257"/>
      <c r="BV298" s="257"/>
      <c r="BW298" s="257"/>
      <c r="BX298" s="257"/>
      <c r="BY298" s="257"/>
      <c r="BZ298" s="257"/>
      <c r="CA298" s="257"/>
      <c r="CB298" s="257"/>
      <c r="CC298" s="257"/>
      <c r="CD298" s="257"/>
      <c r="CE298" s="257"/>
      <c r="CF298" s="257"/>
      <c r="CG298" s="257"/>
      <c r="CH298" s="257"/>
      <c r="CI298" s="257"/>
      <c r="CJ298" s="257"/>
      <c r="CK298" s="257"/>
      <c r="CL298" s="257"/>
      <c r="CM298" s="257"/>
      <c r="CN298" s="257"/>
      <c r="CO298" s="257"/>
      <c r="CP298" s="257"/>
      <c r="CQ298" s="257"/>
      <c r="CR298" s="257"/>
      <c r="CS298" s="257"/>
      <c r="CT298" s="257"/>
      <c r="CU298" s="257"/>
      <c r="CV298" s="257"/>
      <c r="CW298" s="257"/>
      <c r="CX298" s="257"/>
      <c r="CY298" s="257"/>
      <c r="CZ298" s="257"/>
      <c r="DA298" s="257"/>
      <c r="DB298" s="257"/>
      <c r="DC298" s="257"/>
      <c r="DD298" s="257"/>
      <c r="DE298" s="257"/>
      <c r="DF298" s="257"/>
      <c r="DG298" s="257"/>
      <c r="DH298" s="257"/>
      <c r="DI298" s="257"/>
      <c r="DJ298" s="257"/>
      <c r="DK298" s="257"/>
      <c r="DL298" s="257"/>
      <c r="DM298" s="257"/>
      <c r="DN298" s="257"/>
      <c r="DO298" s="257"/>
      <c r="DP298" s="257"/>
      <c r="DQ298" s="257"/>
      <c r="DR298" s="257"/>
      <c r="DS298" s="257"/>
      <c r="DT298" s="257"/>
      <c r="DV298" s="234"/>
      <c r="DW298" s="234"/>
      <c r="DX298" s="234"/>
      <c r="DY298" s="234"/>
      <c r="DZ298" s="234"/>
      <c r="EA298" s="234"/>
      <c r="EB298" s="234"/>
    </row>
    <row r="299" spans="2:132" ht="7" customHeight="1" x14ac:dyDescent="0.45">
      <c r="B299" s="521" t="s">
        <v>2134</v>
      </c>
      <c r="D299" s="247"/>
      <c r="E299" s="247"/>
      <c r="F299" s="247"/>
      <c r="G299" s="893"/>
      <c r="H299" s="893"/>
      <c r="I299" s="890"/>
      <c r="J299" s="891"/>
      <c r="K299" s="891"/>
      <c r="L299" s="891"/>
      <c r="M299" s="348"/>
      <c r="N299" s="348"/>
      <c r="O299" s="348"/>
      <c r="P299" s="348"/>
      <c r="Q299" s="348"/>
      <c r="R299" s="349"/>
      <c r="S299" s="256"/>
      <c r="T299" s="256"/>
      <c r="U299" s="256"/>
      <c r="V299" s="256"/>
      <c r="W299" s="256"/>
      <c r="X299" s="256"/>
      <c r="Y299" s="256"/>
      <c r="Z299" s="256"/>
      <c r="AA299" s="256"/>
      <c r="AB299" s="256"/>
      <c r="AC299" s="256"/>
      <c r="AD299" s="256"/>
      <c r="AE299" s="256"/>
      <c r="AF299" s="256"/>
      <c r="AG299" s="256"/>
      <c r="AH299" s="256"/>
      <c r="AI299" s="256"/>
      <c r="AJ299" s="256"/>
      <c r="AK299" s="256"/>
      <c r="AL299" s="256"/>
      <c r="AM299" s="256"/>
      <c r="AN299" s="256"/>
      <c r="AO299" s="256"/>
      <c r="AP299" s="256"/>
      <c r="AQ299" s="256"/>
      <c r="AR299" s="256"/>
      <c r="AS299" s="256"/>
      <c r="AT299" s="256"/>
      <c r="AU299" s="256"/>
      <c r="AV299" s="256"/>
      <c r="AW299" s="256"/>
      <c r="AX299" s="256"/>
      <c r="AY299" s="256"/>
      <c r="AZ299" s="256"/>
      <c r="BA299" s="256"/>
      <c r="BB299" s="256"/>
      <c r="BC299" s="256"/>
      <c r="BD299" s="256"/>
      <c r="BE299" s="256"/>
      <c r="BF299" s="256"/>
      <c r="BG299" s="256"/>
      <c r="BH299" s="256"/>
      <c r="BI299" s="256"/>
      <c r="BJ299" s="256"/>
      <c r="BK299" s="256"/>
      <c r="BL299" s="256"/>
      <c r="BM299" s="256"/>
      <c r="BN299" s="256"/>
      <c r="BO299" s="256"/>
      <c r="BP299" s="256"/>
      <c r="BQ299" s="256"/>
      <c r="BR299" s="256"/>
      <c r="BS299" s="256"/>
      <c r="BT299" s="256"/>
      <c r="BU299" s="256"/>
      <c r="BV299" s="256"/>
      <c r="BW299" s="256"/>
      <c r="BX299" s="256"/>
      <c r="BY299" s="256"/>
      <c r="BZ299" s="256"/>
      <c r="CA299" s="256"/>
      <c r="CB299" s="256"/>
      <c r="CC299" s="256"/>
      <c r="CD299" s="256"/>
      <c r="CE299" s="256"/>
      <c r="CF299" s="256"/>
      <c r="CG299" s="256"/>
      <c r="CH299" s="256"/>
      <c r="CI299" s="256"/>
      <c r="CJ299" s="256"/>
      <c r="CK299" s="256"/>
      <c r="CL299" s="256"/>
      <c r="CM299" s="256"/>
      <c r="CN299" s="256"/>
      <c r="CO299" s="256"/>
      <c r="CP299" s="256"/>
      <c r="CQ299" s="256"/>
      <c r="CR299" s="256"/>
      <c r="CS299" s="256"/>
      <c r="CT299" s="256"/>
      <c r="CU299" s="256"/>
      <c r="CV299" s="256"/>
      <c r="CW299" s="256"/>
      <c r="CX299" s="256"/>
      <c r="CY299" s="256"/>
      <c r="CZ299" s="256"/>
      <c r="DA299" s="256"/>
      <c r="DB299" s="256"/>
      <c r="DC299" s="256"/>
      <c r="DD299" s="256"/>
      <c r="DE299" s="256"/>
      <c r="DF299" s="256"/>
      <c r="DG299" s="256"/>
      <c r="DH299" s="256"/>
      <c r="DI299" s="256"/>
      <c r="DJ299" s="256"/>
      <c r="DK299" s="256"/>
      <c r="DL299" s="256"/>
      <c r="DM299" s="256"/>
      <c r="DN299" s="256"/>
      <c r="DO299" s="256"/>
      <c r="DP299" s="256"/>
      <c r="DQ299" s="256"/>
      <c r="DR299" s="256"/>
      <c r="DS299" s="256"/>
      <c r="DT299" s="256"/>
      <c r="DV299" s="234"/>
      <c r="DW299" s="234"/>
      <c r="DX299" s="234"/>
      <c r="DY299" s="234"/>
      <c r="DZ299" s="234"/>
      <c r="EA299" s="234"/>
      <c r="EB299" s="234"/>
    </row>
    <row r="300" spans="2:132" ht="7" customHeight="1" x14ac:dyDescent="0.45">
      <c r="B300" s="234"/>
      <c r="D300" s="248"/>
      <c r="E300" s="248"/>
      <c r="F300" s="248"/>
      <c r="G300" s="248"/>
      <c r="H300" s="257"/>
      <c r="I300" s="257"/>
      <c r="J300" s="257"/>
      <c r="K300" s="257"/>
      <c r="L300" s="257"/>
      <c r="M300" s="257"/>
      <c r="N300" s="257"/>
      <c r="O300" s="257"/>
      <c r="P300" s="257"/>
      <c r="Q300" s="257"/>
      <c r="R300" s="257"/>
      <c r="S300" s="257"/>
      <c r="T300" s="257"/>
      <c r="U300" s="257"/>
      <c r="V300" s="257"/>
      <c r="W300" s="257"/>
      <c r="X300" s="257"/>
      <c r="Y300" s="257"/>
      <c r="Z300" s="257"/>
      <c r="AA300" s="257"/>
      <c r="AB300" s="257"/>
      <c r="AC300" s="257"/>
      <c r="AD300" s="257"/>
      <c r="AE300" s="257"/>
      <c r="AF300" s="257"/>
      <c r="AG300" s="257"/>
      <c r="AH300" s="257"/>
      <c r="AI300" s="257"/>
      <c r="AJ300" s="257"/>
      <c r="AK300" s="257"/>
      <c r="AL300" s="257"/>
      <c r="AM300" s="257"/>
      <c r="AN300" s="257"/>
      <c r="AO300" s="257"/>
      <c r="AP300" s="257"/>
      <c r="AQ300" s="257"/>
      <c r="AR300" s="257"/>
      <c r="AS300" s="257"/>
      <c r="AT300" s="257"/>
      <c r="AU300" s="257"/>
      <c r="AV300" s="257"/>
      <c r="AW300" s="257"/>
      <c r="AX300" s="257"/>
      <c r="AY300" s="257"/>
      <c r="AZ300" s="257"/>
      <c r="BA300" s="257"/>
      <c r="BB300" s="257"/>
      <c r="BC300" s="257"/>
      <c r="BD300" s="257"/>
      <c r="BE300" s="257"/>
      <c r="BF300" s="257"/>
      <c r="BG300" s="257"/>
      <c r="BH300" s="257"/>
      <c r="BI300" s="257"/>
      <c r="BJ300" s="257"/>
      <c r="BK300" s="257"/>
      <c r="BL300" s="257"/>
      <c r="BM300" s="257"/>
      <c r="BN300" s="257"/>
      <c r="BO300" s="257"/>
      <c r="BP300" s="257"/>
      <c r="BQ300" s="257"/>
      <c r="BR300" s="257"/>
      <c r="BS300" s="257"/>
      <c r="BT300" s="257"/>
      <c r="BU300" s="257"/>
      <c r="BV300" s="257"/>
      <c r="BW300" s="257"/>
      <c r="BX300" s="257"/>
      <c r="BY300" s="257"/>
      <c r="BZ300" s="257"/>
      <c r="CA300" s="257"/>
      <c r="CB300" s="257"/>
      <c r="CC300" s="257"/>
      <c r="CD300" s="257"/>
      <c r="CE300" s="257"/>
      <c r="CF300" s="257"/>
      <c r="CG300" s="257"/>
      <c r="CH300" s="257"/>
      <c r="CI300" s="257"/>
      <c r="CJ300" s="257"/>
      <c r="CK300" s="257"/>
      <c r="CL300" s="257"/>
      <c r="CM300" s="257"/>
      <c r="CN300" s="257"/>
      <c r="CO300" s="257"/>
      <c r="CP300" s="257"/>
      <c r="CQ300" s="257"/>
      <c r="CR300" s="257"/>
      <c r="CS300" s="257"/>
      <c r="CT300" s="257"/>
      <c r="CU300" s="257"/>
      <c r="CV300" s="257"/>
      <c r="CW300" s="257"/>
      <c r="CX300" s="257"/>
      <c r="CY300" s="257"/>
      <c r="CZ300" s="257"/>
      <c r="DA300" s="257"/>
      <c r="DB300" s="257"/>
      <c r="DC300" s="257"/>
      <c r="DD300" s="257"/>
      <c r="DE300" s="257"/>
      <c r="DF300" s="257"/>
      <c r="DG300" s="257"/>
      <c r="DH300" s="257"/>
      <c r="DI300" s="257"/>
      <c r="DJ300" s="257"/>
      <c r="DK300" s="257"/>
      <c r="DL300" s="257"/>
      <c r="DM300" s="257"/>
      <c r="DN300" s="257"/>
      <c r="DO300" s="257"/>
      <c r="DP300" s="257"/>
      <c r="DQ300" s="257"/>
      <c r="DR300" s="257"/>
      <c r="DS300" s="257"/>
      <c r="DT300" s="257"/>
      <c r="DV300" s="234"/>
      <c r="DW300" s="234"/>
      <c r="DX300" s="234"/>
      <c r="DY300" s="234"/>
      <c r="DZ300" s="234"/>
      <c r="EA300" s="234"/>
      <c r="EB300" s="234"/>
    </row>
    <row r="301" spans="2:132" ht="7" customHeight="1" x14ac:dyDescent="0.45">
      <c r="B301" s="521" t="s">
        <v>2154</v>
      </c>
      <c r="D301" s="247"/>
      <c r="E301" s="247"/>
      <c r="F301" s="247"/>
      <c r="G301" s="247"/>
      <c r="H301" s="893"/>
      <c r="I301" s="893"/>
      <c r="J301" s="890"/>
      <c r="K301" s="891"/>
      <c r="L301" s="891"/>
      <c r="M301" s="891"/>
      <c r="N301" s="348"/>
      <c r="O301" s="348"/>
      <c r="P301" s="348"/>
      <c r="Q301" s="348"/>
      <c r="R301" s="348"/>
      <c r="S301" s="349"/>
      <c r="T301" s="256"/>
      <c r="U301" s="256"/>
      <c r="V301" s="256"/>
      <c r="W301" s="256"/>
      <c r="X301" s="256"/>
      <c r="Y301" s="256"/>
      <c r="Z301" s="256"/>
      <c r="AA301" s="256"/>
      <c r="AB301" s="256"/>
      <c r="AC301" s="256"/>
      <c r="AD301" s="256"/>
      <c r="AE301" s="256"/>
      <c r="AF301" s="256"/>
      <c r="AG301" s="256"/>
      <c r="AH301" s="256"/>
      <c r="AI301" s="256"/>
      <c r="AJ301" s="256"/>
      <c r="AK301" s="256"/>
      <c r="AL301" s="256"/>
      <c r="AM301" s="256"/>
      <c r="AN301" s="256"/>
      <c r="AO301" s="256"/>
      <c r="AP301" s="256"/>
      <c r="AQ301" s="256"/>
      <c r="AR301" s="256"/>
      <c r="AS301" s="256"/>
      <c r="AT301" s="256"/>
      <c r="AU301" s="256"/>
      <c r="AV301" s="256"/>
      <c r="AW301" s="256"/>
      <c r="AX301" s="256"/>
      <c r="AY301" s="256"/>
      <c r="AZ301" s="256"/>
      <c r="BA301" s="256"/>
      <c r="BB301" s="256"/>
      <c r="BC301" s="256"/>
      <c r="BD301" s="256"/>
      <c r="BE301" s="256"/>
      <c r="BF301" s="256"/>
      <c r="BG301" s="256"/>
      <c r="BH301" s="256"/>
      <c r="BI301" s="256"/>
      <c r="BJ301" s="256"/>
      <c r="BK301" s="256"/>
      <c r="BL301" s="256"/>
      <c r="BM301" s="256"/>
      <c r="BN301" s="256"/>
      <c r="BO301" s="256"/>
      <c r="BP301" s="256"/>
      <c r="BQ301" s="256"/>
      <c r="BR301" s="256"/>
      <c r="BS301" s="256"/>
      <c r="BT301" s="256"/>
      <c r="BU301" s="256"/>
      <c r="BV301" s="256"/>
      <c r="BW301" s="256"/>
      <c r="BX301" s="256"/>
      <c r="BY301" s="256"/>
      <c r="BZ301" s="256"/>
      <c r="CA301" s="256"/>
      <c r="CB301" s="256"/>
      <c r="CC301" s="256"/>
      <c r="CD301" s="256"/>
      <c r="CE301" s="256"/>
      <c r="CF301" s="256"/>
      <c r="CG301" s="256"/>
      <c r="CH301" s="256"/>
      <c r="CI301" s="256"/>
      <c r="CJ301" s="256"/>
      <c r="CK301" s="256"/>
      <c r="CL301" s="256"/>
      <c r="CM301" s="256"/>
      <c r="CN301" s="256"/>
      <c r="CO301" s="256"/>
      <c r="CP301" s="256"/>
      <c r="CQ301" s="256"/>
      <c r="CR301" s="256"/>
      <c r="CS301" s="256"/>
      <c r="CT301" s="256"/>
      <c r="CU301" s="256"/>
      <c r="CV301" s="256"/>
      <c r="CW301" s="256"/>
      <c r="CX301" s="256"/>
      <c r="CY301" s="256"/>
      <c r="CZ301" s="256"/>
      <c r="DA301" s="256"/>
      <c r="DB301" s="256"/>
      <c r="DC301" s="256"/>
      <c r="DD301" s="256"/>
      <c r="DE301" s="256"/>
      <c r="DF301" s="256"/>
      <c r="DG301" s="256"/>
      <c r="DH301" s="256"/>
      <c r="DI301" s="256"/>
      <c r="DJ301" s="256"/>
      <c r="DK301" s="256"/>
      <c r="DL301" s="256"/>
      <c r="DM301" s="256"/>
      <c r="DN301" s="256"/>
      <c r="DO301" s="256"/>
      <c r="DP301" s="256"/>
      <c r="DQ301" s="256"/>
      <c r="DR301" s="256"/>
      <c r="DS301" s="256"/>
      <c r="DT301" s="256"/>
      <c r="DV301" s="234"/>
      <c r="DW301" s="234"/>
      <c r="DX301" s="234"/>
      <c r="DY301" s="234"/>
      <c r="DZ301" s="234"/>
      <c r="EA301" s="234"/>
      <c r="EB301" s="234"/>
    </row>
    <row r="302" spans="2:132" ht="7" customHeight="1" x14ac:dyDescent="0.45">
      <c r="D302" s="248"/>
      <c r="E302" s="248"/>
      <c r="F302" s="248"/>
      <c r="G302" s="248"/>
      <c r="H302" s="248"/>
      <c r="I302" s="248"/>
      <c r="J302" s="248"/>
      <c r="K302" s="248"/>
      <c r="L302" s="248"/>
      <c r="M302" s="248"/>
      <c r="N302" s="257"/>
      <c r="O302" s="257"/>
      <c r="P302" s="257"/>
      <c r="Q302" s="257"/>
      <c r="R302" s="257"/>
      <c r="S302" s="257"/>
      <c r="T302" s="257"/>
      <c r="U302" s="257"/>
      <c r="V302" s="257"/>
      <c r="W302" s="257"/>
      <c r="X302" s="257"/>
      <c r="Y302" s="257"/>
      <c r="Z302" s="257"/>
      <c r="AA302" s="257"/>
      <c r="AB302" s="257"/>
      <c r="AC302" s="257"/>
      <c r="AD302" s="257"/>
      <c r="AE302" s="257"/>
      <c r="AF302" s="257"/>
      <c r="AG302" s="257"/>
      <c r="AH302" s="257"/>
      <c r="AI302" s="257"/>
      <c r="AJ302" s="257"/>
      <c r="AK302" s="257"/>
      <c r="AL302" s="257"/>
      <c r="AM302" s="257"/>
      <c r="AN302" s="257"/>
      <c r="AO302" s="257"/>
      <c r="AP302" s="257"/>
      <c r="AQ302" s="257"/>
      <c r="AR302" s="257"/>
      <c r="AS302" s="257"/>
      <c r="AT302" s="257"/>
      <c r="AU302" s="257"/>
      <c r="AV302" s="257"/>
      <c r="AW302" s="257"/>
      <c r="AX302" s="257"/>
      <c r="AY302" s="257"/>
      <c r="AZ302" s="257"/>
      <c r="BA302" s="257"/>
      <c r="BB302" s="257"/>
      <c r="BC302" s="257"/>
      <c r="BD302" s="257"/>
      <c r="BE302" s="257"/>
      <c r="BF302" s="257"/>
      <c r="BG302" s="257"/>
      <c r="BH302" s="257"/>
      <c r="BI302" s="257"/>
      <c r="BJ302" s="257"/>
      <c r="BK302" s="257"/>
      <c r="BL302" s="257"/>
      <c r="BM302" s="257"/>
      <c r="BN302" s="257"/>
      <c r="BO302" s="257"/>
      <c r="BP302" s="257"/>
      <c r="BQ302" s="257"/>
      <c r="BR302" s="257"/>
      <c r="BS302" s="257"/>
      <c r="BT302" s="257"/>
      <c r="BU302" s="257"/>
      <c r="BV302" s="257"/>
      <c r="BW302" s="257"/>
      <c r="BX302" s="257"/>
      <c r="BY302" s="257"/>
      <c r="BZ302" s="257"/>
      <c r="CA302" s="257"/>
      <c r="CB302" s="257"/>
      <c r="CC302" s="257"/>
      <c r="CD302" s="257"/>
      <c r="CE302" s="257"/>
      <c r="CF302" s="257"/>
      <c r="CG302" s="257"/>
      <c r="CH302" s="257"/>
      <c r="CI302" s="257"/>
      <c r="CJ302" s="257"/>
      <c r="CK302" s="257"/>
      <c r="CL302" s="257"/>
      <c r="CM302" s="257"/>
      <c r="CN302" s="257"/>
      <c r="CO302" s="257"/>
      <c r="CP302" s="257"/>
      <c r="CQ302" s="257"/>
      <c r="CR302" s="257"/>
      <c r="CS302" s="257"/>
      <c r="CT302" s="257"/>
      <c r="CU302" s="257"/>
      <c r="CV302" s="257"/>
      <c r="CW302" s="257"/>
      <c r="CX302" s="257"/>
      <c r="CY302" s="257"/>
      <c r="CZ302" s="257"/>
      <c r="DA302" s="257"/>
      <c r="DB302" s="257"/>
      <c r="DC302" s="257"/>
      <c r="DD302" s="257"/>
      <c r="DE302" s="257"/>
      <c r="DF302" s="257"/>
      <c r="DG302" s="257"/>
      <c r="DH302" s="257"/>
      <c r="DJ302" s="257"/>
      <c r="DL302" s="257"/>
      <c r="DN302" s="257"/>
      <c r="DO302" s="257"/>
      <c r="DP302" s="257"/>
      <c r="DQ302" s="257"/>
      <c r="DR302" s="257"/>
      <c r="DS302" s="257"/>
      <c r="DT302" s="257"/>
      <c r="DV302" s="234"/>
      <c r="DW302" s="234"/>
      <c r="DX302" s="234"/>
      <c r="DY302" s="234"/>
      <c r="DZ302" s="234"/>
      <c r="EA302" s="234"/>
      <c r="EB302" s="234"/>
    </row>
    <row r="303" spans="2:132" x14ac:dyDescent="0.45">
      <c r="B303" s="521" t="s">
        <v>2071</v>
      </c>
      <c r="D303" s="247"/>
      <c r="E303" s="247"/>
      <c r="F303" s="247"/>
      <c r="G303" s="247"/>
      <c r="H303" s="247"/>
      <c r="I303" s="885"/>
      <c r="J303" s="256"/>
      <c r="K303" s="256"/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  <c r="AA303" s="256"/>
      <c r="AB303" s="256"/>
      <c r="AC303" s="256"/>
      <c r="AD303" s="256"/>
      <c r="AE303" s="256"/>
      <c r="AF303" s="256"/>
      <c r="AG303" s="256"/>
      <c r="AH303" s="256"/>
      <c r="AI303" s="256"/>
      <c r="AJ303" s="256"/>
      <c r="AK303" s="256"/>
      <c r="AL303" s="256"/>
      <c r="AM303" s="256"/>
      <c r="AN303" s="256"/>
      <c r="AO303" s="256"/>
      <c r="AP303" s="256"/>
      <c r="AQ303" s="256"/>
      <c r="AR303" s="256"/>
      <c r="AS303" s="256"/>
      <c r="AT303" s="256"/>
      <c r="AU303" s="256"/>
      <c r="AV303" s="256"/>
      <c r="AW303" s="256"/>
      <c r="AX303" s="256"/>
      <c r="AY303" s="256"/>
      <c r="AZ303" s="256"/>
      <c r="BA303" s="256"/>
      <c r="BB303" s="256"/>
      <c r="BC303" s="256"/>
      <c r="BD303" s="256"/>
      <c r="BE303" s="256"/>
      <c r="BF303" s="256"/>
      <c r="BG303" s="256"/>
      <c r="BH303" s="256"/>
      <c r="BI303" s="256"/>
      <c r="BJ303" s="256"/>
      <c r="BK303" s="256"/>
      <c r="BL303" s="256"/>
      <c r="BM303" s="256"/>
      <c r="BN303" s="256"/>
      <c r="BO303" s="256"/>
      <c r="BP303" s="256"/>
      <c r="BQ303" s="256"/>
      <c r="BR303" s="256"/>
      <c r="BS303" s="256"/>
      <c r="BT303" s="256"/>
      <c r="BU303" s="256"/>
      <c r="BV303" s="256"/>
      <c r="BW303" s="256"/>
      <c r="BX303" s="256"/>
      <c r="BY303" s="256"/>
      <c r="BZ303" s="256"/>
      <c r="CA303" s="256"/>
      <c r="CB303" s="256"/>
      <c r="CC303" s="256"/>
      <c r="CD303" s="256"/>
      <c r="CE303" s="256"/>
      <c r="CF303" s="256"/>
      <c r="CG303" s="256"/>
      <c r="CH303" s="256"/>
      <c r="CI303" s="256"/>
      <c r="CJ303" s="256"/>
      <c r="CK303" s="256"/>
      <c r="CL303" s="256"/>
      <c r="CM303" s="256"/>
      <c r="CN303" s="256"/>
      <c r="CO303" s="256"/>
      <c r="CP303" s="256"/>
      <c r="CQ303" s="256"/>
      <c r="CR303" s="256"/>
      <c r="CS303" s="256"/>
      <c r="CT303" s="256"/>
      <c r="CU303" s="256"/>
      <c r="CV303" s="256"/>
      <c r="CW303" s="256"/>
      <c r="CX303" s="256"/>
      <c r="CY303" s="256"/>
      <c r="CZ303" s="256"/>
      <c r="DA303" s="256"/>
      <c r="DB303" s="256"/>
      <c r="DC303" s="256"/>
      <c r="DD303" s="256"/>
      <c r="DE303" s="256"/>
      <c r="DF303" s="256"/>
      <c r="DG303" s="256"/>
      <c r="DH303" s="256"/>
      <c r="DI303" s="256"/>
      <c r="DJ303" s="256"/>
      <c r="DK303" s="256"/>
      <c r="DL303" s="256"/>
      <c r="DM303" s="256"/>
      <c r="DN303" s="256"/>
      <c r="DO303" s="256"/>
      <c r="DP303" s="256"/>
      <c r="DQ303" s="256"/>
      <c r="DR303" s="256"/>
      <c r="DS303" s="256"/>
      <c r="DT303" s="256"/>
      <c r="DV303" s="234"/>
      <c r="DW303" s="234"/>
      <c r="DX303" s="234"/>
      <c r="DY303" s="234"/>
      <c r="DZ303" s="234"/>
      <c r="EA303" s="234"/>
      <c r="EB303" s="234"/>
    </row>
    <row r="304" spans="2:132" x14ac:dyDescent="0.45">
      <c r="W304" s="234"/>
      <c r="X304" s="234"/>
      <c r="CU304" s="246"/>
      <c r="CV304" s="246"/>
      <c r="CW304" s="246"/>
      <c r="CX304" s="246"/>
      <c r="CY304" s="246"/>
      <c r="CZ304" s="246"/>
      <c r="DA304" s="246"/>
      <c r="DB304" s="246"/>
      <c r="DC304" s="246"/>
      <c r="DD304" s="246"/>
      <c r="DE304" s="246"/>
      <c r="DF304" s="246"/>
      <c r="DG304" s="246"/>
      <c r="DV304" s="234"/>
      <c r="DW304" s="234"/>
      <c r="DX304" s="234"/>
      <c r="DY304" s="234"/>
      <c r="DZ304" s="234"/>
      <c r="EA304" s="234"/>
      <c r="EB304" s="234"/>
    </row>
    <row r="305" spans="2:132" x14ac:dyDescent="0.45">
      <c r="W305" s="234"/>
      <c r="X305" s="234"/>
      <c r="CU305" s="246"/>
      <c r="CV305" s="246"/>
      <c r="CW305" s="246"/>
      <c r="CX305" s="246"/>
      <c r="CY305" s="246"/>
      <c r="CZ305" s="246"/>
      <c r="DA305" s="246"/>
      <c r="DB305" s="246"/>
      <c r="DC305" s="246"/>
      <c r="DD305" s="246"/>
      <c r="DE305" s="246"/>
      <c r="DF305" s="246"/>
      <c r="DG305" s="246"/>
      <c r="DV305" s="234"/>
      <c r="DW305" s="234"/>
      <c r="DX305" s="234"/>
      <c r="DY305" s="234"/>
      <c r="DZ305" s="234"/>
      <c r="EA305" s="234"/>
      <c r="EB305" s="234"/>
    </row>
    <row r="306" spans="2:132" x14ac:dyDescent="0.45">
      <c r="B306" s="521" t="s">
        <v>2057</v>
      </c>
      <c r="D306" s="247"/>
      <c r="E306" s="247"/>
      <c r="F306" s="247"/>
      <c r="G306" s="247"/>
      <c r="H306" s="247"/>
      <c r="I306" s="247"/>
      <c r="J306" s="247"/>
      <c r="K306" s="247"/>
      <c r="L306" s="322"/>
      <c r="M306" s="249"/>
      <c r="N306" s="249"/>
      <c r="O306" s="249"/>
      <c r="P306" s="249"/>
      <c r="Q306" s="249"/>
      <c r="R306" s="249"/>
      <c r="S306" s="249"/>
      <c r="T306" s="249"/>
      <c r="U306" s="323"/>
      <c r="V306" s="247"/>
      <c r="W306" s="247"/>
      <c r="X306" s="247"/>
      <c r="Y306" s="247"/>
      <c r="Z306" s="247"/>
      <c r="AA306" s="247"/>
      <c r="AB306" s="247"/>
      <c r="AC306" s="247"/>
      <c r="AD306" s="247"/>
      <c r="AE306" s="247"/>
      <c r="AF306" s="247"/>
      <c r="AG306" s="322"/>
      <c r="AH306" s="249"/>
      <c r="AI306" s="249"/>
      <c r="AJ306" s="249"/>
      <c r="AK306" s="249"/>
      <c r="AL306" s="249"/>
      <c r="AM306" s="249"/>
      <c r="AN306" s="249"/>
      <c r="AO306" s="249"/>
      <c r="AP306" s="249"/>
      <c r="AQ306" s="249"/>
      <c r="AR306" s="249"/>
      <c r="AS306" s="249"/>
      <c r="AT306" s="249"/>
      <c r="AU306" s="249"/>
      <c r="AV306" s="249"/>
      <c r="AW306" s="323"/>
      <c r="AX306" s="247"/>
      <c r="AY306" s="247"/>
      <c r="AZ306" s="247"/>
      <c r="BA306" s="247"/>
      <c r="BB306" s="247"/>
      <c r="BC306" s="247"/>
      <c r="BD306" s="247"/>
      <c r="BE306" s="247"/>
      <c r="BF306" s="247"/>
      <c r="BG306" s="247"/>
      <c r="BH306" s="247"/>
      <c r="BI306" s="247"/>
      <c r="BJ306" s="247"/>
      <c r="BK306" s="247"/>
      <c r="BL306" s="247"/>
      <c r="BM306" s="247"/>
      <c r="BN306" s="247"/>
      <c r="BO306" s="247"/>
      <c r="BP306" s="247"/>
      <c r="BQ306" s="247"/>
      <c r="BR306" s="247"/>
      <c r="BS306" s="247"/>
      <c r="BT306" s="247"/>
      <c r="BU306" s="247"/>
      <c r="BV306" s="247"/>
      <c r="BW306" s="247"/>
      <c r="BX306" s="247"/>
      <c r="BY306" s="247"/>
      <c r="BZ306" s="247"/>
      <c r="CA306" s="247"/>
      <c r="CB306" s="247"/>
      <c r="CC306" s="247"/>
      <c r="CD306" s="247"/>
      <c r="CE306" s="322"/>
      <c r="CF306" s="249"/>
      <c r="CG306" s="249"/>
      <c r="CH306" s="249"/>
      <c r="CI306" s="249"/>
      <c r="CJ306" s="249"/>
      <c r="CK306" s="249"/>
      <c r="CL306" s="249"/>
      <c r="CM306" s="249"/>
      <c r="CN306" s="249"/>
      <c r="CO306" s="249"/>
      <c r="CP306" s="249"/>
      <c r="CQ306" s="249"/>
      <c r="CR306" s="249"/>
      <c r="CS306" s="249"/>
      <c r="CT306" s="249"/>
      <c r="CU306" s="323"/>
      <c r="CV306" s="247"/>
      <c r="CW306" s="247"/>
      <c r="CX306" s="247"/>
      <c r="CY306" s="247"/>
      <c r="CZ306" s="247"/>
      <c r="DA306" s="247"/>
      <c r="DB306" s="247"/>
      <c r="DC306" s="247"/>
      <c r="DD306" s="247"/>
      <c r="DE306" s="247"/>
      <c r="DF306" s="247"/>
      <c r="DG306" s="247"/>
      <c r="DH306" s="247"/>
      <c r="DI306" s="247"/>
      <c r="DJ306" s="247"/>
      <c r="DK306" s="247"/>
      <c r="DL306" s="247"/>
      <c r="DM306" s="247"/>
      <c r="DN306" s="247"/>
      <c r="DO306" s="247"/>
      <c r="DP306" s="247"/>
      <c r="DQ306" s="247"/>
      <c r="DR306" s="247"/>
      <c r="DS306" s="247"/>
      <c r="DT306" s="247"/>
      <c r="DV306" s="234"/>
      <c r="DW306" s="234"/>
      <c r="DX306" s="234"/>
      <c r="DY306" s="234"/>
      <c r="DZ306" s="234"/>
      <c r="EA306" s="234"/>
      <c r="EB306" s="234"/>
    </row>
    <row r="307" spans="2:132" ht="7" customHeight="1" x14ac:dyDescent="0.45">
      <c r="W307" s="234"/>
      <c r="X307" s="234"/>
      <c r="BY307" s="246"/>
      <c r="BZ307" s="246"/>
      <c r="DG307" s="246"/>
      <c r="DH307" s="246"/>
      <c r="DI307" s="246"/>
      <c r="DJ307" s="246"/>
      <c r="DK307" s="246"/>
      <c r="DV307" s="234"/>
      <c r="DW307" s="234"/>
      <c r="DX307" s="234"/>
      <c r="DY307" s="234"/>
      <c r="DZ307" s="234"/>
      <c r="EA307" s="234"/>
      <c r="EB307" s="234"/>
    </row>
    <row r="308" spans="2:132" ht="7" customHeight="1" x14ac:dyDescent="0.45">
      <c r="B308" s="521" t="s">
        <v>2093</v>
      </c>
      <c r="D308" s="895"/>
      <c r="E308" s="250"/>
      <c r="F308" s="250"/>
      <c r="G308" s="250"/>
      <c r="H308" s="250"/>
      <c r="I308" s="250"/>
      <c r="J308" s="250"/>
      <c r="K308" s="250"/>
      <c r="L308" s="896"/>
      <c r="M308" s="897"/>
      <c r="N308" s="897"/>
      <c r="O308" s="897"/>
      <c r="P308" s="859"/>
      <c r="Q308" s="859"/>
      <c r="R308" s="319"/>
      <c r="S308" s="319"/>
      <c r="T308" s="897"/>
      <c r="U308" s="898"/>
      <c r="V308" s="250"/>
      <c r="W308" s="250"/>
      <c r="X308" s="250"/>
      <c r="Y308" s="250"/>
      <c r="Z308" s="250"/>
      <c r="AA308" s="250"/>
      <c r="AB308" s="250"/>
      <c r="AC308" s="250"/>
      <c r="AD308" s="250"/>
      <c r="AE308" s="250"/>
      <c r="AF308" s="250"/>
      <c r="AG308" s="896"/>
      <c r="AH308" s="897"/>
      <c r="AI308" s="897"/>
      <c r="AJ308" s="897"/>
      <c r="AK308" s="897"/>
      <c r="AL308" s="859"/>
      <c r="AM308" s="319"/>
      <c r="AN308" s="319"/>
      <c r="AO308" s="319"/>
      <c r="AP308" s="860"/>
      <c r="AQ308" s="897"/>
      <c r="AR308" s="897"/>
      <c r="AS308" s="897"/>
      <c r="AT308" s="897"/>
      <c r="AU308" s="897"/>
      <c r="AV308" s="897"/>
      <c r="AW308" s="898"/>
      <c r="AX308" s="250"/>
      <c r="AY308" s="250"/>
      <c r="AZ308" s="250"/>
      <c r="BA308" s="250"/>
      <c r="BB308" s="250"/>
      <c r="BC308" s="250"/>
      <c r="BD308" s="250"/>
      <c r="BE308" s="250"/>
      <c r="BF308" s="250"/>
      <c r="BG308" s="250"/>
      <c r="BH308" s="250"/>
      <c r="BI308" s="250"/>
      <c r="BJ308" s="250"/>
      <c r="BK308" s="250"/>
      <c r="BL308" s="250"/>
      <c r="BM308" s="250"/>
      <c r="BN308" s="250"/>
      <c r="BO308" s="250"/>
      <c r="BP308" s="250"/>
      <c r="BQ308" s="250"/>
      <c r="BR308" s="250"/>
      <c r="BS308" s="250"/>
      <c r="BT308" s="250"/>
      <c r="BU308" s="250"/>
      <c r="BV308" s="250"/>
      <c r="BW308" s="250"/>
      <c r="BX308" s="260"/>
      <c r="BY308" s="250"/>
      <c r="BZ308" s="250"/>
      <c r="CA308" s="260"/>
      <c r="CB308" s="260"/>
      <c r="CC308" s="260"/>
      <c r="CD308" s="260"/>
      <c r="CE308" s="896"/>
      <c r="CF308" s="897"/>
      <c r="CG308" s="897"/>
      <c r="CH308" s="897"/>
      <c r="CI308" s="897"/>
      <c r="CJ308" s="897"/>
      <c r="CK308" s="859"/>
      <c r="CL308" s="319"/>
      <c r="CM308" s="319"/>
      <c r="CN308" s="319"/>
      <c r="CO308" s="860"/>
      <c r="CP308" s="897"/>
      <c r="CQ308" s="897"/>
      <c r="CR308" s="897"/>
      <c r="CS308" s="897"/>
      <c r="CT308" s="897"/>
      <c r="CU308" s="898"/>
      <c r="CV308" s="260"/>
      <c r="CW308" s="260"/>
      <c r="CX308" s="260"/>
      <c r="CY308" s="260"/>
      <c r="CZ308" s="260"/>
      <c r="DA308" s="260"/>
      <c r="DB308" s="260"/>
      <c r="DC308" s="260"/>
      <c r="DD308" s="260"/>
      <c r="DE308" s="260"/>
      <c r="DF308" s="260"/>
      <c r="DG308" s="260"/>
      <c r="DH308" s="260"/>
      <c r="DI308" s="260"/>
      <c r="DJ308" s="260"/>
      <c r="DK308" s="260"/>
      <c r="DL308" s="260"/>
      <c r="DM308" s="260"/>
      <c r="DN308" s="260"/>
      <c r="DO308" s="260"/>
      <c r="DP308" s="260"/>
      <c r="DQ308" s="260"/>
      <c r="DR308" s="260"/>
      <c r="DS308" s="260"/>
      <c r="DT308" s="260"/>
      <c r="DV308" s="234"/>
      <c r="DW308" s="234"/>
      <c r="DX308" s="234"/>
      <c r="DY308" s="234"/>
      <c r="DZ308" s="234"/>
      <c r="EA308" s="234"/>
      <c r="EB308" s="234"/>
    </row>
    <row r="309" spans="2:132" ht="7" customHeight="1" x14ac:dyDescent="0.45">
      <c r="B309" s="234"/>
      <c r="BY309" s="246"/>
      <c r="BZ309" s="246"/>
      <c r="DV309" s="234"/>
      <c r="DW309" s="234"/>
      <c r="DX309" s="234"/>
      <c r="DY309" s="234"/>
      <c r="DZ309" s="234"/>
      <c r="EA309" s="234"/>
      <c r="EB309" s="234"/>
    </row>
    <row r="310" spans="2:132" ht="7" customHeight="1" x14ac:dyDescent="0.45">
      <c r="B310" s="521" t="s">
        <v>2094</v>
      </c>
      <c r="D310" s="895"/>
      <c r="E310" s="250"/>
      <c r="F310" s="250"/>
      <c r="G310" s="250"/>
      <c r="H310" s="250"/>
      <c r="I310" s="250"/>
      <c r="J310" s="250"/>
      <c r="K310" s="250"/>
      <c r="L310" s="250"/>
      <c r="M310" s="896"/>
      <c r="N310" s="897"/>
      <c r="O310" s="897"/>
      <c r="P310" s="897"/>
      <c r="Q310" s="897"/>
      <c r="R310" s="319"/>
      <c r="S310" s="319"/>
      <c r="T310" s="319"/>
      <c r="U310" s="897"/>
      <c r="V310" s="898"/>
      <c r="W310" s="250"/>
      <c r="X310" s="250"/>
      <c r="Y310" s="250"/>
      <c r="Z310" s="250"/>
      <c r="AA310" s="250"/>
      <c r="AB310" s="250"/>
      <c r="AC310" s="250"/>
      <c r="AD310" s="250"/>
      <c r="AE310" s="250"/>
      <c r="AF310" s="250"/>
      <c r="AG310" s="250"/>
      <c r="AH310" s="896"/>
      <c r="AI310" s="897"/>
      <c r="AJ310" s="897"/>
      <c r="AK310" s="897"/>
      <c r="AL310" s="897"/>
      <c r="AM310" s="859"/>
      <c r="AN310" s="319"/>
      <c r="AO310" s="319"/>
      <c r="AP310" s="319"/>
      <c r="AQ310" s="860"/>
      <c r="AR310" s="897"/>
      <c r="AS310" s="897"/>
      <c r="AT310" s="897"/>
      <c r="AU310" s="897"/>
      <c r="AV310" s="897"/>
      <c r="AW310" s="897"/>
      <c r="AX310" s="898"/>
      <c r="AY310" s="250"/>
      <c r="AZ310" s="250"/>
      <c r="BA310" s="250"/>
      <c r="BB310" s="250"/>
      <c r="BC310" s="250"/>
      <c r="BD310" s="250"/>
      <c r="BE310" s="250"/>
      <c r="BF310" s="250"/>
      <c r="BG310" s="250"/>
      <c r="BH310" s="250"/>
      <c r="BI310" s="250"/>
      <c r="BJ310" s="250"/>
      <c r="BK310" s="250"/>
      <c r="BL310" s="250"/>
      <c r="BM310" s="250"/>
      <c r="BN310" s="250"/>
      <c r="BO310" s="250"/>
      <c r="BP310" s="250"/>
      <c r="BQ310" s="250"/>
      <c r="BR310" s="250"/>
      <c r="BS310" s="250"/>
      <c r="BT310" s="250"/>
      <c r="BU310" s="250"/>
      <c r="BV310" s="250"/>
      <c r="BW310" s="250"/>
      <c r="BX310" s="250"/>
      <c r="BY310" s="260"/>
      <c r="BZ310" s="250"/>
      <c r="CA310" s="250"/>
      <c r="CB310" s="260"/>
      <c r="CC310" s="260"/>
      <c r="CD310" s="260"/>
      <c r="CE310" s="260"/>
      <c r="CF310" s="896"/>
      <c r="CG310" s="897"/>
      <c r="CH310" s="897"/>
      <c r="CI310" s="897"/>
      <c r="CJ310" s="897"/>
      <c r="CK310" s="897"/>
      <c r="CL310" s="859"/>
      <c r="CM310" s="319"/>
      <c r="CN310" s="319"/>
      <c r="CO310" s="319"/>
      <c r="CP310" s="860"/>
      <c r="CQ310" s="897"/>
      <c r="CR310" s="897"/>
      <c r="CS310" s="897"/>
      <c r="CT310" s="897"/>
      <c r="CU310" s="897"/>
      <c r="CV310" s="898"/>
      <c r="CW310" s="260"/>
      <c r="CX310" s="260"/>
      <c r="CY310" s="260"/>
      <c r="CZ310" s="260"/>
      <c r="DA310" s="260"/>
      <c r="DB310" s="260"/>
      <c r="DC310" s="260"/>
      <c r="DD310" s="260"/>
      <c r="DE310" s="260"/>
      <c r="DF310" s="260"/>
      <c r="DG310" s="260"/>
      <c r="DH310" s="260"/>
      <c r="DI310" s="260"/>
      <c r="DJ310" s="260"/>
      <c r="DK310" s="260"/>
      <c r="DL310" s="260"/>
      <c r="DM310" s="260"/>
      <c r="DN310" s="260"/>
      <c r="DO310" s="260"/>
      <c r="DP310" s="260"/>
      <c r="DQ310" s="260"/>
      <c r="DR310" s="260"/>
      <c r="DS310" s="260"/>
      <c r="DT310" s="260"/>
      <c r="DV310" s="234"/>
      <c r="DW310" s="234"/>
      <c r="DX310" s="234"/>
      <c r="DY310" s="234"/>
      <c r="DZ310" s="234"/>
      <c r="EA310" s="234"/>
      <c r="EB310" s="234"/>
    </row>
    <row r="311" spans="2:132" ht="7" customHeight="1" x14ac:dyDescent="0.45">
      <c r="B311" s="234"/>
      <c r="BY311" s="246"/>
      <c r="BZ311" s="246"/>
      <c r="DV311" s="234"/>
      <c r="DW311" s="234"/>
      <c r="DX311" s="234"/>
      <c r="DY311" s="234"/>
      <c r="DZ311" s="234"/>
      <c r="EA311" s="234"/>
      <c r="EB311" s="234"/>
    </row>
    <row r="312" spans="2:132" ht="7" customHeight="1" x14ac:dyDescent="0.45">
      <c r="B312" s="521" t="s">
        <v>2095</v>
      </c>
      <c r="D312" s="895"/>
      <c r="E312" s="250"/>
      <c r="F312" s="250"/>
      <c r="G312" s="250"/>
      <c r="H312" s="250"/>
      <c r="I312" s="250"/>
      <c r="J312" s="250"/>
      <c r="K312" s="250"/>
      <c r="L312" s="250"/>
      <c r="M312" s="250"/>
      <c r="N312" s="896"/>
      <c r="O312" s="897"/>
      <c r="P312" s="897"/>
      <c r="Q312" s="897"/>
      <c r="R312" s="897"/>
      <c r="S312" s="319"/>
      <c r="T312" s="319"/>
      <c r="U312" s="319"/>
      <c r="V312" s="897"/>
      <c r="W312" s="898"/>
      <c r="X312" s="250"/>
      <c r="Y312" s="250"/>
      <c r="Z312" s="250"/>
      <c r="AA312" s="250"/>
      <c r="AB312" s="250"/>
      <c r="AC312" s="250"/>
      <c r="AD312" s="250"/>
      <c r="AE312" s="250"/>
      <c r="AF312" s="250"/>
      <c r="AG312" s="250"/>
      <c r="AH312" s="250"/>
      <c r="AI312" s="896"/>
      <c r="AJ312" s="897"/>
      <c r="AK312" s="897"/>
      <c r="AL312" s="897"/>
      <c r="AM312" s="897"/>
      <c r="AN312" s="859"/>
      <c r="AO312" s="319"/>
      <c r="AP312" s="319"/>
      <c r="AQ312" s="319"/>
      <c r="AR312" s="860"/>
      <c r="AS312" s="897"/>
      <c r="AT312" s="897"/>
      <c r="AU312" s="897"/>
      <c r="AV312" s="897"/>
      <c r="AW312" s="897"/>
      <c r="AX312" s="897"/>
      <c r="AY312" s="898"/>
      <c r="AZ312" s="250"/>
      <c r="BA312" s="250"/>
      <c r="BB312" s="250"/>
      <c r="BC312" s="250"/>
      <c r="BD312" s="250"/>
      <c r="BE312" s="250"/>
      <c r="BF312" s="250"/>
      <c r="BG312" s="250"/>
      <c r="BH312" s="250"/>
      <c r="BI312" s="250"/>
      <c r="BJ312" s="250"/>
      <c r="BK312" s="250"/>
      <c r="BL312" s="250"/>
      <c r="BM312" s="250"/>
      <c r="BN312" s="250"/>
      <c r="BO312" s="250"/>
      <c r="BP312" s="250"/>
      <c r="BQ312" s="250"/>
      <c r="BR312" s="250"/>
      <c r="BS312" s="250"/>
      <c r="BT312" s="250"/>
      <c r="BU312" s="250"/>
      <c r="BV312" s="250"/>
      <c r="BW312" s="250"/>
      <c r="BX312" s="250"/>
      <c r="BY312" s="250"/>
      <c r="BZ312" s="260"/>
      <c r="CA312" s="250"/>
      <c r="CB312" s="250"/>
      <c r="CC312" s="260"/>
      <c r="CD312" s="260"/>
      <c r="CE312" s="260"/>
      <c r="CF312" s="260"/>
      <c r="CG312" s="896"/>
      <c r="CH312" s="897"/>
      <c r="CI312" s="897"/>
      <c r="CJ312" s="897"/>
      <c r="CK312" s="897"/>
      <c r="CL312" s="897"/>
      <c r="CM312" s="859"/>
      <c r="CN312" s="319"/>
      <c r="CO312" s="319"/>
      <c r="CP312" s="319"/>
      <c r="CQ312" s="860"/>
      <c r="CR312" s="897"/>
      <c r="CS312" s="897"/>
      <c r="CT312" s="897"/>
      <c r="CU312" s="897"/>
      <c r="CV312" s="897"/>
      <c r="CW312" s="898"/>
      <c r="CX312" s="260"/>
      <c r="CY312" s="260"/>
      <c r="CZ312" s="260"/>
      <c r="DA312" s="260"/>
      <c r="DB312" s="260"/>
      <c r="DC312" s="260"/>
      <c r="DD312" s="260"/>
      <c r="DE312" s="260"/>
      <c r="DF312" s="260"/>
      <c r="DG312" s="260"/>
      <c r="DH312" s="260"/>
      <c r="DI312" s="260"/>
      <c r="DJ312" s="260"/>
      <c r="DK312" s="260"/>
      <c r="DL312" s="260"/>
      <c r="DM312" s="260"/>
      <c r="DN312" s="260"/>
      <c r="DO312" s="260"/>
      <c r="DP312" s="260"/>
      <c r="DQ312" s="260"/>
      <c r="DR312" s="260"/>
      <c r="DS312" s="260"/>
      <c r="DT312" s="260"/>
      <c r="DV312" s="234"/>
      <c r="DW312" s="234"/>
      <c r="DX312" s="234"/>
      <c r="DY312" s="234"/>
      <c r="DZ312" s="234"/>
      <c r="EA312" s="234"/>
      <c r="EB312" s="234"/>
    </row>
    <row r="313" spans="2:132" ht="7" customHeight="1" x14ac:dyDescent="0.45">
      <c r="BY313" s="246"/>
      <c r="BZ313" s="246"/>
      <c r="DV313" s="234"/>
      <c r="DW313" s="234"/>
      <c r="DX313" s="234"/>
      <c r="DY313" s="234"/>
      <c r="DZ313" s="234"/>
      <c r="EA313" s="234"/>
      <c r="EB313" s="234"/>
    </row>
    <row r="314" spans="2:132" ht="7" customHeight="1" x14ac:dyDescent="0.45">
      <c r="B314" s="521" t="s">
        <v>2096</v>
      </c>
      <c r="D314" s="895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896"/>
      <c r="P314" s="897"/>
      <c r="Q314" s="897"/>
      <c r="R314" s="897"/>
      <c r="S314" s="897"/>
      <c r="T314" s="319"/>
      <c r="U314" s="319"/>
      <c r="V314" s="319"/>
      <c r="W314" s="897"/>
      <c r="X314" s="898"/>
      <c r="Y314" s="250"/>
      <c r="Z314" s="250"/>
      <c r="AA314" s="250"/>
      <c r="AB314" s="250"/>
      <c r="AC314" s="250"/>
      <c r="AD314" s="250"/>
      <c r="AE314" s="250"/>
      <c r="AF314" s="250"/>
      <c r="AG314" s="250"/>
      <c r="AH314" s="250"/>
      <c r="AI314" s="250"/>
      <c r="AJ314" s="896"/>
      <c r="AK314" s="897"/>
      <c r="AL314" s="897"/>
      <c r="AM314" s="897"/>
      <c r="AN314" s="897"/>
      <c r="AO314" s="859"/>
      <c r="AP314" s="319"/>
      <c r="AQ314" s="319"/>
      <c r="AR314" s="319"/>
      <c r="AS314" s="860"/>
      <c r="AT314" s="897"/>
      <c r="AU314" s="897"/>
      <c r="AV314" s="897"/>
      <c r="AW314" s="897"/>
      <c r="AX314" s="897"/>
      <c r="AY314" s="897"/>
      <c r="AZ314" s="898"/>
      <c r="BA314" s="250"/>
      <c r="BB314" s="250"/>
      <c r="BC314" s="250"/>
      <c r="BD314" s="250"/>
      <c r="BE314" s="250"/>
      <c r="BF314" s="250"/>
      <c r="BG314" s="250"/>
      <c r="BH314" s="250"/>
      <c r="BI314" s="250"/>
      <c r="BJ314" s="250"/>
      <c r="BK314" s="250"/>
      <c r="BL314" s="250"/>
      <c r="BM314" s="250"/>
      <c r="BN314" s="250"/>
      <c r="BO314" s="250"/>
      <c r="BP314" s="250"/>
      <c r="BQ314" s="250"/>
      <c r="BR314" s="250"/>
      <c r="BS314" s="250"/>
      <c r="BT314" s="250"/>
      <c r="BU314" s="250"/>
      <c r="BV314" s="250"/>
      <c r="BW314" s="250"/>
      <c r="BX314" s="250"/>
      <c r="BY314" s="250"/>
      <c r="BZ314" s="250"/>
      <c r="CA314" s="260"/>
      <c r="CB314" s="250"/>
      <c r="CC314" s="250"/>
      <c r="CD314" s="260"/>
      <c r="CE314" s="260"/>
      <c r="CF314" s="260"/>
      <c r="CG314" s="260"/>
      <c r="CH314" s="896"/>
      <c r="CI314" s="897"/>
      <c r="CJ314" s="897"/>
      <c r="CK314" s="897"/>
      <c r="CL314" s="897"/>
      <c r="CM314" s="897"/>
      <c r="CN314" s="859"/>
      <c r="CO314" s="319"/>
      <c r="CP314" s="319"/>
      <c r="CQ314" s="319"/>
      <c r="CR314" s="860"/>
      <c r="CS314" s="897"/>
      <c r="CT314" s="897"/>
      <c r="CU314" s="897"/>
      <c r="CV314" s="897"/>
      <c r="CW314" s="897"/>
      <c r="CX314" s="898"/>
      <c r="CY314" s="260"/>
      <c r="CZ314" s="260"/>
      <c r="DA314" s="260"/>
      <c r="DB314" s="260"/>
      <c r="DC314" s="260"/>
      <c r="DD314" s="260"/>
      <c r="DE314" s="260"/>
      <c r="DF314" s="260"/>
      <c r="DG314" s="260"/>
      <c r="DH314" s="260"/>
      <c r="DI314" s="260"/>
      <c r="DJ314" s="260"/>
      <c r="DK314" s="260"/>
      <c r="DL314" s="260"/>
      <c r="DM314" s="260"/>
      <c r="DN314" s="260"/>
      <c r="DO314" s="260"/>
      <c r="DP314" s="260"/>
      <c r="DQ314" s="260"/>
      <c r="DR314" s="260"/>
      <c r="DS314" s="260"/>
      <c r="DT314" s="260"/>
      <c r="DV314" s="234"/>
      <c r="DW314" s="234"/>
      <c r="DX314" s="234"/>
      <c r="DY314" s="234"/>
      <c r="DZ314" s="234"/>
      <c r="EA314" s="234"/>
      <c r="EB314" s="234"/>
    </row>
    <row r="315" spans="2:132" ht="7" customHeight="1" x14ac:dyDescent="0.45">
      <c r="B315" s="234"/>
      <c r="BY315" s="246"/>
      <c r="BZ315" s="246"/>
      <c r="DV315" s="234"/>
      <c r="DW315" s="234"/>
      <c r="DX315" s="234"/>
      <c r="DY315" s="234"/>
      <c r="DZ315" s="234"/>
      <c r="EA315" s="234"/>
      <c r="EB315" s="234"/>
    </row>
    <row r="316" spans="2:132" ht="7" customHeight="1" x14ac:dyDescent="0.45">
      <c r="B316" s="521" t="s">
        <v>2136</v>
      </c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896"/>
      <c r="Q316" s="897"/>
      <c r="R316" s="897"/>
      <c r="S316" s="897"/>
      <c r="T316" s="897"/>
      <c r="U316" s="319"/>
      <c r="V316" s="319"/>
      <c r="W316" s="319"/>
      <c r="X316" s="897"/>
      <c r="Y316" s="898"/>
      <c r="Z316" s="250"/>
      <c r="AA316" s="250"/>
      <c r="AB316" s="250"/>
      <c r="AC316" s="250"/>
      <c r="AD316" s="250"/>
      <c r="AE316" s="250"/>
      <c r="AF316" s="250"/>
      <c r="AG316" s="250"/>
      <c r="AH316" s="250"/>
      <c r="AI316" s="250"/>
      <c r="AJ316" s="250"/>
      <c r="AK316" s="896"/>
      <c r="AL316" s="897"/>
      <c r="AM316" s="897"/>
      <c r="AN316" s="897"/>
      <c r="AO316" s="897"/>
      <c r="AP316" s="859"/>
      <c r="AQ316" s="319"/>
      <c r="AR316" s="319"/>
      <c r="AS316" s="319"/>
      <c r="AT316" s="860"/>
      <c r="AU316" s="897"/>
      <c r="AV316" s="897"/>
      <c r="AW316" s="897"/>
      <c r="AX316" s="897"/>
      <c r="AY316" s="897"/>
      <c r="AZ316" s="897"/>
      <c r="BA316" s="898"/>
      <c r="BB316" s="250"/>
      <c r="BC316" s="250"/>
      <c r="BD316" s="250"/>
      <c r="BE316" s="250"/>
      <c r="BF316" s="250"/>
      <c r="BG316" s="250"/>
      <c r="BH316" s="250"/>
      <c r="BI316" s="250"/>
      <c r="BJ316" s="250"/>
      <c r="BK316" s="250"/>
      <c r="BL316" s="250"/>
      <c r="BM316" s="250"/>
      <c r="BN316" s="250"/>
      <c r="BO316" s="250"/>
      <c r="BP316" s="250"/>
      <c r="BQ316" s="250"/>
      <c r="BR316" s="250"/>
      <c r="BS316" s="250"/>
      <c r="BT316" s="250"/>
      <c r="BU316" s="250"/>
      <c r="BV316" s="250"/>
      <c r="BW316" s="250"/>
      <c r="BX316" s="250"/>
      <c r="BY316" s="250"/>
      <c r="BZ316" s="250"/>
      <c r="CA316" s="250"/>
      <c r="CB316" s="260"/>
      <c r="CC316" s="250"/>
      <c r="CD316" s="250"/>
      <c r="CE316" s="260"/>
      <c r="CF316" s="260"/>
      <c r="CG316" s="260"/>
      <c r="CH316" s="260"/>
      <c r="CI316" s="896"/>
      <c r="CJ316" s="897"/>
      <c r="CK316" s="897"/>
      <c r="CL316" s="897"/>
      <c r="CM316" s="897"/>
      <c r="CN316" s="897"/>
      <c r="CO316" s="859"/>
      <c r="CP316" s="319"/>
      <c r="CQ316" s="319"/>
      <c r="CR316" s="319"/>
      <c r="CS316" s="860"/>
      <c r="CT316" s="897"/>
      <c r="CU316" s="897"/>
      <c r="CV316" s="897"/>
      <c r="CW316" s="897"/>
      <c r="CX316" s="897"/>
      <c r="CY316" s="898"/>
      <c r="CZ316" s="260"/>
      <c r="DA316" s="260"/>
      <c r="DB316" s="260"/>
      <c r="DC316" s="260"/>
      <c r="DD316" s="260"/>
      <c r="DE316" s="260"/>
      <c r="DF316" s="260"/>
      <c r="DG316" s="260"/>
      <c r="DH316" s="260"/>
      <c r="DI316" s="260"/>
      <c r="DJ316" s="260"/>
      <c r="DK316" s="260"/>
      <c r="DL316" s="260"/>
      <c r="DM316" s="260"/>
      <c r="DN316" s="260"/>
      <c r="DO316" s="260"/>
      <c r="DP316" s="260"/>
      <c r="DQ316" s="260"/>
      <c r="DR316" s="260"/>
      <c r="DS316" s="260"/>
      <c r="DT316" s="260"/>
      <c r="DV316" s="234"/>
      <c r="DW316" s="234"/>
      <c r="DX316" s="234"/>
      <c r="DY316" s="234"/>
      <c r="DZ316" s="234"/>
      <c r="EA316" s="234"/>
      <c r="EB316" s="234"/>
    </row>
    <row r="317" spans="2:132" ht="7" customHeight="1" x14ac:dyDescent="0.45">
      <c r="BY317" s="246"/>
      <c r="BZ317" s="246"/>
      <c r="DV317" s="234"/>
      <c r="DW317" s="234"/>
      <c r="DX317" s="234"/>
      <c r="DY317" s="234"/>
      <c r="DZ317" s="234"/>
      <c r="EA317" s="234"/>
      <c r="EB317" s="234"/>
    </row>
    <row r="318" spans="2:132" x14ac:dyDescent="0.45">
      <c r="B318" s="521" t="s">
        <v>2197</v>
      </c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250"/>
      <c r="Q318" s="896"/>
      <c r="R318" s="897"/>
      <c r="S318" s="319"/>
      <c r="T318" s="319"/>
      <c r="U318" s="319"/>
      <c r="V318" s="897"/>
      <c r="W318" s="898"/>
      <c r="X318" s="250"/>
      <c r="Y318" s="250"/>
      <c r="Z318" s="250"/>
      <c r="AA318" s="250"/>
      <c r="AB318" s="250"/>
      <c r="AC318" s="250"/>
      <c r="AD318" s="250"/>
      <c r="AE318" s="250"/>
      <c r="AF318" s="250"/>
      <c r="AG318" s="250"/>
      <c r="AH318" s="250"/>
      <c r="AI318" s="250"/>
      <c r="AJ318" s="250"/>
      <c r="AK318" s="250"/>
      <c r="AL318" s="896"/>
      <c r="AM318" s="897"/>
      <c r="AN318" s="897"/>
      <c r="AO318" s="319"/>
      <c r="AP318" s="319"/>
      <c r="AQ318" s="319"/>
      <c r="AR318" s="319"/>
      <c r="AS318" s="319"/>
      <c r="AT318" s="319"/>
      <c r="AU318" s="319"/>
      <c r="AV318" s="319"/>
      <c r="AW318" s="897"/>
      <c r="AX318" s="897"/>
      <c r="AY318" s="898"/>
      <c r="AZ318" s="250"/>
      <c r="BA318" s="250"/>
      <c r="BB318" s="250"/>
      <c r="BC318" s="250"/>
      <c r="BD318" s="250"/>
      <c r="BE318" s="250"/>
      <c r="BF318" s="250"/>
      <c r="BG318" s="250"/>
      <c r="BH318" s="250"/>
      <c r="BI318" s="250"/>
      <c r="BJ318" s="250"/>
      <c r="BK318" s="250"/>
      <c r="BL318" s="250"/>
      <c r="BM318" s="250"/>
      <c r="BN318" s="250"/>
      <c r="BO318" s="250"/>
      <c r="BP318" s="250"/>
      <c r="BQ318" s="250"/>
      <c r="BR318" s="250"/>
      <c r="BS318" s="250"/>
      <c r="BT318" s="250"/>
      <c r="BU318" s="250"/>
      <c r="BV318" s="250"/>
      <c r="BW318" s="250"/>
      <c r="BX318" s="250"/>
      <c r="BY318" s="250"/>
      <c r="BZ318" s="250"/>
      <c r="CA318" s="250"/>
      <c r="CB318" s="250"/>
      <c r="CC318" s="250"/>
      <c r="CD318" s="250"/>
      <c r="CE318" s="250"/>
      <c r="CF318" s="250"/>
      <c r="CG318" s="250"/>
      <c r="CH318" s="250"/>
      <c r="CI318" s="250"/>
      <c r="CJ318" s="896"/>
      <c r="CK318" s="897"/>
      <c r="CL318" s="897"/>
      <c r="CM318" s="319"/>
      <c r="CN318" s="319"/>
      <c r="CO318" s="319"/>
      <c r="CP318" s="319"/>
      <c r="CQ318" s="319"/>
      <c r="CR318" s="319"/>
      <c r="CS318" s="319"/>
      <c r="CT318" s="319"/>
      <c r="CU318" s="897"/>
      <c r="CV318" s="897"/>
      <c r="CW318" s="898"/>
      <c r="CX318" s="250"/>
      <c r="CY318" s="250"/>
      <c r="CZ318" s="250"/>
      <c r="DA318" s="250"/>
      <c r="DB318" s="250"/>
      <c r="DC318" s="250"/>
      <c r="DD318" s="250"/>
      <c r="DE318" s="250"/>
      <c r="DF318" s="250"/>
      <c r="DG318" s="250"/>
      <c r="DH318" s="250"/>
      <c r="DI318" s="250"/>
      <c r="DJ318" s="250"/>
      <c r="DK318" s="250"/>
      <c r="DL318" s="250"/>
      <c r="DM318" s="250"/>
      <c r="DN318" s="250"/>
      <c r="DO318" s="250"/>
      <c r="DP318" s="250"/>
      <c r="DQ318" s="250"/>
      <c r="DR318" s="250"/>
      <c r="DS318" s="250"/>
      <c r="DT318" s="250"/>
      <c r="DV318" s="234"/>
      <c r="DW318" s="234"/>
      <c r="DX318" s="234"/>
      <c r="DY318" s="234"/>
      <c r="DZ318" s="234"/>
      <c r="EA318" s="234"/>
      <c r="EB318" s="234"/>
    </row>
    <row r="319" spans="2:132" x14ac:dyDescent="0.45">
      <c r="B319" s="521" t="s">
        <v>2135</v>
      </c>
      <c r="BX319" s="246"/>
      <c r="BY319" s="246"/>
      <c r="BZ319" s="246"/>
      <c r="CA319" s="246"/>
      <c r="CB319" s="246"/>
      <c r="CC319" s="246"/>
      <c r="CD319" s="246"/>
      <c r="CE319" s="246"/>
      <c r="CF319" s="246"/>
      <c r="CG319" s="246"/>
      <c r="CH319" s="246"/>
      <c r="CI319" s="246"/>
      <c r="CJ319" s="246"/>
      <c r="CK319" s="246"/>
      <c r="CL319" s="246"/>
      <c r="CM319" s="246"/>
      <c r="CN319" s="246"/>
      <c r="CO319" s="246"/>
      <c r="CP319" s="246"/>
      <c r="CQ319" s="246"/>
      <c r="CR319" s="246"/>
      <c r="CS319" s="246"/>
      <c r="CT319" s="246"/>
      <c r="CU319" s="246"/>
      <c r="CV319" s="246"/>
      <c r="CW319" s="246"/>
      <c r="CX319" s="246"/>
      <c r="CY319" s="246"/>
      <c r="CZ319" s="246"/>
      <c r="DA319" s="246"/>
      <c r="DB319" s="246"/>
      <c r="DC319" s="246"/>
      <c r="DD319" s="246"/>
      <c r="DE319" s="246"/>
      <c r="DF319" s="246"/>
      <c r="DG319" s="246"/>
      <c r="DH319" s="246"/>
      <c r="DI319" s="246"/>
      <c r="DJ319" s="246"/>
      <c r="DK319" s="246"/>
      <c r="DL319" s="246"/>
      <c r="DM319" s="246"/>
      <c r="DN319" s="246"/>
      <c r="DO319" s="246"/>
      <c r="DP319" s="246"/>
      <c r="DQ319" s="246"/>
      <c r="DR319" s="246"/>
      <c r="DS319" s="246"/>
      <c r="DT319" s="246"/>
      <c r="DU319" s="235"/>
      <c r="DV319" s="246">
        <v>41</v>
      </c>
      <c r="DW319" s="234" t="s">
        <v>0</v>
      </c>
      <c r="DX319" s="246">
        <v>51</v>
      </c>
      <c r="DY319" s="312" t="s">
        <v>0</v>
      </c>
      <c r="DZ319" s="234"/>
      <c r="EA319" s="234"/>
      <c r="EB319" s="234"/>
    </row>
    <row r="320" spans="2:132" x14ac:dyDescent="0.45">
      <c r="BX320" s="246"/>
      <c r="BY320" s="246"/>
      <c r="BZ320" s="246"/>
      <c r="CA320" s="246"/>
      <c r="CB320" s="246"/>
      <c r="CC320" s="246"/>
      <c r="CD320" s="246"/>
      <c r="CE320" s="246"/>
      <c r="CF320" s="246"/>
      <c r="CG320" s="246"/>
      <c r="CH320" s="246"/>
      <c r="CI320" s="246"/>
      <c r="CJ320" s="246"/>
      <c r="CK320" s="246"/>
      <c r="CL320" s="246"/>
      <c r="CM320" s="246"/>
      <c r="CN320" s="246"/>
      <c r="CO320" s="246"/>
      <c r="CP320" s="246"/>
      <c r="CQ320" s="246"/>
      <c r="CR320" s="246"/>
      <c r="CS320" s="246"/>
      <c r="CT320" s="246"/>
      <c r="CU320" s="246"/>
      <c r="CV320" s="246"/>
      <c r="CW320" s="246"/>
      <c r="CX320" s="246"/>
      <c r="CY320" s="246"/>
      <c r="CZ320" s="246"/>
      <c r="DA320" s="246"/>
      <c r="DB320" s="246"/>
      <c r="DC320" s="246"/>
      <c r="DD320" s="246"/>
      <c r="DE320" s="246"/>
      <c r="DF320" s="246"/>
      <c r="DG320" s="246"/>
      <c r="DH320" s="246"/>
      <c r="DI320" s="246"/>
      <c r="DJ320" s="246"/>
      <c r="DK320" s="246"/>
      <c r="DL320" s="246"/>
      <c r="DM320" s="246"/>
      <c r="DN320" s="246"/>
      <c r="DO320" s="246"/>
      <c r="DP320" s="246"/>
      <c r="DQ320" s="246"/>
      <c r="DR320" s="246"/>
      <c r="DS320" s="246"/>
      <c r="DT320" s="246"/>
      <c r="DV320" s="1061">
        <f>1/DV319</f>
        <v>2.4390243902439025E-2</v>
      </c>
      <c r="DW320" s="234" t="s">
        <v>1</v>
      </c>
      <c r="DX320" s="1061">
        <f>1/DX319</f>
        <v>1.9607843137254902E-2</v>
      </c>
      <c r="DY320" s="312" t="s">
        <v>1</v>
      </c>
      <c r="DZ320" s="234"/>
      <c r="EA320" s="234"/>
      <c r="EB320" s="234"/>
    </row>
    <row r="321" spans="2:132" x14ac:dyDescent="0.45">
      <c r="B321" s="521" t="s">
        <v>1426</v>
      </c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  <c r="W321" s="250"/>
      <c r="X321" s="250"/>
      <c r="Y321" s="250"/>
      <c r="Z321" s="250"/>
      <c r="AA321" s="250"/>
      <c r="AB321" s="250"/>
      <c r="AC321" s="250"/>
      <c r="AD321" s="250"/>
      <c r="AE321" s="250"/>
      <c r="AF321" s="313"/>
      <c r="AG321" s="250"/>
      <c r="AH321" s="250"/>
      <c r="AI321" s="250"/>
      <c r="AJ321" s="250"/>
      <c r="AK321" s="250"/>
      <c r="AL321" s="250"/>
      <c r="AM321" s="250"/>
      <c r="AN321" s="250"/>
      <c r="AO321" s="250"/>
      <c r="AP321" s="250"/>
      <c r="AQ321" s="250"/>
      <c r="AR321" s="250"/>
      <c r="AS321" s="250"/>
      <c r="AT321" s="250"/>
      <c r="AU321" s="250"/>
      <c r="AV321" s="250"/>
      <c r="AW321" s="250"/>
      <c r="AX321" s="250"/>
      <c r="AY321" s="250"/>
      <c r="AZ321" s="250"/>
      <c r="BA321" s="250"/>
      <c r="BB321" s="250"/>
      <c r="BC321" s="250"/>
      <c r="BD321" s="250"/>
      <c r="BE321" s="250"/>
      <c r="BF321" s="250"/>
      <c r="BG321" s="250"/>
      <c r="BH321" s="250"/>
      <c r="BI321" s="250"/>
      <c r="BJ321" s="250"/>
      <c r="BK321" s="250"/>
      <c r="BL321" s="250"/>
      <c r="BM321" s="250"/>
      <c r="BN321" s="250"/>
      <c r="BO321" s="250"/>
      <c r="BP321" s="250"/>
      <c r="BQ321" s="250"/>
      <c r="BR321" s="250"/>
      <c r="BS321" s="250"/>
      <c r="BT321" s="250"/>
      <c r="BU321" s="250"/>
      <c r="BV321" s="250"/>
      <c r="BW321" s="250"/>
      <c r="BX321" s="250"/>
      <c r="BY321" s="250"/>
      <c r="BZ321" s="250"/>
      <c r="CA321" s="250"/>
      <c r="CB321" s="250"/>
      <c r="CC321" s="250"/>
      <c r="CD321" s="250"/>
      <c r="CE321" s="250"/>
      <c r="CF321" s="250"/>
      <c r="CG321" s="250"/>
      <c r="CH321" s="250"/>
      <c r="CI321" s="250"/>
      <c r="CJ321" s="250"/>
      <c r="CK321" s="250"/>
      <c r="CL321" s="250"/>
      <c r="CM321" s="250"/>
      <c r="CN321" s="250"/>
      <c r="CO321" s="250"/>
      <c r="CP321" s="250"/>
      <c r="CQ321" s="250"/>
      <c r="CR321" s="250"/>
      <c r="CS321" s="250"/>
      <c r="CT321" s="250"/>
      <c r="CU321" s="250"/>
      <c r="CV321" s="250"/>
      <c r="CW321" s="250"/>
      <c r="CX321" s="250"/>
      <c r="CY321" s="250"/>
      <c r="CZ321" s="250"/>
      <c r="DA321" s="250"/>
      <c r="DB321" s="250"/>
      <c r="DC321" s="250"/>
      <c r="DD321" s="250"/>
      <c r="DE321" s="250"/>
      <c r="DF321" s="250"/>
      <c r="DG321" s="250"/>
      <c r="DH321" s="250"/>
      <c r="DI321" s="250"/>
      <c r="DJ321" s="250"/>
      <c r="DK321" s="250"/>
      <c r="DL321" s="250"/>
      <c r="DM321" s="250"/>
      <c r="DN321" s="250"/>
      <c r="DO321" s="250"/>
      <c r="DP321" s="250"/>
      <c r="DQ321" s="250"/>
      <c r="DR321" s="250"/>
      <c r="DS321" s="250"/>
      <c r="DT321" s="250"/>
      <c r="DZ321" s="234"/>
      <c r="EA321" s="234"/>
      <c r="EB321" s="234"/>
    </row>
    <row r="322" spans="2:132" x14ac:dyDescent="0.45">
      <c r="BX322" s="246"/>
      <c r="BY322" s="246"/>
      <c r="BZ322" s="246"/>
      <c r="CA322" s="246"/>
      <c r="CB322" s="246"/>
      <c r="CC322" s="246"/>
      <c r="CD322" s="246"/>
      <c r="CE322" s="246"/>
      <c r="CF322" s="246"/>
      <c r="CG322" s="246"/>
      <c r="CH322" s="246"/>
      <c r="CI322" s="246"/>
      <c r="CJ322" s="246"/>
      <c r="CK322" s="246"/>
      <c r="CL322" s="246"/>
      <c r="CM322" s="246"/>
      <c r="CN322" s="246"/>
      <c r="CO322" s="246"/>
      <c r="CP322" s="246"/>
      <c r="CQ322" s="246"/>
      <c r="CR322" s="246"/>
      <c r="CS322" s="246"/>
      <c r="CT322" s="246"/>
      <c r="CU322" s="246"/>
      <c r="CV322" s="246"/>
      <c r="CW322" s="246"/>
      <c r="CX322" s="246"/>
      <c r="CY322" s="246"/>
      <c r="CZ322" s="246"/>
      <c r="DA322" s="246"/>
      <c r="DB322" s="246"/>
      <c r="DC322" s="246"/>
      <c r="DD322" s="246"/>
      <c r="DE322" s="246"/>
      <c r="DF322" s="246"/>
      <c r="DG322" s="246"/>
      <c r="DH322" s="246"/>
      <c r="DI322" s="246"/>
      <c r="DJ322" s="246"/>
      <c r="DK322" s="246"/>
      <c r="DL322" s="246"/>
      <c r="DM322" s="246"/>
      <c r="DN322" s="246"/>
      <c r="DO322" s="246"/>
      <c r="DP322" s="246"/>
      <c r="DQ322" s="246"/>
      <c r="DR322" s="246"/>
      <c r="DS322" s="246"/>
      <c r="DT322" s="246"/>
      <c r="DU322" s="235" t="s">
        <v>9</v>
      </c>
      <c r="DV322" s="1133">
        <f>DX326*0.9</f>
        <v>4.447058823529412</v>
      </c>
      <c r="DW322" s="234" t="s">
        <v>1</v>
      </c>
      <c r="DZ322" s="234"/>
      <c r="EA322" s="234"/>
      <c r="EB322" s="234"/>
    </row>
    <row r="323" spans="2:132" x14ac:dyDescent="0.45">
      <c r="B323" s="521" t="s">
        <v>2098</v>
      </c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  <c r="W323" s="250"/>
      <c r="X323" s="250"/>
      <c r="Y323" s="250"/>
      <c r="Z323" s="250"/>
      <c r="AA323" s="250"/>
      <c r="AB323" s="250"/>
      <c r="AC323" s="250"/>
      <c r="AD323" s="250"/>
      <c r="AE323" s="250"/>
      <c r="AF323" s="250"/>
      <c r="AG323" s="250"/>
      <c r="AH323" s="250"/>
      <c r="AI323" s="250"/>
      <c r="AJ323" s="250"/>
      <c r="AK323" s="250"/>
      <c r="AL323" s="250"/>
      <c r="AM323" s="313"/>
      <c r="AN323" s="250"/>
      <c r="AO323" s="250"/>
      <c r="AP323" s="250"/>
      <c r="AQ323" s="250"/>
      <c r="AR323" s="250"/>
      <c r="AS323" s="250"/>
      <c r="AT323" s="250"/>
      <c r="AU323" s="250"/>
      <c r="AV323" s="250"/>
      <c r="AW323" s="250"/>
      <c r="AX323" s="250"/>
      <c r="AY323" s="250"/>
      <c r="AZ323" s="250"/>
      <c r="BA323" s="250"/>
      <c r="BB323" s="250"/>
      <c r="BC323" s="250"/>
      <c r="BD323" s="250"/>
      <c r="BE323" s="250"/>
      <c r="BF323" s="250"/>
      <c r="BG323" s="250"/>
      <c r="BH323" s="250"/>
      <c r="BI323" s="250"/>
      <c r="BJ323" s="250"/>
      <c r="BK323" s="250"/>
      <c r="BL323" s="250"/>
      <c r="BM323" s="250"/>
      <c r="BN323" s="250"/>
      <c r="BO323" s="250"/>
      <c r="BP323" s="250"/>
      <c r="BQ323" s="250"/>
      <c r="BR323" s="250"/>
      <c r="BS323" s="250"/>
      <c r="BT323" s="250"/>
      <c r="BU323" s="250"/>
      <c r="BV323" s="250"/>
      <c r="BW323" s="250"/>
      <c r="BX323" s="250"/>
      <c r="BY323" s="250"/>
      <c r="BZ323" s="250"/>
      <c r="CA323" s="250"/>
      <c r="CB323" s="250"/>
      <c r="CC323" s="250"/>
      <c r="CD323" s="250"/>
      <c r="CE323" s="250"/>
      <c r="CF323" s="250"/>
      <c r="CG323" s="250"/>
      <c r="CH323" s="250"/>
      <c r="CI323" s="250"/>
      <c r="CJ323" s="250"/>
      <c r="CK323" s="313"/>
      <c r="CL323" s="250"/>
      <c r="CM323" s="250"/>
      <c r="CN323" s="250"/>
      <c r="CO323" s="250"/>
      <c r="CP323" s="250"/>
      <c r="CQ323" s="250"/>
      <c r="CR323" s="250"/>
      <c r="CS323" s="250"/>
      <c r="CT323" s="250"/>
      <c r="CU323" s="250"/>
      <c r="CV323" s="250"/>
      <c r="CW323" s="250"/>
      <c r="CX323" s="250"/>
      <c r="CY323" s="250"/>
      <c r="CZ323" s="250"/>
      <c r="DA323" s="250"/>
      <c r="DB323" s="250"/>
      <c r="DC323" s="250"/>
      <c r="DD323" s="250"/>
      <c r="DE323" s="250"/>
      <c r="DF323" s="250"/>
      <c r="DG323" s="250"/>
      <c r="DH323" s="250"/>
      <c r="DI323" s="250"/>
      <c r="DJ323" s="250"/>
      <c r="DK323" s="250"/>
      <c r="DL323" s="250"/>
      <c r="DM323" s="250"/>
      <c r="DN323" s="250"/>
      <c r="DO323" s="250"/>
      <c r="DP323" s="250"/>
      <c r="DQ323" s="250"/>
      <c r="DR323" s="250"/>
      <c r="DS323" s="250"/>
      <c r="DT323" s="250"/>
      <c r="DU323" s="235" t="s">
        <v>2557</v>
      </c>
      <c r="DV323" s="1081">
        <v>10</v>
      </c>
      <c r="DW323" s="234" t="s">
        <v>1</v>
      </c>
      <c r="DZ323" s="234"/>
      <c r="EA323" s="234"/>
      <c r="EB323" s="234"/>
    </row>
    <row r="324" spans="2:132" x14ac:dyDescent="0.45">
      <c r="BX324" s="246"/>
      <c r="BY324" s="246"/>
      <c r="BZ324" s="246"/>
      <c r="CA324" s="246"/>
      <c r="CB324" s="246"/>
      <c r="CC324" s="246"/>
      <c r="CD324" s="246"/>
      <c r="CE324" s="246"/>
      <c r="CF324" s="246"/>
      <c r="CG324" s="246"/>
      <c r="CH324" s="246"/>
      <c r="CI324" s="246"/>
      <c r="CJ324" s="246"/>
      <c r="CK324" s="246"/>
      <c r="CL324" s="246"/>
      <c r="CM324" s="246"/>
      <c r="CN324" s="246"/>
      <c r="CO324" s="246"/>
      <c r="CP324" s="246"/>
      <c r="CQ324" s="246"/>
      <c r="CR324" s="246"/>
      <c r="CS324" s="246"/>
      <c r="CT324" s="246"/>
      <c r="CU324" s="246"/>
      <c r="CV324" s="246"/>
      <c r="CW324" s="246"/>
      <c r="CX324" s="246"/>
      <c r="CY324" s="246"/>
      <c r="CZ324" s="246"/>
      <c r="DA324" s="246"/>
      <c r="DB324" s="246"/>
      <c r="DC324" s="246"/>
      <c r="DD324" s="246"/>
      <c r="DE324" s="246"/>
      <c r="DF324" s="246"/>
      <c r="DG324" s="246"/>
      <c r="DH324" s="246"/>
      <c r="DI324" s="246"/>
      <c r="DJ324" s="246"/>
      <c r="DK324" s="246"/>
      <c r="DL324" s="246"/>
      <c r="DM324" s="246"/>
      <c r="DN324" s="246"/>
      <c r="DO324" s="246"/>
      <c r="DP324" s="246"/>
      <c r="DQ324" s="246"/>
      <c r="DR324" s="246"/>
      <c r="DS324" s="246"/>
      <c r="DT324" s="246"/>
      <c r="DZ324" s="234"/>
      <c r="EA324" s="234"/>
      <c r="EB324" s="234"/>
    </row>
    <row r="325" spans="2:132" x14ac:dyDescent="0.45">
      <c r="B325" s="521" t="s">
        <v>2097</v>
      </c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  <c r="W325" s="250"/>
      <c r="X325" s="250"/>
      <c r="Y325" s="250"/>
      <c r="Z325" s="250"/>
      <c r="AA325" s="250"/>
      <c r="AB325" s="250"/>
      <c r="AC325" s="250"/>
      <c r="AD325" s="250"/>
      <c r="AE325" s="250"/>
      <c r="AF325" s="250"/>
      <c r="AG325" s="250"/>
      <c r="AH325" s="250"/>
      <c r="AI325" s="250"/>
      <c r="AJ325" s="250"/>
      <c r="AK325" s="250"/>
      <c r="AL325" s="250"/>
      <c r="AM325" s="250"/>
      <c r="AN325" s="250"/>
      <c r="AO325" s="250"/>
      <c r="AP325" s="250"/>
      <c r="AQ325" s="250"/>
      <c r="AR325" s="250"/>
      <c r="AS325" s="250"/>
      <c r="AT325" s="250"/>
      <c r="AU325" s="250"/>
      <c r="AV325" s="250"/>
      <c r="AW325" s="250"/>
      <c r="AX325" s="250"/>
      <c r="AY325" s="250"/>
      <c r="AZ325" s="250"/>
      <c r="BA325" s="313"/>
      <c r="BB325" s="250"/>
      <c r="BC325" s="250"/>
      <c r="BD325" s="250"/>
      <c r="BE325" s="250"/>
      <c r="BF325" s="250"/>
      <c r="BG325" s="250"/>
      <c r="BH325" s="250"/>
      <c r="BI325" s="250"/>
      <c r="BJ325" s="250"/>
      <c r="BK325" s="250"/>
      <c r="BL325" s="250"/>
      <c r="BM325" s="250"/>
      <c r="BN325" s="250"/>
      <c r="BO325" s="250"/>
      <c r="BP325" s="250"/>
      <c r="BQ325" s="250"/>
      <c r="BR325" s="250"/>
      <c r="BS325" s="250"/>
      <c r="BT325" s="250"/>
      <c r="BU325" s="250"/>
      <c r="BV325" s="250"/>
      <c r="BW325" s="250"/>
      <c r="BX325" s="250"/>
      <c r="BY325" s="250"/>
      <c r="BZ325" s="250"/>
      <c r="CA325" s="250"/>
      <c r="CB325" s="250"/>
      <c r="CC325" s="250"/>
      <c r="CD325" s="250"/>
      <c r="CE325" s="250"/>
      <c r="CF325" s="250"/>
      <c r="CG325" s="250"/>
      <c r="CH325" s="250"/>
      <c r="CI325" s="250"/>
      <c r="CJ325" s="250"/>
      <c r="CK325" s="250"/>
      <c r="CL325" s="250"/>
      <c r="CM325" s="250"/>
      <c r="CN325" s="250"/>
      <c r="CO325" s="250"/>
      <c r="CP325" s="250"/>
      <c r="CQ325" s="250"/>
      <c r="CR325" s="250"/>
      <c r="CS325" s="250"/>
      <c r="CT325" s="250"/>
      <c r="CU325" s="250"/>
      <c r="CV325" s="250"/>
      <c r="CW325" s="250"/>
      <c r="CX325" s="250"/>
      <c r="CY325" s="313"/>
      <c r="CZ325" s="250"/>
      <c r="DA325" s="250"/>
      <c r="DB325" s="250"/>
      <c r="DC325" s="250"/>
      <c r="DD325" s="250"/>
      <c r="DE325" s="250"/>
      <c r="DF325" s="250"/>
      <c r="DG325" s="250"/>
      <c r="DH325" s="250"/>
      <c r="DI325" s="250"/>
      <c r="DJ325" s="250"/>
      <c r="DK325" s="250"/>
      <c r="DL325" s="250"/>
      <c r="DM325" s="250"/>
      <c r="DN325" s="250"/>
      <c r="DO325" s="250"/>
      <c r="DP325" s="250"/>
      <c r="DQ325" s="250"/>
      <c r="DR325" s="250"/>
      <c r="DS325" s="250"/>
      <c r="DT325" s="250"/>
      <c r="DU325" s="235" t="s">
        <v>2539</v>
      </c>
      <c r="DV325" s="246">
        <f>ROUNDDOWN((DV326/(DV320*2)),0)</f>
        <v>126</v>
      </c>
      <c r="DW325" s="234" t="s">
        <v>5</v>
      </c>
      <c r="DX325" s="246">
        <f>DV325</f>
        <v>126</v>
      </c>
      <c r="DY325" s="312" t="s">
        <v>5</v>
      </c>
      <c r="DZ325" s="234"/>
      <c r="EA325" s="234"/>
      <c r="EB325" s="234"/>
    </row>
    <row r="326" spans="2:132" x14ac:dyDescent="0.45">
      <c r="BX326" s="246"/>
      <c r="BY326" s="246"/>
      <c r="BZ326" s="246"/>
      <c r="CA326" s="246"/>
      <c r="CB326" s="246"/>
      <c r="CC326" s="246"/>
      <c r="CD326" s="246"/>
      <c r="CE326" s="246"/>
      <c r="CF326" s="246"/>
      <c r="CG326" s="246"/>
      <c r="CH326" s="246"/>
      <c r="CI326" s="246"/>
      <c r="CJ326" s="246"/>
      <c r="CK326" s="246"/>
      <c r="CL326" s="246"/>
      <c r="CM326" s="246"/>
      <c r="CN326" s="246"/>
      <c r="CO326" s="246"/>
      <c r="CP326" s="246"/>
      <c r="CQ326" s="246"/>
      <c r="CR326" s="246"/>
      <c r="CS326" s="246"/>
      <c r="CT326" s="246"/>
      <c r="CU326" s="246"/>
      <c r="CV326" s="246"/>
      <c r="CW326" s="246"/>
      <c r="CX326" s="246"/>
      <c r="CY326" s="246"/>
      <c r="CZ326" s="246"/>
      <c r="DA326" s="246"/>
      <c r="DB326" s="246"/>
      <c r="DC326" s="246"/>
      <c r="DD326" s="246"/>
      <c r="DE326" s="246"/>
      <c r="DF326" s="246"/>
      <c r="DG326" s="246"/>
      <c r="DH326" s="246"/>
      <c r="DI326" s="246"/>
      <c r="DJ326" s="246"/>
      <c r="DK326" s="246"/>
      <c r="DL326" s="246"/>
      <c r="DM326" s="246"/>
      <c r="DN326" s="246"/>
      <c r="DO326" s="246"/>
      <c r="DP326" s="246"/>
      <c r="DQ326" s="246"/>
      <c r="DR326" s="246"/>
      <c r="DS326" s="246"/>
      <c r="DT326" s="246"/>
      <c r="DU326" s="235"/>
      <c r="DV326" s="1080">
        <f>DX328*0.85</f>
        <v>6.1499999999999995</v>
      </c>
      <c r="DW326" s="234" t="s">
        <v>1</v>
      </c>
      <c r="DX326" s="1061">
        <f>DX325*(DX320*2)</f>
        <v>4.9411764705882355</v>
      </c>
      <c r="DY326" s="312" t="s">
        <v>1</v>
      </c>
      <c r="DZ326" s="234"/>
      <c r="EA326" s="234"/>
      <c r="EB326" s="234"/>
    </row>
    <row r="327" spans="2:132" x14ac:dyDescent="0.45">
      <c r="BX327" s="246"/>
      <c r="BY327" s="246"/>
      <c r="BZ327" s="246"/>
      <c r="DU327" s="235" t="s">
        <v>2124</v>
      </c>
      <c r="DV327" s="246">
        <f>DV328/(DV320*2)</f>
        <v>184.5</v>
      </c>
      <c r="DW327" s="234" t="s">
        <v>5</v>
      </c>
      <c r="DX327" s="246">
        <f>DV327</f>
        <v>184.5</v>
      </c>
      <c r="DY327" s="312" t="s">
        <v>5</v>
      </c>
      <c r="DZ327" s="234"/>
      <c r="EA327" s="234"/>
      <c r="EB327" s="234"/>
    </row>
    <row r="328" spans="2:132" x14ac:dyDescent="0.45">
      <c r="BX328" s="246"/>
      <c r="BY328" s="246"/>
      <c r="BZ328" s="246"/>
      <c r="DU328" s="235"/>
      <c r="DV328" s="1082">
        <f>DV323*0.9</f>
        <v>9</v>
      </c>
      <c r="DW328" s="234" t="s">
        <v>1</v>
      </c>
      <c r="DX328" s="1061">
        <f>DX327*(DX320*2)</f>
        <v>7.2352941176470589</v>
      </c>
      <c r="DY328" s="312" t="s">
        <v>1</v>
      </c>
      <c r="DZ328" s="234"/>
      <c r="EA328" s="234"/>
      <c r="EB328" s="234"/>
    </row>
    <row r="329" spans="2:132" x14ac:dyDescent="0.45">
      <c r="BX329" s="246"/>
      <c r="BY329" s="246"/>
      <c r="BZ329" s="246"/>
      <c r="DZ329" s="234"/>
      <c r="EA329" s="234"/>
      <c r="EB329" s="234"/>
    </row>
    <row r="330" spans="2:132" x14ac:dyDescent="0.45">
      <c r="BX330" s="246"/>
      <c r="BY330" s="246"/>
      <c r="BZ330" s="246"/>
      <c r="DZ330" s="234"/>
      <c r="EA330" s="234"/>
      <c r="EB330" s="234"/>
    </row>
    <row r="331" spans="2:132" x14ac:dyDescent="0.45">
      <c r="BX331" s="246"/>
      <c r="BY331" s="246"/>
      <c r="BZ331" s="246"/>
      <c r="DZ331" s="234"/>
      <c r="EA331" s="234"/>
      <c r="EB331" s="234"/>
    </row>
    <row r="332" spans="2:132" x14ac:dyDescent="0.45">
      <c r="BX332" s="246"/>
      <c r="BY332" s="246"/>
      <c r="BZ332" s="246"/>
      <c r="DZ332" s="234"/>
      <c r="EA332" s="234"/>
      <c r="EB332" s="234"/>
    </row>
    <row r="333" spans="2:132" x14ac:dyDescent="0.45">
      <c r="BX333" s="246"/>
      <c r="BY333" s="246"/>
      <c r="BZ333" s="246"/>
      <c r="DW333" s="235" t="s">
        <v>2661</v>
      </c>
      <c r="DZ333" s="234"/>
      <c r="EA333" s="1136">
        <v>1</v>
      </c>
      <c r="EB333" s="234"/>
    </row>
    <row r="334" spans="2:132" x14ac:dyDescent="0.45">
      <c r="BX334" s="246"/>
      <c r="BY334" s="246"/>
      <c r="BZ334" s="246"/>
      <c r="DW334" s="235" t="s">
        <v>2662</v>
      </c>
      <c r="DZ334" s="234"/>
      <c r="EA334" s="1138">
        <v>2</v>
      </c>
      <c r="EB334" s="1137"/>
    </row>
    <row r="335" spans="2:132" x14ac:dyDescent="0.45">
      <c r="BX335" s="246"/>
      <c r="BY335" s="246"/>
      <c r="BZ335" s="246"/>
      <c r="DZ335" s="234"/>
      <c r="EA335" s="1136">
        <v>3</v>
      </c>
      <c r="EB335" s="234"/>
    </row>
    <row r="336" spans="2:132" x14ac:dyDescent="0.45">
      <c r="BX336" s="246"/>
      <c r="BY336" s="246"/>
      <c r="BZ336" s="246"/>
      <c r="DZ336" s="234"/>
      <c r="EA336" s="1138">
        <v>4</v>
      </c>
      <c r="EB336" s="1137"/>
    </row>
    <row r="337" spans="2:133" x14ac:dyDescent="0.45">
      <c r="BX337" s="246"/>
      <c r="BY337" s="246"/>
      <c r="BZ337" s="246"/>
      <c r="DZ337" s="234"/>
      <c r="EA337" s="1136">
        <v>5</v>
      </c>
      <c r="EB337" s="234"/>
    </row>
    <row r="338" spans="2:133" ht="16" x14ac:dyDescent="0.45">
      <c r="B338" s="623" t="s">
        <v>2658</v>
      </c>
      <c r="C338" s="615"/>
      <c r="D338" s="616"/>
      <c r="E338" s="616"/>
      <c r="F338" s="616"/>
      <c r="G338" s="616"/>
      <c r="H338" s="616"/>
      <c r="I338" s="616"/>
      <c r="J338" s="616"/>
      <c r="K338" s="616"/>
      <c r="L338" s="616"/>
      <c r="M338" s="616"/>
      <c r="N338" s="616"/>
      <c r="O338" s="616"/>
      <c r="P338" s="616"/>
      <c r="Q338" s="616"/>
      <c r="R338" s="616"/>
      <c r="S338" s="616"/>
      <c r="T338" s="616"/>
      <c r="U338" s="616"/>
      <c r="V338" s="616"/>
      <c r="W338" s="616"/>
      <c r="X338" s="616"/>
      <c r="Y338" s="616"/>
      <c r="Z338" s="616"/>
      <c r="AA338" s="616"/>
      <c r="AB338" s="616"/>
      <c r="AC338" s="616"/>
      <c r="AD338" s="616"/>
      <c r="AE338" s="616"/>
      <c r="AF338" s="616"/>
      <c r="AG338" s="616"/>
      <c r="AH338" s="616"/>
      <c r="AI338" s="616"/>
      <c r="AJ338" s="616"/>
      <c r="AK338" s="616"/>
      <c r="AL338" s="616"/>
      <c r="AM338" s="616"/>
      <c r="AN338" s="616"/>
      <c r="AO338" s="616"/>
      <c r="AP338" s="616"/>
      <c r="AQ338" s="616"/>
      <c r="AR338" s="616"/>
      <c r="AS338" s="616"/>
      <c r="AT338" s="616"/>
      <c r="AU338" s="616"/>
      <c r="AV338" s="616"/>
      <c r="AW338" s="616"/>
      <c r="AX338" s="616"/>
      <c r="AY338" s="616"/>
      <c r="AZ338" s="616"/>
      <c r="BA338" s="616"/>
      <c r="BB338" s="616"/>
      <c r="BC338" s="616"/>
      <c r="BD338" s="616"/>
      <c r="BE338" s="616"/>
      <c r="BF338" s="616"/>
      <c r="BG338" s="616"/>
      <c r="BH338" s="616"/>
      <c r="BI338" s="616"/>
      <c r="BJ338" s="616"/>
      <c r="BK338" s="616"/>
      <c r="BL338" s="616"/>
      <c r="BM338" s="616"/>
      <c r="BN338" s="616"/>
      <c r="BO338" s="616"/>
      <c r="BP338" s="616"/>
      <c r="BQ338" s="616"/>
      <c r="BR338" s="616"/>
      <c r="BS338" s="616"/>
      <c r="BT338" s="616"/>
      <c r="BU338" s="616"/>
      <c r="BV338" s="616"/>
      <c r="BW338" s="616"/>
      <c r="BX338" s="614"/>
      <c r="BY338" s="614"/>
      <c r="BZ338" s="614"/>
      <c r="CA338" s="614"/>
      <c r="CB338" s="614"/>
      <c r="CC338" s="614"/>
      <c r="CD338" s="614"/>
      <c r="CE338" s="614"/>
      <c r="CF338" s="614"/>
      <c r="CG338" s="614"/>
      <c r="CH338" s="614"/>
      <c r="CI338" s="614"/>
      <c r="CJ338" s="614"/>
      <c r="CK338" s="614"/>
      <c r="CL338" s="614"/>
      <c r="CM338" s="614"/>
      <c r="CN338" s="614"/>
      <c r="CO338" s="614"/>
      <c r="CP338" s="614"/>
      <c r="CQ338" s="614"/>
      <c r="CR338" s="614"/>
      <c r="CS338" s="614"/>
      <c r="CT338" s="614"/>
      <c r="CU338" s="614"/>
      <c r="CV338" s="614"/>
      <c r="CW338" s="614"/>
      <c r="CX338" s="614"/>
      <c r="CY338" s="614"/>
      <c r="CZ338" s="614"/>
      <c r="DA338" s="614"/>
      <c r="DB338" s="614"/>
      <c r="DC338" s="614"/>
      <c r="DD338" s="614"/>
      <c r="DE338" s="614"/>
      <c r="DF338" s="614"/>
      <c r="DG338" s="614"/>
      <c r="DH338" s="614"/>
      <c r="DI338" s="614"/>
      <c r="DJ338" s="614"/>
      <c r="DK338" s="614"/>
      <c r="DL338" s="614"/>
      <c r="DM338" s="614"/>
      <c r="DN338" s="614"/>
      <c r="DO338" s="614"/>
      <c r="DP338" s="614"/>
      <c r="DQ338" s="614"/>
      <c r="DR338" s="614"/>
      <c r="DS338" s="614"/>
      <c r="DT338" s="614"/>
      <c r="DZ338" s="234"/>
      <c r="EA338" s="1138">
        <v>6</v>
      </c>
      <c r="EB338" s="1137"/>
    </row>
    <row r="339" spans="2:133" x14ac:dyDescent="0.45">
      <c r="B339" s="521" t="s">
        <v>1431</v>
      </c>
      <c r="D339" s="247"/>
      <c r="E339" s="247"/>
      <c r="F339" s="347"/>
      <c r="G339" s="348"/>
      <c r="H339" s="348"/>
      <c r="I339" s="348"/>
      <c r="J339" s="348"/>
      <c r="K339" s="348"/>
      <c r="L339" s="349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  <c r="AB339" s="256"/>
      <c r="AC339" s="256"/>
      <c r="AD339" s="256"/>
      <c r="AE339" s="256"/>
      <c r="AF339" s="256"/>
      <c r="AG339" s="256"/>
      <c r="AH339" s="256"/>
      <c r="AI339" s="256"/>
      <c r="AJ339" s="256"/>
      <c r="AK339" s="256"/>
      <c r="AL339" s="256"/>
      <c r="AM339" s="256"/>
      <c r="AN339" s="256"/>
      <c r="AO339" s="256"/>
      <c r="AP339" s="256"/>
      <c r="AQ339" s="256"/>
      <c r="AR339" s="256"/>
      <c r="AS339" s="256"/>
      <c r="AT339" s="256"/>
      <c r="AU339" s="256"/>
      <c r="AV339" s="256"/>
      <c r="AW339" s="256"/>
      <c r="AX339" s="256"/>
      <c r="AY339" s="256"/>
      <c r="AZ339" s="256"/>
      <c r="BA339" s="256"/>
      <c r="BB339" s="256"/>
      <c r="BC339" s="256"/>
      <c r="BD339" s="256"/>
      <c r="BE339" s="256"/>
      <c r="BF339" s="256"/>
      <c r="BG339" s="256"/>
      <c r="BH339" s="256"/>
      <c r="BI339" s="256"/>
      <c r="BJ339" s="256"/>
      <c r="BK339" s="256"/>
      <c r="BL339" s="256"/>
      <c r="BM339" s="256"/>
      <c r="BN339" s="256"/>
      <c r="BO339" s="256"/>
      <c r="BP339" s="256"/>
      <c r="BQ339" s="256"/>
      <c r="BR339" s="256"/>
      <c r="BS339" s="256"/>
      <c r="BT339" s="256"/>
      <c r="BU339" s="256"/>
      <c r="BV339" s="256"/>
      <c r="BW339" s="256"/>
      <c r="BX339" s="256"/>
      <c r="BY339" s="256"/>
      <c r="BZ339" s="256"/>
      <c r="CA339" s="347"/>
      <c r="CB339" s="348"/>
      <c r="CC339" s="348"/>
      <c r="CD339" s="348"/>
      <c r="CE339" s="348"/>
      <c r="CF339" s="348"/>
      <c r="CG339" s="349"/>
      <c r="CH339" s="256"/>
      <c r="CI339" s="256"/>
      <c r="CJ339" s="256"/>
      <c r="CK339" s="256"/>
      <c r="CL339" s="256"/>
      <c r="CM339" s="256"/>
      <c r="CN339" s="256"/>
      <c r="CO339" s="256"/>
      <c r="CP339" s="256"/>
      <c r="CQ339" s="256"/>
      <c r="CR339" s="256"/>
      <c r="CS339" s="256"/>
      <c r="CT339" s="256"/>
      <c r="CU339" s="256"/>
      <c r="CV339" s="256"/>
      <c r="CW339" s="256"/>
      <c r="CX339" s="256"/>
      <c r="CY339" s="256"/>
      <c r="CZ339" s="256"/>
      <c r="DA339" s="256"/>
      <c r="DB339" s="256"/>
      <c r="DC339" s="256"/>
      <c r="DD339" s="256"/>
      <c r="DE339" s="256"/>
      <c r="DF339" s="256"/>
      <c r="DG339" s="256"/>
      <c r="DH339" s="256"/>
      <c r="DI339" s="256"/>
      <c r="DJ339" s="256"/>
      <c r="DK339" s="256"/>
      <c r="DL339" s="256"/>
      <c r="DM339" s="256"/>
      <c r="DN339" s="256"/>
      <c r="DO339" s="256"/>
      <c r="DP339" s="256"/>
      <c r="DQ339" s="256"/>
      <c r="DR339" s="256"/>
      <c r="DS339" s="256"/>
      <c r="DT339" s="256"/>
      <c r="DZ339" s="234"/>
      <c r="EA339" s="1136">
        <v>7</v>
      </c>
      <c r="EB339" s="234"/>
    </row>
    <row r="340" spans="2:133" x14ac:dyDescent="0.45">
      <c r="B340" s="554"/>
      <c r="D340" s="248"/>
      <c r="E340" s="248"/>
      <c r="F340" s="248"/>
      <c r="G340" s="248"/>
      <c r="H340" s="248"/>
      <c r="I340" s="248"/>
      <c r="J340" s="257"/>
      <c r="K340" s="257"/>
      <c r="L340" s="257"/>
      <c r="M340" s="257"/>
      <c r="N340" s="257"/>
      <c r="O340" s="257"/>
      <c r="P340" s="257"/>
      <c r="Q340" s="257"/>
      <c r="R340" s="257"/>
      <c r="S340" s="257"/>
      <c r="T340" s="257"/>
      <c r="U340" s="257"/>
      <c r="V340" s="257"/>
      <c r="W340" s="257"/>
      <c r="X340" s="257"/>
      <c r="Y340" s="257"/>
      <c r="Z340" s="257"/>
      <c r="AA340" s="257"/>
      <c r="AB340" s="257"/>
      <c r="AC340" s="257"/>
      <c r="AD340" s="257"/>
      <c r="AE340" s="257"/>
      <c r="AF340" s="257"/>
      <c r="AG340" s="257"/>
      <c r="AH340" s="257"/>
      <c r="AI340" s="257"/>
      <c r="AJ340" s="257"/>
      <c r="AK340" s="257"/>
      <c r="AL340" s="257"/>
      <c r="AM340" s="257"/>
      <c r="AN340" s="257"/>
      <c r="AO340" s="257"/>
      <c r="AP340" s="257"/>
      <c r="AQ340" s="257"/>
      <c r="AR340" s="257"/>
      <c r="AS340" s="257"/>
      <c r="AT340" s="257"/>
      <c r="AU340" s="257"/>
      <c r="AV340" s="257"/>
      <c r="AW340" s="257"/>
      <c r="AX340" s="257"/>
      <c r="AY340" s="257"/>
      <c r="AZ340" s="257"/>
      <c r="BA340" s="257"/>
      <c r="BB340" s="257"/>
      <c r="BC340" s="257"/>
      <c r="BD340" s="257"/>
      <c r="BE340" s="257"/>
      <c r="BF340" s="257"/>
      <c r="BG340" s="257"/>
      <c r="BH340" s="257"/>
      <c r="BI340" s="257"/>
      <c r="BJ340" s="257"/>
      <c r="BK340" s="257"/>
      <c r="BL340" s="257"/>
      <c r="BM340" s="257"/>
      <c r="BN340" s="257"/>
      <c r="BO340" s="257"/>
      <c r="BP340" s="257"/>
      <c r="BQ340" s="257"/>
      <c r="BR340" s="257"/>
      <c r="BS340" s="257"/>
      <c r="BT340" s="257"/>
      <c r="BU340" s="257"/>
      <c r="BV340" s="257"/>
      <c r="BW340" s="257"/>
      <c r="BX340" s="257"/>
      <c r="BY340" s="257"/>
      <c r="BZ340" s="257"/>
      <c r="CA340" s="248"/>
      <c r="CB340" s="248"/>
      <c r="CC340" s="248"/>
      <c r="CD340" s="248"/>
      <c r="CE340" s="257"/>
      <c r="CF340" s="257"/>
      <c r="CG340" s="257"/>
      <c r="CH340" s="257"/>
      <c r="CI340" s="257"/>
      <c r="CJ340" s="257"/>
      <c r="CK340" s="257"/>
      <c r="CL340" s="257"/>
      <c r="CM340" s="257"/>
      <c r="CN340" s="257"/>
      <c r="CO340" s="257"/>
      <c r="CP340" s="257"/>
      <c r="CQ340" s="257"/>
      <c r="CR340" s="257"/>
      <c r="CS340" s="257"/>
      <c r="CT340" s="257"/>
      <c r="CU340" s="257"/>
      <c r="CV340" s="257"/>
      <c r="CW340" s="257"/>
      <c r="CX340" s="257"/>
      <c r="CY340" s="257"/>
      <c r="CZ340" s="257"/>
      <c r="DA340" s="257"/>
      <c r="DB340" s="257"/>
      <c r="DC340" s="257"/>
      <c r="DD340" s="257"/>
      <c r="DE340" s="257"/>
      <c r="DF340" s="257"/>
      <c r="DG340" s="257"/>
      <c r="DH340" s="257"/>
      <c r="DI340" s="257"/>
      <c r="DJ340" s="257"/>
      <c r="DK340" s="257"/>
      <c r="DL340" s="257"/>
      <c r="DM340" s="257"/>
      <c r="DN340" s="257"/>
      <c r="DO340" s="257"/>
      <c r="DP340" s="257"/>
      <c r="DQ340" s="257"/>
      <c r="DR340" s="257"/>
      <c r="DS340" s="257"/>
      <c r="DT340" s="257"/>
      <c r="DZ340" s="234"/>
      <c r="EA340" s="1138">
        <v>8</v>
      </c>
      <c r="EB340" s="1137"/>
    </row>
    <row r="341" spans="2:133" x14ac:dyDescent="0.45">
      <c r="B341" s="521" t="s">
        <v>2071</v>
      </c>
      <c r="D341" s="247"/>
      <c r="E341" s="247"/>
      <c r="F341" s="247"/>
      <c r="G341" s="885"/>
      <c r="H341" s="256"/>
      <c r="I341" s="256"/>
      <c r="J341" s="256"/>
      <c r="K341" s="256"/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  <c r="AA341" s="256"/>
      <c r="AB341" s="256"/>
      <c r="AC341" s="256"/>
      <c r="AD341" s="256"/>
      <c r="AE341" s="256"/>
      <c r="AF341" s="256"/>
      <c r="AG341" s="256"/>
      <c r="AH341" s="256"/>
      <c r="AI341" s="256"/>
      <c r="AJ341" s="256"/>
      <c r="AK341" s="256"/>
      <c r="AL341" s="256"/>
      <c r="AM341" s="256"/>
      <c r="AN341" s="256"/>
      <c r="AO341" s="256"/>
      <c r="AP341" s="256"/>
      <c r="AQ341" s="256"/>
      <c r="AR341" s="256"/>
      <c r="AS341" s="256"/>
      <c r="AT341" s="256"/>
      <c r="AU341" s="256"/>
      <c r="AV341" s="256"/>
      <c r="AW341" s="256"/>
      <c r="AX341" s="256"/>
      <c r="AY341" s="256"/>
      <c r="AZ341" s="256"/>
      <c r="BA341" s="256"/>
      <c r="BB341" s="256"/>
      <c r="BC341" s="256"/>
      <c r="BD341" s="256"/>
      <c r="BE341" s="256"/>
      <c r="BF341" s="256"/>
      <c r="BG341" s="256"/>
      <c r="BH341" s="256"/>
      <c r="BI341" s="256"/>
      <c r="BJ341" s="256"/>
      <c r="BK341" s="256"/>
      <c r="BL341" s="256"/>
      <c r="BM341" s="256"/>
      <c r="BN341" s="256"/>
      <c r="BO341" s="256"/>
      <c r="BP341" s="256"/>
      <c r="BQ341" s="256"/>
      <c r="BR341" s="256"/>
      <c r="BS341" s="256"/>
      <c r="BT341" s="256"/>
      <c r="BU341" s="256"/>
      <c r="BV341" s="256"/>
      <c r="BW341" s="256"/>
      <c r="BX341" s="256"/>
      <c r="BY341" s="256"/>
      <c r="BZ341" s="247"/>
      <c r="CA341" s="247"/>
      <c r="CB341" s="885"/>
      <c r="CC341" s="256"/>
      <c r="CD341" s="256"/>
      <c r="CE341" s="256"/>
      <c r="CF341" s="256"/>
      <c r="CG341" s="256"/>
      <c r="CH341" s="256"/>
      <c r="CI341" s="256"/>
      <c r="CJ341" s="256"/>
      <c r="CK341" s="256"/>
      <c r="CL341" s="256"/>
      <c r="CM341" s="256"/>
      <c r="CN341" s="256"/>
      <c r="CO341" s="256"/>
      <c r="CP341" s="256"/>
      <c r="CQ341" s="256"/>
      <c r="CR341" s="256"/>
      <c r="CS341" s="256"/>
      <c r="CT341" s="256"/>
      <c r="CU341" s="256"/>
      <c r="CV341" s="256"/>
      <c r="CW341" s="256"/>
      <c r="CX341" s="256"/>
      <c r="CY341" s="256"/>
      <c r="CZ341" s="256"/>
      <c r="DA341" s="256"/>
      <c r="DB341" s="256"/>
      <c r="DC341" s="256"/>
      <c r="DD341" s="256"/>
      <c r="DE341" s="256"/>
      <c r="DF341" s="256"/>
      <c r="DG341" s="256"/>
      <c r="DH341" s="256"/>
      <c r="DI341" s="256"/>
      <c r="DJ341" s="256"/>
      <c r="DK341" s="256"/>
      <c r="DL341" s="256"/>
      <c r="DM341" s="256"/>
      <c r="DN341" s="256"/>
      <c r="DO341" s="256"/>
      <c r="DP341" s="256"/>
      <c r="DQ341" s="256"/>
      <c r="DR341" s="256"/>
      <c r="DS341" s="256"/>
      <c r="DT341" s="256"/>
      <c r="EC341" s="235"/>
    </row>
    <row r="342" spans="2:133" x14ac:dyDescent="0.45">
      <c r="S342" s="234"/>
      <c r="T342" s="234"/>
      <c r="BT342" s="234"/>
      <c r="BU342" s="234"/>
      <c r="BV342" s="234"/>
      <c r="BX342" s="246"/>
      <c r="BY342" s="246"/>
      <c r="BZ342" s="246"/>
      <c r="CA342" s="246"/>
      <c r="CB342" s="246"/>
      <c r="CC342" s="246"/>
      <c r="CD342" s="246"/>
      <c r="CE342" s="246"/>
      <c r="CF342" s="246"/>
      <c r="CG342" s="246"/>
      <c r="CH342" s="246"/>
      <c r="CI342" s="246"/>
      <c r="CJ342" s="246"/>
      <c r="CK342" s="246"/>
      <c r="CL342" s="246"/>
      <c r="CM342" s="246"/>
      <c r="CP342" s="246"/>
      <c r="CQ342" s="246"/>
      <c r="CR342" s="246"/>
      <c r="CS342" s="246"/>
      <c r="CT342" s="246"/>
      <c r="CU342" s="246"/>
      <c r="CV342" s="246"/>
      <c r="CW342" s="246"/>
      <c r="CX342" s="246"/>
      <c r="CY342" s="246"/>
      <c r="CZ342" s="246"/>
      <c r="DA342" s="246"/>
      <c r="DB342" s="246"/>
      <c r="DC342" s="246"/>
      <c r="DD342" s="246"/>
      <c r="DE342" s="246"/>
      <c r="DF342" s="246"/>
      <c r="DG342" s="246"/>
      <c r="DZ342" s="234"/>
      <c r="EA342" s="234"/>
      <c r="EB342" s="234"/>
    </row>
    <row r="343" spans="2:133" x14ac:dyDescent="0.45">
      <c r="B343" s="521" t="s">
        <v>2657</v>
      </c>
      <c r="D343" s="247"/>
      <c r="E343" s="247"/>
      <c r="F343" s="247"/>
      <c r="G343" s="247"/>
      <c r="H343" s="322"/>
      <c r="I343" s="249"/>
      <c r="J343" s="249"/>
      <c r="K343" s="249"/>
      <c r="L343" s="249"/>
      <c r="M343" s="249"/>
      <c r="N343" s="249"/>
      <c r="O343" s="323"/>
      <c r="P343" s="247"/>
      <c r="Q343" s="247"/>
      <c r="R343" s="247"/>
      <c r="S343" s="247"/>
      <c r="T343" s="247"/>
      <c r="U343" s="247"/>
      <c r="V343" s="247"/>
      <c r="W343" s="247"/>
      <c r="X343" s="247"/>
      <c r="Y343" s="247"/>
      <c r="Z343" s="247"/>
      <c r="AA343" s="247"/>
      <c r="AB343" s="247"/>
      <c r="AC343" s="247"/>
      <c r="AD343" s="247"/>
      <c r="AE343" s="247"/>
      <c r="AF343" s="247"/>
      <c r="AG343" s="247"/>
      <c r="AH343" s="247"/>
      <c r="AI343" s="247"/>
      <c r="AJ343" s="247"/>
      <c r="AK343" s="247"/>
      <c r="AL343" s="247"/>
      <c r="AM343" s="247"/>
      <c r="AN343" s="247"/>
      <c r="AO343" s="247"/>
      <c r="AP343" s="247"/>
      <c r="AQ343" s="247"/>
      <c r="AR343" s="247"/>
      <c r="AS343" s="247"/>
      <c r="AT343" s="247"/>
      <c r="AU343" s="247"/>
      <c r="AV343" s="247"/>
      <c r="AW343" s="247"/>
      <c r="AX343" s="247"/>
      <c r="AY343" s="247"/>
      <c r="AZ343" s="247"/>
      <c r="BA343" s="247"/>
      <c r="BB343" s="247"/>
      <c r="BC343" s="247"/>
      <c r="BD343" s="247"/>
      <c r="BE343" s="247"/>
      <c r="BF343" s="247"/>
      <c r="BG343" s="247"/>
      <c r="BH343" s="247"/>
      <c r="BI343" s="247"/>
      <c r="BJ343" s="247"/>
      <c r="BK343" s="247"/>
      <c r="BL343" s="247"/>
      <c r="BM343" s="247"/>
      <c r="BN343" s="247"/>
      <c r="BO343" s="247"/>
      <c r="BP343" s="247"/>
      <c r="BQ343" s="247"/>
      <c r="BR343" s="247"/>
      <c r="BS343" s="247"/>
      <c r="BT343" s="247"/>
      <c r="BU343" s="247"/>
      <c r="BV343" s="247"/>
      <c r="BW343" s="247"/>
      <c r="BX343" s="247"/>
      <c r="BY343" s="247"/>
      <c r="BZ343" s="247"/>
      <c r="CA343" s="247"/>
      <c r="CB343" s="247"/>
      <c r="CC343" s="322"/>
      <c r="CD343" s="249"/>
      <c r="CE343" s="249"/>
      <c r="CF343" s="249"/>
      <c r="CG343" s="249"/>
      <c r="CH343" s="249"/>
      <c r="CI343" s="249"/>
      <c r="CJ343" s="323"/>
      <c r="CK343" s="247"/>
      <c r="CL343" s="247"/>
      <c r="CM343" s="247"/>
      <c r="CN343" s="247"/>
      <c r="CO343" s="247"/>
      <c r="CP343" s="247"/>
      <c r="CQ343" s="247"/>
      <c r="CR343" s="247"/>
      <c r="CS343" s="247"/>
      <c r="CT343" s="247"/>
      <c r="CU343" s="247"/>
      <c r="CV343" s="247"/>
      <c r="CW343" s="247"/>
      <c r="CX343" s="247"/>
      <c r="CY343" s="247"/>
      <c r="CZ343" s="247"/>
      <c r="DA343" s="247"/>
      <c r="DB343" s="247"/>
      <c r="DC343" s="247"/>
      <c r="DD343" s="247"/>
      <c r="DE343" s="247"/>
      <c r="DF343" s="247"/>
      <c r="DG343" s="247"/>
      <c r="DH343" s="247"/>
      <c r="DI343" s="247"/>
      <c r="DJ343" s="247"/>
      <c r="DK343" s="247"/>
      <c r="DL343" s="247"/>
      <c r="DM343" s="247"/>
      <c r="DN343" s="247"/>
      <c r="DO343" s="247"/>
      <c r="DP343" s="247"/>
      <c r="DQ343" s="247"/>
      <c r="DR343" s="247"/>
      <c r="DS343" s="247"/>
      <c r="DT343" s="247"/>
      <c r="DZ343" s="234"/>
      <c r="EA343" s="234"/>
      <c r="EB343" s="234"/>
    </row>
    <row r="344" spans="2:133" x14ac:dyDescent="0.45">
      <c r="W344" s="234"/>
      <c r="X344" s="234"/>
      <c r="BY344" s="246"/>
      <c r="BZ344" s="246"/>
      <c r="CA344" s="246"/>
      <c r="CB344" s="246"/>
      <c r="CC344" s="246"/>
      <c r="CD344" s="246"/>
      <c r="CE344" s="246"/>
      <c r="CF344" s="246"/>
      <c r="CG344" s="246"/>
      <c r="CH344" s="246"/>
      <c r="CI344" s="246"/>
      <c r="CJ344" s="246"/>
      <c r="CK344" s="246"/>
      <c r="CL344" s="246"/>
      <c r="CM344" s="246"/>
      <c r="CN344" s="246"/>
      <c r="CO344" s="246"/>
      <c r="CP344" s="246"/>
      <c r="CQ344" s="246"/>
      <c r="CT344" s="246"/>
      <c r="CU344" s="246"/>
      <c r="CV344" s="246"/>
      <c r="CW344" s="246"/>
      <c r="CX344" s="246"/>
      <c r="CY344" s="246"/>
      <c r="CZ344" s="246"/>
      <c r="DA344" s="246"/>
      <c r="DB344" s="246"/>
      <c r="DC344" s="246"/>
      <c r="DD344" s="246"/>
      <c r="DE344" s="246"/>
      <c r="DF344" s="246"/>
      <c r="DG344" s="246"/>
      <c r="DH344" s="246"/>
      <c r="DI344" s="246"/>
      <c r="DJ344" s="246"/>
      <c r="DK344" s="246"/>
      <c r="DZ344" s="234"/>
      <c r="EA344" s="234"/>
      <c r="EB344" s="234"/>
    </row>
    <row r="345" spans="2:133" x14ac:dyDescent="0.45">
      <c r="B345" s="521" t="s">
        <v>2081</v>
      </c>
      <c r="D345" s="247"/>
      <c r="E345" s="247"/>
      <c r="F345" s="247"/>
      <c r="G345" s="247"/>
      <c r="H345" s="247"/>
      <c r="I345" s="256"/>
      <c r="J345" s="256"/>
      <c r="K345" s="256"/>
      <c r="L345" s="256"/>
      <c r="M345" s="256"/>
      <c r="N345" s="256"/>
      <c r="O345" s="256"/>
      <c r="P345" s="880"/>
      <c r="Q345" s="880"/>
      <c r="R345" s="880"/>
      <c r="S345" s="880"/>
      <c r="T345" s="881"/>
      <c r="U345" s="881"/>
      <c r="V345" s="881"/>
      <c r="W345" s="881"/>
      <c r="X345" s="256"/>
      <c r="Y345" s="256"/>
      <c r="Z345" s="256"/>
      <c r="AA345" s="256"/>
      <c r="AB345" s="256"/>
      <c r="AC345" s="256"/>
      <c r="AD345" s="256"/>
      <c r="AE345" s="256"/>
      <c r="AF345" s="256"/>
      <c r="AG345" s="256"/>
      <c r="AH345" s="256"/>
      <c r="AI345" s="256"/>
      <c r="AJ345" s="256"/>
      <c r="AK345" s="256"/>
      <c r="AL345" s="256"/>
      <c r="AM345" s="256"/>
      <c r="AN345" s="256"/>
      <c r="AO345" s="256"/>
      <c r="AP345" s="256"/>
      <c r="AQ345" s="256"/>
      <c r="AR345" s="256"/>
      <c r="AS345" s="256"/>
      <c r="AT345" s="256"/>
      <c r="AU345" s="256"/>
      <c r="AV345" s="256"/>
      <c r="AW345" s="256"/>
      <c r="AX345" s="256"/>
      <c r="AY345" s="256"/>
      <c r="AZ345" s="256"/>
      <c r="BA345" s="256"/>
      <c r="BB345" s="256"/>
      <c r="BC345" s="256"/>
      <c r="BD345" s="256"/>
      <c r="BE345" s="256"/>
      <c r="BF345" s="256"/>
      <c r="BG345" s="256"/>
      <c r="BH345" s="256"/>
      <c r="BI345" s="256"/>
      <c r="BJ345" s="256"/>
      <c r="BK345" s="256"/>
      <c r="BL345" s="256"/>
      <c r="BM345" s="256"/>
      <c r="BN345" s="256"/>
      <c r="BO345" s="256"/>
      <c r="BP345" s="256"/>
      <c r="BQ345" s="256"/>
      <c r="BR345" s="256"/>
      <c r="BS345" s="256"/>
      <c r="BT345" s="247"/>
      <c r="BU345" s="247"/>
      <c r="BV345" s="247"/>
      <c r="BW345" s="256"/>
      <c r="BX345" s="256"/>
      <c r="BY345" s="256"/>
      <c r="BZ345" s="256"/>
      <c r="CA345" s="256"/>
      <c r="CB345" s="256"/>
      <c r="CC345" s="256"/>
      <c r="CD345" s="256"/>
      <c r="CE345" s="256"/>
      <c r="CF345" s="256"/>
      <c r="CG345" s="256"/>
      <c r="CH345" s="256"/>
      <c r="CI345" s="256"/>
      <c r="CJ345" s="256"/>
      <c r="CK345" s="880"/>
      <c r="CL345" s="880"/>
      <c r="CM345" s="880"/>
      <c r="CN345" s="880"/>
      <c r="CO345" s="881"/>
      <c r="CP345" s="881"/>
      <c r="CQ345" s="881"/>
      <c r="CR345" s="881"/>
      <c r="CS345" s="256"/>
      <c r="CT345" s="256"/>
      <c r="CU345" s="256"/>
      <c r="CV345" s="256"/>
      <c r="CW345" s="256"/>
      <c r="CX345" s="256"/>
      <c r="CY345" s="256"/>
      <c r="CZ345" s="256"/>
      <c r="DA345" s="256"/>
      <c r="DB345" s="256"/>
      <c r="DC345" s="256"/>
      <c r="DD345" s="256"/>
      <c r="DE345" s="256"/>
      <c r="DF345" s="256"/>
      <c r="DG345" s="256"/>
      <c r="DH345" s="256"/>
      <c r="DI345" s="256"/>
      <c r="DJ345" s="256"/>
      <c r="DK345" s="256"/>
      <c r="DL345" s="256"/>
      <c r="DM345" s="260"/>
      <c r="DN345" s="256"/>
      <c r="DO345" s="260"/>
      <c r="DP345" s="256"/>
      <c r="DQ345" s="260"/>
      <c r="DR345" s="256"/>
      <c r="DS345" s="260"/>
      <c r="DT345" s="256"/>
      <c r="DW345" s="235" t="s">
        <v>2661</v>
      </c>
      <c r="DZ345" s="234"/>
      <c r="EA345" s="1136">
        <v>1</v>
      </c>
      <c r="EB345" s="234"/>
    </row>
    <row r="346" spans="2:133" x14ac:dyDescent="0.45">
      <c r="BX346" s="246"/>
      <c r="BY346" s="246"/>
      <c r="BZ346" s="246"/>
      <c r="CA346" s="246"/>
      <c r="CB346" s="246"/>
      <c r="CC346" s="246"/>
      <c r="CD346" s="246"/>
      <c r="CE346" s="246"/>
      <c r="CF346" s="246"/>
      <c r="CG346" s="246"/>
      <c r="CH346" s="246"/>
      <c r="CI346" s="246"/>
      <c r="CJ346" s="246"/>
      <c r="CK346" s="246"/>
      <c r="CL346" s="246"/>
      <c r="CM346" s="246"/>
      <c r="CN346" s="246"/>
      <c r="CO346" s="246"/>
      <c r="CP346" s="246"/>
      <c r="CQ346" s="246"/>
      <c r="CR346" s="246"/>
      <c r="CS346" s="246"/>
      <c r="CT346" s="246"/>
      <c r="CU346" s="246"/>
      <c r="CV346" s="246"/>
      <c r="CW346" s="246"/>
      <c r="CX346" s="246"/>
      <c r="CY346" s="246"/>
      <c r="CZ346" s="246"/>
      <c r="DA346" s="246"/>
      <c r="DB346" s="246"/>
      <c r="DC346" s="246"/>
      <c r="DD346" s="246"/>
      <c r="DE346" s="246"/>
      <c r="DF346" s="246"/>
      <c r="DG346" s="246"/>
      <c r="DH346" s="246"/>
      <c r="DI346" s="246"/>
      <c r="DJ346" s="246"/>
      <c r="DK346" s="246"/>
      <c r="DL346" s="246"/>
      <c r="DM346" s="246"/>
      <c r="DN346" s="246"/>
      <c r="DO346" s="246"/>
      <c r="DP346" s="246"/>
      <c r="DQ346" s="246"/>
      <c r="DR346" s="246"/>
      <c r="DS346" s="246"/>
      <c r="DT346" s="246"/>
      <c r="DW346" s="235" t="s">
        <v>2663</v>
      </c>
      <c r="DZ346" s="234"/>
      <c r="EA346" s="1136">
        <v>2</v>
      </c>
      <c r="EB346" s="234"/>
    </row>
    <row r="347" spans="2:133" x14ac:dyDescent="0.45">
      <c r="B347" s="521" t="s">
        <v>2659</v>
      </c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250"/>
      <c r="P347" s="250"/>
      <c r="Q347" s="250"/>
      <c r="R347" s="250"/>
      <c r="S347" s="250"/>
      <c r="T347" s="250"/>
      <c r="U347" s="250"/>
      <c r="V347" s="250"/>
      <c r="W347" s="250"/>
      <c r="X347" s="250"/>
      <c r="Y347" s="313"/>
      <c r="Z347" s="250"/>
      <c r="AA347" s="250"/>
      <c r="AB347" s="250"/>
      <c r="AC347" s="250"/>
      <c r="AD347" s="250"/>
      <c r="AE347" s="250"/>
      <c r="AF347" s="250"/>
      <c r="AG347" s="250"/>
      <c r="AH347" s="250"/>
      <c r="AI347" s="250"/>
      <c r="AJ347" s="250"/>
      <c r="AK347" s="250"/>
      <c r="AL347" s="250"/>
      <c r="AM347" s="250"/>
      <c r="AN347" s="250"/>
      <c r="AO347" s="250"/>
      <c r="AP347" s="250"/>
      <c r="AQ347" s="250"/>
      <c r="AR347" s="250"/>
      <c r="AS347" s="250"/>
      <c r="AT347" s="250"/>
      <c r="AU347" s="250"/>
      <c r="AV347" s="250"/>
      <c r="AW347" s="250"/>
      <c r="AX347" s="250"/>
      <c r="AY347" s="250"/>
      <c r="AZ347" s="250"/>
      <c r="BA347" s="250"/>
      <c r="BB347" s="250"/>
      <c r="BC347" s="250"/>
      <c r="BD347" s="250"/>
      <c r="BE347" s="250"/>
      <c r="BF347" s="250"/>
      <c r="BG347" s="250"/>
      <c r="BH347" s="250"/>
      <c r="BI347" s="250"/>
      <c r="BJ347" s="250"/>
      <c r="BK347" s="250"/>
      <c r="BL347" s="250"/>
      <c r="BM347" s="250"/>
      <c r="BN347" s="250"/>
      <c r="BO347" s="250"/>
      <c r="BP347" s="250"/>
      <c r="BQ347" s="250"/>
      <c r="BR347" s="250"/>
      <c r="BS347" s="250"/>
      <c r="BT347" s="250"/>
      <c r="BU347" s="250"/>
      <c r="BV347" s="250"/>
      <c r="BW347" s="250"/>
      <c r="BX347" s="250"/>
      <c r="BY347" s="250"/>
      <c r="BZ347" s="250"/>
      <c r="CA347" s="250"/>
      <c r="CB347" s="250"/>
      <c r="CC347" s="250"/>
      <c r="CD347" s="250"/>
      <c r="CE347" s="250"/>
      <c r="CF347" s="250"/>
      <c r="CG347" s="250"/>
      <c r="CH347" s="250"/>
      <c r="CI347" s="250"/>
      <c r="CJ347" s="250"/>
      <c r="CK347" s="250"/>
      <c r="CL347" s="250"/>
      <c r="CM347" s="250"/>
      <c r="CN347" s="250"/>
      <c r="CO347" s="250"/>
      <c r="CP347" s="250"/>
      <c r="CQ347" s="250"/>
      <c r="CR347" s="250"/>
      <c r="CS347" s="250"/>
      <c r="CT347" s="313"/>
      <c r="CU347" s="250"/>
      <c r="CV347" s="250"/>
      <c r="CW347" s="250"/>
      <c r="CX347" s="250"/>
      <c r="CY347" s="250"/>
      <c r="CZ347" s="250"/>
      <c r="DA347" s="250"/>
      <c r="DB347" s="250"/>
      <c r="DC347" s="250"/>
      <c r="DD347" s="250"/>
      <c r="DE347" s="250"/>
      <c r="DF347" s="250"/>
      <c r="DG347" s="250"/>
      <c r="DH347" s="250"/>
      <c r="DI347" s="250"/>
      <c r="DJ347" s="250"/>
      <c r="DK347" s="250"/>
      <c r="DL347" s="250"/>
      <c r="DM347" s="250"/>
      <c r="DN347" s="250"/>
      <c r="DO347" s="250"/>
      <c r="DP347" s="250"/>
      <c r="DQ347" s="250"/>
      <c r="DR347" s="250"/>
      <c r="DS347" s="250"/>
      <c r="DT347" s="250"/>
      <c r="DW347" s="235" t="s">
        <v>2663</v>
      </c>
      <c r="DZ347" s="234"/>
      <c r="EA347" s="1138">
        <v>3</v>
      </c>
      <c r="EB347" s="1137"/>
    </row>
    <row r="348" spans="2:133" x14ac:dyDescent="0.45">
      <c r="BX348" s="246"/>
      <c r="BY348" s="246"/>
      <c r="BZ348" s="246"/>
      <c r="CA348" s="246"/>
      <c r="CB348" s="246"/>
      <c r="CC348" s="246"/>
      <c r="CD348" s="246"/>
      <c r="CE348" s="246"/>
      <c r="CF348" s="246"/>
      <c r="CG348" s="246"/>
      <c r="CH348" s="246"/>
      <c r="CI348" s="246"/>
      <c r="CJ348" s="246"/>
      <c r="CK348" s="246"/>
      <c r="CL348" s="246"/>
      <c r="CM348" s="246"/>
      <c r="CN348" s="246"/>
      <c r="CO348" s="246"/>
      <c r="CP348" s="246"/>
      <c r="CQ348" s="246"/>
      <c r="CR348" s="246"/>
      <c r="CS348" s="246"/>
      <c r="CT348" s="246"/>
      <c r="CU348" s="246"/>
      <c r="CV348" s="246"/>
      <c r="CW348" s="246"/>
      <c r="CX348" s="246"/>
      <c r="CY348" s="246"/>
      <c r="CZ348" s="246"/>
      <c r="DA348" s="246"/>
      <c r="DB348" s="246"/>
      <c r="DC348" s="246"/>
      <c r="DD348" s="246"/>
      <c r="DE348" s="246"/>
      <c r="DF348" s="246"/>
      <c r="DG348" s="246"/>
      <c r="DH348" s="246"/>
      <c r="DI348" s="246"/>
      <c r="DJ348" s="246"/>
      <c r="DK348" s="246"/>
      <c r="DL348" s="246"/>
      <c r="DM348" s="246"/>
      <c r="DN348" s="246"/>
      <c r="DO348" s="246"/>
      <c r="DP348" s="246"/>
      <c r="DQ348" s="246"/>
      <c r="DR348" s="246"/>
      <c r="DS348" s="246"/>
      <c r="DT348" s="246"/>
      <c r="DZ348" s="234"/>
      <c r="EA348" s="1136">
        <v>4</v>
      </c>
      <c r="EB348" s="234"/>
    </row>
    <row r="349" spans="2:133" x14ac:dyDescent="0.45">
      <c r="B349" s="521" t="s">
        <v>2660</v>
      </c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313"/>
      <c r="O349" s="250"/>
      <c r="P349" s="250"/>
      <c r="Q349" s="250"/>
      <c r="R349" s="250"/>
      <c r="S349" s="250"/>
      <c r="T349" s="250"/>
      <c r="U349" s="250"/>
      <c r="V349" s="250"/>
      <c r="W349" s="250"/>
      <c r="X349" s="250"/>
      <c r="Y349" s="250"/>
      <c r="Z349" s="250"/>
      <c r="AA349" s="250"/>
      <c r="AB349" s="250"/>
      <c r="AC349" s="250"/>
      <c r="AD349" s="250"/>
      <c r="AE349" s="250"/>
      <c r="AF349" s="250"/>
      <c r="AG349" s="250"/>
      <c r="AH349" s="250"/>
      <c r="AI349" s="250"/>
      <c r="AJ349" s="250"/>
      <c r="AK349" s="250"/>
      <c r="AL349" s="250"/>
      <c r="AM349" s="250"/>
      <c r="AN349" s="250"/>
      <c r="AO349" s="250"/>
      <c r="AP349" s="250"/>
      <c r="AQ349" s="250"/>
      <c r="AR349" s="250"/>
      <c r="AS349" s="250"/>
      <c r="AT349" s="250"/>
      <c r="AU349" s="250"/>
      <c r="AV349" s="250"/>
      <c r="AW349" s="250"/>
      <c r="AX349" s="250"/>
      <c r="AY349" s="250"/>
      <c r="AZ349" s="250"/>
      <c r="BA349" s="250"/>
      <c r="BB349" s="250"/>
      <c r="BC349" s="250"/>
      <c r="BD349" s="250"/>
      <c r="BE349" s="250"/>
      <c r="BF349" s="250"/>
      <c r="BG349" s="250"/>
      <c r="BH349" s="250"/>
      <c r="BI349" s="250"/>
      <c r="BJ349" s="250"/>
      <c r="BK349" s="250"/>
      <c r="BL349" s="250"/>
      <c r="BM349" s="250"/>
      <c r="BN349" s="250"/>
      <c r="BO349" s="250"/>
      <c r="BP349" s="250"/>
      <c r="BQ349" s="250"/>
      <c r="BR349" s="250"/>
      <c r="BS349" s="250"/>
      <c r="BT349" s="250"/>
      <c r="BU349" s="250"/>
      <c r="BV349" s="250"/>
      <c r="BW349" s="250"/>
      <c r="BX349" s="250"/>
      <c r="BY349" s="250"/>
      <c r="BZ349" s="250"/>
      <c r="CA349" s="250"/>
      <c r="CB349" s="250"/>
      <c r="CC349" s="250"/>
      <c r="CD349" s="250"/>
      <c r="CE349" s="250"/>
      <c r="CF349" s="250"/>
      <c r="CG349" s="250"/>
      <c r="CH349" s="250"/>
      <c r="CI349" s="313"/>
      <c r="CJ349" s="250"/>
      <c r="CK349" s="250"/>
      <c r="CL349" s="250"/>
      <c r="CM349" s="250"/>
      <c r="CN349" s="250"/>
      <c r="CO349" s="250"/>
      <c r="CP349" s="250"/>
      <c r="CQ349" s="250"/>
      <c r="CR349" s="250"/>
      <c r="CS349" s="250"/>
      <c r="CT349" s="250"/>
      <c r="CU349" s="250"/>
      <c r="CV349" s="250"/>
      <c r="CW349" s="250"/>
      <c r="CX349" s="250"/>
      <c r="CY349" s="250"/>
      <c r="CZ349" s="250"/>
      <c r="DA349" s="250"/>
      <c r="DB349" s="250"/>
      <c r="DC349" s="250"/>
      <c r="DD349" s="250"/>
      <c r="DE349" s="250"/>
      <c r="DF349" s="250"/>
      <c r="DG349" s="250"/>
      <c r="DH349" s="250"/>
      <c r="DI349" s="250"/>
      <c r="DJ349" s="250"/>
      <c r="DK349" s="250"/>
      <c r="DL349" s="250"/>
      <c r="DM349" s="250"/>
      <c r="DN349" s="250"/>
      <c r="DO349" s="250"/>
      <c r="DP349" s="250"/>
      <c r="DQ349" s="250"/>
      <c r="DR349" s="250"/>
      <c r="DS349" s="250"/>
      <c r="DT349" s="250"/>
      <c r="DZ349" s="234"/>
      <c r="EA349" s="1136">
        <v>5</v>
      </c>
      <c r="EB349" s="234"/>
    </row>
    <row r="350" spans="2:133" x14ac:dyDescent="0.45">
      <c r="BX350" s="246"/>
      <c r="BY350" s="246"/>
      <c r="BZ350" s="246"/>
      <c r="CA350" s="246"/>
      <c r="CB350" s="246"/>
      <c r="CC350" s="246"/>
      <c r="CD350" s="246"/>
      <c r="CE350" s="246"/>
      <c r="CF350" s="246"/>
      <c r="CG350" s="246"/>
      <c r="CH350" s="246"/>
      <c r="CI350" s="246"/>
      <c r="CJ350" s="246"/>
      <c r="CK350" s="246"/>
      <c r="CL350" s="246"/>
      <c r="CM350" s="246"/>
      <c r="CN350" s="246"/>
      <c r="CO350" s="246"/>
      <c r="CP350" s="246"/>
      <c r="CQ350" s="246"/>
      <c r="CR350" s="246"/>
      <c r="CS350" s="246"/>
      <c r="CT350" s="246"/>
      <c r="CU350" s="246"/>
      <c r="CV350" s="246"/>
      <c r="CW350" s="246"/>
      <c r="CX350" s="246"/>
      <c r="CY350" s="246"/>
      <c r="CZ350" s="246"/>
      <c r="DA350" s="246"/>
      <c r="DB350" s="246"/>
      <c r="DC350" s="246"/>
      <c r="DD350" s="246"/>
      <c r="DE350" s="246"/>
      <c r="DF350" s="246"/>
      <c r="DG350" s="246"/>
      <c r="DH350" s="246"/>
      <c r="DI350" s="246"/>
      <c r="DJ350" s="246"/>
      <c r="DK350" s="246"/>
      <c r="DL350" s="246"/>
      <c r="DM350" s="246"/>
      <c r="DN350" s="246"/>
      <c r="DO350" s="246"/>
      <c r="DP350" s="246"/>
      <c r="DQ350" s="246"/>
      <c r="DR350" s="246"/>
      <c r="DS350" s="246"/>
      <c r="DT350" s="246"/>
      <c r="DZ350" s="234"/>
      <c r="EA350" s="1138">
        <v>6</v>
      </c>
      <c r="EB350" s="1137"/>
    </row>
    <row r="351" spans="2:133" ht="7" customHeight="1" x14ac:dyDescent="0.45">
      <c r="D351" s="250"/>
      <c r="E351" s="250"/>
      <c r="F351" s="250"/>
      <c r="G351" s="250"/>
      <c r="H351" s="322"/>
      <c r="I351" s="249"/>
      <c r="J351" s="249"/>
      <c r="K351" s="249"/>
      <c r="L351" s="249"/>
      <c r="M351" s="1135"/>
      <c r="N351" s="249"/>
      <c r="O351" s="323"/>
      <c r="P351" s="250"/>
      <c r="Q351" s="250"/>
      <c r="R351" s="250"/>
      <c r="S351" s="250"/>
      <c r="T351" s="250"/>
      <c r="U351" s="250"/>
      <c r="V351" s="250"/>
      <c r="W351" s="250"/>
      <c r="X351" s="250"/>
      <c r="Y351" s="250"/>
      <c r="Z351" s="250"/>
      <c r="AA351" s="250"/>
      <c r="AB351" s="250"/>
      <c r="AC351" s="250"/>
      <c r="AD351" s="250"/>
      <c r="AE351" s="250"/>
      <c r="AF351" s="250"/>
      <c r="AG351" s="250"/>
      <c r="AH351" s="250"/>
      <c r="AI351" s="250"/>
      <c r="AJ351" s="250"/>
      <c r="AK351" s="250"/>
      <c r="AL351" s="250"/>
      <c r="AM351" s="250"/>
      <c r="AN351" s="250"/>
      <c r="AO351" s="250"/>
      <c r="AP351" s="250"/>
      <c r="AQ351" s="250"/>
      <c r="AR351" s="250"/>
      <c r="AS351" s="250"/>
      <c r="AT351" s="250"/>
      <c r="AU351" s="250"/>
      <c r="AV351" s="250"/>
      <c r="AW351" s="250"/>
      <c r="AX351" s="250"/>
      <c r="AY351" s="250"/>
      <c r="AZ351" s="250"/>
      <c r="BA351" s="250"/>
      <c r="BB351" s="250"/>
      <c r="BC351" s="250"/>
      <c r="BD351" s="250"/>
      <c r="BE351" s="250"/>
      <c r="BF351" s="250"/>
      <c r="BG351" s="250"/>
      <c r="BH351" s="250"/>
      <c r="BI351" s="250"/>
      <c r="BJ351" s="250"/>
      <c r="BK351" s="250"/>
      <c r="BL351" s="250"/>
      <c r="BM351" s="250"/>
      <c r="BN351" s="250"/>
      <c r="BO351" s="250"/>
      <c r="BP351" s="250"/>
      <c r="BQ351" s="250"/>
      <c r="BR351" s="250"/>
      <c r="BS351" s="250"/>
      <c r="BT351" s="250"/>
      <c r="BU351" s="250"/>
      <c r="BV351" s="250"/>
      <c r="BW351" s="250"/>
      <c r="BX351" s="250"/>
      <c r="BY351" s="250"/>
      <c r="BZ351" s="250"/>
      <c r="CA351" s="250"/>
      <c r="CB351" s="250"/>
      <c r="CC351" s="322"/>
      <c r="CD351" s="249"/>
      <c r="CE351" s="249"/>
      <c r="CF351" s="249"/>
      <c r="CG351" s="249"/>
      <c r="CH351" s="1135"/>
      <c r="CI351" s="249"/>
      <c r="CJ351" s="323"/>
      <c r="CK351" s="250"/>
      <c r="CL351" s="250"/>
      <c r="CM351" s="250"/>
      <c r="CN351" s="250"/>
      <c r="CO351" s="250"/>
      <c r="CP351" s="250"/>
      <c r="CQ351" s="250"/>
      <c r="CR351" s="250"/>
      <c r="CS351" s="250"/>
      <c r="CT351" s="250"/>
      <c r="CU351" s="250"/>
      <c r="CV351" s="250"/>
      <c r="CW351" s="250"/>
      <c r="CX351" s="250"/>
      <c r="CY351" s="250"/>
      <c r="CZ351" s="250"/>
      <c r="DA351" s="250"/>
      <c r="DB351" s="250"/>
      <c r="DC351" s="250"/>
      <c r="DD351" s="250"/>
      <c r="DE351" s="250"/>
      <c r="DF351" s="250"/>
      <c r="DG351" s="250"/>
      <c r="DH351" s="250"/>
      <c r="DI351" s="250"/>
      <c r="DJ351" s="250"/>
      <c r="DK351" s="250"/>
      <c r="DL351" s="250"/>
      <c r="DM351" s="250"/>
      <c r="DN351" s="250"/>
      <c r="DO351" s="250"/>
      <c r="DP351" s="250"/>
      <c r="DQ351" s="250"/>
      <c r="DR351" s="250"/>
      <c r="DS351" s="250"/>
      <c r="DT351" s="250"/>
      <c r="DZ351" s="234"/>
      <c r="EA351" s="1136">
        <v>7</v>
      </c>
      <c r="EB351" s="234"/>
    </row>
    <row r="352" spans="2:133" ht="7" customHeight="1" x14ac:dyDescent="0.45">
      <c r="BX352" s="246"/>
      <c r="BY352" s="246"/>
      <c r="BZ352" s="246"/>
      <c r="CA352" s="246"/>
      <c r="CB352" s="246"/>
      <c r="CC352" s="246"/>
      <c r="CD352" s="246"/>
      <c r="CE352" s="246"/>
      <c r="CF352" s="246"/>
      <c r="CG352" s="246"/>
      <c r="CH352" s="246"/>
      <c r="CI352" s="246"/>
      <c r="CJ352" s="246"/>
      <c r="CK352" s="246"/>
      <c r="CL352" s="246"/>
      <c r="CM352" s="246"/>
      <c r="CN352" s="246"/>
      <c r="CO352" s="246"/>
      <c r="CP352" s="246"/>
      <c r="CQ352" s="246"/>
      <c r="CR352" s="246"/>
      <c r="CS352" s="246"/>
      <c r="CT352" s="246"/>
      <c r="CU352" s="246"/>
      <c r="CV352" s="246"/>
      <c r="CW352" s="246"/>
      <c r="CX352" s="246"/>
      <c r="CY352" s="246"/>
      <c r="CZ352" s="246"/>
      <c r="DA352" s="246"/>
      <c r="DB352" s="246"/>
      <c r="DC352" s="246"/>
      <c r="DD352" s="246"/>
      <c r="DE352" s="246"/>
      <c r="DF352" s="246"/>
      <c r="DG352" s="246"/>
      <c r="DH352" s="246"/>
      <c r="DI352" s="246"/>
      <c r="DJ352" s="246"/>
      <c r="DK352" s="246"/>
      <c r="DL352" s="246"/>
      <c r="DM352" s="246"/>
      <c r="DN352" s="246"/>
      <c r="DO352" s="246"/>
      <c r="DP352" s="246"/>
      <c r="DQ352" s="246"/>
      <c r="DR352" s="246"/>
      <c r="DS352" s="246"/>
      <c r="DT352" s="246"/>
      <c r="DZ352" s="234"/>
      <c r="EA352" s="1136">
        <v>8</v>
      </c>
      <c r="EB352" s="234"/>
    </row>
    <row r="353" spans="3:132" ht="7" customHeight="1" x14ac:dyDescent="0.45">
      <c r="D353" s="250"/>
      <c r="E353" s="250"/>
      <c r="F353" s="250"/>
      <c r="G353" s="250"/>
      <c r="H353" s="250"/>
      <c r="I353" s="322"/>
      <c r="J353" s="249"/>
      <c r="K353" s="249"/>
      <c r="L353" s="249"/>
      <c r="M353" s="249"/>
      <c r="N353" s="249"/>
      <c r="O353" s="249"/>
      <c r="P353" s="323"/>
      <c r="Q353" s="250"/>
      <c r="R353" s="250"/>
      <c r="S353" s="250"/>
      <c r="T353" s="250"/>
      <c r="U353" s="250"/>
      <c r="V353" s="250"/>
      <c r="W353" s="250"/>
      <c r="X353" s="250"/>
      <c r="Y353" s="250"/>
      <c r="Z353" s="250"/>
      <c r="AA353" s="250"/>
      <c r="AB353" s="250"/>
      <c r="AC353" s="250"/>
      <c r="AD353" s="250"/>
      <c r="AE353" s="250"/>
      <c r="AF353" s="250"/>
      <c r="AG353" s="250"/>
      <c r="AH353" s="250"/>
      <c r="AI353" s="250"/>
      <c r="AJ353" s="250"/>
      <c r="AK353" s="250"/>
      <c r="AL353" s="250"/>
      <c r="AM353" s="250"/>
      <c r="AN353" s="250"/>
      <c r="AO353" s="250"/>
      <c r="AP353" s="250"/>
      <c r="AQ353" s="250"/>
      <c r="AR353" s="250"/>
      <c r="AS353" s="250"/>
      <c r="AT353" s="250"/>
      <c r="AU353" s="250"/>
      <c r="AV353" s="250"/>
      <c r="AW353" s="250"/>
      <c r="AX353" s="250"/>
      <c r="AY353" s="250"/>
      <c r="AZ353" s="250"/>
      <c r="BA353" s="250"/>
      <c r="BB353" s="250"/>
      <c r="BC353" s="250"/>
      <c r="BD353" s="250"/>
      <c r="BE353" s="250"/>
      <c r="BF353" s="250"/>
      <c r="BG353" s="250"/>
      <c r="BH353" s="250"/>
      <c r="BI353" s="250"/>
      <c r="BJ353" s="250"/>
      <c r="BK353" s="250"/>
      <c r="BL353" s="250"/>
      <c r="BM353" s="250"/>
      <c r="BN353" s="250"/>
      <c r="BO353" s="250"/>
      <c r="BP353" s="250"/>
      <c r="BQ353" s="250"/>
      <c r="BR353" s="250"/>
      <c r="BS353" s="250"/>
      <c r="BT353" s="250"/>
      <c r="BU353" s="250"/>
      <c r="BV353" s="250"/>
      <c r="BW353" s="250"/>
      <c r="BX353" s="250"/>
      <c r="BY353" s="250"/>
      <c r="BZ353" s="250"/>
      <c r="CA353" s="250"/>
      <c r="CB353" s="250"/>
      <c r="CC353" s="250"/>
      <c r="CD353" s="322"/>
      <c r="CE353" s="249"/>
      <c r="CF353" s="249"/>
      <c r="CG353" s="249"/>
      <c r="CH353" s="249"/>
      <c r="CI353" s="249"/>
      <c r="CJ353" s="249"/>
      <c r="CK353" s="323"/>
      <c r="CL353" s="250"/>
      <c r="CM353" s="250"/>
      <c r="CN353" s="250"/>
      <c r="CO353" s="250"/>
      <c r="CP353" s="250"/>
      <c r="CQ353" s="250"/>
      <c r="CR353" s="250"/>
      <c r="CS353" s="250"/>
      <c r="CT353" s="250"/>
      <c r="CU353" s="250"/>
      <c r="CV353" s="250"/>
      <c r="CW353" s="250"/>
      <c r="CX353" s="250"/>
      <c r="CY353" s="250"/>
      <c r="CZ353" s="250"/>
      <c r="DA353" s="250"/>
      <c r="DB353" s="250"/>
      <c r="DC353" s="250"/>
      <c r="DD353" s="250"/>
      <c r="DE353" s="250"/>
      <c r="DF353" s="250"/>
      <c r="DG353" s="250"/>
      <c r="DH353" s="250"/>
      <c r="DI353" s="250"/>
      <c r="DJ353" s="250"/>
      <c r="DK353" s="250"/>
      <c r="DL353" s="250"/>
      <c r="DM353" s="250"/>
      <c r="DN353" s="250"/>
      <c r="DO353" s="250"/>
      <c r="DP353" s="250"/>
      <c r="DQ353" s="250"/>
      <c r="DR353" s="250"/>
      <c r="DS353" s="250"/>
      <c r="DT353" s="250"/>
      <c r="DZ353" s="234"/>
      <c r="EA353" s="1138">
        <v>9</v>
      </c>
      <c r="EB353" s="1137"/>
    </row>
    <row r="354" spans="3:132" ht="7" customHeight="1" x14ac:dyDescent="0.45">
      <c r="BX354" s="246"/>
      <c r="BY354" s="246"/>
      <c r="BZ354" s="246"/>
      <c r="CA354" s="246"/>
      <c r="CB354" s="246"/>
      <c r="CC354" s="246"/>
      <c r="CD354" s="246"/>
      <c r="CE354" s="246"/>
      <c r="CF354" s="246"/>
      <c r="CG354" s="246"/>
      <c r="CH354" s="246"/>
      <c r="CI354" s="246"/>
      <c r="CJ354" s="246"/>
      <c r="CK354" s="246"/>
      <c r="CL354" s="246"/>
      <c r="CM354" s="246"/>
      <c r="CN354" s="246"/>
      <c r="CO354" s="246"/>
      <c r="CP354" s="246"/>
      <c r="CQ354" s="246"/>
      <c r="CR354" s="246"/>
      <c r="CS354" s="246"/>
      <c r="CT354" s="246"/>
      <c r="CU354" s="246"/>
      <c r="CV354" s="246"/>
      <c r="CW354" s="246"/>
      <c r="CX354" s="246"/>
      <c r="CY354" s="246"/>
      <c r="CZ354" s="246"/>
      <c r="DA354" s="246"/>
      <c r="DB354" s="246"/>
      <c r="DC354" s="246"/>
      <c r="DD354" s="246"/>
      <c r="DE354" s="246"/>
      <c r="DF354" s="246"/>
      <c r="DG354" s="246"/>
      <c r="DH354" s="246"/>
      <c r="DI354" s="246"/>
      <c r="DJ354" s="246"/>
      <c r="DK354" s="246"/>
      <c r="DL354" s="246"/>
      <c r="DM354" s="246"/>
      <c r="DN354" s="246"/>
      <c r="DO354" s="246"/>
      <c r="DP354" s="246"/>
      <c r="DQ354" s="246"/>
      <c r="DR354" s="246"/>
      <c r="DS354" s="246"/>
      <c r="DT354" s="246"/>
      <c r="DZ354" s="234"/>
      <c r="EA354" s="1136">
        <v>10</v>
      </c>
      <c r="EB354" s="234"/>
    </row>
    <row r="355" spans="3:132" ht="7" customHeight="1" x14ac:dyDescent="0.45">
      <c r="D355" s="250"/>
      <c r="E355" s="250"/>
      <c r="F355" s="250"/>
      <c r="G355" s="250"/>
      <c r="H355" s="250"/>
      <c r="I355" s="250"/>
      <c r="J355" s="322"/>
      <c r="K355" s="249"/>
      <c r="L355" s="249"/>
      <c r="M355" s="249"/>
      <c r="N355" s="249"/>
      <c r="O355" s="249"/>
      <c r="P355" s="249"/>
      <c r="Q355" s="323"/>
      <c r="R355" s="250"/>
      <c r="S355" s="250"/>
      <c r="T355" s="250"/>
      <c r="U355" s="250"/>
      <c r="V355" s="250"/>
      <c r="W355" s="250"/>
      <c r="X355" s="250"/>
      <c r="Y355" s="250"/>
      <c r="Z355" s="250"/>
      <c r="AA355" s="250"/>
      <c r="AB355" s="250"/>
      <c r="AC355" s="250"/>
      <c r="AD355" s="250"/>
      <c r="AE355" s="250"/>
      <c r="AF355" s="250"/>
      <c r="AG355" s="250"/>
      <c r="AH355" s="250"/>
      <c r="AI355" s="250"/>
      <c r="AJ355" s="250"/>
      <c r="AK355" s="250"/>
      <c r="AL355" s="250"/>
      <c r="AM355" s="250"/>
      <c r="AN355" s="250"/>
      <c r="AO355" s="250"/>
      <c r="AP355" s="250"/>
      <c r="AQ355" s="250"/>
      <c r="AR355" s="250"/>
      <c r="AS355" s="250"/>
      <c r="AT355" s="250"/>
      <c r="AU355" s="250"/>
      <c r="AV355" s="250"/>
      <c r="AW355" s="250"/>
      <c r="AX355" s="250"/>
      <c r="AY355" s="250"/>
      <c r="AZ355" s="250"/>
      <c r="BA355" s="250"/>
      <c r="BB355" s="250"/>
      <c r="BC355" s="250"/>
      <c r="BD355" s="250"/>
      <c r="BE355" s="250"/>
      <c r="BF355" s="250"/>
      <c r="BG355" s="250"/>
      <c r="BH355" s="250"/>
      <c r="BI355" s="250"/>
      <c r="BJ355" s="250"/>
      <c r="BK355" s="250"/>
      <c r="BL355" s="250"/>
      <c r="BM355" s="250"/>
      <c r="BN355" s="250"/>
      <c r="BO355" s="250"/>
      <c r="BP355" s="250"/>
      <c r="BQ355" s="250"/>
      <c r="BR355" s="250"/>
      <c r="BS355" s="250"/>
      <c r="BT355" s="250"/>
      <c r="BU355" s="250"/>
      <c r="BV355" s="250"/>
      <c r="BW355" s="250"/>
      <c r="BX355" s="250"/>
      <c r="BY355" s="250"/>
      <c r="BZ355" s="250"/>
      <c r="CA355" s="250"/>
      <c r="CB355" s="250"/>
      <c r="CC355" s="250"/>
      <c r="CD355" s="250"/>
      <c r="CE355" s="322"/>
      <c r="CF355" s="249"/>
      <c r="CG355" s="249"/>
      <c r="CH355" s="249"/>
      <c r="CI355" s="249"/>
      <c r="CJ355" s="249"/>
      <c r="CK355" s="249"/>
      <c r="CL355" s="323"/>
      <c r="CM355" s="250"/>
      <c r="CN355" s="250"/>
      <c r="CO355" s="250"/>
      <c r="CP355" s="250"/>
      <c r="CQ355" s="250"/>
      <c r="CR355" s="250"/>
      <c r="CS355" s="250"/>
      <c r="CT355" s="250"/>
      <c r="CU355" s="250"/>
      <c r="CV355" s="250"/>
      <c r="CW355" s="250"/>
      <c r="CX355" s="250"/>
      <c r="CY355" s="250"/>
      <c r="CZ355" s="250"/>
      <c r="DA355" s="250"/>
      <c r="DB355" s="250"/>
      <c r="DC355" s="250"/>
      <c r="DD355" s="250"/>
      <c r="DE355" s="250"/>
      <c r="DF355" s="250"/>
      <c r="DG355" s="250"/>
      <c r="DH355" s="250"/>
      <c r="DI355" s="250"/>
      <c r="DJ355" s="250"/>
      <c r="DK355" s="250"/>
      <c r="DL355" s="250"/>
      <c r="DM355" s="250"/>
      <c r="DN355" s="250"/>
      <c r="DO355" s="250"/>
      <c r="DP355" s="250"/>
      <c r="DQ355" s="250"/>
      <c r="DR355" s="250"/>
      <c r="DS355" s="250"/>
      <c r="DT355" s="250"/>
      <c r="DZ355" s="234"/>
      <c r="EA355" s="234"/>
      <c r="EB355" s="234"/>
    </row>
    <row r="356" spans="3:132" ht="7" customHeight="1" x14ac:dyDescent="0.45">
      <c r="BX356" s="246"/>
      <c r="BY356" s="246"/>
      <c r="BZ356" s="246"/>
      <c r="CA356" s="246"/>
      <c r="CB356" s="246"/>
      <c r="CC356" s="246"/>
      <c r="CD356" s="246"/>
      <c r="CE356" s="246"/>
      <c r="CF356" s="246"/>
      <c r="CG356" s="246"/>
      <c r="CH356" s="246"/>
      <c r="CI356" s="246"/>
      <c r="CJ356" s="246"/>
      <c r="CK356" s="246"/>
      <c r="CL356" s="246"/>
      <c r="CM356" s="246"/>
      <c r="CN356" s="246"/>
      <c r="CO356" s="246"/>
      <c r="CP356" s="246"/>
      <c r="CQ356" s="246"/>
      <c r="CR356" s="246"/>
      <c r="CS356" s="246"/>
      <c r="CT356" s="246"/>
      <c r="CU356" s="246"/>
      <c r="CV356" s="246"/>
      <c r="CW356" s="246"/>
      <c r="CX356" s="246"/>
      <c r="CY356" s="246"/>
      <c r="CZ356" s="246"/>
      <c r="DA356" s="246"/>
      <c r="DB356" s="246"/>
      <c r="DC356" s="246"/>
      <c r="DD356" s="246"/>
      <c r="DE356" s="246"/>
      <c r="DF356" s="246"/>
      <c r="DG356" s="246"/>
      <c r="DH356" s="246"/>
      <c r="DI356" s="246"/>
      <c r="DJ356" s="246"/>
      <c r="DK356" s="246"/>
      <c r="DL356" s="246"/>
      <c r="DM356" s="246"/>
      <c r="DN356" s="246"/>
      <c r="DO356" s="246"/>
      <c r="DP356" s="246"/>
      <c r="DQ356" s="246"/>
      <c r="DR356" s="246"/>
      <c r="DS356" s="246"/>
      <c r="DT356" s="246"/>
      <c r="DZ356" s="234"/>
      <c r="EA356" s="234"/>
      <c r="EB356" s="234"/>
    </row>
    <row r="357" spans="3:132" ht="7" customHeight="1" x14ac:dyDescent="0.45">
      <c r="D357" s="250"/>
      <c r="E357" s="250"/>
      <c r="F357" s="250"/>
      <c r="G357" s="250"/>
      <c r="H357" s="250"/>
      <c r="I357" s="250"/>
      <c r="J357" s="250"/>
      <c r="K357" s="322"/>
      <c r="L357" s="249"/>
      <c r="M357" s="249"/>
      <c r="N357" s="249"/>
      <c r="O357" s="249"/>
      <c r="P357" s="249"/>
      <c r="Q357" s="249"/>
      <c r="R357" s="323"/>
      <c r="S357" s="250"/>
      <c r="T357" s="250"/>
      <c r="U357" s="250"/>
      <c r="V357" s="250"/>
      <c r="W357" s="250"/>
      <c r="X357" s="250"/>
      <c r="Y357" s="250"/>
      <c r="Z357" s="250"/>
      <c r="AA357" s="250"/>
      <c r="AB357" s="250"/>
      <c r="AC357" s="250"/>
      <c r="AD357" s="250"/>
      <c r="AE357" s="250"/>
      <c r="AF357" s="250"/>
      <c r="AG357" s="250"/>
      <c r="AH357" s="250"/>
      <c r="AI357" s="250"/>
      <c r="AJ357" s="250"/>
      <c r="AK357" s="250"/>
      <c r="AL357" s="250"/>
      <c r="AM357" s="250"/>
      <c r="AN357" s="250"/>
      <c r="AO357" s="250"/>
      <c r="AP357" s="250"/>
      <c r="AQ357" s="250"/>
      <c r="AR357" s="250"/>
      <c r="AS357" s="250"/>
      <c r="AT357" s="250"/>
      <c r="AU357" s="250"/>
      <c r="AV357" s="250"/>
      <c r="AW357" s="250"/>
      <c r="AX357" s="250"/>
      <c r="AY357" s="250"/>
      <c r="AZ357" s="250"/>
      <c r="BA357" s="250"/>
      <c r="BB357" s="250"/>
      <c r="BC357" s="250"/>
      <c r="BD357" s="250"/>
      <c r="BE357" s="250"/>
      <c r="BF357" s="250"/>
      <c r="BG357" s="250"/>
      <c r="BH357" s="250"/>
      <c r="BI357" s="250"/>
      <c r="BJ357" s="250"/>
      <c r="BK357" s="250"/>
      <c r="BL357" s="250"/>
      <c r="BM357" s="250"/>
      <c r="BN357" s="250"/>
      <c r="BO357" s="250"/>
      <c r="BP357" s="250"/>
      <c r="BQ357" s="250"/>
      <c r="BR357" s="250"/>
      <c r="BS357" s="250"/>
      <c r="BT357" s="250"/>
      <c r="BU357" s="250"/>
      <c r="BV357" s="250"/>
      <c r="BW357" s="250"/>
      <c r="BX357" s="250"/>
      <c r="BY357" s="250"/>
      <c r="BZ357" s="250"/>
      <c r="CA357" s="250"/>
      <c r="CB357" s="250"/>
      <c r="CC357" s="250"/>
      <c r="CD357" s="250"/>
      <c r="CE357" s="250"/>
      <c r="CF357" s="322"/>
      <c r="CG357" s="249"/>
      <c r="CH357" s="249"/>
      <c r="CI357" s="249"/>
      <c r="CJ357" s="249"/>
      <c r="CK357" s="249"/>
      <c r="CL357" s="249"/>
      <c r="CM357" s="323"/>
      <c r="CN357" s="250"/>
      <c r="CO357" s="250"/>
      <c r="CP357" s="250"/>
      <c r="CQ357" s="250"/>
      <c r="CR357" s="250"/>
      <c r="CS357" s="250"/>
      <c r="CT357" s="250"/>
      <c r="CU357" s="250"/>
      <c r="CV357" s="250"/>
      <c r="CW357" s="250"/>
      <c r="CX357" s="250"/>
      <c r="CY357" s="250"/>
      <c r="CZ357" s="250"/>
      <c r="DA357" s="250"/>
      <c r="DB357" s="250"/>
      <c r="DC357" s="250"/>
      <c r="DD357" s="250"/>
      <c r="DE357" s="250"/>
      <c r="DF357" s="250"/>
      <c r="DG357" s="250"/>
      <c r="DH357" s="250"/>
      <c r="DI357" s="250"/>
      <c r="DJ357" s="250"/>
      <c r="DK357" s="250"/>
      <c r="DL357" s="250"/>
      <c r="DM357" s="250"/>
      <c r="DN357" s="250"/>
      <c r="DO357" s="250"/>
      <c r="DP357" s="250"/>
      <c r="DQ357" s="250"/>
      <c r="DR357" s="250"/>
      <c r="DS357" s="250"/>
      <c r="DT357" s="250"/>
      <c r="DZ357" s="234"/>
      <c r="EA357" s="234"/>
      <c r="EB357" s="234"/>
    </row>
    <row r="358" spans="3:132" ht="7" customHeight="1" x14ac:dyDescent="0.45">
      <c r="BX358" s="246"/>
      <c r="BY358" s="246"/>
      <c r="BZ358" s="246"/>
      <c r="CA358" s="246"/>
      <c r="CB358" s="246"/>
      <c r="CC358" s="246"/>
      <c r="CD358" s="246"/>
      <c r="CE358" s="246"/>
      <c r="CF358" s="246"/>
      <c r="CG358" s="246"/>
      <c r="CH358" s="246"/>
      <c r="CI358" s="246"/>
      <c r="CJ358" s="246"/>
      <c r="CK358" s="246"/>
      <c r="CL358" s="246"/>
      <c r="CM358" s="246"/>
      <c r="CN358" s="246"/>
      <c r="CO358" s="246"/>
      <c r="CP358" s="246"/>
      <c r="CQ358" s="246"/>
      <c r="CR358" s="246"/>
      <c r="CS358" s="246"/>
      <c r="CT358" s="246"/>
      <c r="CU358" s="246"/>
      <c r="CV358" s="246"/>
      <c r="CW358" s="246"/>
      <c r="CX358" s="246"/>
      <c r="CY358" s="246"/>
      <c r="CZ358" s="246"/>
      <c r="DA358" s="246"/>
      <c r="DB358" s="246"/>
      <c r="DC358" s="246"/>
      <c r="DD358" s="246"/>
      <c r="DE358" s="246"/>
      <c r="DF358" s="246"/>
      <c r="DG358" s="246"/>
      <c r="DH358" s="246"/>
      <c r="DI358" s="246"/>
      <c r="DJ358" s="246"/>
      <c r="DK358" s="246"/>
      <c r="DL358" s="246"/>
      <c r="DM358" s="246"/>
      <c r="DN358" s="246"/>
      <c r="DO358" s="246"/>
      <c r="DP358" s="246"/>
      <c r="DQ358" s="246"/>
      <c r="DR358" s="246"/>
      <c r="DS358" s="246"/>
      <c r="DT358" s="246"/>
      <c r="DZ358" s="234"/>
      <c r="EA358" s="234"/>
      <c r="EB358" s="234"/>
    </row>
    <row r="359" spans="3:132" ht="7" customHeight="1" x14ac:dyDescent="0.45">
      <c r="D359" s="250"/>
      <c r="E359" s="250"/>
      <c r="F359" s="250"/>
      <c r="G359" s="250"/>
      <c r="H359" s="250"/>
      <c r="I359" s="250"/>
      <c r="J359" s="250"/>
      <c r="K359" s="250"/>
      <c r="L359" s="322"/>
      <c r="M359" s="249"/>
      <c r="N359" s="249"/>
      <c r="O359" s="249"/>
      <c r="P359" s="249"/>
      <c r="Q359" s="249"/>
      <c r="R359" s="249"/>
      <c r="S359" s="323"/>
      <c r="T359" s="250"/>
      <c r="U359" s="250"/>
      <c r="V359" s="250"/>
      <c r="W359" s="250"/>
      <c r="X359" s="250"/>
      <c r="Y359" s="250"/>
      <c r="Z359" s="250"/>
      <c r="AA359" s="250"/>
      <c r="AB359" s="250"/>
      <c r="AC359" s="250"/>
      <c r="AD359" s="250"/>
      <c r="AE359" s="250"/>
      <c r="AF359" s="250"/>
      <c r="AG359" s="250"/>
      <c r="AH359" s="250"/>
      <c r="AI359" s="250"/>
      <c r="AJ359" s="250"/>
      <c r="AK359" s="250"/>
      <c r="AL359" s="250"/>
      <c r="AM359" s="250"/>
      <c r="AN359" s="250"/>
      <c r="AO359" s="250"/>
      <c r="AP359" s="250"/>
      <c r="AQ359" s="250"/>
      <c r="AR359" s="250"/>
      <c r="AS359" s="250"/>
      <c r="AT359" s="250"/>
      <c r="AU359" s="250"/>
      <c r="AV359" s="250"/>
      <c r="AW359" s="250"/>
      <c r="AX359" s="250"/>
      <c r="AY359" s="250"/>
      <c r="AZ359" s="250"/>
      <c r="BA359" s="250"/>
      <c r="BB359" s="250"/>
      <c r="BC359" s="250"/>
      <c r="BD359" s="250"/>
      <c r="BE359" s="250"/>
      <c r="BF359" s="250"/>
      <c r="BG359" s="250"/>
      <c r="BH359" s="250"/>
      <c r="BI359" s="250"/>
      <c r="BJ359" s="250"/>
      <c r="BK359" s="250"/>
      <c r="BL359" s="250"/>
      <c r="BM359" s="250"/>
      <c r="BN359" s="250"/>
      <c r="BO359" s="250"/>
      <c r="BP359" s="250"/>
      <c r="BQ359" s="250"/>
      <c r="BR359" s="250"/>
      <c r="BS359" s="250"/>
      <c r="BT359" s="250"/>
      <c r="BU359" s="250"/>
      <c r="BV359" s="250"/>
      <c r="BW359" s="250"/>
      <c r="BX359" s="250"/>
      <c r="BY359" s="250"/>
      <c r="BZ359" s="250"/>
      <c r="CA359" s="250"/>
      <c r="CB359" s="250"/>
      <c r="CC359" s="250"/>
      <c r="CD359" s="250"/>
      <c r="CE359" s="250"/>
      <c r="CF359" s="250"/>
      <c r="CG359" s="322"/>
      <c r="CH359" s="249"/>
      <c r="CI359" s="249"/>
      <c r="CJ359" s="249"/>
      <c r="CK359" s="249"/>
      <c r="CL359" s="249"/>
      <c r="CM359" s="249"/>
      <c r="CN359" s="323"/>
      <c r="CO359" s="250"/>
      <c r="CP359" s="250"/>
      <c r="CQ359" s="250"/>
      <c r="CR359" s="250"/>
      <c r="CS359" s="250"/>
      <c r="CT359" s="250"/>
      <c r="CU359" s="250"/>
      <c r="CV359" s="250"/>
      <c r="CW359" s="250"/>
      <c r="CX359" s="250"/>
      <c r="CY359" s="250"/>
      <c r="CZ359" s="250"/>
      <c r="DA359" s="250"/>
      <c r="DB359" s="250"/>
      <c r="DC359" s="250"/>
      <c r="DD359" s="250"/>
      <c r="DE359" s="250"/>
      <c r="DF359" s="250"/>
      <c r="DG359" s="250"/>
      <c r="DH359" s="250"/>
      <c r="DI359" s="250"/>
      <c r="DJ359" s="250"/>
      <c r="DK359" s="250"/>
      <c r="DL359" s="250"/>
      <c r="DM359" s="250"/>
      <c r="DN359" s="250"/>
      <c r="DO359" s="250"/>
      <c r="DP359" s="250"/>
      <c r="DQ359" s="250"/>
      <c r="DR359" s="250"/>
      <c r="DS359" s="250"/>
      <c r="DT359" s="250"/>
      <c r="DZ359" s="234"/>
      <c r="EA359" s="234"/>
      <c r="EB359" s="234"/>
    </row>
    <row r="360" spans="3:132" ht="7" customHeight="1" x14ac:dyDescent="0.45">
      <c r="BX360" s="246"/>
      <c r="BY360" s="246"/>
      <c r="BZ360" s="246"/>
      <c r="CA360" s="246"/>
      <c r="CB360" s="246"/>
      <c r="CC360" s="246"/>
      <c r="CD360" s="246"/>
      <c r="CE360" s="246"/>
      <c r="CF360" s="246"/>
      <c r="CG360" s="246"/>
      <c r="CH360" s="246"/>
      <c r="CI360" s="246"/>
      <c r="CJ360" s="246"/>
      <c r="CK360" s="246"/>
      <c r="CL360" s="246"/>
      <c r="CM360" s="246"/>
      <c r="CN360" s="246"/>
      <c r="CO360" s="246"/>
      <c r="CP360" s="246"/>
      <c r="CQ360" s="246"/>
      <c r="CR360" s="246"/>
      <c r="CS360" s="246"/>
      <c r="CT360" s="246"/>
      <c r="CU360" s="246"/>
      <c r="CV360" s="246"/>
      <c r="CW360" s="246"/>
      <c r="CX360" s="246"/>
      <c r="CY360" s="246"/>
      <c r="CZ360" s="246"/>
      <c r="DA360" s="246"/>
      <c r="DB360" s="246"/>
      <c r="DC360" s="246"/>
      <c r="DD360" s="246"/>
      <c r="DE360" s="246"/>
      <c r="DF360" s="246"/>
      <c r="DG360" s="246"/>
      <c r="DH360" s="246"/>
      <c r="DI360" s="246"/>
      <c r="DJ360" s="246"/>
      <c r="DK360" s="246"/>
      <c r="DL360" s="246"/>
      <c r="DM360" s="246"/>
      <c r="DN360" s="246"/>
      <c r="DO360" s="246"/>
      <c r="DP360" s="246"/>
      <c r="DQ360" s="246"/>
      <c r="DR360" s="246"/>
      <c r="DS360" s="246"/>
      <c r="DT360" s="246"/>
      <c r="DZ360" s="234"/>
      <c r="EA360" s="234"/>
      <c r="EB360" s="234"/>
    </row>
    <row r="361" spans="3:132" ht="7" customHeight="1" x14ac:dyDescent="0.45">
      <c r="D361" s="250"/>
      <c r="E361" s="250"/>
      <c r="F361" s="250"/>
      <c r="G361" s="250"/>
      <c r="H361" s="250"/>
      <c r="I361" s="250"/>
      <c r="J361" s="250"/>
      <c r="K361" s="250"/>
      <c r="L361" s="250"/>
      <c r="M361" s="1134"/>
      <c r="N361" s="249"/>
      <c r="O361" s="249"/>
      <c r="P361" s="249"/>
      <c r="Q361" s="249"/>
      <c r="R361" s="249"/>
      <c r="S361" s="249"/>
      <c r="T361" s="323"/>
      <c r="U361" s="250"/>
      <c r="V361" s="250"/>
      <c r="W361" s="250"/>
      <c r="X361" s="250"/>
      <c r="Y361" s="250"/>
      <c r="Z361" s="250"/>
      <c r="AA361" s="250"/>
      <c r="AB361" s="250"/>
      <c r="AC361" s="250"/>
      <c r="AD361" s="250"/>
      <c r="AE361" s="250"/>
      <c r="AF361" s="250"/>
      <c r="AG361" s="250"/>
      <c r="AH361" s="250"/>
      <c r="AI361" s="250"/>
      <c r="AJ361" s="250"/>
      <c r="AK361" s="250"/>
      <c r="AL361" s="250"/>
      <c r="AM361" s="250"/>
      <c r="AN361" s="250"/>
      <c r="AO361" s="250"/>
      <c r="AP361" s="250"/>
      <c r="AQ361" s="250"/>
      <c r="AR361" s="250"/>
      <c r="AS361" s="250"/>
      <c r="AT361" s="250"/>
      <c r="AU361" s="250"/>
      <c r="AV361" s="250"/>
      <c r="AW361" s="250"/>
      <c r="AX361" s="250"/>
      <c r="AY361" s="250"/>
      <c r="AZ361" s="250"/>
      <c r="BA361" s="250"/>
      <c r="BB361" s="250"/>
      <c r="BC361" s="250"/>
      <c r="BD361" s="250"/>
      <c r="BE361" s="250"/>
      <c r="BF361" s="250"/>
      <c r="BG361" s="250"/>
      <c r="BH361" s="250"/>
      <c r="BI361" s="250"/>
      <c r="BJ361" s="250"/>
      <c r="BK361" s="250"/>
      <c r="BL361" s="250"/>
      <c r="BM361" s="250"/>
      <c r="BN361" s="250"/>
      <c r="BO361" s="250"/>
      <c r="BP361" s="250"/>
      <c r="BQ361" s="250"/>
      <c r="BR361" s="250"/>
      <c r="BS361" s="250"/>
      <c r="BT361" s="250"/>
      <c r="BU361" s="250"/>
      <c r="BV361" s="250"/>
      <c r="BW361" s="250"/>
      <c r="BX361" s="250"/>
      <c r="BY361" s="250"/>
      <c r="BZ361" s="250"/>
      <c r="CA361" s="250"/>
      <c r="CB361" s="250"/>
      <c r="CC361" s="250"/>
      <c r="CD361" s="250"/>
      <c r="CE361" s="250"/>
      <c r="CF361" s="250"/>
      <c r="CG361" s="250"/>
      <c r="CH361" s="1134"/>
      <c r="CI361" s="249"/>
      <c r="CJ361" s="249"/>
      <c r="CK361" s="249"/>
      <c r="CL361" s="249"/>
      <c r="CM361" s="249"/>
      <c r="CN361" s="249"/>
      <c r="CO361" s="323"/>
      <c r="CP361" s="250"/>
      <c r="CQ361" s="250"/>
      <c r="CR361" s="250"/>
      <c r="CS361" s="250"/>
      <c r="CT361" s="250"/>
      <c r="CU361" s="250"/>
      <c r="CV361" s="250"/>
      <c r="CW361" s="250"/>
      <c r="CX361" s="250"/>
      <c r="CY361" s="250"/>
      <c r="CZ361" s="250"/>
      <c r="DA361" s="250"/>
      <c r="DB361" s="250"/>
      <c r="DC361" s="250"/>
      <c r="DD361" s="250"/>
      <c r="DE361" s="250"/>
      <c r="DF361" s="250"/>
      <c r="DG361" s="250"/>
      <c r="DH361" s="250"/>
      <c r="DI361" s="250"/>
      <c r="DJ361" s="250"/>
      <c r="DK361" s="250"/>
      <c r="DL361" s="250"/>
      <c r="DM361" s="250"/>
      <c r="DN361" s="250"/>
      <c r="DO361" s="250"/>
      <c r="DP361" s="250"/>
      <c r="DQ361" s="250"/>
      <c r="DR361" s="250"/>
      <c r="DS361" s="250"/>
      <c r="DT361" s="250"/>
      <c r="DZ361" s="234"/>
      <c r="EA361" s="234"/>
      <c r="EB361" s="234"/>
    </row>
    <row r="362" spans="3:132" x14ac:dyDescent="0.45">
      <c r="BX362" s="246"/>
      <c r="BY362" s="246"/>
      <c r="BZ362" s="246"/>
      <c r="CA362" s="246"/>
      <c r="CB362" s="246"/>
      <c r="CC362" s="246"/>
      <c r="CD362" s="246"/>
      <c r="CE362" s="246"/>
      <c r="CF362" s="246"/>
      <c r="CG362" s="246"/>
      <c r="CH362" s="246"/>
      <c r="CI362" s="246"/>
      <c r="CJ362" s="246"/>
      <c r="CK362" s="246"/>
      <c r="CL362" s="246"/>
      <c r="CM362" s="246"/>
      <c r="CN362" s="246"/>
      <c r="CO362" s="246"/>
      <c r="CP362" s="246"/>
      <c r="CQ362" s="246"/>
      <c r="CR362" s="246"/>
      <c r="CS362" s="246"/>
      <c r="CT362" s="246"/>
      <c r="CU362" s="246"/>
      <c r="CV362" s="246"/>
      <c r="CW362" s="246"/>
      <c r="CX362" s="246"/>
      <c r="CY362" s="246"/>
      <c r="CZ362" s="246"/>
      <c r="DA362" s="246"/>
      <c r="DB362" s="246"/>
      <c r="DC362" s="246"/>
      <c r="DD362" s="246"/>
      <c r="DE362" s="246"/>
      <c r="DF362" s="246"/>
      <c r="DG362" s="246"/>
      <c r="DH362" s="246"/>
      <c r="DI362" s="246"/>
      <c r="DJ362" s="246"/>
      <c r="DK362" s="246"/>
      <c r="DL362" s="246"/>
      <c r="DM362" s="246"/>
      <c r="DN362" s="246"/>
      <c r="DO362" s="246"/>
      <c r="DP362" s="246"/>
      <c r="DQ362" s="246"/>
      <c r="DR362" s="246"/>
      <c r="DS362" s="246"/>
      <c r="DT362" s="246"/>
      <c r="DZ362" s="234"/>
      <c r="EA362" s="234"/>
      <c r="EB362" s="234"/>
    </row>
    <row r="363" spans="3:132" x14ac:dyDescent="0.45">
      <c r="BX363" s="246"/>
      <c r="BY363" s="246"/>
      <c r="BZ363" s="246"/>
      <c r="CA363" s="246"/>
      <c r="CB363" s="246"/>
      <c r="CC363" s="246"/>
      <c r="CD363" s="246"/>
      <c r="CE363" s="246"/>
      <c r="CF363" s="246"/>
      <c r="CG363" s="246"/>
      <c r="CH363" s="246"/>
      <c r="CI363" s="246"/>
      <c r="CJ363" s="246"/>
      <c r="CK363" s="246"/>
      <c r="CL363" s="246"/>
      <c r="CM363" s="246"/>
      <c r="CN363" s="246"/>
      <c r="CO363" s="246"/>
      <c r="CP363" s="246"/>
      <c r="CQ363" s="246"/>
      <c r="CR363" s="246"/>
      <c r="CS363" s="246"/>
      <c r="CT363" s="246"/>
      <c r="CU363" s="246"/>
      <c r="CV363" s="246"/>
      <c r="CW363" s="246"/>
      <c r="CX363" s="246"/>
      <c r="CY363" s="246"/>
      <c r="CZ363" s="246"/>
      <c r="DA363" s="246"/>
      <c r="DB363" s="246"/>
      <c r="DC363" s="246"/>
      <c r="DD363" s="246"/>
      <c r="DE363" s="246"/>
      <c r="DF363" s="246"/>
      <c r="DG363" s="246"/>
      <c r="DH363" s="246"/>
      <c r="DI363" s="246"/>
      <c r="DJ363" s="246"/>
      <c r="DK363" s="246"/>
      <c r="DL363" s="246"/>
      <c r="DM363" s="246"/>
      <c r="DN363" s="246"/>
      <c r="DO363" s="246"/>
      <c r="DP363" s="246"/>
      <c r="DQ363" s="246"/>
      <c r="DR363" s="246"/>
      <c r="DS363" s="246"/>
      <c r="DT363" s="246"/>
      <c r="DZ363" s="234"/>
      <c r="EA363" s="234"/>
      <c r="EB363" s="234"/>
    </row>
    <row r="364" spans="3:132" x14ac:dyDescent="0.45">
      <c r="C364" s="55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  <c r="AA364" s="234"/>
      <c r="AB364" s="234"/>
      <c r="AC364" s="234"/>
      <c r="AD364" s="234"/>
      <c r="AE364" s="234"/>
      <c r="AF364" s="234"/>
      <c r="AG364" s="234"/>
      <c r="AH364" s="234"/>
      <c r="AI364" s="234"/>
      <c r="AJ364" s="234"/>
      <c r="AK364" s="234"/>
      <c r="AL364" s="234"/>
      <c r="AM364" s="234"/>
      <c r="AN364" s="234"/>
      <c r="AO364" s="234"/>
      <c r="AP364" s="234"/>
      <c r="AQ364" s="234"/>
      <c r="AR364" s="234"/>
      <c r="AS364" s="234"/>
      <c r="AT364" s="234"/>
      <c r="AU364" s="234"/>
      <c r="AV364" s="234"/>
      <c r="AW364" s="234"/>
      <c r="AX364" s="234"/>
      <c r="AY364" s="234"/>
      <c r="AZ364" s="234"/>
      <c r="BA364" s="234"/>
      <c r="BB364" s="234"/>
      <c r="BC364" s="234"/>
      <c r="BD364" s="234"/>
      <c r="BE364" s="234"/>
      <c r="BF364" s="234"/>
      <c r="BG364" s="234"/>
      <c r="BH364" s="234"/>
      <c r="BI364" s="234"/>
      <c r="BJ364" s="234"/>
      <c r="BK364" s="234"/>
      <c r="BL364" s="234"/>
      <c r="BM364" s="234"/>
      <c r="BN364" s="234"/>
      <c r="BO364" s="234"/>
      <c r="BP364" s="234"/>
      <c r="BQ364" s="234"/>
      <c r="BR364" s="234"/>
      <c r="BS364" s="234"/>
      <c r="BT364" s="234"/>
      <c r="BU364" s="234"/>
      <c r="BV364" s="234"/>
      <c r="BW364" s="234"/>
      <c r="CH364" s="1064"/>
      <c r="DZ364" s="234"/>
      <c r="EA364" s="234"/>
      <c r="EB364" s="234"/>
    </row>
    <row r="365" spans="3:132" x14ac:dyDescent="0.45">
      <c r="C365" s="55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  <c r="AB365" s="234"/>
      <c r="AC365" s="234"/>
      <c r="AD365" s="234"/>
      <c r="AE365" s="234"/>
      <c r="AF365" s="234"/>
      <c r="AG365" s="234"/>
      <c r="AH365" s="234"/>
      <c r="AI365" s="234"/>
      <c r="AJ365" s="234"/>
      <c r="AK365" s="234"/>
      <c r="AL365" s="234"/>
      <c r="AM365" s="234"/>
      <c r="AN365" s="234"/>
      <c r="AO365" s="234"/>
      <c r="AP365" s="234"/>
      <c r="AQ365" s="234"/>
      <c r="AR365" s="234"/>
      <c r="AS365" s="234"/>
      <c r="AT365" s="234"/>
      <c r="AU365" s="234"/>
      <c r="AV365" s="234"/>
      <c r="AW365" s="234"/>
      <c r="AX365" s="234"/>
      <c r="AY365" s="234"/>
      <c r="AZ365" s="234"/>
      <c r="BA365" s="234"/>
      <c r="BB365" s="234"/>
      <c r="BC365" s="234"/>
      <c r="BD365" s="234"/>
      <c r="BE365" s="234"/>
      <c r="BF365" s="234"/>
      <c r="BG365" s="234"/>
      <c r="BH365" s="234"/>
      <c r="BI365" s="234"/>
      <c r="BJ365" s="234"/>
      <c r="BK365" s="234"/>
      <c r="BL365" s="234"/>
      <c r="BM365" s="234"/>
      <c r="BN365" s="234"/>
      <c r="BO365" s="234"/>
      <c r="BP365" s="234"/>
      <c r="BQ365" s="234"/>
      <c r="BR365" s="234"/>
      <c r="BS365" s="234"/>
      <c r="BT365" s="234"/>
      <c r="BU365" s="234"/>
      <c r="BV365" s="234"/>
      <c r="BW365" s="234"/>
      <c r="CH365" s="1064"/>
      <c r="DZ365" s="234"/>
      <c r="EA365" s="234"/>
      <c r="EB365" s="234"/>
    </row>
    <row r="366" spans="3:132" x14ac:dyDescent="0.45">
      <c r="C366" s="55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  <c r="AD366" s="234"/>
      <c r="AE366" s="234"/>
      <c r="AF366" s="234"/>
      <c r="AG366" s="234"/>
      <c r="AH366" s="234"/>
      <c r="AI366" s="234"/>
      <c r="AJ366" s="234"/>
      <c r="AK366" s="234"/>
      <c r="AL366" s="234"/>
      <c r="AM366" s="234"/>
      <c r="AN366" s="234"/>
      <c r="AO366" s="234"/>
      <c r="AP366" s="234"/>
      <c r="AQ366" s="234"/>
      <c r="AR366" s="234"/>
      <c r="AS366" s="234"/>
      <c r="AT366" s="234"/>
      <c r="AU366" s="234"/>
      <c r="AV366" s="234"/>
      <c r="AW366" s="234"/>
      <c r="AX366" s="234"/>
      <c r="AY366" s="234"/>
      <c r="AZ366" s="234"/>
      <c r="BA366" s="234"/>
      <c r="BB366" s="234"/>
      <c r="BC366" s="234"/>
      <c r="BD366" s="234"/>
      <c r="BE366" s="234"/>
      <c r="BF366" s="234"/>
      <c r="BG366" s="234"/>
      <c r="BH366" s="234"/>
      <c r="BI366" s="234"/>
      <c r="BJ366" s="234"/>
      <c r="BK366" s="234"/>
      <c r="BL366" s="234"/>
      <c r="BM366" s="234"/>
      <c r="BN366" s="234"/>
      <c r="BO366" s="234"/>
      <c r="BP366" s="234"/>
      <c r="BQ366" s="234"/>
      <c r="BR366" s="234"/>
      <c r="BS366" s="234"/>
      <c r="BT366" s="234"/>
      <c r="BU366" s="234"/>
      <c r="BV366" s="234"/>
      <c r="BW366" s="234"/>
      <c r="CH366" s="1064"/>
      <c r="DZ366" s="234"/>
      <c r="EA366" s="234"/>
      <c r="EB366" s="234"/>
    </row>
    <row r="367" spans="3:132" x14ac:dyDescent="0.45">
      <c r="BX367" s="246"/>
      <c r="BY367" s="246"/>
      <c r="BZ367" s="246"/>
      <c r="CA367" s="246"/>
      <c r="CB367" s="246"/>
      <c r="CC367" s="246"/>
      <c r="CD367" s="246"/>
      <c r="CE367" s="246"/>
      <c r="CF367" s="246"/>
      <c r="CG367" s="246"/>
      <c r="CH367" s="246"/>
      <c r="CI367" s="246"/>
      <c r="CJ367" s="246"/>
      <c r="CK367" s="246"/>
      <c r="CL367" s="246"/>
      <c r="CM367" s="246"/>
      <c r="CN367" s="246"/>
      <c r="CO367" s="246"/>
      <c r="CP367" s="246"/>
      <c r="CQ367" s="246"/>
      <c r="CR367" s="246"/>
      <c r="CS367" s="246"/>
      <c r="CT367" s="246"/>
      <c r="CU367" s="246"/>
      <c r="CV367" s="246"/>
      <c r="CW367" s="246"/>
      <c r="CX367" s="246"/>
      <c r="CY367" s="246"/>
      <c r="CZ367" s="246"/>
      <c r="DA367" s="246"/>
      <c r="DB367" s="246"/>
      <c r="DC367" s="246"/>
      <c r="DD367" s="246"/>
      <c r="DE367" s="246"/>
      <c r="DF367" s="246"/>
      <c r="DG367" s="246"/>
      <c r="DH367" s="246"/>
      <c r="DI367" s="246"/>
      <c r="DJ367" s="246"/>
      <c r="DK367" s="246"/>
      <c r="DL367" s="246"/>
      <c r="DM367" s="246"/>
      <c r="DN367" s="246"/>
      <c r="DO367" s="246"/>
      <c r="DP367" s="246"/>
      <c r="DQ367" s="246"/>
      <c r="DR367" s="246"/>
      <c r="DS367" s="246"/>
    </row>
    <row r="368" spans="3:132" x14ac:dyDescent="0.45">
      <c r="BX368" s="246"/>
      <c r="BY368" s="246"/>
      <c r="BZ368" s="246"/>
      <c r="CA368" s="246"/>
      <c r="CB368" s="246"/>
      <c r="CC368" s="246"/>
      <c r="CD368" s="246"/>
      <c r="CE368" s="246"/>
      <c r="CF368" s="246"/>
      <c r="CG368" s="246"/>
      <c r="CH368" s="246"/>
      <c r="CI368" s="246"/>
      <c r="CJ368" s="246"/>
      <c r="CK368" s="246"/>
      <c r="CL368" s="246"/>
      <c r="CM368" s="246"/>
      <c r="CN368" s="246"/>
      <c r="CO368" s="246"/>
      <c r="CP368" s="246"/>
      <c r="CQ368" s="246"/>
      <c r="CR368" s="246"/>
      <c r="CS368" s="246"/>
      <c r="CT368" s="246"/>
      <c r="CU368" s="246"/>
      <c r="CV368" s="246"/>
      <c r="CW368" s="246"/>
      <c r="CX368" s="246"/>
      <c r="CY368" s="246"/>
      <c r="CZ368" s="246"/>
      <c r="DA368" s="246"/>
      <c r="DB368" s="246"/>
      <c r="DC368" s="246"/>
      <c r="DD368" s="246"/>
      <c r="DE368" s="246"/>
      <c r="DF368" s="246"/>
      <c r="DG368" s="246"/>
      <c r="DH368" s="246"/>
      <c r="DI368" s="246"/>
      <c r="DJ368" s="246"/>
      <c r="DK368" s="246"/>
      <c r="DL368" s="246"/>
      <c r="DM368" s="246"/>
      <c r="DN368" s="246"/>
      <c r="DO368" s="246"/>
      <c r="DP368" s="246"/>
      <c r="DQ368" s="246"/>
      <c r="DR368" s="246"/>
      <c r="DS368" s="246"/>
    </row>
    <row r="369" spans="2:132" x14ac:dyDescent="0.45">
      <c r="BX369" s="246"/>
      <c r="BY369" s="246"/>
      <c r="CB369" s="246"/>
      <c r="CC369" s="246"/>
      <c r="CD369" s="246"/>
      <c r="CE369" s="246"/>
      <c r="CF369" s="246"/>
      <c r="CG369" s="246"/>
      <c r="CH369" s="246"/>
      <c r="CI369" s="246"/>
      <c r="CJ369" s="246"/>
      <c r="CK369" s="246"/>
      <c r="CL369" s="246"/>
      <c r="CM369" s="246"/>
      <c r="CN369" s="246"/>
      <c r="CO369" s="246"/>
      <c r="CP369" s="246"/>
      <c r="CQ369" s="246"/>
      <c r="CR369" s="246"/>
      <c r="CS369" s="246"/>
      <c r="CT369" s="246"/>
      <c r="CU369" s="246"/>
      <c r="CV369" s="246"/>
      <c r="CW369" s="246"/>
      <c r="CX369" s="246"/>
      <c r="CY369" s="246"/>
      <c r="CZ369" s="246"/>
      <c r="DA369" s="246"/>
      <c r="DB369" s="246"/>
      <c r="DC369" s="246"/>
      <c r="DD369" s="246"/>
      <c r="DE369" s="246"/>
      <c r="DF369" s="246"/>
      <c r="DG369" s="246"/>
      <c r="DH369" s="246"/>
      <c r="DI369" s="246"/>
      <c r="DJ369" s="246"/>
      <c r="DK369" s="246"/>
      <c r="DL369" s="246"/>
      <c r="DM369" s="246"/>
      <c r="DN369" s="246"/>
      <c r="DO369" s="246"/>
      <c r="DP369" s="246"/>
      <c r="DQ369" s="246"/>
      <c r="DR369" s="246"/>
      <c r="DS369" s="246"/>
    </row>
    <row r="370" spans="2:132" x14ac:dyDescent="0.45">
      <c r="BX370" s="246"/>
      <c r="BY370" s="246"/>
      <c r="CB370" s="246"/>
      <c r="CC370" s="246"/>
      <c r="CD370" s="246"/>
      <c r="CE370" s="246"/>
      <c r="CF370" s="246"/>
      <c r="CG370" s="246"/>
      <c r="CH370" s="246"/>
      <c r="CI370" s="246"/>
      <c r="CJ370" s="246"/>
      <c r="CK370" s="246"/>
      <c r="CL370" s="246"/>
      <c r="CM370" s="246"/>
      <c r="CN370" s="246"/>
      <c r="CO370" s="246"/>
      <c r="CP370" s="246"/>
      <c r="CQ370" s="246"/>
      <c r="CR370" s="246"/>
      <c r="CS370" s="246"/>
      <c r="CT370" s="246"/>
      <c r="CU370" s="246"/>
      <c r="CV370" s="246"/>
      <c r="CW370" s="246"/>
      <c r="CX370" s="246"/>
      <c r="CY370" s="246"/>
      <c r="CZ370" s="246"/>
      <c r="DA370" s="246"/>
      <c r="DB370" s="246"/>
      <c r="DC370" s="246"/>
      <c r="DD370" s="246"/>
      <c r="DE370" s="246"/>
      <c r="DF370" s="246"/>
      <c r="DG370" s="246"/>
      <c r="DH370" s="246"/>
      <c r="DI370" s="246"/>
      <c r="DJ370" s="246"/>
      <c r="DK370" s="246"/>
      <c r="DL370" s="246"/>
      <c r="DM370" s="246"/>
      <c r="DN370" s="246"/>
      <c r="DO370" s="246"/>
      <c r="DP370" s="246"/>
      <c r="DQ370" s="246"/>
      <c r="DR370" s="246"/>
      <c r="DS370" s="246"/>
    </row>
    <row r="371" spans="2:132" x14ac:dyDescent="0.45">
      <c r="B371" s="615" t="s">
        <v>1655</v>
      </c>
      <c r="C371" s="615"/>
      <c r="D371" s="616"/>
      <c r="E371" s="616"/>
      <c r="F371" s="616"/>
      <c r="G371" s="616"/>
      <c r="H371" s="616"/>
      <c r="I371" s="616"/>
      <c r="J371" s="616"/>
      <c r="K371" s="616"/>
      <c r="L371" s="616"/>
      <c r="M371" s="616"/>
      <c r="N371" s="616"/>
      <c r="O371" s="616"/>
      <c r="P371" s="616"/>
      <c r="Q371" s="616"/>
      <c r="R371" s="616"/>
      <c r="S371" s="616"/>
      <c r="T371" s="616"/>
      <c r="U371" s="616"/>
      <c r="V371" s="616"/>
      <c r="W371" s="616"/>
      <c r="X371" s="616"/>
      <c r="Y371" s="616"/>
      <c r="Z371" s="616"/>
      <c r="AA371" s="616"/>
      <c r="AB371" s="616"/>
      <c r="AC371" s="616"/>
      <c r="AD371" s="616"/>
      <c r="AE371" s="616"/>
      <c r="AF371" s="616"/>
      <c r="AG371" s="616"/>
      <c r="AH371" s="616"/>
      <c r="AI371" s="616"/>
      <c r="AJ371" s="616"/>
      <c r="AK371" s="616"/>
      <c r="AL371" s="616"/>
      <c r="AM371" s="616"/>
      <c r="AN371" s="616"/>
      <c r="AO371" s="616"/>
      <c r="AP371" s="616"/>
      <c r="AQ371" s="616"/>
      <c r="AR371" s="616"/>
      <c r="AS371" s="616"/>
      <c r="AT371" s="616"/>
      <c r="AU371" s="616"/>
      <c r="AV371" s="616"/>
      <c r="AW371" s="616"/>
      <c r="AX371" s="616"/>
      <c r="AY371" s="616"/>
      <c r="AZ371" s="616"/>
      <c r="BA371" s="616"/>
      <c r="BB371" s="616"/>
      <c r="BC371" s="616"/>
      <c r="BD371" s="616"/>
      <c r="BE371" s="616"/>
      <c r="BF371" s="616"/>
      <c r="BG371" s="616"/>
      <c r="BH371" s="616"/>
      <c r="BI371" s="616"/>
      <c r="BJ371" s="616"/>
      <c r="BK371" s="616"/>
      <c r="BL371" s="616"/>
      <c r="BM371" s="616"/>
      <c r="BN371" s="616"/>
      <c r="BO371" s="616"/>
      <c r="BP371" s="616"/>
      <c r="BQ371" s="616"/>
      <c r="BR371" s="616"/>
      <c r="BS371" s="616"/>
      <c r="BT371" s="616"/>
      <c r="BU371" s="616"/>
      <c r="BV371" s="616"/>
      <c r="BW371" s="616"/>
      <c r="BX371" s="616"/>
      <c r="BY371" s="616"/>
      <c r="BZ371" s="616"/>
      <c r="CA371" s="616"/>
      <c r="CB371" s="616"/>
      <c r="CC371" s="616"/>
      <c r="CD371" s="616"/>
      <c r="CE371" s="616"/>
      <c r="CF371" s="616"/>
      <c r="CG371" s="616"/>
      <c r="CH371" s="616"/>
      <c r="CI371" s="616"/>
      <c r="CJ371" s="616"/>
      <c r="CK371" s="616"/>
      <c r="CL371" s="616"/>
      <c r="CM371" s="616"/>
      <c r="CN371" s="616"/>
      <c r="CO371" s="616"/>
      <c r="CP371" s="616"/>
      <c r="CQ371" s="616"/>
      <c r="CR371" s="616"/>
      <c r="CS371" s="616"/>
      <c r="CT371" s="616"/>
      <c r="CU371" s="616"/>
      <c r="CV371" s="616"/>
      <c r="CW371" s="616"/>
      <c r="CX371" s="616"/>
      <c r="CY371" s="616"/>
      <c r="CZ371" s="616"/>
      <c r="DA371" s="616"/>
      <c r="DB371" s="616"/>
      <c r="DC371" s="616"/>
      <c r="DD371" s="616"/>
      <c r="DE371" s="616"/>
      <c r="DF371" s="616"/>
      <c r="DG371" s="616"/>
      <c r="DH371" s="616"/>
      <c r="DI371" s="616"/>
      <c r="DJ371" s="616"/>
      <c r="DK371" s="616"/>
      <c r="DL371" s="616"/>
      <c r="DM371" s="616"/>
      <c r="DN371" s="616"/>
      <c r="DO371" s="616"/>
      <c r="DP371" s="616"/>
      <c r="DQ371" s="616"/>
      <c r="DR371" s="616"/>
      <c r="DS371" s="616"/>
      <c r="DT371" s="614"/>
    </row>
    <row r="372" spans="2:132" x14ac:dyDescent="0.45">
      <c r="B372" s="521" t="s">
        <v>1434</v>
      </c>
      <c r="D372" s="319"/>
      <c r="E372" s="319"/>
      <c r="F372" s="319"/>
      <c r="G372" s="319"/>
      <c r="H372" s="319"/>
      <c r="I372" s="556"/>
      <c r="J372" s="318"/>
      <c r="K372" s="319"/>
      <c r="L372" s="556"/>
      <c r="M372" s="318"/>
      <c r="N372" s="319"/>
      <c r="O372" s="556"/>
      <c r="P372" s="250"/>
      <c r="Q372" s="250"/>
      <c r="R372" s="250"/>
      <c r="S372" s="250"/>
      <c r="T372" s="250"/>
      <c r="U372" s="250"/>
      <c r="V372" s="250"/>
      <c r="W372" s="250"/>
      <c r="X372" s="250"/>
      <c r="Y372" s="250"/>
      <c r="Z372" s="318"/>
      <c r="AA372" s="319"/>
      <c r="AB372" s="319"/>
      <c r="AC372" s="319"/>
      <c r="AD372" s="319"/>
      <c r="AE372" s="319"/>
      <c r="AF372" s="319"/>
      <c r="AG372" s="583"/>
      <c r="AH372" s="319"/>
      <c r="AI372" s="319"/>
      <c r="AJ372" s="319"/>
      <c r="AK372" s="319"/>
      <c r="AL372" s="319"/>
      <c r="AM372" s="583"/>
      <c r="AN372" s="319"/>
      <c r="AO372" s="319"/>
      <c r="AP372" s="319"/>
      <c r="AQ372" s="319"/>
      <c r="AR372" s="319"/>
      <c r="AS372" s="583"/>
      <c r="AT372" s="319"/>
      <c r="AU372" s="319"/>
      <c r="AV372" s="319"/>
      <c r="AW372" s="319"/>
      <c r="AX372" s="319"/>
      <c r="AY372" s="583"/>
      <c r="AZ372" s="319"/>
      <c r="BA372" s="319"/>
      <c r="BB372" s="319"/>
      <c r="BC372" s="319"/>
      <c r="BD372" s="319"/>
      <c r="BE372" s="583"/>
      <c r="BF372" s="319"/>
      <c r="BG372" s="319"/>
      <c r="BH372" s="319"/>
      <c r="BI372" s="319"/>
      <c r="BJ372" s="319"/>
      <c r="BK372" s="583"/>
      <c r="BL372" s="319"/>
      <c r="BM372" s="319"/>
      <c r="BN372" s="319"/>
      <c r="BO372" s="319"/>
      <c r="BP372" s="319"/>
      <c r="BQ372" s="583"/>
      <c r="BR372" s="319"/>
      <c r="BS372" s="319"/>
      <c r="BT372" s="319"/>
      <c r="BU372" s="319"/>
      <c r="BV372" s="319"/>
      <c r="BW372" s="319"/>
      <c r="BX372" s="319"/>
      <c r="BY372" s="319"/>
      <c r="BZ372" s="319"/>
      <c r="CA372" s="319"/>
      <c r="CB372" s="319"/>
      <c r="CC372" s="319"/>
      <c r="CD372" s="319"/>
      <c r="CE372" s="319"/>
      <c r="CF372" s="319"/>
      <c r="CG372" s="319"/>
      <c r="CH372" s="319"/>
      <c r="CI372" s="319"/>
      <c r="CJ372" s="319"/>
      <c r="CK372" s="319"/>
      <c r="CL372" s="319"/>
      <c r="CM372" s="319"/>
      <c r="CN372" s="319"/>
      <c r="CO372" s="319"/>
      <c r="CP372" s="319"/>
      <c r="CQ372" s="319"/>
      <c r="CR372" s="319"/>
      <c r="CS372" s="319"/>
      <c r="CT372" s="319"/>
      <c r="CU372" s="319"/>
      <c r="CV372" s="319"/>
      <c r="CW372" s="319"/>
      <c r="CX372" s="319"/>
      <c r="CY372" s="319"/>
      <c r="CZ372" s="319"/>
      <c r="DA372" s="319"/>
      <c r="DB372" s="319"/>
      <c r="DC372" s="319"/>
      <c r="DD372" s="319"/>
      <c r="DE372" s="319"/>
      <c r="DF372" s="319"/>
      <c r="DG372" s="319"/>
      <c r="DH372" s="319"/>
      <c r="DI372" s="319"/>
      <c r="DJ372" s="319"/>
      <c r="DK372" s="319"/>
      <c r="DL372" s="319"/>
      <c r="DM372" s="319"/>
      <c r="DN372" s="319"/>
      <c r="DO372" s="319"/>
      <c r="DP372" s="319"/>
      <c r="DQ372" s="319"/>
      <c r="DR372" s="319"/>
      <c r="DS372" s="319"/>
      <c r="DT372" s="468"/>
      <c r="DV372" s="234"/>
      <c r="DW372" s="234"/>
      <c r="DX372" s="234"/>
      <c r="DY372" s="234"/>
      <c r="DZ372" s="234"/>
      <c r="EA372" s="234"/>
      <c r="EB372" s="234"/>
    </row>
    <row r="373" spans="2:132" x14ac:dyDescent="0.45">
      <c r="BX373" s="246"/>
      <c r="BY373" s="246"/>
      <c r="BZ373" s="246"/>
      <c r="CA373" s="246"/>
      <c r="CB373" s="246"/>
      <c r="CC373" s="246"/>
      <c r="CD373" s="246"/>
      <c r="CE373" s="246"/>
      <c r="CF373" s="246"/>
      <c r="CG373" s="246"/>
      <c r="CH373" s="246"/>
      <c r="CI373" s="246"/>
      <c r="CJ373" s="246"/>
      <c r="CK373" s="246"/>
      <c r="CL373" s="246"/>
      <c r="CM373" s="246"/>
      <c r="CN373" s="246"/>
      <c r="CO373" s="246"/>
      <c r="CP373" s="246"/>
      <c r="CQ373" s="246"/>
      <c r="CR373" s="246"/>
      <c r="CS373" s="246"/>
      <c r="CT373" s="246"/>
      <c r="CU373" s="246"/>
      <c r="CV373" s="246"/>
      <c r="CW373" s="246"/>
      <c r="CX373" s="246"/>
      <c r="CY373" s="246"/>
      <c r="CZ373" s="246"/>
      <c r="DA373" s="246"/>
      <c r="DB373" s="246"/>
      <c r="DC373" s="246"/>
      <c r="DD373" s="246"/>
      <c r="DE373" s="246"/>
      <c r="DF373" s="246"/>
      <c r="DG373" s="246"/>
      <c r="DH373" s="246"/>
      <c r="DI373" s="246"/>
      <c r="DJ373" s="246"/>
      <c r="DK373" s="246"/>
      <c r="DL373" s="246"/>
      <c r="DM373" s="246"/>
      <c r="DN373" s="246"/>
      <c r="DO373" s="246"/>
      <c r="DP373" s="246"/>
      <c r="DQ373" s="246"/>
      <c r="DR373" s="246"/>
      <c r="DS373" s="246"/>
      <c r="DV373" s="234"/>
      <c r="DW373" s="234"/>
      <c r="DX373" s="234"/>
      <c r="DY373" s="234"/>
      <c r="DZ373" s="234"/>
      <c r="EA373" s="234"/>
      <c r="EB373" s="234"/>
    </row>
    <row r="374" spans="2:132" x14ac:dyDescent="0.45">
      <c r="B374" s="521" t="s">
        <v>1433</v>
      </c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250"/>
      <c r="P374" s="250"/>
      <c r="Q374" s="250"/>
      <c r="R374" s="250"/>
      <c r="S374" s="250"/>
      <c r="T374" s="308"/>
      <c r="U374" s="309"/>
      <c r="V374" s="309"/>
      <c r="W374" s="309"/>
      <c r="X374" s="309"/>
      <c r="Y374" s="309"/>
      <c r="Z374" s="309"/>
      <c r="AA374" s="309"/>
      <c r="AB374" s="309"/>
      <c r="AC374" s="309"/>
      <c r="AD374" s="310"/>
      <c r="AE374" s="250"/>
      <c r="AF374" s="250"/>
      <c r="AG374" s="324"/>
      <c r="AH374" s="308"/>
      <c r="AI374" s="309"/>
      <c r="AJ374" s="309"/>
      <c r="AK374" s="309"/>
      <c r="AL374" s="310"/>
      <c r="AM374" s="250"/>
      <c r="AN374" s="308"/>
      <c r="AO374" s="309"/>
      <c r="AP374" s="309"/>
      <c r="AQ374" s="309"/>
      <c r="AR374" s="310"/>
      <c r="AS374" s="250"/>
      <c r="AT374" s="308"/>
      <c r="AU374" s="309"/>
      <c r="AV374" s="309"/>
      <c r="AW374" s="309"/>
      <c r="AX374" s="310"/>
      <c r="AY374" s="250"/>
      <c r="AZ374" s="308"/>
      <c r="BA374" s="309"/>
      <c r="BB374" s="309"/>
      <c r="BC374" s="309"/>
      <c r="BD374" s="310"/>
      <c r="BE374" s="250"/>
      <c r="BF374" s="308"/>
      <c r="BG374" s="309"/>
      <c r="BH374" s="309"/>
      <c r="BI374" s="309"/>
      <c r="BJ374" s="310"/>
      <c r="BK374" s="250"/>
      <c r="BL374" s="308"/>
      <c r="BM374" s="309"/>
      <c r="BN374" s="309"/>
      <c r="BO374" s="309"/>
      <c r="BP374" s="310"/>
      <c r="BQ374" s="250"/>
      <c r="BR374" s="308"/>
      <c r="BS374" s="309"/>
      <c r="BT374" s="309"/>
      <c r="BU374" s="309"/>
      <c r="BV374" s="310"/>
      <c r="BW374" s="250"/>
      <c r="BX374" s="250"/>
      <c r="BY374" s="250"/>
      <c r="BZ374" s="250"/>
      <c r="CA374" s="250"/>
      <c r="CB374" s="250"/>
      <c r="CC374" s="250"/>
      <c r="CD374" s="250"/>
      <c r="CE374" s="250"/>
      <c r="CF374" s="250"/>
      <c r="CG374" s="250"/>
      <c r="CH374" s="250"/>
      <c r="CI374" s="250"/>
      <c r="CJ374" s="250"/>
      <c r="CK374" s="250"/>
      <c r="CL374" s="250"/>
      <c r="CM374" s="250"/>
      <c r="CN374" s="250"/>
      <c r="CO374" s="250"/>
      <c r="CP374" s="250"/>
      <c r="CQ374" s="250"/>
      <c r="CR374" s="250"/>
      <c r="CS374" s="250"/>
      <c r="CT374" s="250"/>
      <c r="CU374" s="250"/>
      <c r="CV374" s="250"/>
      <c r="CW374" s="250"/>
      <c r="CX374" s="250"/>
      <c r="CY374" s="250"/>
      <c r="CZ374" s="250"/>
      <c r="DA374" s="250"/>
      <c r="DB374" s="250"/>
      <c r="DC374" s="250"/>
      <c r="DD374" s="250"/>
      <c r="DE374" s="250"/>
      <c r="DF374" s="250"/>
      <c r="DG374" s="250"/>
      <c r="DH374" s="250"/>
      <c r="DI374" s="250"/>
      <c r="DJ374" s="250"/>
      <c r="DK374" s="250"/>
      <c r="DL374" s="250"/>
      <c r="DM374" s="250"/>
      <c r="DN374" s="250"/>
      <c r="DO374" s="250"/>
      <c r="DP374" s="250"/>
      <c r="DQ374" s="250"/>
      <c r="DR374" s="250"/>
      <c r="DS374" s="250"/>
      <c r="DT374" s="260"/>
      <c r="DV374" s="234"/>
      <c r="DW374" s="234"/>
      <c r="DX374" s="234"/>
      <c r="DY374" s="234"/>
      <c r="DZ374" s="234"/>
      <c r="EA374" s="234"/>
      <c r="EB374" s="234"/>
    </row>
    <row r="375" spans="2:132" x14ac:dyDescent="0.45">
      <c r="DV375" s="234"/>
      <c r="DW375" s="234"/>
      <c r="DX375" s="234"/>
      <c r="DY375" s="234"/>
      <c r="DZ375" s="234"/>
      <c r="EA375" s="234"/>
      <c r="EB375" s="234"/>
    </row>
    <row r="376" spans="2:132" x14ac:dyDescent="0.45">
      <c r="B376" s="521" t="s">
        <v>1431</v>
      </c>
      <c r="D376" s="247"/>
      <c r="E376" s="247"/>
      <c r="F376" s="258"/>
      <c r="G376" s="256"/>
      <c r="H376" s="256"/>
      <c r="I376" s="256"/>
      <c r="J376" s="256"/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  <c r="AA376" s="256"/>
      <c r="AB376" s="256"/>
      <c r="AC376" s="256"/>
      <c r="AD376" s="256"/>
      <c r="AE376" s="256"/>
      <c r="AF376" s="256"/>
      <c r="AG376" s="256"/>
      <c r="AH376" s="256"/>
      <c r="AI376" s="256"/>
      <c r="AJ376" s="256"/>
      <c r="AK376" s="256"/>
      <c r="AL376" s="256"/>
      <c r="AM376" s="256"/>
      <c r="AN376" s="256"/>
      <c r="AO376" s="256"/>
      <c r="AP376" s="256"/>
      <c r="AQ376" s="256"/>
      <c r="AR376" s="256"/>
      <c r="AS376" s="256"/>
      <c r="AT376" s="256"/>
      <c r="AU376" s="256"/>
      <c r="AV376" s="256"/>
      <c r="AW376" s="256"/>
      <c r="AX376" s="256"/>
      <c r="AY376" s="256"/>
      <c r="AZ376" s="256"/>
      <c r="BA376" s="256"/>
      <c r="BB376" s="256"/>
      <c r="BC376" s="256"/>
      <c r="BD376" s="256"/>
      <c r="BE376" s="256"/>
      <c r="BF376" s="256"/>
      <c r="BG376" s="256"/>
      <c r="BH376" s="256"/>
      <c r="BI376" s="256"/>
      <c r="BJ376" s="256"/>
      <c r="BK376" s="256"/>
      <c r="BL376" s="256"/>
      <c r="BM376" s="256"/>
      <c r="BN376" s="256"/>
      <c r="BO376" s="256"/>
      <c r="BP376" s="256"/>
      <c r="BQ376" s="256"/>
      <c r="BR376" s="256"/>
      <c r="BS376" s="256"/>
      <c r="BT376" s="256"/>
      <c r="BU376" s="256"/>
      <c r="BV376" s="256"/>
      <c r="BW376" s="256"/>
      <c r="BX376" s="256"/>
      <c r="BY376" s="256"/>
      <c r="BZ376" s="258"/>
      <c r="CA376" s="256"/>
      <c r="CB376" s="256"/>
      <c r="CC376" s="256"/>
      <c r="CD376" s="256"/>
      <c r="CE376" s="256"/>
      <c r="CF376" s="256"/>
      <c r="CG376" s="256"/>
      <c r="CH376" s="256"/>
      <c r="CI376" s="256"/>
      <c r="CJ376" s="256"/>
      <c r="CK376" s="256"/>
      <c r="CL376" s="256"/>
      <c r="CM376" s="256"/>
      <c r="CN376" s="256"/>
      <c r="CO376" s="256"/>
      <c r="CP376" s="256"/>
      <c r="CQ376" s="256"/>
      <c r="CR376" s="256"/>
      <c r="CS376" s="256"/>
      <c r="CT376" s="256"/>
      <c r="CU376" s="256"/>
      <c r="CV376" s="256"/>
      <c r="CW376" s="256"/>
      <c r="CX376" s="256"/>
      <c r="CY376" s="256"/>
      <c r="CZ376" s="256"/>
      <c r="DA376" s="256"/>
      <c r="DB376" s="256"/>
      <c r="DC376" s="256"/>
      <c r="DD376" s="256"/>
      <c r="DE376" s="256"/>
      <c r="DF376" s="256"/>
      <c r="DG376" s="256"/>
      <c r="DH376" s="256"/>
      <c r="DI376" s="256"/>
      <c r="DJ376" s="256"/>
      <c r="DK376" s="256"/>
      <c r="DL376" s="256"/>
      <c r="DM376" s="256"/>
      <c r="DN376" s="256"/>
      <c r="DO376" s="256"/>
      <c r="DP376" s="256"/>
      <c r="DQ376" s="256"/>
      <c r="DR376" s="256"/>
      <c r="DS376" s="256"/>
      <c r="DT376" s="256"/>
      <c r="DV376" s="234"/>
      <c r="DW376" s="234"/>
      <c r="DX376" s="234"/>
      <c r="DY376" s="234"/>
      <c r="DZ376" s="234"/>
      <c r="EA376" s="234"/>
      <c r="EB376" s="234"/>
    </row>
    <row r="377" spans="2:132" x14ac:dyDescent="0.45">
      <c r="T377" s="234"/>
      <c r="U377" s="234"/>
      <c r="BC377" s="234"/>
      <c r="BD377" s="234"/>
      <c r="BE377" s="234"/>
      <c r="BF377" s="234"/>
      <c r="BG377" s="234"/>
      <c r="BH377" s="234"/>
      <c r="BI377" s="234"/>
      <c r="BJ377" s="234"/>
      <c r="BK377" s="234"/>
      <c r="BL377" s="234"/>
      <c r="BX377" s="246"/>
      <c r="BY377" s="246"/>
      <c r="BZ377" s="246"/>
      <c r="CA377" s="246"/>
      <c r="CB377" s="246"/>
      <c r="CC377" s="246"/>
      <c r="CD377" s="246"/>
      <c r="CE377" s="246"/>
      <c r="CF377" s="246"/>
      <c r="CG377" s="246"/>
      <c r="DT377" s="246"/>
      <c r="DV377" s="234"/>
      <c r="DW377" s="234"/>
      <c r="DX377" s="234"/>
      <c r="DY377" s="234"/>
      <c r="DZ377" s="234"/>
      <c r="EA377" s="234"/>
      <c r="EB377" s="234"/>
    </row>
    <row r="378" spans="2:132" x14ac:dyDescent="0.45">
      <c r="B378" s="521" t="s">
        <v>2057</v>
      </c>
      <c r="D378" s="250"/>
      <c r="E378" s="250"/>
      <c r="F378" s="313"/>
      <c r="G378" s="250"/>
      <c r="H378" s="250"/>
      <c r="I378" s="250"/>
      <c r="J378" s="250"/>
      <c r="K378" s="250"/>
      <c r="L378" s="250"/>
      <c r="M378" s="250"/>
      <c r="N378" s="250"/>
      <c r="O378" s="313"/>
      <c r="P378" s="250"/>
      <c r="Q378" s="250"/>
      <c r="R378" s="250"/>
      <c r="S378" s="250"/>
      <c r="T378" s="250"/>
      <c r="U378" s="250"/>
      <c r="V378" s="250"/>
      <c r="W378" s="250"/>
      <c r="X378" s="313"/>
      <c r="Y378" s="250"/>
      <c r="Z378" s="250"/>
      <c r="AA378" s="250"/>
      <c r="AB378" s="250"/>
      <c r="AC378" s="250"/>
      <c r="AD378" s="250"/>
      <c r="AE378" s="250"/>
      <c r="AF378" s="250"/>
      <c r="AG378" s="313"/>
      <c r="AH378" s="250"/>
      <c r="AI378" s="250"/>
      <c r="AJ378" s="250"/>
      <c r="AK378" s="250"/>
      <c r="AL378" s="250"/>
      <c r="AM378" s="250"/>
      <c r="AN378" s="250"/>
      <c r="AO378" s="250"/>
      <c r="AP378" s="313"/>
      <c r="AQ378" s="250"/>
      <c r="AR378" s="250"/>
      <c r="AS378" s="250"/>
      <c r="AT378" s="250"/>
      <c r="AU378" s="250"/>
      <c r="AV378" s="250"/>
      <c r="AW378" s="250"/>
      <c r="AX378" s="250"/>
      <c r="AY378" s="313"/>
      <c r="AZ378" s="250"/>
      <c r="BA378" s="250"/>
      <c r="BB378" s="250"/>
      <c r="BC378" s="250"/>
      <c r="BD378" s="250"/>
      <c r="BE378" s="250"/>
      <c r="BF378" s="250"/>
      <c r="BG378" s="250"/>
      <c r="BH378" s="313"/>
      <c r="BI378" s="250"/>
      <c r="BJ378" s="250"/>
      <c r="BK378" s="250"/>
      <c r="BL378" s="250"/>
      <c r="BM378" s="250"/>
      <c r="BN378" s="250"/>
      <c r="BO378" s="250"/>
      <c r="BP378" s="250"/>
      <c r="BQ378" s="313"/>
      <c r="BR378" s="250"/>
      <c r="BS378" s="250"/>
      <c r="BT378" s="250"/>
      <c r="BU378" s="250"/>
      <c r="BV378" s="250"/>
      <c r="BW378" s="250"/>
      <c r="BX378" s="250"/>
      <c r="BY378" s="250"/>
      <c r="BZ378" s="313"/>
      <c r="CA378" s="250"/>
      <c r="CB378" s="250"/>
      <c r="CC378" s="250"/>
      <c r="CD378" s="250"/>
      <c r="CE378" s="250"/>
      <c r="CF378" s="313"/>
      <c r="CG378" s="250"/>
      <c r="CH378" s="250"/>
      <c r="CI378" s="250"/>
      <c r="CJ378" s="250"/>
      <c r="CK378" s="250"/>
      <c r="CL378" s="313"/>
      <c r="CM378" s="250"/>
      <c r="CN378" s="250"/>
      <c r="CO378" s="250"/>
      <c r="CP378" s="250"/>
      <c r="CQ378" s="250"/>
      <c r="CR378" s="313"/>
      <c r="CS378" s="250"/>
      <c r="CT378" s="250"/>
      <c r="CU378" s="250"/>
      <c r="CV378" s="250"/>
      <c r="CW378" s="250"/>
      <c r="CX378" s="313"/>
      <c r="CY378" s="250"/>
      <c r="CZ378" s="250"/>
      <c r="DA378" s="250"/>
      <c r="DB378" s="250"/>
      <c r="DC378" s="250"/>
      <c r="DD378" s="313"/>
      <c r="DE378" s="250"/>
      <c r="DF378" s="250"/>
      <c r="DG378" s="250"/>
      <c r="DH378" s="250"/>
      <c r="DI378" s="250"/>
      <c r="DJ378" s="313"/>
      <c r="DK378" s="250"/>
      <c r="DL378" s="250"/>
      <c r="DM378" s="250"/>
      <c r="DN378" s="250"/>
      <c r="DO378" s="250"/>
      <c r="DP378" s="313"/>
      <c r="DQ378" s="250"/>
      <c r="DR378" s="250"/>
      <c r="DS378" s="250"/>
      <c r="DT378" s="250"/>
      <c r="DV378" s="234"/>
      <c r="DW378" s="234"/>
      <c r="DX378" s="234"/>
      <c r="DY378" s="234"/>
      <c r="DZ378" s="234"/>
      <c r="EA378" s="234"/>
      <c r="EB378" s="234"/>
    </row>
    <row r="379" spans="2:132" x14ac:dyDescent="0.45">
      <c r="BX379" s="246"/>
      <c r="DV379" s="234"/>
      <c r="DW379" s="234"/>
      <c r="DX379" s="234"/>
      <c r="DY379" s="234"/>
      <c r="DZ379" s="234"/>
      <c r="EA379" s="234"/>
      <c r="EB379" s="234"/>
    </row>
    <row r="380" spans="2:132" x14ac:dyDescent="0.45">
      <c r="B380" s="521" t="s">
        <v>1419</v>
      </c>
      <c r="D380" s="559"/>
      <c r="E380" s="560"/>
      <c r="F380" s="557"/>
      <c r="G380" s="561"/>
      <c r="H380" s="561"/>
      <c r="I380" s="558"/>
      <c r="J380" s="559"/>
      <c r="K380" s="559"/>
      <c r="L380" s="559"/>
      <c r="M380" s="559"/>
      <c r="N380" s="559"/>
      <c r="O380" s="557"/>
      <c r="P380" s="561"/>
      <c r="Q380" s="561"/>
      <c r="R380" s="558"/>
      <c r="S380" s="559"/>
      <c r="T380" s="559"/>
      <c r="U380" s="559"/>
      <c r="V380" s="559"/>
      <c r="W380" s="559"/>
      <c r="X380" s="557"/>
      <c r="Y380" s="561"/>
      <c r="Z380" s="561"/>
      <c r="AA380" s="558"/>
      <c r="AB380" s="559"/>
      <c r="AC380" s="559"/>
      <c r="AD380" s="559"/>
      <c r="AE380" s="559"/>
      <c r="AF380" s="559"/>
      <c r="AG380" s="557"/>
      <c r="AH380" s="561"/>
      <c r="AI380" s="561"/>
      <c r="AJ380" s="558"/>
      <c r="AK380" s="559"/>
      <c r="AL380" s="559"/>
      <c r="AM380" s="559"/>
      <c r="AN380" s="559"/>
      <c r="AO380" s="559"/>
      <c r="AP380" s="557"/>
      <c r="AQ380" s="561"/>
      <c r="AR380" s="561"/>
      <c r="AS380" s="558"/>
      <c r="AT380" s="559"/>
      <c r="AU380" s="559"/>
      <c r="AV380" s="559"/>
      <c r="AW380" s="559"/>
      <c r="AX380" s="559"/>
      <c r="AY380" s="557"/>
      <c r="AZ380" s="561"/>
      <c r="BA380" s="561"/>
      <c r="BB380" s="558"/>
      <c r="BC380" s="559"/>
      <c r="BD380" s="559"/>
      <c r="BE380" s="559"/>
      <c r="BF380" s="559"/>
      <c r="BG380" s="559"/>
      <c r="BH380" s="557"/>
      <c r="BI380" s="561"/>
      <c r="BJ380" s="561"/>
      <c r="BK380" s="558"/>
      <c r="BL380" s="559"/>
      <c r="BM380" s="559"/>
      <c r="BN380" s="559"/>
      <c r="BO380" s="559"/>
      <c r="BP380" s="559"/>
      <c r="BQ380" s="557"/>
      <c r="BR380" s="561"/>
      <c r="BS380" s="561"/>
      <c r="BT380" s="558"/>
      <c r="BU380" s="559"/>
      <c r="BV380" s="559"/>
      <c r="BW380" s="559"/>
      <c r="BX380" s="559"/>
      <c r="BY380" s="559"/>
      <c r="BZ380" s="557"/>
      <c r="CA380" s="561"/>
      <c r="CB380" s="558"/>
      <c r="CC380" s="559"/>
      <c r="CD380" s="559"/>
      <c r="CE380" s="559"/>
      <c r="CF380" s="557"/>
      <c r="CG380" s="561"/>
      <c r="CH380" s="558"/>
      <c r="CI380" s="559"/>
      <c r="CJ380" s="559"/>
      <c r="CK380" s="559"/>
      <c r="CL380" s="557"/>
      <c r="CM380" s="561"/>
      <c r="CN380" s="558"/>
      <c r="CO380" s="559"/>
      <c r="CP380" s="559"/>
      <c r="CQ380" s="559"/>
      <c r="CR380" s="557"/>
      <c r="CS380" s="561"/>
      <c r="CT380" s="558"/>
      <c r="CU380" s="559"/>
      <c r="CV380" s="559"/>
      <c r="CW380" s="559"/>
      <c r="CX380" s="557"/>
      <c r="CY380" s="561"/>
      <c r="CZ380" s="558"/>
      <c r="DA380" s="559"/>
      <c r="DB380" s="559"/>
      <c r="DC380" s="559"/>
      <c r="DD380" s="557"/>
      <c r="DE380" s="561"/>
      <c r="DF380" s="558"/>
      <c r="DG380" s="559"/>
      <c r="DH380" s="559"/>
      <c r="DI380" s="559"/>
      <c r="DJ380" s="557"/>
      <c r="DK380" s="561"/>
      <c r="DL380" s="558"/>
      <c r="DM380" s="559"/>
      <c r="DN380" s="559"/>
      <c r="DO380" s="559"/>
      <c r="DP380" s="557"/>
      <c r="DQ380" s="561"/>
      <c r="DR380" s="558"/>
      <c r="DS380" s="559"/>
      <c r="DT380" s="559"/>
      <c r="DV380" s="234"/>
      <c r="DW380" s="234"/>
      <c r="DX380" s="234"/>
      <c r="DY380" s="234"/>
      <c r="DZ380" s="234"/>
      <c r="EA380" s="234"/>
      <c r="EB380" s="234"/>
    </row>
    <row r="381" spans="2:132" x14ac:dyDescent="0.45">
      <c r="BX381" s="246"/>
      <c r="BY381" s="246"/>
      <c r="BZ381" s="246"/>
      <c r="CA381" s="246"/>
      <c r="CB381" s="246"/>
      <c r="CC381" s="246"/>
      <c r="CD381" s="246"/>
      <c r="CE381" s="246"/>
      <c r="CF381" s="246"/>
      <c r="CG381" s="246"/>
      <c r="CH381" s="246"/>
      <c r="CI381" s="246"/>
      <c r="CJ381" s="246"/>
      <c r="CK381" s="246"/>
      <c r="CL381" s="246"/>
      <c r="CM381" s="246"/>
      <c r="CN381" s="246"/>
      <c r="CO381" s="246"/>
      <c r="CP381" s="246"/>
      <c r="CQ381" s="246"/>
      <c r="CR381" s="246"/>
      <c r="CS381" s="246"/>
      <c r="CT381" s="246"/>
      <c r="CU381" s="246"/>
      <c r="CV381" s="246"/>
      <c r="CW381" s="246"/>
      <c r="CX381" s="246"/>
      <c r="CY381" s="246"/>
      <c r="CZ381" s="246"/>
      <c r="DA381" s="246"/>
      <c r="DB381" s="246"/>
      <c r="DC381" s="246"/>
      <c r="DD381" s="246"/>
      <c r="DE381" s="246"/>
      <c r="DF381" s="246"/>
      <c r="DG381" s="246"/>
      <c r="DH381" s="246"/>
      <c r="DI381" s="246"/>
      <c r="DJ381" s="246"/>
      <c r="DK381" s="246"/>
      <c r="DL381" s="246"/>
      <c r="DM381" s="246"/>
      <c r="DN381" s="246"/>
      <c r="DO381" s="246"/>
      <c r="DP381" s="246"/>
      <c r="DQ381" s="246"/>
      <c r="DR381" s="246"/>
      <c r="DS381" s="246"/>
      <c r="DT381" s="246"/>
      <c r="DV381" s="234"/>
      <c r="DW381" s="234"/>
      <c r="DX381" s="234"/>
      <c r="DY381" s="234"/>
      <c r="DZ381" s="234"/>
      <c r="EA381" s="234"/>
      <c r="EB381" s="234"/>
    </row>
    <row r="382" spans="2:132" x14ac:dyDescent="0.45">
      <c r="B382" s="521" t="s">
        <v>1420</v>
      </c>
      <c r="D382" s="566"/>
      <c r="E382" s="566"/>
      <c r="F382" s="566"/>
      <c r="G382" s="566"/>
      <c r="H382" s="566"/>
      <c r="I382" s="566"/>
      <c r="J382" s="567"/>
      <c r="K382" s="569"/>
      <c r="L382" s="568"/>
      <c r="M382" s="566"/>
      <c r="N382" s="566"/>
      <c r="O382" s="566"/>
      <c r="P382" s="566"/>
      <c r="Q382" s="566"/>
      <c r="R382" s="566"/>
      <c r="S382" s="567"/>
      <c r="T382" s="569"/>
      <c r="U382" s="568"/>
      <c r="V382" s="566"/>
      <c r="W382" s="566"/>
      <c r="X382" s="566"/>
      <c r="Y382" s="566"/>
      <c r="Z382" s="566"/>
      <c r="AA382" s="566"/>
      <c r="AB382" s="567"/>
      <c r="AC382" s="569"/>
      <c r="AD382" s="568"/>
      <c r="AE382" s="566"/>
      <c r="AF382" s="566"/>
      <c r="AG382" s="566"/>
      <c r="AH382" s="566"/>
      <c r="AI382" s="566"/>
      <c r="AJ382" s="566"/>
      <c r="AK382" s="567"/>
      <c r="AL382" s="569"/>
      <c r="AM382" s="568"/>
      <c r="AN382" s="566"/>
      <c r="AO382" s="566"/>
      <c r="AP382" s="566"/>
      <c r="AQ382" s="566"/>
      <c r="AR382" s="566"/>
      <c r="AS382" s="566"/>
      <c r="AT382" s="567"/>
      <c r="AU382" s="569"/>
      <c r="AV382" s="568"/>
      <c r="AW382" s="566"/>
      <c r="AX382" s="566"/>
      <c r="AY382" s="566"/>
      <c r="AZ382" s="566"/>
      <c r="BA382" s="566"/>
      <c r="BB382" s="566"/>
      <c r="BC382" s="567"/>
      <c r="BD382" s="569"/>
      <c r="BE382" s="568"/>
      <c r="BF382" s="566"/>
      <c r="BG382" s="566"/>
      <c r="BH382" s="566"/>
      <c r="BI382" s="566"/>
      <c r="BJ382" s="566"/>
      <c r="BK382" s="566"/>
      <c r="BL382" s="567"/>
      <c r="BM382" s="569"/>
      <c r="BN382" s="568"/>
      <c r="BO382" s="566"/>
      <c r="BP382" s="566"/>
      <c r="BQ382" s="566"/>
      <c r="BR382" s="566"/>
      <c r="BS382" s="566"/>
      <c r="BT382" s="566"/>
      <c r="BU382" s="567"/>
      <c r="BV382" s="569"/>
      <c r="BW382" s="568"/>
      <c r="BX382" s="566"/>
      <c r="BY382" s="566"/>
      <c r="BZ382" s="566"/>
      <c r="CA382" s="566"/>
      <c r="CB382" s="566"/>
      <c r="CC382" s="567"/>
      <c r="CD382" s="568"/>
      <c r="CE382" s="566"/>
      <c r="CF382" s="566"/>
      <c r="CG382" s="566"/>
      <c r="CH382" s="566"/>
      <c r="CI382" s="567"/>
      <c r="CJ382" s="568"/>
      <c r="CK382" s="566"/>
      <c r="CL382" s="566"/>
      <c r="CM382" s="566"/>
      <c r="CN382" s="566"/>
      <c r="CO382" s="567"/>
      <c r="CP382" s="568"/>
      <c r="CQ382" s="566"/>
      <c r="CR382" s="566"/>
      <c r="CS382" s="566"/>
      <c r="CT382" s="566"/>
      <c r="CU382" s="567"/>
      <c r="CV382" s="568"/>
      <c r="CW382" s="566"/>
      <c r="CX382" s="566"/>
      <c r="CY382" s="566"/>
      <c r="CZ382" s="566"/>
      <c r="DA382" s="567"/>
      <c r="DB382" s="568"/>
      <c r="DC382" s="566"/>
      <c r="DD382" s="566"/>
      <c r="DE382" s="566"/>
      <c r="DF382" s="566"/>
      <c r="DG382" s="567"/>
      <c r="DH382" s="568"/>
      <c r="DI382" s="566"/>
      <c r="DJ382" s="566"/>
      <c r="DK382" s="566"/>
      <c r="DL382" s="566"/>
      <c r="DM382" s="567"/>
      <c r="DN382" s="568"/>
      <c r="DO382" s="566"/>
      <c r="DP382" s="566"/>
      <c r="DQ382" s="566"/>
      <c r="DR382" s="566"/>
      <c r="DS382" s="567"/>
      <c r="DT382" s="568"/>
      <c r="DV382" s="234"/>
      <c r="DW382" s="234"/>
      <c r="DX382" s="234"/>
      <c r="DY382" s="234"/>
      <c r="DZ382" s="234"/>
      <c r="EA382" s="234"/>
      <c r="EB382" s="234"/>
    </row>
    <row r="383" spans="2:132" x14ac:dyDescent="0.45">
      <c r="BX383" s="246"/>
      <c r="BY383" s="246"/>
      <c r="BZ383" s="246"/>
      <c r="CA383" s="246"/>
      <c r="CB383" s="246"/>
      <c r="CC383" s="246"/>
      <c r="CD383" s="246"/>
      <c r="CE383" s="246"/>
      <c r="CF383" s="246"/>
      <c r="CG383" s="246"/>
      <c r="CH383" s="246"/>
      <c r="CI383" s="246"/>
      <c r="CJ383" s="246"/>
      <c r="CK383" s="246"/>
      <c r="CL383" s="246"/>
      <c r="CM383" s="246"/>
      <c r="CN383" s="246"/>
      <c r="CO383" s="246"/>
      <c r="CP383" s="246"/>
      <c r="CQ383" s="246"/>
      <c r="CR383" s="246"/>
      <c r="CS383" s="246"/>
      <c r="CT383" s="246"/>
      <c r="CU383" s="246"/>
      <c r="CV383" s="246"/>
      <c r="CW383" s="246"/>
      <c r="CX383" s="246"/>
      <c r="CY383" s="246"/>
      <c r="CZ383" s="246"/>
      <c r="DA383" s="246"/>
      <c r="DB383" s="246"/>
      <c r="DC383" s="246"/>
      <c r="DD383" s="246"/>
      <c r="DE383" s="246"/>
      <c r="DF383" s="246"/>
      <c r="DG383" s="246"/>
      <c r="DH383" s="246"/>
      <c r="DI383" s="246"/>
      <c r="DJ383" s="246"/>
      <c r="DK383" s="246"/>
      <c r="DL383" s="246"/>
      <c r="DM383" s="246"/>
      <c r="DN383" s="246"/>
      <c r="DO383" s="246"/>
      <c r="DP383" s="246"/>
      <c r="DQ383" s="246"/>
      <c r="DR383" s="246"/>
      <c r="DS383" s="246"/>
      <c r="DT383" s="246"/>
      <c r="DV383" s="234"/>
      <c r="DW383" s="234"/>
      <c r="DX383" s="234"/>
      <c r="DY383" s="234"/>
      <c r="DZ383" s="234"/>
      <c r="EA383" s="234"/>
      <c r="EB383" s="234"/>
    </row>
    <row r="384" spans="2:132" x14ac:dyDescent="0.45">
      <c r="B384" s="521" t="s">
        <v>1421</v>
      </c>
      <c r="D384" s="571"/>
      <c r="E384" s="563"/>
      <c r="F384" s="564"/>
      <c r="G384" s="564"/>
      <c r="H384" s="564"/>
      <c r="I384" s="564"/>
      <c r="J384" s="564"/>
      <c r="K384" s="564"/>
      <c r="L384" s="564"/>
      <c r="M384" s="562"/>
      <c r="N384" s="563"/>
      <c r="O384" s="564"/>
      <c r="P384" s="564"/>
      <c r="Q384" s="564"/>
      <c r="R384" s="564"/>
      <c r="S384" s="564"/>
      <c r="T384" s="564"/>
      <c r="U384" s="564"/>
      <c r="V384" s="562"/>
      <c r="W384" s="563"/>
      <c r="X384" s="564"/>
      <c r="Y384" s="564"/>
      <c r="Z384" s="564"/>
      <c r="AA384" s="564"/>
      <c r="AB384" s="564"/>
      <c r="AC384" s="564"/>
      <c r="AD384" s="564"/>
      <c r="AE384" s="562"/>
      <c r="AF384" s="563"/>
      <c r="AG384" s="564"/>
      <c r="AH384" s="564"/>
      <c r="AI384" s="564"/>
      <c r="AJ384" s="564"/>
      <c r="AK384" s="564"/>
      <c r="AL384" s="564"/>
      <c r="AM384" s="564"/>
      <c r="AN384" s="562"/>
      <c r="AO384" s="563"/>
      <c r="AP384" s="564"/>
      <c r="AQ384" s="564"/>
      <c r="AR384" s="564"/>
      <c r="AS384" s="564"/>
      <c r="AT384" s="564"/>
      <c r="AU384" s="564"/>
      <c r="AV384" s="564"/>
      <c r="AW384" s="562"/>
      <c r="AX384" s="563"/>
      <c r="AY384" s="564"/>
      <c r="AZ384" s="564"/>
      <c r="BA384" s="564"/>
      <c r="BB384" s="564"/>
      <c r="BC384" s="564"/>
      <c r="BD384" s="564"/>
      <c r="BE384" s="564"/>
      <c r="BF384" s="562"/>
      <c r="BG384" s="563"/>
      <c r="BH384" s="564"/>
      <c r="BI384" s="564"/>
      <c r="BJ384" s="564"/>
      <c r="BK384" s="564"/>
      <c r="BL384" s="564"/>
      <c r="BM384" s="564"/>
      <c r="BN384" s="564"/>
      <c r="BO384" s="562"/>
      <c r="BP384" s="563"/>
      <c r="BQ384" s="564"/>
      <c r="BR384" s="564"/>
      <c r="BS384" s="564"/>
      <c r="BT384" s="564"/>
      <c r="BU384" s="564"/>
      <c r="BV384" s="564"/>
      <c r="BW384" s="564"/>
      <c r="BX384" s="562"/>
      <c r="BY384" s="563"/>
      <c r="BZ384" s="564"/>
      <c r="CA384" s="564"/>
      <c r="CB384" s="564"/>
      <c r="CC384" s="564"/>
      <c r="CD384" s="564"/>
      <c r="CE384" s="570"/>
      <c r="CF384" s="564"/>
      <c r="CG384" s="564"/>
      <c r="CH384" s="564"/>
      <c r="CI384" s="564"/>
      <c r="CJ384" s="564"/>
      <c r="CK384" s="570"/>
      <c r="CL384" s="564"/>
      <c r="CM384" s="564"/>
      <c r="CN384" s="564"/>
      <c r="CO384" s="564"/>
      <c r="CP384" s="564"/>
      <c r="CQ384" s="570"/>
      <c r="CR384" s="564"/>
      <c r="CS384" s="564"/>
      <c r="CT384" s="564"/>
      <c r="CU384" s="564"/>
      <c r="CV384" s="564"/>
      <c r="CW384" s="570"/>
      <c r="CX384" s="564"/>
      <c r="CY384" s="564"/>
      <c r="CZ384" s="564"/>
      <c r="DA384" s="564"/>
      <c r="DB384" s="564"/>
      <c r="DC384" s="570"/>
      <c r="DD384" s="564"/>
      <c r="DE384" s="564"/>
      <c r="DF384" s="564"/>
      <c r="DG384" s="564"/>
      <c r="DH384" s="564"/>
      <c r="DI384" s="570"/>
      <c r="DJ384" s="564"/>
      <c r="DK384" s="564"/>
      <c r="DL384" s="564"/>
      <c r="DM384" s="564"/>
      <c r="DN384" s="564"/>
      <c r="DO384" s="570"/>
      <c r="DP384" s="564"/>
      <c r="DQ384" s="564"/>
      <c r="DR384" s="564"/>
      <c r="DS384" s="564"/>
      <c r="DT384" s="565"/>
      <c r="DV384" s="234"/>
      <c r="DW384" s="234"/>
      <c r="DX384" s="234"/>
      <c r="DY384" s="234"/>
      <c r="DZ384" s="234"/>
      <c r="EA384" s="234"/>
      <c r="EB384" s="234"/>
    </row>
    <row r="385" spans="2:132" x14ac:dyDescent="0.45">
      <c r="BX385" s="246"/>
      <c r="BY385" s="246"/>
      <c r="BZ385" s="246"/>
      <c r="CA385" s="246"/>
      <c r="CB385" s="246"/>
      <c r="CC385" s="246"/>
      <c r="CD385" s="246"/>
      <c r="CE385" s="246"/>
      <c r="CF385" s="246"/>
      <c r="CG385" s="246"/>
      <c r="CH385" s="246"/>
      <c r="CI385" s="246"/>
      <c r="CJ385" s="246"/>
      <c r="CK385" s="246"/>
      <c r="CL385" s="246"/>
      <c r="CM385" s="246"/>
      <c r="CN385" s="246"/>
      <c r="CO385" s="246"/>
      <c r="CP385" s="246"/>
      <c r="CQ385" s="246"/>
    </row>
    <row r="386" spans="2:132" x14ac:dyDescent="0.45">
      <c r="B386" s="521" t="s">
        <v>1435</v>
      </c>
      <c r="D386" s="309"/>
      <c r="E386" s="309"/>
      <c r="F386" s="572"/>
      <c r="G386" s="573"/>
      <c r="H386" s="573"/>
      <c r="I386" s="573"/>
      <c r="J386" s="576"/>
      <c r="K386" s="577"/>
      <c r="L386" s="577"/>
      <c r="M386" s="574"/>
      <c r="N386" s="575"/>
      <c r="O386" s="572"/>
      <c r="P386" s="573"/>
      <c r="Q386" s="573"/>
      <c r="R386" s="573"/>
      <c r="S386" s="576"/>
      <c r="T386" s="577"/>
      <c r="U386" s="577"/>
      <c r="V386" s="574"/>
      <c r="W386" s="575"/>
      <c r="X386" s="572"/>
      <c r="Y386" s="573"/>
      <c r="Z386" s="573"/>
      <c r="AA386" s="573"/>
      <c r="AB386" s="576"/>
      <c r="AC386" s="577"/>
      <c r="AD386" s="577"/>
      <c r="AE386" s="574"/>
      <c r="AF386" s="575"/>
      <c r="AG386" s="572"/>
      <c r="AH386" s="573"/>
      <c r="AI386" s="573"/>
      <c r="AJ386" s="573"/>
      <c r="AK386" s="576"/>
      <c r="AL386" s="577"/>
      <c r="AM386" s="577"/>
      <c r="AN386" s="574"/>
      <c r="AO386" s="575"/>
      <c r="AP386" s="572"/>
      <c r="AQ386" s="573"/>
      <c r="AR386" s="573"/>
      <c r="AS386" s="573"/>
      <c r="AT386" s="576"/>
      <c r="AU386" s="577"/>
      <c r="AV386" s="577"/>
      <c r="AW386" s="574"/>
      <c r="AX386" s="575"/>
      <c r="AY386" s="572"/>
      <c r="AZ386" s="573"/>
      <c r="BA386" s="573"/>
      <c r="BB386" s="573"/>
      <c r="BC386" s="576"/>
      <c r="BD386" s="577"/>
      <c r="BE386" s="577"/>
      <c r="BF386" s="574"/>
      <c r="BG386" s="575"/>
      <c r="BH386" s="572"/>
      <c r="BI386" s="573"/>
      <c r="BJ386" s="573"/>
      <c r="BK386" s="573"/>
      <c r="BL386" s="576"/>
      <c r="BM386" s="577"/>
      <c r="BN386" s="577"/>
      <c r="BO386" s="574"/>
      <c r="BP386" s="575"/>
      <c r="BQ386" s="572"/>
      <c r="BR386" s="573"/>
      <c r="BS386" s="573"/>
      <c r="BT386" s="573"/>
      <c r="BU386" s="576"/>
      <c r="BV386" s="577"/>
      <c r="BW386" s="577"/>
      <c r="BX386" s="574"/>
      <c r="BY386" s="575"/>
      <c r="BZ386" s="578"/>
      <c r="CA386" s="579"/>
      <c r="CB386" s="579"/>
      <c r="CC386" s="580"/>
      <c r="CD386" s="581"/>
      <c r="CE386" s="582"/>
      <c r="CF386" s="578"/>
      <c r="CG386" s="579"/>
      <c r="CH386" s="579"/>
      <c r="CI386" s="580"/>
      <c r="CJ386" s="581"/>
      <c r="CK386" s="582"/>
      <c r="CL386" s="578"/>
      <c r="CM386" s="579"/>
      <c r="CN386" s="579"/>
      <c r="CO386" s="580"/>
      <c r="CP386" s="581"/>
      <c r="CQ386" s="582"/>
      <c r="CR386" s="578"/>
      <c r="CS386" s="579"/>
      <c r="CT386" s="579"/>
      <c r="CU386" s="580"/>
      <c r="CV386" s="581"/>
      <c r="CW386" s="582"/>
      <c r="CX386" s="578"/>
      <c r="CY386" s="579"/>
      <c r="CZ386" s="579"/>
      <c r="DA386" s="580"/>
      <c r="DB386" s="581"/>
      <c r="DC386" s="582"/>
      <c r="DD386" s="578"/>
      <c r="DE386" s="579"/>
      <c r="DF386" s="579"/>
      <c r="DG386" s="580"/>
      <c r="DH386" s="581"/>
      <c r="DI386" s="582"/>
      <c r="DJ386" s="578"/>
      <c r="DK386" s="579"/>
      <c r="DL386" s="579"/>
      <c r="DM386" s="580"/>
      <c r="DN386" s="581"/>
      <c r="DO386" s="582"/>
      <c r="DP386" s="578"/>
      <c r="DQ386" s="579"/>
      <c r="DR386" s="579"/>
      <c r="DS386" s="580"/>
      <c r="DT386" s="581"/>
    </row>
    <row r="387" spans="2:132" x14ac:dyDescent="0.45">
      <c r="DV387" s="234"/>
      <c r="DW387" s="234"/>
      <c r="DX387" s="234"/>
      <c r="DY387" s="234"/>
      <c r="DZ387" s="234"/>
      <c r="EA387" s="234"/>
      <c r="EB387" s="234"/>
    </row>
    <row r="388" spans="2:132" x14ac:dyDescent="0.45">
      <c r="DV388" s="234"/>
      <c r="DW388" s="234"/>
      <c r="DX388" s="234"/>
      <c r="DY388" s="234"/>
      <c r="DZ388" s="234"/>
      <c r="EA388" s="234"/>
      <c r="EB388" s="234"/>
    </row>
    <row r="389" spans="2:132" x14ac:dyDescent="0.45">
      <c r="DV389" s="234"/>
      <c r="DW389" s="234"/>
      <c r="DX389" s="234"/>
      <c r="DY389" s="234"/>
      <c r="DZ389" s="234"/>
      <c r="EA389" s="234"/>
      <c r="EB389" s="234"/>
    </row>
    <row r="390" spans="2:132" x14ac:dyDescent="0.45">
      <c r="B390" s="623" t="s">
        <v>2086</v>
      </c>
      <c r="C390" s="615"/>
      <c r="D390" s="674"/>
      <c r="E390" s="616"/>
      <c r="F390" s="616"/>
      <c r="G390" s="616"/>
      <c r="H390" s="616"/>
      <c r="I390" s="616"/>
      <c r="J390" s="616"/>
      <c r="K390" s="616"/>
      <c r="L390" s="616"/>
      <c r="M390" s="616"/>
      <c r="N390" s="616"/>
      <c r="O390" s="616"/>
      <c r="P390" s="616"/>
      <c r="Q390" s="616"/>
      <c r="R390" s="616"/>
      <c r="S390" s="616"/>
      <c r="T390" s="616"/>
      <c r="U390" s="616"/>
      <c r="V390" s="616"/>
      <c r="W390" s="616"/>
      <c r="X390" s="616"/>
      <c r="Y390" s="616"/>
      <c r="Z390" s="616"/>
      <c r="AA390" s="616"/>
      <c r="AB390" s="616"/>
      <c r="AC390" s="616"/>
      <c r="AD390" s="616"/>
      <c r="AE390" s="616"/>
      <c r="AF390" s="616"/>
      <c r="AG390" s="616"/>
      <c r="AH390" s="616"/>
      <c r="AI390" s="616"/>
      <c r="AJ390" s="616"/>
      <c r="AK390" s="616"/>
      <c r="AL390" s="616"/>
      <c r="AM390" s="616"/>
      <c r="AN390" s="616"/>
      <c r="AO390" s="616"/>
      <c r="AP390" s="616"/>
      <c r="AQ390" s="616"/>
      <c r="AR390" s="616"/>
      <c r="AS390" s="616"/>
      <c r="AT390" s="616"/>
      <c r="AU390" s="616"/>
      <c r="AV390" s="616"/>
      <c r="AW390" s="616"/>
      <c r="AX390" s="616"/>
      <c r="AY390" s="616"/>
      <c r="AZ390" s="616"/>
      <c r="BA390" s="616"/>
      <c r="BB390" s="616"/>
      <c r="BC390" s="736"/>
      <c r="BD390" s="616"/>
      <c r="BE390" s="616"/>
      <c r="BF390" s="616"/>
      <c r="BG390" s="616"/>
      <c r="BH390" s="616"/>
      <c r="BI390" s="616"/>
      <c r="BJ390" s="616"/>
      <c r="BK390" s="616"/>
      <c r="BL390" s="616"/>
      <c r="BM390" s="616"/>
      <c r="BN390" s="616"/>
      <c r="BO390" s="616"/>
      <c r="BP390" s="616"/>
      <c r="BQ390" s="616"/>
      <c r="BR390" s="616"/>
      <c r="BS390" s="616"/>
      <c r="BT390" s="616"/>
      <c r="BU390" s="616"/>
      <c r="BV390" s="616"/>
      <c r="BW390" s="616"/>
      <c r="BX390" s="614"/>
      <c r="BY390" s="614"/>
      <c r="BZ390" s="614"/>
      <c r="CA390" s="614"/>
      <c r="CB390" s="614"/>
      <c r="CC390" s="614"/>
      <c r="CD390" s="614"/>
      <c r="CE390" s="614"/>
      <c r="CF390" s="614"/>
      <c r="CG390" s="614"/>
      <c r="CH390" s="614"/>
      <c r="CI390" s="614"/>
      <c r="CJ390" s="614"/>
      <c r="CK390" s="614"/>
      <c r="CL390" s="614"/>
      <c r="CM390" s="614"/>
      <c r="CN390" s="614"/>
      <c r="CO390" s="614"/>
      <c r="CP390" s="614"/>
      <c r="CQ390" s="614"/>
      <c r="CR390" s="614"/>
      <c r="CS390" s="614"/>
      <c r="CT390" s="614"/>
      <c r="CU390" s="614"/>
      <c r="CV390" s="614"/>
      <c r="CW390" s="614"/>
      <c r="CX390" s="614"/>
      <c r="CY390" s="614"/>
      <c r="CZ390" s="614"/>
      <c r="DA390" s="614"/>
      <c r="DB390" s="614"/>
      <c r="DC390" s="614"/>
      <c r="DD390" s="614"/>
      <c r="DE390" s="614"/>
      <c r="DF390" s="614"/>
      <c r="DG390" s="614"/>
      <c r="DH390" s="614"/>
      <c r="DI390" s="614"/>
      <c r="DJ390" s="614"/>
      <c r="DK390" s="614"/>
      <c r="DL390" s="614"/>
      <c r="DM390" s="614"/>
      <c r="DN390" s="614"/>
      <c r="DO390" s="614"/>
      <c r="DP390" s="614"/>
      <c r="DQ390" s="614"/>
      <c r="DR390" s="614"/>
      <c r="DS390" s="614"/>
      <c r="DT390" s="614"/>
      <c r="DV390" s="234"/>
      <c r="DW390" s="234"/>
      <c r="DX390" s="234"/>
      <c r="DY390" s="234"/>
      <c r="DZ390" s="234"/>
      <c r="EA390" s="234"/>
      <c r="EB390" s="234"/>
    </row>
    <row r="391" spans="2:132" x14ac:dyDescent="0.45">
      <c r="B391" s="521" t="s">
        <v>1431</v>
      </c>
      <c r="D391" s="247"/>
      <c r="E391" s="247"/>
      <c r="F391" s="258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  <c r="AA391" s="256"/>
      <c r="AB391" s="256"/>
      <c r="AC391" s="256"/>
      <c r="AD391" s="256"/>
      <c r="AE391" s="256"/>
      <c r="AF391" s="256"/>
      <c r="AG391" s="256"/>
      <c r="AH391" s="256"/>
      <c r="AI391" s="256"/>
      <c r="AJ391" s="256"/>
      <c r="AK391" s="256"/>
      <c r="AL391" s="256"/>
      <c r="AM391" s="256"/>
      <c r="AN391" s="256"/>
      <c r="AO391" s="256"/>
      <c r="AP391" s="256"/>
      <c r="AQ391" s="256"/>
      <c r="AR391" s="256"/>
      <c r="AS391" s="256"/>
      <c r="AT391" s="256"/>
      <c r="AU391" s="256"/>
      <c r="AV391" s="256"/>
      <c r="AW391" s="256"/>
      <c r="AX391" s="256"/>
      <c r="AY391" s="256"/>
      <c r="AZ391" s="256"/>
      <c r="BA391" s="256"/>
      <c r="BB391" s="256"/>
      <c r="BC391" s="256"/>
      <c r="BD391" s="256"/>
      <c r="BE391" s="256"/>
      <c r="BF391" s="256"/>
      <c r="BG391" s="256"/>
      <c r="BH391" s="256"/>
      <c r="BI391" s="256"/>
      <c r="BJ391" s="256"/>
      <c r="BK391" s="256"/>
      <c r="BL391" s="256"/>
      <c r="BM391" s="256"/>
      <c r="BN391" s="256"/>
      <c r="BO391" s="256"/>
      <c r="BP391" s="256"/>
      <c r="BQ391" s="256"/>
      <c r="BR391" s="256"/>
      <c r="BS391" s="256"/>
      <c r="BT391" s="256"/>
      <c r="BU391" s="256"/>
      <c r="BV391" s="256"/>
      <c r="BW391" s="256"/>
      <c r="BX391" s="256"/>
      <c r="BY391" s="256"/>
      <c r="BZ391" s="256"/>
      <c r="CA391" s="256"/>
      <c r="CB391" s="256"/>
      <c r="CC391" s="256"/>
      <c r="CD391" s="256"/>
      <c r="CE391" s="256"/>
      <c r="CF391" s="256"/>
      <c r="CG391" s="256"/>
      <c r="CH391" s="258"/>
      <c r="CI391" s="256"/>
      <c r="CJ391" s="256"/>
      <c r="CK391" s="256"/>
      <c r="CL391" s="256"/>
      <c r="CM391" s="256"/>
      <c r="CN391" s="256"/>
      <c r="CO391" s="256"/>
      <c r="CP391" s="256"/>
      <c r="CQ391" s="247"/>
      <c r="CR391" s="247"/>
      <c r="CS391" s="247"/>
      <c r="CT391" s="247"/>
      <c r="CU391" s="247"/>
      <c r="CV391" s="247"/>
      <c r="CW391" s="247"/>
      <c r="CX391" s="247"/>
      <c r="CY391" s="247"/>
      <c r="CZ391" s="247"/>
      <c r="DA391" s="247"/>
      <c r="DB391" s="247"/>
      <c r="DC391" s="247"/>
      <c r="DD391" s="247"/>
      <c r="DE391" s="247"/>
      <c r="DF391" s="247"/>
      <c r="DG391" s="247"/>
      <c r="DH391" s="247"/>
      <c r="DI391" s="247"/>
      <c r="DJ391" s="247"/>
      <c r="DK391" s="247"/>
      <c r="DL391" s="247"/>
      <c r="DM391" s="247"/>
      <c r="DN391" s="247"/>
      <c r="DO391" s="247"/>
      <c r="DP391" s="247"/>
      <c r="DQ391" s="247"/>
      <c r="DR391" s="247"/>
      <c r="DS391" s="247"/>
      <c r="DT391" s="247"/>
      <c r="DV391" s="234"/>
      <c r="DW391" s="234"/>
      <c r="DX391" s="234"/>
      <c r="DY391" s="234"/>
      <c r="DZ391" s="234"/>
      <c r="EA391" s="234"/>
      <c r="EB391" s="234"/>
    </row>
    <row r="392" spans="2:132" x14ac:dyDescent="0.45">
      <c r="B392" s="818"/>
      <c r="C392" s="246"/>
      <c r="BC392" s="312"/>
      <c r="DV392" s="234"/>
      <c r="DW392" s="234"/>
      <c r="DX392" s="234"/>
      <c r="DY392" s="234"/>
      <c r="DZ392" s="234"/>
      <c r="EA392" s="234"/>
      <c r="EB392" s="234"/>
    </row>
    <row r="393" spans="2:132" x14ac:dyDescent="0.45">
      <c r="B393" s="521" t="s">
        <v>2087</v>
      </c>
      <c r="C393" s="246"/>
      <c r="D393" s="250"/>
      <c r="E393" s="250"/>
      <c r="F393" s="387"/>
      <c r="G393" s="387"/>
      <c r="H393" s="387"/>
      <c r="I393" s="250"/>
      <c r="J393" s="250"/>
      <c r="K393" s="250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  <c r="Y393" s="250"/>
      <c r="Z393" s="250"/>
      <c r="AA393" s="250"/>
      <c r="AB393" s="250"/>
      <c r="AC393" s="250"/>
      <c r="AD393" s="250"/>
      <c r="AE393" s="250"/>
      <c r="AF393" s="250"/>
      <c r="AG393" s="250"/>
      <c r="AH393" s="250"/>
      <c r="AI393" s="250"/>
      <c r="AJ393" s="250"/>
      <c r="AK393" s="250"/>
      <c r="AL393" s="250"/>
      <c r="AM393" s="250"/>
      <c r="AN393" s="250"/>
      <c r="AO393" s="250"/>
      <c r="AP393" s="250"/>
      <c r="AQ393" s="250"/>
      <c r="AR393" s="250"/>
      <c r="AS393" s="250"/>
      <c r="AT393" s="250"/>
      <c r="AU393" s="250"/>
      <c r="AV393" s="250"/>
      <c r="AW393" s="250"/>
      <c r="AX393" s="250"/>
      <c r="AY393" s="250"/>
      <c r="AZ393" s="250"/>
      <c r="BA393" s="250"/>
      <c r="BB393" s="250"/>
      <c r="BC393" s="671"/>
      <c r="BD393" s="250"/>
      <c r="BE393" s="250"/>
      <c r="BF393" s="250"/>
      <c r="BG393" s="250"/>
      <c r="BH393" s="250"/>
      <c r="BI393" s="250"/>
      <c r="BJ393" s="250"/>
      <c r="BK393" s="250"/>
      <c r="BL393" s="250"/>
      <c r="BM393" s="250"/>
      <c r="BN393" s="250"/>
      <c r="BO393" s="250"/>
      <c r="BP393" s="250"/>
      <c r="BQ393" s="250"/>
      <c r="BR393" s="250"/>
      <c r="BS393" s="250"/>
      <c r="BT393" s="250"/>
      <c r="BU393" s="250"/>
      <c r="BV393" s="250"/>
      <c r="BW393" s="250"/>
      <c r="BX393" s="260"/>
      <c r="BY393" s="260"/>
      <c r="BZ393" s="260"/>
      <c r="CA393" s="260"/>
      <c r="CB393" s="260"/>
      <c r="CC393" s="260"/>
      <c r="CD393" s="260"/>
      <c r="CE393" s="260"/>
      <c r="CF393" s="260"/>
      <c r="CG393" s="260"/>
      <c r="CH393" s="672"/>
      <c r="CI393" s="672"/>
      <c r="CJ393" s="260"/>
      <c r="CK393" s="260"/>
      <c r="CL393" s="260"/>
      <c r="CM393" s="260"/>
      <c r="CN393" s="260"/>
      <c r="CO393" s="260"/>
      <c r="CP393" s="260"/>
      <c r="CQ393" s="260"/>
      <c r="CR393" s="260"/>
      <c r="CS393" s="260"/>
      <c r="CT393" s="260"/>
      <c r="CU393" s="260"/>
      <c r="CV393" s="260"/>
      <c r="CW393" s="260"/>
      <c r="CX393" s="260"/>
      <c r="CY393" s="260"/>
      <c r="CZ393" s="260"/>
      <c r="DA393" s="260"/>
      <c r="DB393" s="260"/>
      <c r="DC393" s="260"/>
      <c r="DD393" s="260"/>
      <c r="DE393" s="260"/>
      <c r="DF393" s="260"/>
      <c r="DG393" s="260"/>
      <c r="DH393" s="260"/>
      <c r="DI393" s="260"/>
      <c r="DJ393" s="260"/>
      <c r="DK393" s="260"/>
      <c r="DL393" s="260"/>
      <c r="DM393" s="260"/>
      <c r="DN393" s="260"/>
      <c r="DO393" s="260"/>
      <c r="DP393" s="260"/>
      <c r="DQ393" s="260"/>
      <c r="DR393" s="260"/>
      <c r="DS393" s="260"/>
      <c r="DT393" s="260"/>
      <c r="DV393" s="234"/>
      <c r="DW393" s="234"/>
      <c r="DX393" s="234"/>
      <c r="DY393" s="234"/>
      <c r="DZ393" s="234"/>
      <c r="EA393" s="234"/>
      <c r="EB393" s="234"/>
    </row>
    <row r="394" spans="2:132" x14ac:dyDescent="0.45">
      <c r="B394" s="818"/>
      <c r="C394" s="246"/>
      <c r="BC394" s="312"/>
      <c r="DV394" s="234"/>
      <c r="DW394" s="234"/>
      <c r="DX394" s="234"/>
      <c r="DY394" s="234"/>
      <c r="DZ394" s="234"/>
      <c r="EA394" s="234"/>
      <c r="EB394" s="234"/>
    </row>
    <row r="395" spans="2:132" x14ac:dyDescent="0.45">
      <c r="B395" s="521" t="s">
        <v>1426</v>
      </c>
      <c r="D395" s="247"/>
      <c r="E395" s="247"/>
      <c r="F395" s="247"/>
      <c r="G395" s="247"/>
      <c r="H395" s="247"/>
      <c r="I395" s="247"/>
      <c r="J395" s="258"/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  <c r="AA395" s="256"/>
      <c r="AB395" s="256"/>
      <c r="AC395" s="256"/>
      <c r="AD395" s="256"/>
      <c r="AE395" s="256"/>
      <c r="AF395" s="256"/>
      <c r="AG395" s="256"/>
      <c r="AH395" s="256"/>
      <c r="AI395" s="256"/>
      <c r="AJ395" s="256"/>
      <c r="AK395" s="256"/>
      <c r="AL395" s="256"/>
      <c r="AM395" s="256"/>
      <c r="AN395" s="256"/>
      <c r="AO395" s="256"/>
      <c r="AP395" s="256"/>
      <c r="AQ395" s="256"/>
      <c r="AR395" s="256"/>
      <c r="AS395" s="256"/>
      <c r="AT395" s="256"/>
      <c r="AU395" s="256"/>
      <c r="AV395" s="256"/>
      <c r="AW395" s="256"/>
      <c r="AX395" s="256"/>
      <c r="AY395" s="256"/>
      <c r="AZ395" s="256"/>
      <c r="BA395" s="256"/>
      <c r="BB395" s="256"/>
      <c r="BC395" s="256"/>
      <c r="BD395" s="256"/>
      <c r="BE395" s="256"/>
      <c r="BF395" s="256"/>
      <c r="BG395" s="256"/>
      <c r="BH395" s="256"/>
      <c r="BI395" s="256"/>
      <c r="BJ395" s="256"/>
      <c r="BK395" s="256"/>
      <c r="BL395" s="256"/>
      <c r="BM395" s="256"/>
      <c r="BN395" s="256"/>
      <c r="BO395" s="256"/>
      <c r="BP395" s="256"/>
      <c r="BQ395" s="256"/>
      <c r="BR395" s="256"/>
      <c r="BS395" s="256"/>
      <c r="BT395" s="256"/>
      <c r="BU395" s="256"/>
      <c r="BV395" s="256"/>
      <c r="BW395" s="256"/>
      <c r="BX395" s="256"/>
      <c r="BY395" s="256"/>
      <c r="BZ395" s="256"/>
      <c r="CA395" s="256"/>
      <c r="CB395" s="256"/>
      <c r="CC395" s="256"/>
      <c r="CD395" s="256"/>
      <c r="CE395" s="256"/>
      <c r="CF395" s="256"/>
      <c r="CG395" s="256"/>
      <c r="CH395" s="256"/>
      <c r="CI395" s="256"/>
      <c r="CJ395" s="256"/>
      <c r="CK395" s="256"/>
      <c r="CL395" s="258"/>
      <c r="CM395" s="256"/>
      <c r="CN395" s="256"/>
      <c r="CO395" s="256"/>
      <c r="CP395" s="256"/>
      <c r="CQ395" s="256"/>
      <c r="CR395" s="256"/>
      <c r="CS395" s="256"/>
      <c r="CT395" s="256"/>
      <c r="CU395" s="247"/>
      <c r="CV395" s="247"/>
      <c r="CW395" s="247"/>
      <c r="CX395" s="247"/>
      <c r="CY395" s="247"/>
      <c r="CZ395" s="247"/>
      <c r="DA395" s="247"/>
      <c r="DB395" s="247"/>
      <c r="DC395" s="247"/>
      <c r="DD395" s="247"/>
      <c r="DE395" s="247"/>
      <c r="DF395" s="247"/>
      <c r="DG395" s="247"/>
      <c r="DH395" s="247"/>
      <c r="DI395" s="247"/>
      <c r="DJ395" s="247"/>
      <c r="DK395" s="247"/>
      <c r="DL395" s="247"/>
      <c r="DM395" s="247"/>
      <c r="DN395" s="247"/>
      <c r="DO395" s="247"/>
      <c r="DP395" s="247"/>
      <c r="DQ395" s="247"/>
      <c r="DR395" s="247"/>
      <c r="DS395" s="247"/>
      <c r="DT395" s="247"/>
      <c r="DV395" s="234"/>
      <c r="DW395" s="234"/>
      <c r="DX395" s="234"/>
      <c r="DY395" s="234"/>
      <c r="DZ395" s="234"/>
      <c r="EA395" s="234"/>
      <c r="EB395" s="234"/>
    </row>
    <row r="396" spans="2:132" x14ac:dyDescent="0.45">
      <c r="D396" s="234"/>
      <c r="E396" s="234"/>
      <c r="F396" s="234"/>
      <c r="G396" s="234"/>
      <c r="X396" s="234"/>
      <c r="Y396" s="234"/>
      <c r="BX396" s="246"/>
      <c r="BY396" s="246"/>
      <c r="BZ396" s="246"/>
      <c r="CA396" s="246"/>
      <c r="DV396" s="234"/>
      <c r="DW396" s="234"/>
      <c r="DX396" s="234"/>
      <c r="DY396" s="234"/>
      <c r="DZ396" s="234"/>
      <c r="EA396" s="234"/>
      <c r="EB396" s="234"/>
    </row>
    <row r="397" spans="2:132" x14ac:dyDescent="0.45">
      <c r="D397" s="234"/>
      <c r="E397" s="234"/>
      <c r="F397" s="234"/>
      <c r="G397" s="234"/>
      <c r="H397" s="248"/>
      <c r="I397" s="248"/>
      <c r="J397" s="257"/>
      <c r="K397" s="257"/>
      <c r="L397" s="257"/>
      <c r="M397" s="257"/>
      <c r="N397" s="257"/>
      <c r="O397" s="257"/>
      <c r="P397" s="257"/>
      <c r="Q397" s="257"/>
      <c r="R397" s="257"/>
      <c r="S397" s="257"/>
      <c r="T397" s="257"/>
      <c r="U397" s="257"/>
      <c r="V397" s="257"/>
      <c r="W397" s="257"/>
      <c r="X397" s="234"/>
      <c r="Y397" s="234"/>
      <c r="Z397" s="257"/>
      <c r="AA397" s="257"/>
      <c r="AB397" s="257"/>
      <c r="AC397" s="257"/>
      <c r="AD397" s="257"/>
      <c r="AE397" s="257"/>
      <c r="AF397" s="257"/>
      <c r="AG397" s="257"/>
      <c r="AH397" s="257"/>
      <c r="AI397" s="257"/>
      <c r="AJ397" s="257"/>
      <c r="AK397" s="257"/>
      <c r="AL397" s="257"/>
      <c r="AM397" s="257"/>
      <c r="AN397" s="257"/>
      <c r="AO397" s="257"/>
      <c r="AP397" s="257"/>
      <c r="AQ397" s="257"/>
      <c r="AR397" s="257"/>
      <c r="AS397" s="257"/>
      <c r="AT397" s="257"/>
      <c r="AU397" s="257"/>
      <c r="AV397" s="257"/>
      <c r="AW397" s="257"/>
      <c r="AX397" s="257"/>
      <c r="AY397" s="257"/>
      <c r="AZ397" s="257"/>
      <c r="BA397" s="257"/>
      <c r="BB397" s="257"/>
      <c r="BC397" s="257"/>
      <c r="BD397" s="257"/>
      <c r="BE397" s="257"/>
      <c r="BF397" s="257"/>
      <c r="BG397" s="257"/>
      <c r="BH397" s="257"/>
      <c r="BI397" s="257"/>
      <c r="BJ397" s="257"/>
      <c r="BK397" s="257"/>
      <c r="BL397" s="257"/>
      <c r="BM397" s="257"/>
      <c r="BN397" s="257"/>
      <c r="BO397" s="257"/>
      <c r="BP397" s="257"/>
      <c r="BQ397" s="257"/>
      <c r="BR397" s="257"/>
      <c r="BS397" s="257"/>
      <c r="BT397" s="257"/>
      <c r="BU397" s="257"/>
      <c r="BV397" s="257"/>
      <c r="BW397" s="257"/>
      <c r="BX397" s="257"/>
      <c r="BY397" s="257"/>
      <c r="BZ397" s="257"/>
      <c r="CA397" s="257"/>
      <c r="CB397" s="257"/>
      <c r="CC397" s="257"/>
      <c r="CD397" s="257"/>
      <c r="CE397" s="257"/>
      <c r="CF397" s="257"/>
      <c r="CG397" s="257"/>
      <c r="CH397" s="257"/>
      <c r="CI397" s="257"/>
      <c r="CJ397" s="257"/>
      <c r="CK397" s="257"/>
      <c r="CL397" s="257"/>
      <c r="CM397" s="257"/>
      <c r="CN397" s="257"/>
      <c r="CO397" s="257"/>
      <c r="CP397" s="257"/>
      <c r="CQ397" s="257"/>
      <c r="CR397" s="257"/>
      <c r="CS397" s="257"/>
      <c r="CT397" s="257"/>
      <c r="CU397" s="248"/>
      <c r="CV397" s="248"/>
      <c r="CW397" s="248"/>
      <c r="CX397" s="248"/>
      <c r="CY397" s="248"/>
      <c r="CZ397" s="248"/>
      <c r="DA397" s="248"/>
      <c r="DB397" s="248"/>
      <c r="DC397" s="248"/>
      <c r="DD397" s="248"/>
      <c r="DE397" s="248"/>
      <c r="DF397" s="248"/>
      <c r="DG397" s="248"/>
      <c r="DV397" s="234"/>
      <c r="DW397" s="234"/>
      <c r="DX397" s="234"/>
      <c r="DY397" s="234"/>
      <c r="DZ397" s="234"/>
      <c r="EA397" s="234"/>
      <c r="EB397" s="234"/>
    </row>
    <row r="398" spans="2:132" x14ac:dyDescent="0.45">
      <c r="B398" s="521" t="s">
        <v>2076</v>
      </c>
      <c r="D398" s="256"/>
      <c r="E398" s="256"/>
      <c r="F398" s="256"/>
      <c r="G398" s="256"/>
      <c r="H398" s="256"/>
      <c r="I398" s="256"/>
      <c r="J398" s="258">
        <v>1</v>
      </c>
      <c r="K398" s="256"/>
      <c r="L398" s="256"/>
      <c r="M398" s="256"/>
      <c r="N398" s="256"/>
      <c r="O398" s="256"/>
      <c r="P398" s="258">
        <v>1</v>
      </c>
      <c r="Q398" s="256"/>
      <c r="R398" s="258">
        <v>1</v>
      </c>
      <c r="S398" s="256"/>
      <c r="T398" s="258">
        <v>2</v>
      </c>
      <c r="U398" s="256"/>
      <c r="V398" s="256"/>
      <c r="W398" s="256"/>
      <c r="X398" s="257"/>
      <c r="Y398" s="257"/>
      <c r="Z398" s="258"/>
      <c r="AA398" s="256"/>
      <c r="AB398" s="258"/>
      <c r="AC398" s="256"/>
      <c r="AD398" s="258"/>
      <c r="AE398" s="256"/>
      <c r="AF398" s="256"/>
      <c r="AG398" s="256"/>
      <c r="AH398" s="256"/>
      <c r="AI398" s="256"/>
      <c r="AJ398" s="258"/>
      <c r="AK398" s="256"/>
      <c r="AL398" s="258"/>
      <c r="AM398" s="256"/>
      <c r="AN398" s="258"/>
      <c r="AO398" s="256"/>
      <c r="AP398" s="256"/>
      <c r="AQ398" s="256"/>
      <c r="AR398" s="256"/>
      <c r="AS398" s="256"/>
      <c r="AT398" s="258"/>
      <c r="AU398" s="256"/>
      <c r="AV398" s="258"/>
      <c r="AW398" s="256"/>
      <c r="AX398" s="258"/>
      <c r="AY398" s="256"/>
      <c r="AZ398" s="256"/>
      <c r="BA398" s="256"/>
      <c r="BB398" s="256"/>
      <c r="BC398" s="256"/>
      <c r="BD398" s="258"/>
      <c r="BE398" s="256"/>
      <c r="BF398" s="258"/>
      <c r="BG398" s="256"/>
      <c r="BH398" s="258"/>
      <c r="BI398" s="256"/>
      <c r="BJ398" s="256"/>
      <c r="BK398" s="256"/>
      <c r="BL398" s="256"/>
      <c r="BM398" s="256"/>
      <c r="BN398" s="258"/>
      <c r="BO398" s="256"/>
      <c r="BP398" s="258"/>
      <c r="BQ398" s="256"/>
      <c r="BR398" s="258"/>
      <c r="BS398" s="256"/>
      <c r="BT398" s="256"/>
      <c r="BU398" s="256"/>
      <c r="BV398" s="256"/>
      <c r="BW398" s="256"/>
      <c r="BX398" s="258"/>
      <c r="BY398" s="256"/>
      <c r="BZ398" s="258"/>
      <c r="CA398" s="256"/>
      <c r="CB398" s="258"/>
      <c r="CC398" s="256"/>
      <c r="CD398" s="256"/>
      <c r="CE398" s="256"/>
      <c r="CF398" s="256"/>
      <c r="CG398" s="256"/>
      <c r="CH398" s="258"/>
      <c r="CI398" s="256"/>
      <c r="CJ398" s="258"/>
      <c r="CK398" s="256"/>
      <c r="CL398" s="258">
        <v>1</v>
      </c>
      <c r="CM398" s="256"/>
      <c r="CN398" s="256"/>
      <c r="CO398" s="256"/>
      <c r="CP398" s="256"/>
      <c r="CQ398" s="256"/>
      <c r="CR398" s="256"/>
      <c r="CS398" s="256"/>
      <c r="CT398" s="256"/>
      <c r="CU398" s="256"/>
      <c r="CV398" s="258">
        <v>2</v>
      </c>
      <c r="CW398" s="256"/>
      <c r="CX398" s="256"/>
      <c r="CY398" s="256"/>
      <c r="CZ398" s="256"/>
      <c r="DA398" s="256"/>
      <c r="DB398" s="256"/>
      <c r="DC398" s="256"/>
      <c r="DD398" s="256"/>
      <c r="DE398" s="256"/>
      <c r="DF398" s="258">
        <v>3</v>
      </c>
      <c r="DG398" s="256"/>
      <c r="DH398" s="256"/>
      <c r="DI398" s="256"/>
      <c r="DJ398" s="256"/>
      <c r="DK398" s="256"/>
      <c r="DL398" s="256"/>
      <c r="DM398" s="256"/>
      <c r="DN398" s="256"/>
      <c r="DO398" s="256"/>
      <c r="DP398" s="258">
        <v>4</v>
      </c>
      <c r="DQ398" s="256"/>
      <c r="DR398" s="256"/>
      <c r="DS398" s="256"/>
      <c r="DT398" s="256"/>
      <c r="DV398" s="234"/>
      <c r="DW398" s="234"/>
      <c r="DX398" s="234"/>
      <c r="DY398" s="234"/>
      <c r="DZ398" s="234"/>
      <c r="EA398" s="234"/>
      <c r="EB398" s="234"/>
    </row>
    <row r="399" spans="2:132" x14ac:dyDescent="0.45">
      <c r="D399" s="234"/>
      <c r="E399" s="234"/>
      <c r="F399" s="234"/>
      <c r="G399" s="234"/>
      <c r="J399" s="257"/>
      <c r="K399" s="257"/>
      <c r="L399" s="257"/>
      <c r="M399" s="257"/>
      <c r="N399" s="257"/>
      <c r="O399" s="257"/>
      <c r="P399" s="257"/>
      <c r="Q399" s="257"/>
      <c r="R399" s="257"/>
      <c r="S399" s="257"/>
      <c r="T399" s="257"/>
      <c r="U399" s="257"/>
      <c r="V399" s="257"/>
      <c r="W399" s="257"/>
      <c r="X399" s="257"/>
      <c r="Y399" s="257"/>
      <c r="Z399" s="257"/>
      <c r="AA399" s="257"/>
      <c r="AB399" s="257"/>
      <c r="AC399" s="257"/>
      <c r="AD399" s="257"/>
      <c r="AE399" s="257"/>
      <c r="AF399" s="257"/>
      <c r="AG399" s="257"/>
      <c r="AH399" s="257"/>
      <c r="AI399" s="257"/>
      <c r="AJ399" s="257"/>
      <c r="AK399" s="257"/>
      <c r="AL399" s="257"/>
      <c r="AM399" s="257"/>
      <c r="AN399" s="257"/>
      <c r="AO399" s="257"/>
      <c r="AP399" s="257"/>
      <c r="AQ399" s="257"/>
      <c r="AR399" s="257"/>
      <c r="AS399" s="257"/>
      <c r="AT399" s="257"/>
      <c r="AU399" s="257"/>
      <c r="AV399" s="257"/>
      <c r="AW399" s="257"/>
      <c r="AX399" s="257"/>
      <c r="AY399" s="257"/>
      <c r="AZ399" s="257"/>
      <c r="BA399" s="257"/>
      <c r="BB399" s="257"/>
      <c r="BC399" s="257"/>
      <c r="BD399" s="257"/>
      <c r="BE399" s="257"/>
      <c r="BF399" s="257"/>
      <c r="BG399" s="257"/>
      <c r="BH399" s="257"/>
      <c r="BI399" s="257"/>
      <c r="BJ399" s="257"/>
      <c r="BK399" s="257"/>
      <c r="BL399" s="257"/>
      <c r="BM399" s="257"/>
      <c r="BN399" s="257"/>
      <c r="BO399" s="257"/>
      <c r="BP399" s="257"/>
      <c r="BQ399" s="257"/>
      <c r="BR399" s="257"/>
      <c r="BS399" s="257"/>
      <c r="BT399" s="257"/>
      <c r="BU399" s="257"/>
      <c r="BV399" s="257"/>
      <c r="BW399" s="257"/>
      <c r="BX399" s="257"/>
      <c r="BY399" s="257"/>
      <c r="BZ399" s="257"/>
      <c r="CA399" s="257"/>
      <c r="CC399" s="257"/>
      <c r="CD399" s="257"/>
      <c r="CE399" s="257"/>
      <c r="CF399" s="257"/>
      <c r="CG399" s="257"/>
      <c r="CH399" s="348"/>
      <c r="CI399" s="348"/>
      <c r="CJ399" s="348"/>
      <c r="CK399" s="348"/>
      <c r="CL399" s="257"/>
      <c r="CM399" s="257"/>
      <c r="CN399" s="257"/>
      <c r="CO399" s="257"/>
      <c r="CP399" s="257"/>
      <c r="CQ399" s="257"/>
      <c r="CR399" s="257"/>
      <c r="DV399" s="234"/>
      <c r="DW399" s="234"/>
      <c r="DX399" s="234"/>
      <c r="DY399" s="234"/>
      <c r="DZ399" s="234"/>
      <c r="EA399" s="234"/>
      <c r="EB399" s="234"/>
    </row>
    <row r="400" spans="2:132" ht="15" thickBot="1" x14ac:dyDescent="0.5">
      <c r="D400" s="234"/>
      <c r="E400" s="234"/>
      <c r="F400" s="234"/>
      <c r="G400" s="234"/>
      <c r="H400" s="248"/>
      <c r="I400" s="248"/>
      <c r="J400" s="257"/>
      <c r="K400" s="257"/>
      <c r="L400" s="257"/>
      <c r="M400" s="257"/>
      <c r="N400" s="257"/>
      <c r="O400" s="257"/>
      <c r="P400" s="257"/>
      <c r="Q400" s="257"/>
      <c r="R400" s="257"/>
      <c r="S400" s="257"/>
      <c r="U400" s="257"/>
      <c r="V400" s="257"/>
      <c r="W400" s="257"/>
      <c r="X400" s="257"/>
      <c r="Y400" s="257"/>
      <c r="Z400" s="257"/>
      <c r="AA400" s="257"/>
      <c r="AB400" s="257"/>
      <c r="AC400" s="257"/>
      <c r="AD400" s="257"/>
      <c r="AE400" s="257"/>
      <c r="AF400" s="257"/>
      <c r="AG400" s="257"/>
      <c r="AH400" s="257"/>
      <c r="AI400" s="257"/>
      <c r="AJ400" s="257"/>
      <c r="AK400" s="257"/>
      <c r="AL400" s="257"/>
      <c r="AM400" s="257"/>
      <c r="AN400" s="257"/>
      <c r="AO400" s="257"/>
      <c r="AP400" s="257"/>
      <c r="AQ400" s="257"/>
      <c r="AR400" s="257"/>
      <c r="AS400" s="257"/>
      <c r="AT400" s="257"/>
      <c r="AU400" s="257"/>
      <c r="AV400" s="257"/>
      <c r="AW400" s="257"/>
      <c r="AX400" s="257"/>
      <c r="AY400" s="257"/>
      <c r="AZ400" s="257"/>
      <c r="BA400" s="257"/>
      <c r="BB400" s="257"/>
      <c r="BC400" s="257"/>
      <c r="BD400" s="257"/>
      <c r="BE400" s="257"/>
      <c r="BF400" s="257"/>
      <c r="BG400" s="257"/>
      <c r="BH400" s="257"/>
      <c r="BI400" s="257"/>
      <c r="BJ400" s="257"/>
      <c r="BK400" s="257"/>
      <c r="BL400" s="257"/>
      <c r="BM400" s="257"/>
      <c r="BN400" s="257"/>
      <c r="BO400" s="257"/>
      <c r="BP400" s="257"/>
      <c r="BQ400" s="257"/>
      <c r="BR400" s="257"/>
      <c r="BS400" s="257"/>
      <c r="BT400" s="257"/>
      <c r="BU400" s="257"/>
      <c r="BV400" s="257"/>
      <c r="BW400" s="257"/>
      <c r="BX400" s="257"/>
      <c r="BY400" s="257"/>
      <c r="BZ400" s="257"/>
      <c r="CA400" s="257"/>
      <c r="CB400" s="257"/>
      <c r="CC400" s="257"/>
      <c r="CD400" s="257"/>
      <c r="CE400" s="257"/>
      <c r="CF400" s="257"/>
      <c r="CG400" s="257"/>
      <c r="CH400" s="257"/>
      <c r="CI400" s="257"/>
      <c r="CJ400" s="257"/>
      <c r="CK400" s="257"/>
      <c r="CL400" s="257"/>
      <c r="CM400" s="257"/>
      <c r="CN400" s="257"/>
      <c r="CO400" s="257"/>
      <c r="CP400" s="257"/>
      <c r="CQ400" s="257"/>
      <c r="CR400" s="257"/>
      <c r="DA400" s="257"/>
      <c r="DB400" s="248"/>
      <c r="DC400" s="248"/>
      <c r="DD400" s="248"/>
      <c r="DE400" s="248"/>
      <c r="DF400" s="248"/>
      <c r="DG400" s="248"/>
      <c r="DV400" s="234"/>
      <c r="DW400" s="234"/>
      <c r="DX400" s="234"/>
      <c r="DY400" s="234"/>
      <c r="DZ400" s="234"/>
      <c r="EA400" s="234"/>
      <c r="EB400" s="234"/>
    </row>
    <row r="401" spans="2:132" ht="15" thickBot="1" x14ac:dyDescent="0.5">
      <c r="B401" s="521" t="s">
        <v>1423</v>
      </c>
      <c r="D401" s="250"/>
      <c r="E401" s="250"/>
      <c r="F401" s="250"/>
      <c r="G401" s="250"/>
      <c r="H401" s="250"/>
      <c r="I401" s="250"/>
      <c r="J401" s="540"/>
      <c r="K401" s="541"/>
      <c r="L401" s="542"/>
      <c r="M401" s="541"/>
      <c r="N401" s="542"/>
      <c r="O401" s="587"/>
      <c r="P401" s="544"/>
      <c r="Q401" s="544"/>
      <c r="R401" s="545"/>
      <c r="S401" s="546"/>
      <c r="T401" s="540"/>
      <c r="U401" s="541"/>
      <c r="V401" s="542"/>
      <c r="W401" s="541"/>
      <c r="X401" s="542"/>
      <c r="Y401" s="587"/>
      <c r="Z401" s="543"/>
      <c r="AA401" s="544"/>
      <c r="AB401" s="545"/>
      <c r="AC401" s="546"/>
      <c r="AD401" s="540"/>
      <c r="AE401" s="541"/>
      <c r="AF401" s="542"/>
      <c r="AG401" s="541"/>
      <c r="AH401" s="542"/>
      <c r="AI401" s="587"/>
      <c r="AJ401" s="543"/>
      <c r="AK401" s="544"/>
      <c r="AL401" s="545"/>
      <c r="AM401" s="546"/>
      <c r="AN401" s="540"/>
      <c r="AO401" s="541"/>
      <c r="AP401" s="542"/>
      <c r="AQ401" s="541"/>
      <c r="AR401" s="542"/>
      <c r="AS401" s="587"/>
      <c r="AT401" s="547"/>
      <c r="AU401" s="548"/>
      <c r="AV401" s="549"/>
      <c r="AW401" s="550"/>
      <c r="AX401" s="541"/>
      <c r="AY401" s="541"/>
      <c r="AZ401" s="541"/>
      <c r="BA401" s="552"/>
      <c r="BB401" s="553"/>
      <c r="BC401" s="609"/>
      <c r="BD401" s="612"/>
      <c r="BE401" s="610"/>
      <c r="BF401" s="611"/>
      <c r="BG401" s="550"/>
      <c r="BH401" s="613"/>
      <c r="BI401" s="552"/>
      <c r="BJ401" s="552"/>
      <c r="BK401" s="552"/>
      <c r="BL401" s="553"/>
      <c r="BM401" s="609"/>
      <c r="BN401" s="612"/>
      <c r="BO401" s="610"/>
      <c r="BP401" s="611"/>
      <c r="BQ401" s="550"/>
      <c r="BR401" s="613"/>
      <c r="BS401" s="552"/>
      <c r="BT401" s="552"/>
      <c r="BU401" s="552"/>
      <c r="BV401" s="553"/>
      <c r="BW401" s="609"/>
      <c r="BX401" s="612"/>
      <c r="BY401" s="610"/>
      <c r="BZ401" s="611"/>
      <c r="CA401" s="550"/>
      <c r="CB401" s="613"/>
      <c r="CC401" s="552"/>
      <c r="CD401" s="552"/>
      <c r="CE401" s="552"/>
      <c r="CF401" s="553"/>
      <c r="CG401" s="609"/>
      <c r="CH401" s="612"/>
      <c r="CI401" s="610"/>
      <c r="CJ401" s="611"/>
      <c r="CK401" s="550"/>
      <c r="CL401" s="540"/>
      <c r="CM401" s="541"/>
      <c r="CN401" s="542"/>
      <c r="CO401" s="541"/>
      <c r="CP401" s="542"/>
      <c r="CQ401" s="587"/>
      <c r="CR401" s="543"/>
      <c r="CS401" s="544"/>
      <c r="CT401" s="545"/>
      <c r="CU401" s="546"/>
      <c r="CV401" s="540"/>
      <c r="CW401" s="541"/>
      <c r="CX401" s="542"/>
      <c r="CY401" s="541"/>
      <c r="CZ401" s="542"/>
      <c r="DA401" s="587"/>
      <c r="DB401" s="543"/>
      <c r="DC401" s="544"/>
      <c r="DD401" s="545"/>
      <c r="DE401" s="546"/>
      <c r="DF401" s="586"/>
      <c r="DG401" s="541"/>
      <c r="DV401" s="234"/>
      <c r="DW401" s="234"/>
      <c r="DX401" s="234"/>
      <c r="DY401" s="234"/>
      <c r="DZ401" s="234"/>
      <c r="EA401" s="234"/>
      <c r="EB401" s="234"/>
    </row>
    <row r="402" spans="2:132" x14ac:dyDescent="0.45">
      <c r="B402" s="55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  <c r="AB402" s="234"/>
      <c r="AC402" s="234"/>
      <c r="AD402" s="234"/>
      <c r="AE402" s="234"/>
      <c r="AF402" s="234"/>
      <c r="AG402" s="234"/>
      <c r="AH402" s="234"/>
      <c r="AI402" s="234"/>
      <c r="AJ402" s="234"/>
      <c r="AK402" s="234"/>
      <c r="AL402" s="234"/>
      <c r="AM402" s="234"/>
      <c r="AN402" s="234"/>
      <c r="AO402" s="234"/>
      <c r="AP402" s="234"/>
      <c r="AQ402" s="234"/>
      <c r="AR402" s="234"/>
      <c r="AS402" s="234"/>
      <c r="AT402" s="234"/>
      <c r="AU402" s="234"/>
      <c r="AV402" s="234"/>
      <c r="AW402" s="234"/>
      <c r="AX402" s="234"/>
      <c r="AY402" s="234"/>
      <c r="AZ402" s="234"/>
      <c r="BA402" s="234"/>
      <c r="BB402" s="234"/>
      <c r="BC402" s="234"/>
      <c r="BD402" s="234"/>
      <c r="BE402" s="234"/>
      <c r="BF402" s="234"/>
      <c r="BG402" s="234"/>
      <c r="BH402" s="234"/>
      <c r="BI402" s="234"/>
      <c r="BJ402" s="234"/>
      <c r="BK402" s="234"/>
      <c r="BL402" s="234"/>
      <c r="BM402" s="234"/>
      <c r="BN402" s="234"/>
      <c r="BO402" s="234"/>
      <c r="BP402" s="234"/>
      <c r="BQ402" s="234"/>
      <c r="BR402" s="234"/>
      <c r="BS402" s="234"/>
      <c r="BT402" s="234"/>
      <c r="BU402" s="234"/>
      <c r="BV402" s="234"/>
      <c r="BW402" s="234"/>
      <c r="DV402" s="234"/>
      <c r="DW402" s="234"/>
      <c r="DX402" s="234"/>
      <c r="DY402" s="234"/>
      <c r="DZ402" s="234"/>
      <c r="EA402" s="234"/>
      <c r="EB402" s="234"/>
    </row>
    <row r="403" spans="2:132" x14ac:dyDescent="0.45">
      <c r="B403" s="521" t="s">
        <v>2025</v>
      </c>
      <c r="C403" s="234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60"/>
      <c r="P403" s="260"/>
      <c r="Q403" s="260"/>
      <c r="R403" s="260"/>
      <c r="S403" s="260"/>
      <c r="T403" s="260"/>
      <c r="U403" s="260"/>
      <c r="V403" s="260"/>
      <c r="W403" s="260"/>
      <c r="X403" s="260"/>
      <c r="Y403" s="260"/>
      <c r="Z403" s="260"/>
      <c r="AA403" s="260"/>
      <c r="AB403" s="260"/>
      <c r="AC403" s="260"/>
      <c r="AD403" s="260"/>
      <c r="AE403" s="260"/>
      <c r="AF403" s="260"/>
      <c r="AG403" s="260"/>
      <c r="AH403" s="260"/>
      <c r="AI403" s="260"/>
      <c r="AJ403" s="260"/>
      <c r="AK403" s="260"/>
      <c r="AL403" s="260"/>
      <c r="AM403" s="260"/>
      <c r="AN403" s="260"/>
      <c r="AO403" s="260"/>
      <c r="AP403" s="260"/>
      <c r="AQ403" s="260"/>
      <c r="AR403" s="260"/>
      <c r="AS403" s="260"/>
      <c r="AT403" s="260"/>
      <c r="AU403" s="260"/>
      <c r="AV403" s="260"/>
      <c r="AW403" s="260"/>
      <c r="AX403" s="260"/>
      <c r="AY403" s="260"/>
      <c r="AZ403" s="260"/>
      <c r="BA403" s="260"/>
      <c r="BB403" s="260"/>
      <c r="BC403" s="260"/>
      <c r="BD403" s="260"/>
      <c r="BE403" s="260"/>
      <c r="BF403" s="260"/>
      <c r="BG403" s="260"/>
      <c r="BH403" s="260"/>
      <c r="BI403" s="260"/>
      <c r="BJ403" s="260"/>
      <c r="BK403" s="260"/>
      <c r="BL403" s="260"/>
      <c r="BM403" s="260"/>
      <c r="BN403" s="260"/>
      <c r="BO403" s="260"/>
      <c r="BP403" s="260"/>
      <c r="BQ403" s="260"/>
      <c r="BR403" s="260"/>
      <c r="BS403" s="260"/>
      <c r="BT403" s="260"/>
      <c r="BU403" s="260"/>
      <c r="BV403" s="260"/>
      <c r="BW403" s="260"/>
      <c r="BX403" s="260"/>
      <c r="BY403" s="260"/>
      <c r="BZ403" s="260"/>
      <c r="CA403" s="260"/>
      <c r="CB403" s="260"/>
      <c r="CC403" s="260"/>
      <c r="CD403" s="260"/>
      <c r="CE403" s="260"/>
      <c r="CF403" s="675"/>
      <c r="CG403" s="260"/>
      <c r="CH403" s="260"/>
      <c r="CI403" s="260"/>
      <c r="CJ403" s="260"/>
      <c r="CK403" s="260"/>
      <c r="CL403" s="260"/>
      <c r="CM403" s="260"/>
      <c r="CN403" s="260"/>
      <c r="CO403" s="260"/>
      <c r="CP403" s="260"/>
      <c r="CQ403" s="260"/>
      <c r="CR403" s="260"/>
      <c r="CS403" s="260"/>
      <c r="CT403" s="260"/>
      <c r="CU403" s="260"/>
      <c r="CV403" s="260"/>
      <c r="CW403" s="260"/>
      <c r="CX403" s="260"/>
      <c r="CY403" s="260"/>
      <c r="CZ403" s="260"/>
      <c r="DA403" s="260"/>
      <c r="DB403" s="260"/>
      <c r="DC403" s="260"/>
      <c r="DD403" s="260"/>
      <c r="DE403" s="260"/>
      <c r="DF403" s="260"/>
      <c r="DG403" s="260"/>
      <c r="DV403" s="234"/>
      <c r="DW403" s="234"/>
      <c r="DX403" s="234"/>
      <c r="DY403" s="234"/>
      <c r="DZ403" s="234"/>
      <c r="EA403" s="234"/>
      <c r="EB403" s="234"/>
    </row>
    <row r="404" spans="2:132" x14ac:dyDescent="0.45">
      <c r="B404" s="55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  <c r="AB404" s="234"/>
      <c r="AC404" s="234"/>
      <c r="AD404" s="234"/>
      <c r="AE404" s="234"/>
      <c r="AF404" s="234"/>
      <c r="AG404" s="234"/>
      <c r="AH404" s="234"/>
      <c r="AI404" s="234"/>
      <c r="AJ404" s="234"/>
      <c r="AK404" s="234"/>
      <c r="AL404" s="234"/>
      <c r="AM404" s="234"/>
      <c r="AN404" s="234"/>
      <c r="AO404" s="234"/>
      <c r="AP404" s="234"/>
      <c r="AQ404" s="234"/>
      <c r="AR404" s="234"/>
      <c r="AS404" s="234"/>
      <c r="AT404" s="234"/>
      <c r="AU404" s="234"/>
      <c r="AV404" s="234"/>
      <c r="AW404" s="234"/>
      <c r="AX404" s="234"/>
      <c r="AY404" s="234"/>
      <c r="AZ404" s="234"/>
      <c r="BA404" s="234"/>
      <c r="BB404" s="234"/>
      <c r="BC404" s="234"/>
      <c r="BD404" s="234"/>
      <c r="BE404" s="234"/>
      <c r="BF404" s="234"/>
      <c r="BG404" s="234"/>
      <c r="BH404" s="234"/>
      <c r="BI404" s="234"/>
      <c r="BJ404" s="234"/>
      <c r="BK404" s="234"/>
      <c r="BL404" s="234"/>
      <c r="BM404" s="234"/>
      <c r="BN404" s="234"/>
      <c r="BO404" s="234"/>
      <c r="BP404" s="234"/>
      <c r="BQ404" s="234"/>
      <c r="BR404" s="234"/>
      <c r="BS404" s="234"/>
      <c r="BT404" s="234"/>
      <c r="BU404" s="234"/>
      <c r="BV404" s="234"/>
      <c r="BW404" s="234"/>
    </row>
    <row r="405" spans="2:132" x14ac:dyDescent="0.45">
      <c r="B405" s="554"/>
      <c r="C405" s="554"/>
      <c r="D405" s="673"/>
      <c r="E405" s="673"/>
      <c r="F405" s="554"/>
      <c r="G405" s="554"/>
      <c r="H405" s="554"/>
      <c r="I405" s="554"/>
      <c r="J405" s="554"/>
      <c r="K405" s="554"/>
      <c r="L405" s="554"/>
      <c r="M405" s="554"/>
      <c r="N405" s="55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4"/>
      <c r="AD405" s="234"/>
      <c r="AE405" s="234"/>
      <c r="AF405" s="234"/>
      <c r="AG405" s="234"/>
      <c r="AH405" s="234"/>
      <c r="AI405" s="234"/>
      <c r="AJ405" s="234"/>
      <c r="AK405" s="234"/>
      <c r="AL405" s="234"/>
      <c r="AM405" s="234"/>
      <c r="AN405" s="234"/>
      <c r="AO405" s="234"/>
      <c r="AP405" s="234"/>
      <c r="AQ405" s="234"/>
      <c r="AR405" s="234"/>
      <c r="AS405" s="234"/>
      <c r="AT405" s="234"/>
      <c r="AU405" s="234"/>
      <c r="AV405" s="234"/>
      <c r="AW405" s="234"/>
      <c r="AX405" s="234"/>
      <c r="AY405" s="234"/>
      <c r="AZ405" s="234"/>
      <c r="BA405" s="234"/>
      <c r="BB405" s="234"/>
      <c r="BC405" s="234"/>
      <c r="BD405" s="234"/>
      <c r="BE405" s="234"/>
      <c r="BF405" s="234"/>
      <c r="BG405" s="234"/>
      <c r="BH405" s="234"/>
      <c r="BI405" s="234"/>
      <c r="BJ405" s="234"/>
      <c r="BK405" s="234"/>
      <c r="BL405" s="234"/>
      <c r="BM405" s="234"/>
      <c r="BN405" s="234"/>
      <c r="BO405" s="234"/>
      <c r="BP405" s="234"/>
      <c r="BQ405" s="234"/>
      <c r="BR405" s="234"/>
      <c r="BS405" s="234"/>
      <c r="BT405" s="234"/>
      <c r="BU405" s="234"/>
      <c r="BV405" s="234"/>
      <c r="BW405" s="234"/>
    </row>
    <row r="406" spans="2:132" x14ac:dyDescent="0.45">
      <c r="B406" s="554"/>
      <c r="C406" s="554"/>
      <c r="D406" s="673"/>
      <c r="E406" s="673"/>
      <c r="F406" s="554"/>
      <c r="G406" s="554"/>
      <c r="H406" s="554"/>
      <c r="I406" s="554"/>
      <c r="J406" s="554"/>
      <c r="K406" s="554"/>
      <c r="L406" s="554"/>
      <c r="M406" s="554"/>
      <c r="N406" s="55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  <c r="AB406" s="234"/>
      <c r="AC406" s="234"/>
      <c r="AD406" s="234"/>
      <c r="AE406" s="234"/>
      <c r="AF406" s="234"/>
      <c r="AG406" s="234"/>
      <c r="AH406" s="234"/>
      <c r="AI406" s="234"/>
      <c r="AJ406" s="234"/>
      <c r="AK406" s="234"/>
      <c r="AL406" s="234"/>
      <c r="AM406" s="234"/>
      <c r="AN406" s="234"/>
      <c r="AO406" s="234"/>
      <c r="AP406" s="234"/>
      <c r="AQ406" s="234"/>
      <c r="AR406" s="234"/>
      <c r="AS406" s="234"/>
      <c r="AT406" s="234"/>
      <c r="AU406" s="234"/>
      <c r="AV406" s="234"/>
      <c r="AW406" s="234"/>
      <c r="AX406" s="234"/>
      <c r="AY406" s="234"/>
      <c r="AZ406" s="234"/>
      <c r="BA406" s="234"/>
      <c r="BB406" s="234"/>
      <c r="BC406" s="234"/>
      <c r="BD406" s="234"/>
      <c r="BE406" s="234"/>
      <c r="BF406" s="234"/>
      <c r="BG406" s="234"/>
      <c r="BH406" s="234"/>
      <c r="BI406" s="234"/>
      <c r="BJ406" s="234"/>
      <c r="BK406" s="234"/>
      <c r="BL406" s="234"/>
      <c r="BM406" s="234"/>
      <c r="BN406" s="234"/>
      <c r="BO406" s="234"/>
      <c r="BP406" s="234"/>
      <c r="BQ406" s="234"/>
      <c r="BR406" s="234"/>
      <c r="BS406" s="234"/>
      <c r="BT406" s="234"/>
      <c r="BU406" s="234"/>
      <c r="BV406" s="234"/>
      <c r="BW406" s="234"/>
    </row>
    <row r="407" spans="2:132" x14ac:dyDescent="0.45">
      <c r="B407" s="55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  <c r="AC407" s="234"/>
      <c r="AD407" s="234"/>
      <c r="AE407" s="234"/>
      <c r="AF407" s="234"/>
      <c r="AG407" s="234"/>
      <c r="AH407" s="234"/>
      <c r="AI407" s="234"/>
      <c r="AJ407" s="234"/>
      <c r="AK407" s="234"/>
      <c r="AL407" s="234"/>
      <c r="AM407" s="234"/>
      <c r="AN407" s="234"/>
      <c r="AO407" s="234"/>
      <c r="AP407" s="234"/>
      <c r="AQ407" s="234"/>
      <c r="AR407" s="234"/>
      <c r="AS407" s="234"/>
      <c r="AT407" s="234"/>
      <c r="AU407" s="234"/>
      <c r="AV407" s="234"/>
      <c r="AW407" s="234"/>
      <c r="AX407" s="234"/>
      <c r="AY407" s="234"/>
      <c r="AZ407" s="234"/>
      <c r="BA407" s="234"/>
      <c r="BB407" s="234"/>
      <c r="BC407" s="234"/>
      <c r="BD407" s="234"/>
      <c r="BE407" s="234"/>
      <c r="BF407" s="234"/>
      <c r="BG407" s="234"/>
      <c r="BH407" s="234"/>
      <c r="BI407" s="234"/>
      <c r="BJ407" s="234"/>
      <c r="BK407" s="234"/>
      <c r="BL407" s="234"/>
      <c r="BM407" s="234"/>
      <c r="BN407" s="234"/>
      <c r="BO407" s="234"/>
      <c r="BP407" s="234"/>
      <c r="BQ407" s="234"/>
      <c r="BR407" s="234"/>
      <c r="BS407" s="234"/>
      <c r="BT407" s="234"/>
      <c r="BU407" s="234"/>
      <c r="BV407" s="234"/>
      <c r="BW407" s="234"/>
      <c r="DV407" s="234"/>
      <c r="DW407" s="234"/>
      <c r="DX407" s="234"/>
      <c r="DY407" s="234"/>
      <c r="DZ407" s="234"/>
      <c r="EA407" s="234"/>
      <c r="EB407" s="234"/>
    </row>
    <row r="408" spans="2:132" x14ac:dyDescent="0.45">
      <c r="B408" s="55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  <c r="AB408" s="234"/>
      <c r="AC408" s="234"/>
      <c r="AD408" s="234"/>
      <c r="AE408" s="234"/>
      <c r="AF408" s="234"/>
      <c r="AG408" s="234"/>
      <c r="AH408" s="234"/>
      <c r="AI408" s="234"/>
      <c r="AJ408" s="234"/>
      <c r="AK408" s="234"/>
      <c r="AL408" s="234"/>
      <c r="AM408" s="234"/>
      <c r="AN408" s="234"/>
      <c r="AO408" s="234"/>
      <c r="AP408" s="234"/>
      <c r="AQ408" s="234"/>
      <c r="AR408" s="234"/>
      <c r="AS408" s="234"/>
      <c r="AT408" s="234"/>
      <c r="AU408" s="234"/>
      <c r="AV408" s="234"/>
      <c r="AW408" s="234"/>
      <c r="AX408" s="234"/>
      <c r="AY408" s="234"/>
      <c r="AZ408" s="234"/>
      <c r="BA408" s="234"/>
      <c r="BB408" s="234"/>
      <c r="BC408" s="234"/>
      <c r="BD408" s="234"/>
      <c r="BE408" s="234"/>
      <c r="BF408" s="234"/>
      <c r="BG408" s="234"/>
      <c r="BH408" s="234"/>
      <c r="BI408" s="234"/>
      <c r="BJ408" s="234"/>
      <c r="BK408" s="234"/>
      <c r="BL408" s="234"/>
      <c r="BM408" s="234"/>
      <c r="BN408" s="234"/>
      <c r="BO408" s="234"/>
      <c r="BP408" s="234"/>
      <c r="BQ408" s="234"/>
      <c r="BR408" s="234"/>
      <c r="BS408" s="234"/>
      <c r="BT408" s="234"/>
      <c r="BU408" s="234"/>
      <c r="BV408" s="234"/>
      <c r="BW408" s="234"/>
      <c r="DV408" s="234"/>
      <c r="DW408" s="234"/>
      <c r="DX408" s="234"/>
      <c r="DY408" s="234"/>
      <c r="DZ408" s="234"/>
      <c r="EA408" s="234"/>
      <c r="EB408" s="234"/>
    </row>
    <row r="409" spans="2:132" x14ac:dyDescent="0.45">
      <c r="B409" s="1222" t="s">
        <v>2820</v>
      </c>
      <c r="C409" s="1223"/>
      <c r="D409" s="1224"/>
      <c r="E409" s="1224"/>
      <c r="F409" s="1224"/>
      <c r="G409" s="1224"/>
      <c r="H409" s="1224"/>
      <c r="I409" s="1224"/>
      <c r="J409" s="1224"/>
      <c r="K409" s="1224"/>
      <c r="L409" s="1224"/>
      <c r="M409" s="1224"/>
      <c r="N409" s="1224"/>
      <c r="O409" s="1224"/>
      <c r="P409" s="1224"/>
      <c r="Q409" s="1224"/>
      <c r="R409" s="1224"/>
      <c r="S409" s="1224"/>
      <c r="T409" s="1224"/>
      <c r="U409" s="1224"/>
      <c r="V409" s="1224"/>
      <c r="W409" s="1224"/>
      <c r="X409" s="1224"/>
      <c r="Y409" s="1224"/>
      <c r="Z409" s="1224"/>
      <c r="AA409" s="1224"/>
      <c r="AB409" s="1224"/>
      <c r="AC409" s="1224"/>
      <c r="AD409" s="1224"/>
      <c r="AE409" s="1224"/>
      <c r="AF409" s="1224"/>
      <c r="AG409" s="1224"/>
      <c r="AH409" s="1224"/>
      <c r="AI409" s="1224"/>
      <c r="AJ409" s="1224"/>
      <c r="AK409" s="1224"/>
      <c r="AL409" s="1224"/>
      <c r="AM409" s="1224"/>
      <c r="AN409" s="1224"/>
      <c r="AO409" s="1224"/>
      <c r="AP409" s="1224"/>
      <c r="AQ409" s="1224"/>
      <c r="AR409" s="1224"/>
      <c r="AS409" s="1224"/>
      <c r="AT409" s="1224"/>
      <c r="AU409" s="1224"/>
      <c r="AV409" s="1224"/>
      <c r="AW409" s="1224"/>
      <c r="AX409" s="1224"/>
      <c r="AY409" s="1224"/>
      <c r="AZ409" s="1224"/>
      <c r="BA409" s="1224"/>
      <c r="BB409" s="1224"/>
      <c r="BC409" s="1224"/>
      <c r="BD409" s="1224"/>
      <c r="BE409" s="1224"/>
      <c r="BF409" s="1224"/>
      <c r="BG409" s="1224"/>
      <c r="BH409" s="1224"/>
      <c r="BI409" s="1224"/>
      <c r="BJ409" s="1224"/>
      <c r="BK409" s="1224"/>
      <c r="BL409" s="1224"/>
      <c r="BM409" s="1224"/>
      <c r="BN409" s="1224"/>
      <c r="BO409" s="1224"/>
      <c r="BP409" s="1224"/>
      <c r="BQ409" s="1224"/>
      <c r="BR409" s="1224"/>
      <c r="BS409" s="1224"/>
      <c r="BT409" s="1224"/>
      <c r="BU409" s="1224"/>
      <c r="BV409" s="1224"/>
      <c r="BW409" s="1224"/>
      <c r="BX409" s="1224"/>
      <c r="BY409" s="1224"/>
      <c r="BZ409" s="1224"/>
      <c r="CA409" s="1224"/>
      <c r="CB409" s="1224"/>
      <c r="CC409" s="1224"/>
      <c r="CD409" s="1224"/>
      <c r="CE409" s="1224"/>
      <c r="CF409" s="1224"/>
      <c r="CG409" s="1224"/>
      <c r="CH409" s="1224"/>
      <c r="CI409" s="1224"/>
      <c r="CJ409" s="1224"/>
      <c r="CK409" s="1224"/>
      <c r="CL409" s="1224"/>
      <c r="CM409" s="1224"/>
      <c r="CN409" s="1224"/>
      <c r="CO409" s="1224"/>
      <c r="CP409" s="1224"/>
      <c r="CQ409" s="1224"/>
      <c r="CR409" s="1224"/>
      <c r="CS409" s="1224"/>
      <c r="CT409" s="1224"/>
      <c r="CU409" s="1224"/>
      <c r="CV409" s="1224"/>
      <c r="CW409" s="1224"/>
      <c r="CX409" s="1224"/>
      <c r="CY409" s="1224"/>
      <c r="CZ409" s="1224"/>
      <c r="DA409" s="1224"/>
      <c r="DB409" s="1224"/>
      <c r="DC409" s="1224"/>
      <c r="DD409" s="1224"/>
      <c r="DE409" s="1224"/>
      <c r="DF409" s="1224"/>
      <c r="DG409" s="1224"/>
      <c r="DH409" s="1224"/>
      <c r="DI409" s="1224"/>
      <c r="DJ409" s="1224"/>
      <c r="DK409" s="1224"/>
      <c r="DL409" s="1224"/>
      <c r="DM409" s="1224"/>
      <c r="DN409" s="1224"/>
      <c r="DO409" s="1224"/>
      <c r="DP409" s="1224"/>
      <c r="DQ409" s="1224"/>
      <c r="DR409" s="1224"/>
      <c r="DS409" s="1224"/>
      <c r="DT409" s="1224"/>
    </row>
    <row r="410" spans="2:132" x14ac:dyDescent="0.45">
      <c r="B410" s="521" t="s">
        <v>1431</v>
      </c>
      <c r="D410" s="247"/>
      <c r="E410" s="247"/>
      <c r="F410" s="347"/>
      <c r="G410" s="348"/>
      <c r="H410" s="348"/>
      <c r="I410" s="348"/>
      <c r="J410" s="349"/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  <c r="AA410" s="256"/>
      <c r="AB410" s="256"/>
      <c r="AC410" s="256"/>
      <c r="AD410" s="256"/>
      <c r="AE410" s="256"/>
      <c r="AF410" s="256"/>
      <c r="AG410" s="256"/>
      <c r="AH410" s="256"/>
      <c r="AI410" s="256"/>
      <c r="AJ410" s="256"/>
      <c r="AK410" s="256"/>
      <c r="AL410" s="256"/>
      <c r="AM410" s="256"/>
      <c r="AN410" s="256"/>
      <c r="AO410" s="256"/>
      <c r="AP410" s="256"/>
      <c r="AQ410" s="256"/>
      <c r="AR410" s="256"/>
      <c r="AS410" s="256"/>
      <c r="AT410" s="256"/>
      <c r="AU410" s="256"/>
      <c r="AV410" s="256"/>
      <c r="AW410" s="256"/>
      <c r="AX410" s="256"/>
      <c r="AY410" s="256"/>
      <c r="AZ410" s="256"/>
      <c r="BA410" s="256"/>
      <c r="BB410" s="256"/>
      <c r="BC410" s="256"/>
      <c r="BD410" s="256"/>
      <c r="BE410" s="256"/>
      <c r="BF410" s="256"/>
      <c r="BG410" s="256"/>
      <c r="BH410" s="256"/>
      <c r="BI410" s="256"/>
      <c r="BJ410" s="256"/>
      <c r="BK410" s="256"/>
      <c r="BL410" s="256"/>
      <c r="BM410" s="256"/>
      <c r="BN410" s="256"/>
      <c r="BO410" s="256"/>
      <c r="BP410" s="256"/>
      <c r="BQ410" s="256"/>
      <c r="BR410" s="256"/>
      <c r="BS410" s="256"/>
      <c r="BT410" s="256"/>
      <c r="BU410" s="256"/>
      <c r="BV410" s="256"/>
      <c r="BW410" s="256"/>
      <c r="BX410" s="256"/>
      <c r="BY410" s="256"/>
      <c r="BZ410" s="256"/>
      <c r="CA410" s="256"/>
      <c r="CB410" s="256"/>
      <c r="CC410" s="256"/>
      <c r="CD410" s="256"/>
      <c r="CE410" s="256"/>
      <c r="CF410" s="256"/>
      <c r="CG410" s="256"/>
      <c r="CH410" s="256"/>
      <c r="CI410" s="256"/>
      <c r="CJ410" s="256"/>
      <c r="CK410" s="256"/>
      <c r="CL410" s="256"/>
      <c r="CM410" s="256"/>
      <c r="CN410" s="256"/>
      <c r="CO410" s="256"/>
      <c r="CP410" s="256"/>
      <c r="CQ410" s="256"/>
      <c r="CR410" s="256"/>
      <c r="CS410" s="256"/>
      <c r="CT410" s="256"/>
      <c r="CU410" s="256"/>
      <c r="CV410" s="256"/>
      <c r="CW410" s="256"/>
      <c r="CX410" s="256"/>
      <c r="CY410" s="256"/>
      <c r="CZ410" s="256"/>
      <c r="DA410" s="256"/>
      <c r="DB410" s="347"/>
      <c r="DC410" s="348"/>
      <c r="DD410" s="348"/>
      <c r="DE410" s="348"/>
      <c r="DF410" s="349"/>
      <c r="DG410" s="256"/>
      <c r="DH410" s="256"/>
      <c r="DI410" s="256"/>
      <c r="DJ410" s="256"/>
      <c r="DK410" s="256"/>
      <c r="DL410" s="256"/>
      <c r="DM410" s="256"/>
      <c r="DN410" s="256"/>
      <c r="DO410" s="256"/>
      <c r="DP410" s="256"/>
      <c r="DQ410" s="256"/>
      <c r="DR410" s="256"/>
      <c r="DS410" s="256"/>
      <c r="DT410" s="256"/>
      <c r="DY410" s="234"/>
      <c r="DZ410" s="234"/>
      <c r="EA410" s="234"/>
      <c r="EB410" s="234"/>
    </row>
    <row r="411" spans="2:132" x14ac:dyDescent="0.45">
      <c r="B411" s="554"/>
      <c r="BX411" s="246"/>
      <c r="BY411" s="246"/>
      <c r="BZ411" s="246"/>
      <c r="CA411" s="246"/>
      <c r="CB411" s="246"/>
      <c r="CC411" s="246"/>
      <c r="CD411" s="246"/>
      <c r="CE411" s="246"/>
      <c r="CF411" s="246"/>
      <c r="CG411" s="246"/>
      <c r="CH411" s="246"/>
      <c r="CI411" s="246"/>
      <c r="CJ411" s="246"/>
      <c r="CK411" s="246"/>
      <c r="CL411" s="246"/>
      <c r="CM411" s="246"/>
      <c r="CN411" s="246"/>
      <c r="CO411" s="246"/>
      <c r="CP411" s="246"/>
      <c r="CQ411" s="246"/>
      <c r="CR411" s="246"/>
      <c r="CS411" s="246"/>
      <c r="CT411" s="246"/>
      <c r="CU411" s="246"/>
      <c r="CV411" s="246"/>
      <c r="CW411" s="246"/>
      <c r="CX411" s="246"/>
      <c r="CY411" s="246"/>
      <c r="CZ411" s="246"/>
      <c r="DA411" s="246"/>
      <c r="DB411" s="246"/>
      <c r="DC411" s="246"/>
      <c r="DD411" s="246"/>
      <c r="DE411" s="246"/>
      <c r="DF411" s="246"/>
      <c r="DG411" s="246"/>
      <c r="DH411" s="246"/>
      <c r="DI411" s="246"/>
      <c r="DJ411" s="246"/>
      <c r="DK411" s="246"/>
      <c r="DL411" s="246"/>
      <c r="DM411" s="246"/>
      <c r="DN411" s="246"/>
      <c r="DO411" s="246"/>
      <c r="DP411" s="246"/>
      <c r="DQ411" s="246"/>
      <c r="DR411" s="246"/>
      <c r="DS411" s="246"/>
      <c r="DT411" s="246"/>
    </row>
    <row r="412" spans="2:132" x14ac:dyDescent="0.45">
      <c r="B412" s="521" t="s">
        <v>2071</v>
      </c>
      <c r="D412" s="247"/>
      <c r="E412" s="247"/>
      <c r="F412" s="258"/>
      <c r="G412" s="256"/>
      <c r="H412" s="256"/>
      <c r="I412" s="256"/>
      <c r="J412" s="256"/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  <c r="AA412" s="256"/>
      <c r="AB412" s="256"/>
      <c r="AC412" s="256"/>
      <c r="AD412" s="256"/>
      <c r="AE412" s="256"/>
      <c r="AF412" s="256"/>
      <c r="AG412" s="256"/>
      <c r="AH412" s="256"/>
      <c r="AI412" s="256"/>
      <c r="AJ412" s="256"/>
      <c r="AK412" s="256"/>
      <c r="AL412" s="256"/>
      <c r="AM412" s="256"/>
      <c r="AN412" s="256"/>
      <c r="AO412" s="256"/>
      <c r="AP412" s="256"/>
      <c r="AQ412" s="256"/>
      <c r="AR412" s="256"/>
      <c r="AS412" s="256"/>
      <c r="AT412" s="256"/>
      <c r="AU412" s="256"/>
      <c r="AV412" s="256"/>
      <c r="AW412" s="256"/>
      <c r="AX412" s="256"/>
      <c r="AY412" s="256"/>
      <c r="AZ412" s="256"/>
      <c r="BA412" s="256"/>
      <c r="BB412" s="256"/>
      <c r="BC412" s="256"/>
      <c r="BD412" s="256"/>
      <c r="BE412" s="256"/>
      <c r="BF412" s="256"/>
      <c r="BG412" s="256"/>
      <c r="BH412" s="256"/>
      <c r="BI412" s="256"/>
      <c r="BJ412" s="256"/>
      <c r="BK412" s="256"/>
      <c r="BL412" s="256"/>
      <c r="BM412" s="256"/>
      <c r="BN412" s="256"/>
      <c r="BO412" s="256"/>
      <c r="BP412" s="256"/>
      <c r="BQ412" s="256"/>
      <c r="BR412" s="256"/>
      <c r="BS412" s="256"/>
      <c r="BT412" s="256"/>
      <c r="BU412" s="256"/>
      <c r="BV412" s="256"/>
      <c r="BW412" s="256"/>
      <c r="BX412" s="256"/>
      <c r="BY412" s="256"/>
      <c r="BZ412" s="256"/>
      <c r="CA412" s="256"/>
      <c r="CB412" s="256"/>
      <c r="CC412" s="256"/>
      <c r="CD412" s="256"/>
      <c r="CE412" s="256"/>
      <c r="CF412" s="256"/>
      <c r="CG412" s="256"/>
      <c r="CH412" s="256"/>
      <c r="CI412" s="256"/>
      <c r="CJ412" s="256"/>
      <c r="CK412" s="256"/>
      <c r="CL412" s="256"/>
      <c r="CM412" s="256"/>
      <c r="CN412" s="256"/>
      <c r="CO412" s="256"/>
      <c r="CP412" s="256"/>
      <c r="CQ412" s="256"/>
      <c r="CR412" s="256"/>
      <c r="CS412" s="256"/>
      <c r="CT412" s="256"/>
      <c r="CU412" s="256"/>
      <c r="CV412" s="256"/>
      <c r="CW412" s="256"/>
      <c r="CX412" s="256"/>
      <c r="CY412" s="256"/>
      <c r="CZ412" s="256"/>
      <c r="DA412" s="256"/>
      <c r="DB412" s="258"/>
      <c r="DC412" s="256"/>
      <c r="DD412" s="256"/>
      <c r="DE412" s="256"/>
      <c r="DF412" s="256"/>
      <c r="DG412" s="256"/>
      <c r="DH412" s="256"/>
      <c r="DI412" s="256"/>
      <c r="DJ412" s="256"/>
      <c r="DK412" s="256"/>
      <c r="DL412" s="256"/>
      <c r="DM412" s="256"/>
      <c r="DN412" s="256"/>
      <c r="DO412" s="256"/>
      <c r="DP412" s="256"/>
      <c r="DQ412" s="256"/>
      <c r="DR412" s="256"/>
      <c r="DS412" s="256"/>
      <c r="DT412" s="256"/>
      <c r="DY412" s="234"/>
      <c r="DZ412" s="234"/>
      <c r="EA412" s="234"/>
      <c r="EB412" s="234"/>
    </row>
    <row r="413" spans="2:132" x14ac:dyDescent="0.45">
      <c r="U413" s="234"/>
      <c r="V413" s="234"/>
      <c r="BX413" s="246"/>
      <c r="BY413" s="246"/>
      <c r="BZ413" s="246"/>
      <c r="CA413" s="246"/>
      <c r="CB413" s="246"/>
      <c r="DB413" s="246"/>
      <c r="DC413" s="246"/>
      <c r="DD413" s="246"/>
      <c r="DE413" s="246"/>
      <c r="DF413" s="246"/>
      <c r="DG413" s="246"/>
      <c r="DH413" s="246"/>
      <c r="DI413" s="246"/>
      <c r="DJ413" s="246"/>
      <c r="DK413" s="246"/>
      <c r="DL413" s="246"/>
      <c r="DS413" s="246"/>
      <c r="DT413" s="246"/>
      <c r="DY413" s="234"/>
      <c r="DZ413" s="234"/>
      <c r="EA413" s="234"/>
      <c r="EB413" s="234"/>
    </row>
    <row r="414" spans="2:132" x14ac:dyDescent="0.45">
      <c r="B414" s="521" t="s">
        <v>2081</v>
      </c>
      <c r="D414" s="250"/>
      <c r="E414" s="250"/>
      <c r="F414" s="250"/>
      <c r="G414" s="387"/>
      <c r="H414" s="387"/>
      <c r="I414" s="250"/>
      <c r="J414" s="250"/>
      <c r="K414" s="250"/>
      <c r="L414" s="250"/>
      <c r="M414" s="250"/>
      <c r="N414" s="250"/>
      <c r="O414" s="250"/>
      <c r="P414" s="250"/>
      <c r="Q414" s="250"/>
      <c r="R414" s="250"/>
      <c r="S414" s="250"/>
      <c r="T414" s="250"/>
      <c r="U414" s="260"/>
      <c r="V414" s="260"/>
      <c r="W414" s="250"/>
      <c r="X414" s="250"/>
      <c r="Y414" s="250"/>
      <c r="Z414" s="250"/>
      <c r="AA414" s="250"/>
      <c r="AB414" s="250"/>
      <c r="AC414" s="250"/>
      <c r="AD414" s="250"/>
      <c r="AE414" s="250"/>
      <c r="AF414" s="250"/>
      <c r="AG414" s="250"/>
      <c r="AH414" s="250"/>
      <c r="AI414" s="250"/>
      <c r="AJ414" s="250"/>
      <c r="AK414" s="250"/>
      <c r="AL414" s="250"/>
      <c r="AM414" s="250"/>
      <c r="AN414" s="250"/>
      <c r="AO414" s="250"/>
      <c r="AP414" s="250"/>
      <c r="AQ414" s="250"/>
      <c r="AR414" s="250"/>
      <c r="AS414" s="250"/>
      <c r="AT414" s="250"/>
      <c r="AU414" s="250"/>
      <c r="AV414" s="250"/>
      <c r="AW414" s="250"/>
      <c r="AX414" s="250"/>
      <c r="AY414" s="250"/>
      <c r="AZ414" s="250"/>
      <c r="BA414" s="250"/>
      <c r="BB414" s="250"/>
      <c r="BC414" s="250"/>
      <c r="BD414" s="250"/>
      <c r="BE414" s="250"/>
      <c r="BF414" s="250"/>
      <c r="BG414" s="250"/>
      <c r="BH414" s="250"/>
      <c r="BI414" s="250"/>
      <c r="BJ414" s="250"/>
      <c r="BK414" s="250"/>
      <c r="BL414" s="250"/>
      <c r="BM414" s="250"/>
      <c r="BN414" s="250"/>
      <c r="BO414" s="250"/>
      <c r="BP414" s="250"/>
      <c r="BQ414" s="250"/>
      <c r="BR414" s="250"/>
      <c r="BS414" s="250"/>
      <c r="BT414" s="250"/>
      <c r="BU414" s="250"/>
      <c r="BV414" s="250"/>
      <c r="BW414" s="250"/>
      <c r="BX414" s="250"/>
      <c r="BY414" s="250"/>
      <c r="BZ414" s="250"/>
      <c r="CA414" s="250"/>
      <c r="CB414" s="250"/>
      <c r="CC414" s="260"/>
      <c r="CD414" s="260"/>
      <c r="CE414" s="260"/>
      <c r="CF414" s="260"/>
      <c r="CG414" s="260"/>
      <c r="CH414" s="260"/>
      <c r="CI414" s="260"/>
      <c r="CJ414" s="260"/>
      <c r="CK414" s="260"/>
      <c r="CL414" s="260"/>
      <c r="CM414" s="260"/>
      <c r="CN414" s="260"/>
      <c r="CO414" s="260"/>
      <c r="CP414" s="260"/>
      <c r="CQ414" s="260"/>
      <c r="CR414" s="260"/>
      <c r="CS414" s="260"/>
      <c r="CT414" s="260"/>
      <c r="CU414" s="260"/>
      <c r="CV414" s="260"/>
      <c r="CW414" s="260"/>
      <c r="CX414" s="260"/>
      <c r="CY414" s="260"/>
      <c r="CZ414" s="260"/>
      <c r="DA414" s="260"/>
      <c r="DB414" s="260"/>
      <c r="DC414" s="387"/>
      <c r="DD414" s="387"/>
      <c r="DE414" s="250"/>
      <c r="DF414" s="250"/>
      <c r="DG414" s="250"/>
      <c r="DH414" s="250"/>
      <c r="DI414" s="250"/>
      <c r="DJ414" s="250"/>
      <c r="DK414" s="250"/>
      <c r="DL414" s="250"/>
      <c r="DM414" s="260"/>
      <c r="DN414" s="260"/>
      <c r="DO414" s="260"/>
      <c r="DP414" s="260"/>
      <c r="DQ414" s="260"/>
      <c r="DR414" s="260"/>
      <c r="DS414" s="250"/>
      <c r="DT414" s="250"/>
      <c r="DY414" s="234"/>
      <c r="DZ414" s="234"/>
      <c r="EA414" s="234"/>
      <c r="EB414" s="234"/>
    </row>
    <row r="415" spans="2:132" x14ac:dyDescent="0.45">
      <c r="U415" s="234"/>
      <c r="V415" s="234"/>
      <c r="BX415" s="246"/>
      <c r="BY415" s="246"/>
      <c r="BZ415" s="246"/>
      <c r="CA415" s="246"/>
      <c r="CB415" s="246"/>
      <c r="DC415" s="246"/>
      <c r="DD415" s="246"/>
      <c r="DE415" s="246"/>
      <c r="DF415" s="246"/>
      <c r="DG415" s="246"/>
      <c r="DH415" s="246"/>
      <c r="DI415" s="246"/>
      <c r="DJ415" s="246"/>
      <c r="DK415" s="246"/>
      <c r="DL415" s="246"/>
      <c r="DS415" s="246"/>
      <c r="DT415" s="246"/>
      <c r="DY415" s="234"/>
      <c r="DZ415" s="234"/>
      <c r="EA415" s="234"/>
      <c r="EB415" s="234"/>
    </row>
    <row r="416" spans="2:132" x14ac:dyDescent="0.45">
      <c r="B416" s="521" t="s">
        <v>2089</v>
      </c>
      <c r="D416" s="250"/>
      <c r="E416" s="250"/>
      <c r="F416" s="250"/>
      <c r="G416" s="250"/>
      <c r="H416" s="250"/>
      <c r="I416" s="250"/>
      <c r="J416" s="250"/>
      <c r="K416" s="258"/>
      <c r="L416" s="250"/>
      <c r="M416" s="250"/>
      <c r="N416" s="250"/>
      <c r="O416" s="250"/>
      <c r="P416" s="250"/>
      <c r="Q416" s="250"/>
      <c r="R416" s="250"/>
      <c r="S416" s="250"/>
      <c r="T416" s="250"/>
      <c r="U416" s="260"/>
      <c r="V416" s="260"/>
      <c r="W416" s="250"/>
      <c r="X416" s="250"/>
      <c r="Y416" s="250"/>
      <c r="Z416" s="250"/>
      <c r="AA416" s="250"/>
      <c r="AB416" s="250"/>
      <c r="AC416" s="250"/>
      <c r="AD416" s="250"/>
      <c r="AE416" s="250"/>
      <c r="AF416" s="250"/>
      <c r="AG416" s="250"/>
      <c r="AH416" s="250"/>
      <c r="AI416" s="250"/>
      <c r="AJ416" s="250"/>
      <c r="AK416" s="250"/>
      <c r="AL416" s="250"/>
      <c r="AM416" s="250"/>
      <c r="AN416" s="250"/>
      <c r="AO416" s="250"/>
      <c r="AP416" s="250"/>
      <c r="AQ416" s="250"/>
      <c r="AR416" s="250"/>
      <c r="AS416" s="250"/>
      <c r="AT416" s="250"/>
      <c r="AU416" s="250"/>
      <c r="AV416" s="250"/>
      <c r="AW416" s="250"/>
      <c r="AX416" s="250"/>
      <c r="AY416" s="250"/>
      <c r="AZ416" s="250"/>
      <c r="BA416" s="250"/>
      <c r="BB416" s="250"/>
      <c r="BC416" s="250"/>
      <c r="BD416" s="250"/>
      <c r="BE416" s="250"/>
      <c r="BF416" s="250"/>
      <c r="BG416" s="250"/>
      <c r="BH416" s="250"/>
      <c r="BI416" s="250"/>
      <c r="BJ416" s="250"/>
      <c r="BK416" s="250"/>
      <c r="BL416" s="250"/>
      <c r="BM416" s="250"/>
      <c r="BN416" s="250"/>
      <c r="BO416" s="250"/>
      <c r="BP416" s="250"/>
      <c r="BQ416" s="250"/>
      <c r="BR416" s="250"/>
      <c r="BS416" s="250"/>
      <c r="BT416" s="250"/>
      <c r="BU416" s="250"/>
      <c r="BV416" s="250"/>
      <c r="BW416" s="250"/>
      <c r="BX416" s="250"/>
      <c r="BY416" s="250"/>
      <c r="BZ416" s="250"/>
      <c r="CA416" s="250"/>
      <c r="CB416" s="250"/>
      <c r="CC416" s="260"/>
      <c r="CD416" s="260"/>
      <c r="CE416" s="260"/>
      <c r="CF416" s="260"/>
      <c r="CG416" s="260"/>
      <c r="CH416" s="260"/>
      <c r="CI416" s="260"/>
      <c r="CJ416" s="260"/>
      <c r="CK416" s="260"/>
      <c r="CL416" s="260"/>
      <c r="CM416" s="260"/>
      <c r="CN416" s="260"/>
      <c r="CO416" s="260"/>
      <c r="CP416" s="260"/>
      <c r="CQ416" s="260"/>
      <c r="CR416" s="260"/>
      <c r="CS416" s="260"/>
      <c r="CT416" s="260"/>
      <c r="CU416" s="260"/>
      <c r="CV416" s="260"/>
      <c r="CW416" s="260"/>
      <c r="CX416" s="260"/>
      <c r="CY416" s="260"/>
      <c r="CZ416" s="260"/>
      <c r="DA416" s="260"/>
      <c r="DB416" s="260"/>
      <c r="DC416" s="260"/>
      <c r="DD416" s="260"/>
      <c r="DE416" s="260"/>
      <c r="DF416" s="260"/>
      <c r="DG416" s="258"/>
      <c r="DH416" s="250"/>
      <c r="DI416" s="250"/>
      <c r="DJ416" s="250"/>
      <c r="DK416" s="250"/>
      <c r="DL416" s="250"/>
      <c r="DM416" s="250"/>
      <c r="DN416" s="250"/>
      <c r="DO416" s="250"/>
      <c r="DP416" s="250"/>
      <c r="DQ416" s="260"/>
      <c r="DR416" s="260"/>
      <c r="DS416" s="250"/>
      <c r="DT416" s="250"/>
      <c r="DY416" s="234"/>
      <c r="DZ416" s="234"/>
      <c r="EA416" s="234"/>
      <c r="EB416" s="234"/>
    </row>
    <row r="417" spans="2:132" x14ac:dyDescent="0.45">
      <c r="K417" s="257"/>
      <c r="U417" s="234"/>
      <c r="V417" s="234"/>
      <c r="BX417" s="246"/>
      <c r="BY417" s="246"/>
      <c r="BZ417" s="246"/>
      <c r="CA417" s="246"/>
      <c r="CB417" s="246"/>
      <c r="DC417" s="246"/>
      <c r="DD417" s="246"/>
      <c r="DE417" s="246"/>
      <c r="DF417" s="246"/>
      <c r="DG417" s="257"/>
      <c r="DH417" s="246"/>
      <c r="DI417" s="246"/>
      <c r="DJ417" s="246"/>
      <c r="DK417" s="246"/>
      <c r="DL417" s="246"/>
      <c r="DM417" s="246"/>
      <c r="DN417" s="246"/>
      <c r="DO417" s="246"/>
      <c r="DP417" s="246"/>
      <c r="DS417" s="246"/>
      <c r="DT417" s="246"/>
      <c r="DY417" s="234"/>
      <c r="DZ417" s="234"/>
      <c r="EA417" s="234"/>
      <c r="EB417" s="234"/>
    </row>
    <row r="418" spans="2:132" ht="15" thickBot="1" x14ac:dyDescent="0.5">
      <c r="U418" s="234"/>
      <c r="V418" s="234"/>
      <c r="BH418" s="234"/>
      <c r="BI418" s="234"/>
      <c r="DC418" s="246"/>
      <c r="DD418" s="246"/>
      <c r="DE418" s="246"/>
      <c r="DF418" s="246"/>
      <c r="DG418" s="246"/>
      <c r="DH418" s="246"/>
      <c r="DI418" s="246"/>
      <c r="DJ418" s="246"/>
      <c r="DK418" s="246"/>
      <c r="DL418" s="246"/>
      <c r="DM418" s="246"/>
      <c r="DN418" s="246"/>
      <c r="DO418" s="246"/>
      <c r="DP418" s="246"/>
      <c r="DS418" s="246"/>
      <c r="DT418" s="246"/>
      <c r="DY418" s="234"/>
      <c r="DZ418" s="234"/>
      <c r="EA418" s="234"/>
      <c r="EB418" s="234"/>
    </row>
    <row r="419" spans="2:132" ht="15" thickBot="1" x14ac:dyDescent="0.5">
      <c r="B419" s="521" t="s">
        <v>2057</v>
      </c>
      <c r="D419" s="250"/>
      <c r="E419" s="250"/>
      <c r="F419" s="250"/>
      <c r="G419" s="250"/>
      <c r="H419" s="250"/>
      <c r="I419" s="250"/>
      <c r="J419" s="250"/>
      <c r="K419" s="250"/>
      <c r="L419" s="1174"/>
      <c r="M419" s="1192" t="s">
        <v>1292</v>
      </c>
      <c r="N419" s="602"/>
      <c r="O419" s="1175"/>
      <c r="P419" s="1188"/>
      <c r="Q419" s="1189"/>
      <c r="R419" s="1189"/>
      <c r="S419" s="1189"/>
      <c r="T419" s="1189"/>
      <c r="U419" s="1189"/>
      <c r="V419" s="1190"/>
      <c r="W419" s="1190"/>
      <c r="X419" s="1189"/>
      <c r="Y419" s="1189"/>
      <c r="Z419" s="1189"/>
      <c r="AA419" s="1189"/>
      <c r="AB419" s="1189"/>
      <c r="AC419" s="1191"/>
      <c r="AD419" s="1176"/>
      <c r="AE419" s="1193" t="s">
        <v>2058</v>
      </c>
      <c r="AF419" s="1177"/>
      <c r="AG419" s="1178"/>
      <c r="AH419" s="1185"/>
      <c r="AI419" s="1186"/>
      <c r="AJ419" s="1186"/>
      <c r="AK419" s="1186"/>
      <c r="AL419" s="1187"/>
      <c r="AM419" s="1179"/>
      <c r="AN419" s="1194" t="s">
        <v>2074</v>
      </c>
      <c r="AO419" s="1180"/>
      <c r="AP419" s="1181"/>
      <c r="AQ419" s="1182"/>
      <c r="AR419" s="1183"/>
      <c r="AS419" s="1183"/>
      <c r="AT419" s="1183"/>
      <c r="AU419" s="1184"/>
      <c r="AV419" s="1174"/>
      <c r="AW419" s="1192" t="s">
        <v>1292</v>
      </c>
      <c r="AX419" s="602"/>
      <c r="AY419" s="1175"/>
      <c r="AZ419" s="1188"/>
      <c r="BA419" s="1189"/>
      <c r="BB419" s="1189"/>
      <c r="BC419" s="1189"/>
      <c r="BD419" s="1189"/>
      <c r="BE419" s="1189"/>
      <c r="BF419" s="1190"/>
      <c r="BG419" s="1190"/>
      <c r="BH419" s="1189"/>
      <c r="BI419" s="1189"/>
      <c r="BJ419" s="1189"/>
      <c r="BK419" s="1189"/>
      <c r="BL419" s="1189"/>
      <c r="BM419" s="1191"/>
      <c r="BN419" s="1176"/>
      <c r="BO419" s="1193" t="s">
        <v>2058</v>
      </c>
      <c r="BP419" s="1177"/>
      <c r="BQ419" s="1178"/>
      <c r="BR419" s="1185"/>
      <c r="BS419" s="1186"/>
      <c r="BT419" s="1186"/>
      <c r="BU419" s="1186"/>
      <c r="BX419" s="1174"/>
      <c r="BY419" s="1192" t="s">
        <v>2065</v>
      </c>
      <c r="BZ419" s="602"/>
      <c r="CA419" s="1175"/>
      <c r="CB419" s="1188"/>
      <c r="CC419" s="1189"/>
      <c r="CD419" s="1189"/>
      <c r="CE419" s="1189"/>
      <c r="CF419" s="1189"/>
      <c r="CG419" s="1189"/>
      <c r="CH419" s="1190"/>
      <c r="CI419" s="1190"/>
      <c r="CJ419" s="1189"/>
      <c r="CK419" s="1189"/>
      <c r="CL419" s="1189"/>
      <c r="CM419" s="1189"/>
      <c r="CN419" s="1189"/>
      <c r="CO419" s="1191"/>
      <c r="CP419" s="1176"/>
      <c r="CQ419" s="1193" t="s">
        <v>2064</v>
      </c>
      <c r="CR419" s="1177"/>
      <c r="CS419" s="1178"/>
      <c r="CT419" s="1185"/>
      <c r="CU419" s="1186"/>
      <c r="CV419" s="1186"/>
      <c r="CW419" s="1186"/>
      <c r="CX419" s="1187"/>
      <c r="CY419" s="1179"/>
      <c r="CZ419" s="1194" t="s">
        <v>2063</v>
      </c>
      <c r="DA419" s="1180"/>
      <c r="DB419" s="1181"/>
      <c r="DC419" s="1182"/>
      <c r="DD419" s="1183"/>
      <c r="DE419" s="1183"/>
      <c r="DF419" s="1183"/>
      <c r="DG419" s="1184"/>
      <c r="DH419" s="1174"/>
      <c r="DI419" s="1192" t="s">
        <v>1292</v>
      </c>
      <c r="DJ419" s="602"/>
      <c r="DK419" s="1175"/>
      <c r="DL419" s="1188"/>
      <c r="DM419" s="1189"/>
      <c r="DN419" s="1189"/>
      <c r="DO419" s="1189"/>
      <c r="DP419" s="594"/>
      <c r="DQ419" s="594"/>
      <c r="DR419" s="594"/>
      <c r="DS419" s="594"/>
      <c r="DT419" s="595"/>
      <c r="DY419" s="234"/>
      <c r="DZ419" s="234"/>
      <c r="EA419" s="234"/>
      <c r="EB419" s="234"/>
    </row>
    <row r="420" spans="2:132" ht="15" thickBot="1" x14ac:dyDescent="0.5">
      <c r="U420" s="234"/>
      <c r="V420" s="234"/>
      <c r="BH420" s="234"/>
      <c r="BI420" s="234"/>
      <c r="DC420" s="246"/>
      <c r="DD420" s="246"/>
      <c r="DE420" s="246"/>
      <c r="DF420" s="246"/>
      <c r="DG420" s="246"/>
      <c r="DH420" s="246"/>
      <c r="DI420" s="246"/>
      <c r="DJ420" s="246"/>
      <c r="DK420" s="246"/>
      <c r="DL420" s="246"/>
      <c r="DM420" s="246"/>
      <c r="DN420" s="246"/>
      <c r="DO420" s="246"/>
      <c r="DQ420" s="246"/>
      <c r="DR420" s="246"/>
      <c r="DS420" s="246"/>
      <c r="DT420" s="246"/>
      <c r="DY420" s="234"/>
      <c r="DZ420" s="234"/>
      <c r="EA420" s="234"/>
      <c r="EB420" s="234"/>
    </row>
    <row r="421" spans="2:132" ht="15" thickBot="1" x14ac:dyDescent="0.5">
      <c r="B421" s="521" t="s">
        <v>2811</v>
      </c>
      <c r="D421" s="594"/>
      <c r="E421" s="594"/>
      <c r="F421" s="594"/>
      <c r="G421" s="594"/>
      <c r="H421" s="594"/>
      <c r="I421" s="594"/>
      <c r="J421" s="594"/>
      <c r="K421" s="594"/>
      <c r="L421" s="499"/>
      <c r="M421" s="500"/>
      <c r="N421" s="500"/>
      <c r="O421" s="500"/>
      <c r="P421" s="500"/>
      <c r="Q421" s="500"/>
      <c r="R421" s="500"/>
      <c r="S421" s="500"/>
      <c r="T421" s="500"/>
      <c r="U421" s="500"/>
      <c r="V421" s="500"/>
      <c r="W421" s="500"/>
      <c r="X421" s="500"/>
      <c r="Y421" s="500"/>
      <c r="Z421" s="501"/>
      <c r="AA421" s="501"/>
      <c r="AB421" s="500"/>
      <c r="AC421" s="502"/>
      <c r="AD421" s="503"/>
      <c r="AE421" s="497"/>
      <c r="AF421" s="497"/>
      <c r="AG421" s="497"/>
      <c r="AH421" s="497"/>
      <c r="AI421" s="497"/>
      <c r="AJ421" s="497"/>
      <c r="AK421" s="497"/>
      <c r="AL421" s="497"/>
      <c r="AM421" s="497"/>
      <c r="AN421" s="497"/>
      <c r="AO421" s="497"/>
      <c r="AP421" s="497"/>
      <c r="AQ421" s="497"/>
      <c r="AR421" s="497"/>
      <c r="AS421" s="497"/>
      <c r="AT421" s="497"/>
      <c r="AU421" s="498"/>
      <c r="AV421" s="499"/>
      <c r="AW421" s="500"/>
      <c r="AX421" s="500"/>
      <c r="AY421" s="500"/>
      <c r="AZ421" s="500"/>
      <c r="BA421" s="500"/>
      <c r="BB421" s="500"/>
      <c r="BC421" s="500"/>
      <c r="BD421" s="500"/>
      <c r="BE421" s="500"/>
      <c r="BF421" s="500"/>
      <c r="BG421" s="500"/>
      <c r="BH421" s="500"/>
      <c r="BI421" s="500"/>
      <c r="BJ421" s="500"/>
      <c r="BK421" s="500"/>
      <c r="BL421" s="500"/>
      <c r="BM421" s="500"/>
      <c r="BN421" s="503"/>
      <c r="BO421" s="497"/>
      <c r="BP421" s="497"/>
      <c r="BQ421" s="497"/>
      <c r="BR421" s="497"/>
      <c r="BS421" s="497"/>
      <c r="BT421" s="497"/>
      <c r="BU421" s="497"/>
      <c r="BX421" s="499"/>
      <c r="BY421" s="500"/>
      <c r="BZ421" s="500"/>
      <c r="CA421" s="500"/>
      <c r="CB421" s="500"/>
      <c r="CC421" s="500"/>
      <c r="CD421" s="500"/>
      <c r="CE421" s="500"/>
      <c r="CF421" s="500"/>
      <c r="CG421" s="500"/>
      <c r="CH421" s="500"/>
      <c r="CI421" s="500"/>
      <c r="CJ421" s="500"/>
      <c r="CK421" s="500"/>
      <c r="CL421" s="501"/>
      <c r="CM421" s="501"/>
      <c r="CN421" s="500"/>
      <c r="CO421" s="502"/>
      <c r="CP421" s="503"/>
      <c r="CQ421" s="497"/>
      <c r="CR421" s="497"/>
      <c r="CS421" s="497"/>
      <c r="CT421" s="497"/>
      <c r="CU421" s="497"/>
      <c r="CV421" s="497"/>
      <c r="CW421" s="497"/>
      <c r="CX421" s="497"/>
      <c r="CY421" s="497"/>
      <c r="CZ421" s="497"/>
      <c r="DA421" s="497"/>
      <c r="DB421" s="497"/>
      <c r="DC421" s="497"/>
      <c r="DD421" s="497"/>
      <c r="DE421" s="497"/>
      <c r="DF421" s="497"/>
      <c r="DG421" s="498"/>
      <c r="DH421" s="499"/>
      <c r="DI421" s="500"/>
      <c r="DJ421" s="500"/>
      <c r="DK421" s="500"/>
      <c r="DL421" s="500"/>
      <c r="DM421" s="500"/>
      <c r="DN421" s="500"/>
      <c r="DO421" s="500"/>
      <c r="DP421" s="1209"/>
      <c r="DQ421" s="594"/>
      <c r="DR421" s="594"/>
      <c r="DS421" s="594"/>
      <c r="DT421" s="595"/>
      <c r="DY421" s="234"/>
      <c r="DZ421" s="234"/>
      <c r="EA421" s="234"/>
      <c r="EB421" s="234"/>
    </row>
    <row r="422" spans="2:132" ht="15" thickBot="1" x14ac:dyDescent="0.5">
      <c r="Z422" s="234"/>
      <c r="AA422" s="234"/>
      <c r="BX422" s="246"/>
      <c r="BY422" s="246"/>
      <c r="BZ422" s="246"/>
      <c r="CA422" s="246"/>
      <c r="CB422" s="246"/>
      <c r="CC422" s="246"/>
      <c r="CD422" s="246"/>
      <c r="CE422" s="246"/>
      <c r="CF422" s="246"/>
      <c r="CG422" s="246"/>
      <c r="CH422" s="246"/>
      <c r="CI422" s="246"/>
      <c r="CJ422" s="246"/>
      <c r="CK422" s="246"/>
      <c r="CN422" s="246"/>
      <c r="CO422" s="246"/>
      <c r="CP422" s="246"/>
      <c r="CQ422" s="246"/>
      <c r="CR422" s="246"/>
      <c r="CS422" s="246"/>
      <c r="CT422" s="246"/>
      <c r="CU422" s="246"/>
      <c r="CV422" s="246"/>
      <c r="CW422" s="246"/>
      <c r="CX422" s="246"/>
      <c r="CY422" s="246"/>
      <c r="CZ422" s="246"/>
      <c r="DA422" s="246"/>
      <c r="DB422" s="246"/>
      <c r="DC422" s="246"/>
      <c r="DD422" s="246"/>
      <c r="DE422" s="246"/>
      <c r="DF422" s="246"/>
      <c r="DG422" s="246"/>
      <c r="DH422" s="246"/>
      <c r="DI422" s="246"/>
      <c r="DJ422" s="246"/>
      <c r="DK422" s="246"/>
      <c r="DL422" s="246"/>
      <c r="DM422" s="246"/>
      <c r="DN422" s="246"/>
      <c r="DO422" s="246"/>
      <c r="DP422" s="246"/>
      <c r="DQ422" s="246"/>
      <c r="DR422" s="246"/>
      <c r="DS422" s="246"/>
      <c r="DY422" s="234"/>
      <c r="DZ422" s="234"/>
      <c r="EA422" s="234"/>
      <c r="EB422" s="234"/>
    </row>
    <row r="423" spans="2:132" ht="15" thickBot="1" x14ac:dyDescent="0.5">
      <c r="B423" s="521" t="s">
        <v>2812</v>
      </c>
      <c r="D423" s="594"/>
      <c r="E423" s="594"/>
      <c r="F423" s="594"/>
      <c r="G423" s="594"/>
      <c r="H423" s="594"/>
      <c r="I423" s="594"/>
      <c r="J423" s="594"/>
      <c r="K423" s="594"/>
      <c r="L423" s="497"/>
      <c r="M423" s="497"/>
      <c r="N423" s="497"/>
      <c r="O423" s="497"/>
      <c r="P423" s="497"/>
      <c r="Q423" s="497"/>
      <c r="R423" s="497"/>
      <c r="S423" s="497"/>
      <c r="T423" s="497"/>
      <c r="U423" s="497"/>
      <c r="V423" s="497"/>
      <c r="W423" s="497"/>
      <c r="X423" s="497"/>
      <c r="Y423" s="497"/>
      <c r="Z423" s="497"/>
      <c r="AA423" s="497"/>
      <c r="AB423" s="497"/>
      <c r="AC423" s="497"/>
      <c r="AD423" s="497"/>
      <c r="AE423" s="498"/>
      <c r="AF423" s="500"/>
      <c r="AG423" s="500"/>
      <c r="AH423" s="500"/>
      <c r="AI423" s="500"/>
      <c r="AJ423" s="500"/>
      <c r="AK423" s="500"/>
      <c r="AL423" s="500"/>
      <c r="AM423" s="500"/>
      <c r="AN423" s="500"/>
      <c r="AO423" s="500"/>
      <c r="AP423" s="500"/>
      <c r="AQ423" s="500"/>
      <c r="AR423" s="500"/>
      <c r="AS423" s="500"/>
      <c r="AT423" s="503"/>
      <c r="AU423" s="497"/>
      <c r="AV423" s="497"/>
      <c r="AW423" s="497"/>
      <c r="AX423" s="497"/>
      <c r="AY423" s="497"/>
      <c r="AZ423" s="497"/>
      <c r="BA423" s="497"/>
      <c r="BB423" s="497"/>
      <c r="BC423" s="497"/>
      <c r="BD423" s="497"/>
      <c r="BE423" s="497"/>
      <c r="BF423" s="497"/>
      <c r="BG423" s="497"/>
      <c r="BH423" s="497"/>
      <c r="BI423" s="497"/>
      <c r="BJ423" s="497"/>
      <c r="BK423" s="497"/>
      <c r="BL423" s="497"/>
      <c r="BM423" s="497"/>
      <c r="BN423" s="497"/>
      <c r="BO423" s="498"/>
      <c r="BP423" s="500"/>
      <c r="BQ423" s="500"/>
      <c r="BR423" s="500"/>
      <c r="BS423" s="500"/>
      <c r="BT423" s="500"/>
      <c r="BU423" s="500"/>
      <c r="BX423" s="497"/>
      <c r="BY423" s="497"/>
      <c r="BZ423" s="497"/>
      <c r="CA423" s="497"/>
      <c r="CB423" s="497"/>
      <c r="CC423" s="497"/>
      <c r="CD423" s="497"/>
      <c r="CE423" s="497"/>
      <c r="CF423" s="497"/>
      <c r="CG423" s="497"/>
      <c r="CH423" s="497"/>
      <c r="CI423" s="497"/>
      <c r="CJ423" s="497"/>
      <c r="CK423" s="497"/>
      <c r="CL423" s="497"/>
      <c r="CM423" s="497"/>
      <c r="CN423" s="497"/>
      <c r="CO423" s="497"/>
      <c r="CP423" s="497"/>
      <c r="CQ423" s="498"/>
      <c r="CR423" s="500"/>
      <c r="CS423" s="500"/>
      <c r="CT423" s="500"/>
      <c r="CU423" s="500"/>
      <c r="CV423" s="500"/>
      <c r="CW423" s="500"/>
      <c r="CX423" s="500"/>
      <c r="CY423" s="500"/>
      <c r="CZ423" s="500"/>
      <c r="DA423" s="500"/>
      <c r="DB423" s="500"/>
      <c r="DC423" s="500"/>
      <c r="DD423" s="500"/>
      <c r="DE423" s="502"/>
      <c r="DF423" s="497"/>
      <c r="DG423" s="497"/>
      <c r="DH423" s="497"/>
      <c r="DI423" s="497"/>
      <c r="DJ423" s="497"/>
      <c r="DK423" s="497"/>
      <c r="DL423" s="497"/>
      <c r="DM423" s="497"/>
      <c r="DN423" s="497"/>
      <c r="DO423" s="497"/>
      <c r="DP423" s="497"/>
      <c r="DQ423" s="497"/>
      <c r="DR423" s="497"/>
      <c r="DS423" s="497"/>
      <c r="DT423" s="497"/>
      <c r="DY423" s="234"/>
      <c r="DZ423" s="234"/>
      <c r="EA423" s="234"/>
      <c r="EB423" s="234"/>
    </row>
    <row r="424" spans="2:132" ht="15" thickBot="1" x14ac:dyDescent="0.5">
      <c r="Z424" s="234"/>
      <c r="AA424" s="234"/>
      <c r="BX424" s="246"/>
      <c r="BY424" s="246"/>
      <c r="BZ424" s="246"/>
      <c r="CA424" s="246"/>
      <c r="CB424" s="246"/>
      <c r="CC424" s="246"/>
      <c r="CD424" s="246"/>
      <c r="CE424" s="246"/>
      <c r="CF424" s="246"/>
      <c r="CG424" s="246"/>
      <c r="CH424" s="246"/>
      <c r="CI424" s="246"/>
      <c r="CJ424" s="246"/>
      <c r="CK424" s="246"/>
      <c r="CN424" s="246"/>
      <c r="CO424" s="246"/>
      <c r="CP424" s="246"/>
      <c r="CQ424" s="246"/>
      <c r="CR424" s="246"/>
      <c r="CS424" s="246"/>
      <c r="CT424" s="246"/>
      <c r="CU424" s="246"/>
      <c r="CV424" s="246"/>
      <c r="CW424" s="246"/>
      <c r="CX424" s="246"/>
      <c r="CY424" s="246"/>
      <c r="CZ424" s="246"/>
      <c r="DA424" s="246"/>
      <c r="DB424" s="246"/>
      <c r="DC424" s="246"/>
      <c r="DD424" s="246"/>
      <c r="DE424" s="246"/>
      <c r="DF424" s="246"/>
      <c r="DG424" s="246"/>
      <c r="DH424" s="246"/>
      <c r="DI424" s="246"/>
      <c r="DJ424" s="246"/>
      <c r="DK424" s="246"/>
      <c r="DL424" s="246"/>
      <c r="DM424" s="246"/>
      <c r="DN424" s="246"/>
      <c r="DO424" s="246"/>
      <c r="DP424" s="246"/>
      <c r="DQ424" s="246"/>
      <c r="DR424" s="246"/>
      <c r="DS424" s="246"/>
      <c r="DY424" s="234"/>
      <c r="DZ424" s="234"/>
      <c r="EA424" s="234"/>
      <c r="EB424" s="234"/>
    </row>
    <row r="425" spans="2:132" ht="15" thickBot="1" x14ac:dyDescent="0.5">
      <c r="B425" s="521" t="s">
        <v>2813</v>
      </c>
      <c r="D425" s="594"/>
      <c r="E425" s="594"/>
      <c r="F425" s="594"/>
      <c r="G425" s="594"/>
      <c r="H425" s="594"/>
      <c r="I425" s="594"/>
      <c r="J425" s="594"/>
      <c r="K425" s="594"/>
      <c r="L425" s="1197"/>
      <c r="M425" s="1197"/>
      <c r="N425" s="1197"/>
      <c r="O425" s="1197"/>
      <c r="P425" s="1197"/>
      <c r="Q425" s="1197"/>
      <c r="R425" s="1197"/>
      <c r="S425" s="1197"/>
      <c r="T425" s="1197"/>
      <c r="U425" s="1197"/>
      <c r="V425" s="1197"/>
      <c r="W425" s="1197"/>
      <c r="X425" s="1197"/>
      <c r="Y425" s="1197"/>
      <c r="Z425" s="1197"/>
      <c r="AA425" s="1197"/>
      <c r="AB425" s="1197"/>
      <c r="AC425" s="1205"/>
      <c r="AD425" s="504"/>
      <c r="AE425" s="505"/>
      <c r="AF425" s="505"/>
      <c r="AG425" s="505"/>
      <c r="AH425" s="505"/>
      <c r="AI425" s="505"/>
      <c r="AJ425" s="505"/>
      <c r="AK425" s="505"/>
      <c r="AL425" s="506"/>
      <c r="AM425" s="511"/>
      <c r="AN425" s="511"/>
      <c r="AO425" s="511"/>
      <c r="AP425" s="511"/>
      <c r="AQ425" s="511"/>
      <c r="AR425" s="511"/>
      <c r="AS425" s="511"/>
      <c r="AT425" s="511"/>
      <c r="AU425" s="511"/>
      <c r="AV425" s="511"/>
      <c r="AW425" s="511"/>
      <c r="AX425" s="511"/>
      <c r="AY425" s="511"/>
      <c r="AZ425" s="511"/>
      <c r="BA425" s="511"/>
      <c r="BB425" s="511"/>
      <c r="BC425" s="511"/>
      <c r="BD425" s="511"/>
      <c r="BE425" s="511"/>
      <c r="BF425" s="511"/>
      <c r="BG425" s="511"/>
      <c r="BH425" s="511"/>
      <c r="BI425" s="511"/>
      <c r="BJ425" s="511"/>
      <c r="BK425" s="511"/>
      <c r="BL425" s="511"/>
      <c r="BM425" s="511"/>
      <c r="BN425" s="1195"/>
      <c r="BO425" s="1172"/>
      <c r="BP425" s="1172"/>
      <c r="BQ425" s="1172"/>
      <c r="BR425" s="1172"/>
      <c r="BS425" s="1172"/>
      <c r="BT425" s="1172"/>
      <c r="BU425" s="1172"/>
      <c r="BX425" s="511"/>
      <c r="BY425" s="511"/>
      <c r="BZ425" s="511"/>
      <c r="CA425" s="511"/>
      <c r="CB425" s="511"/>
      <c r="CC425" s="511"/>
      <c r="CD425" s="511"/>
      <c r="CE425" s="511"/>
      <c r="CF425" s="511"/>
      <c r="CG425" s="511"/>
      <c r="CH425" s="511"/>
      <c r="CI425" s="511"/>
      <c r="CJ425" s="511"/>
      <c r="CK425" s="511"/>
      <c r="CL425" s="511"/>
      <c r="CM425" s="511"/>
      <c r="CN425" s="511"/>
      <c r="CO425" s="511"/>
      <c r="CP425" s="504"/>
      <c r="CQ425" s="505"/>
      <c r="CR425" s="505"/>
      <c r="CS425" s="505"/>
      <c r="CT425" s="505"/>
      <c r="CU425" s="505"/>
      <c r="CV425" s="505"/>
      <c r="CW425" s="505"/>
      <c r="CX425" s="506"/>
      <c r="CY425" s="511"/>
      <c r="CZ425" s="511"/>
      <c r="DA425" s="511"/>
      <c r="DB425" s="511"/>
      <c r="DC425" s="511"/>
      <c r="DD425" s="511"/>
      <c r="DE425" s="511"/>
      <c r="DF425" s="511"/>
      <c r="DG425" s="511"/>
      <c r="DH425" s="511"/>
      <c r="DI425" s="511"/>
      <c r="DJ425" s="511"/>
      <c r="DK425" s="511"/>
      <c r="DL425" s="511"/>
      <c r="DM425" s="511"/>
      <c r="DN425" s="511"/>
      <c r="DO425" s="511"/>
      <c r="DP425" s="594"/>
      <c r="DQ425" s="594"/>
      <c r="DR425" s="594"/>
      <c r="DS425" s="594"/>
      <c r="DT425" s="595"/>
      <c r="DY425" s="234"/>
      <c r="DZ425" s="234"/>
      <c r="EA425" s="234"/>
      <c r="EB425" s="234"/>
    </row>
    <row r="426" spans="2:132" ht="15" thickBot="1" x14ac:dyDescent="0.5">
      <c r="Z426" s="234"/>
      <c r="AA426" s="234"/>
      <c r="BX426" s="246"/>
      <c r="BY426" s="246"/>
      <c r="BZ426" s="246"/>
      <c r="CA426" s="246"/>
      <c r="CB426" s="246"/>
      <c r="CC426" s="246"/>
      <c r="CD426" s="246"/>
      <c r="CE426" s="246"/>
      <c r="CF426" s="246"/>
      <c r="CG426" s="246"/>
      <c r="CH426" s="246"/>
      <c r="CI426" s="246"/>
      <c r="CJ426" s="246"/>
      <c r="CK426" s="246"/>
      <c r="CN426" s="246"/>
      <c r="CO426" s="246"/>
      <c r="CP426" s="246"/>
      <c r="CQ426" s="246"/>
      <c r="CR426" s="246"/>
      <c r="CS426" s="246"/>
      <c r="CT426" s="246"/>
      <c r="CU426" s="246"/>
      <c r="CV426" s="246"/>
      <c r="CW426" s="246"/>
      <c r="CX426" s="246"/>
      <c r="CY426" s="246"/>
      <c r="CZ426" s="246"/>
      <c r="DA426" s="246"/>
      <c r="DB426" s="246"/>
      <c r="DC426" s="246"/>
      <c r="DD426" s="246"/>
      <c r="DE426" s="246"/>
      <c r="DF426" s="246"/>
      <c r="DG426" s="246"/>
      <c r="DH426" s="246"/>
      <c r="DI426" s="246"/>
      <c r="DJ426" s="246"/>
      <c r="DK426" s="246"/>
      <c r="DL426" s="246"/>
      <c r="DM426" s="246"/>
      <c r="DN426" s="246"/>
      <c r="DO426" s="246"/>
      <c r="DP426" s="246"/>
      <c r="DQ426" s="246"/>
      <c r="DR426" s="246"/>
      <c r="DS426" s="246"/>
      <c r="DY426" s="234"/>
      <c r="DZ426" s="234"/>
      <c r="EA426" s="234"/>
      <c r="EB426" s="234"/>
    </row>
    <row r="427" spans="2:132" ht="15" thickBot="1" x14ac:dyDescent="0.5">
      <c r="B427" s="521" t="s">
        <v>2814</v>
      </c>
      <c r="D427" s="594"/>
      <c r="E427" s="594"/>
      <c r="F427" s="594"/>
      <c r="G427" s="594"/>
      <c r="H427" s="594"/>
      <c r="I427" s="594"/>
      <c r="J427" s="594"/>
      <c r="K427" s="594"/>
      <c r="L427" s="884"/>
      <c r="M427" s="884"/>
      <c r="N427" s="884"/>
      <c r="O427" s="884"/>
      <c r="P427" s="884"/>
      <c r="Q427" s="884"/>
      <c r="R427" s="884"/>
      <c r="S427" s="884"/>
      <c r="T427" s="884"/>
      <c r="U427" s="884"/>
      <c r="V427" s="884"/>
      <c r="W427" s="884"/>
      <c r="X427" s="884"/>
      <c r="Y427" s="884"/>
      <c r="Z427" s="884"/>
      <c r="AA427" s="884"/>
      <c r="AB427" s="884"/>
      <c r="AC427" s="884"/>
      <c r="AD427" s="884"/>
      <c r="AE427" s="884"/>
      <c r="AF427" s="884"/>
      <c r="AG427" s="884"/>
      <c r="AH427" s="884"/>
      <c r="AI427" s="884"/>
      <c r="AJ427" s="884"/>
      <c r="AK427" s="884"/>
      <c r="AL427" s="884"/>
      <c r="AM427" s="884"/>
      <c r="AN427" s="1173"/>
      <c r="AO427" s="505"/>
      <c r="AP427" s="505"/>
      <c r="AQ427" s="505"/>
      <c r="AR427" s="505"/>
      <c r="AS427" s="505"/>
      <c r="AT427" s="505"/>
      <c r="AU427" s="505"/>
      <c r="AV427" s="505"/>
      <c r="AW427" s="505"/>
      <c r="AX427" s="505"/>
      <c r="AY427" s="505"/>
      <c r="AZ427" s="505"/>
      <c r="BA427" s="505"/>
      <c r="BB427" s="505"/>
      <c r="BC427" s="505"/>
      <c r="BD427" s="505"/>
      <c r="BE427" s="505"/>
      <c r="BF427" s="505"/>
      <c r="BG427" s="505"/>
      <c r="BH427" s="505"/>
      <c r="BI427" s="505"/>
      <c r="BJ427" s="505"/>
      <c r="BK427" s="505"/>
      <c r="BL427" s="1196"/>
      <c r="BM427" s="884"/>
      <c r="BN427" s="884"/>
      <c r="BO427" s="884"/>
      <c r="BP427" s="884"/>
      <c r="BQ427" s="884"/>
      <c r="BR427" s="884"/>
      <c r="BS427" s="884"/>
      <c r="BT427" s="884"/>
      <c r="BU427" s="884"/>
      <c r="BX427" s="505"/>
      <c r="BY427" s="505"/>
      <c r="BZ427" s="505"/>
      <c r="CA427" s="505"/>
      <c r="CB427" s="505"/>
      <c r="CC427" s="505"/>
      <c r="CD427" s="505"/>
      <c r="CE427" s="505"/>
      <c r="CF427" s="505"/>
      <c r="CG427" s="505"/>
      <c r="CH427" s="505"/>
      <c r="CI427" s="505"/>
      <c r="CJ427" s="505"/>
      <c r="CK427" s="505"/>
      <c r="CL427" s="505"/>
      <c r="CM427" s="505"/>
      <c r="CN427" s="1198"/>
      <c r="CO427" s="884"/>
      <c r="CP427" s="884"/>
      <c r="CQ427" s="884"/>
      <c r="CR427" s="884"/>
      <c r="CS427" s="884"/>
      <c r="CT427" s="884"/>
      <c r="CU427" s="884"/>
      <c r="CV427" s="884"/>
      <c r="CW427" s="884"/>
      <c r="CX427" s="884"/>
      <c r="CY427" s="884"/>
      <c r="CZ427" s="1173"/>
      <c r="DA427" s="505"/>
      <c r="DB427" s="505"/>
      <c r="DC427" s="505"/>
      <c r="DD427" s="505"/>
      <c r="DE427" s="505"/>
      <c r="DF427" s="505"/>
      <c r="DG427" s="505"/>
      <c r="DH427" s="505"/>
      <c r="DI427" s="505"/>
      <c r="DJ427" s="505"/>
      <c r="DK427" s="505"/>
      <c r="DL427" s="505"/>
      <c r="DM427" s="505"/>
      <c r="DN427" s="505"/>
      <c r="DO427" s="505"/>
      <c r="DP427" s="1209"/>
      <c r="DQ427" s="594"/>
      <c r="DR427" s="594"/>
      <c r="DS427" s="594"/>
      <c r="DT427" s="595"/>
      <c r="DY427" s="234"/>
      <c r="DZ427" s="234"/>
      <c r="EA427" s="234"/>
      <c r="EB427" s="234"/>
    </row>
    <row r="428" spans="2:132" ht="15" thickBot="1" x14ac:dyDescent="0.5">
      <c r="Z428" s="234"/>
      <c r="AA428" s="234"/>
      <c r="BX428" s="246"/>
      <c r="BY428" s="246"/>
      <c r="BZ428" s="246"/>
      <c r="CA428" s="246"/>
      <c r="CB428" s="246"/>
      <c r="CC428" s="246"/>
      <c r="CD428" s="246"/>
      <c r="CE428" s="246"/>
      <c r="CF428" s="246"/>
      <c r="CG428" s="246"/>
      <c r="CH428" s="246"/>
      <c r="CI428" s="246"/>
      <c r="CJ428" s="246"/>
      <c r="CK428" s="246"/>
      <c r="CN428" s="246"/>
      <c r="CO428" s="246"/>
      <c r="CP428" s="246"/>
      <c r="CQ428" s="246"/>
      <c r="CR428" s="246"/>
      <c r="CS428" s="246"/>
      <c r="CT428" s="246"/>
      <c r="CU428" s="246"/>
      <c r="CV428" s="246"/>
      <c r="CW428" s="246"/>
      <c r="CX428" s="246"/>
      <c r="CY428" s="246"/>
      <c r="CZ428" s="246"/>
      <c r="DA428" s="246"/>
      <c r="DB428" s="246"/>
      <c r="DC428" s="246"/>
      <c r="DD428" s="246"/>
      <c r="DE428" s="246"/>
      <c r="DF428" s="246"/>
      <c r="DG428" s="246"/>
      <c r="DH428" s="246"/>
      <c r="DI428" s="246"/>
      <c r="DJ428" s="246"/>
      <c r="DK428" s="246"/>
      <c r="DL428" s="246"/>
      <c r="DM428" s="246"/>
      <c r="DN428" s="246"/>
      <c r="DO428" s="246"/>
      <c r="DP428" s="246"/>
      <c r="DQ428" s="246"/>
      <c r="DR428" s="246"/>
      <c r="DS428" s="246"/>
      <c r="DY428" s="234"/>
      <c r="DZ428" s="234"/>
      <c r="EA428" s="234"/>
      <c r="EB428" s="234"/>
    </row>
    <row r="429" spans="2:132" ht="15" thickBot="1" x14ac:dyDescent="0.5">
      <c r="B429" s="521" t="s">
        <v>2815</v>
      </c>
      <c r="D429" s="594"/>
      <c r="E429" s="594"/>
      <c r="F429" s="594"/>
      <c r="G429" s="594"/>
      <c r="H429" s="594"/>
      <c r="I429" s="594"/>
      <c r="J429" s="594"/>
      <c r="K429" s="594"/>
      <c r="L429" s="507"/>
      <c r="M429" s="507"/>
      <c r="N429" s="507"/>
      <c r="O429" s="507"/>
      <c r="P429" s="507"/>
      <c r="Q429" s="507"/>
      <c r="R429" s="507"/>
      <c r="S429" s="507"/>
      <c r="T429" s="507"/>
      <c r="U429" s="507"/>
      <c r="V429" s="507"/>
      <c r="W429" s="507"/>
      <c r="X429" s="507"/>
      <c r="Y429" s="507"/>
      <c r="Z429" s="507"/>
      <c r="AA429" s="507"/>
      <c r="AB429" s="507"/>
      <c r="AC429" s="507"/>
      <c r="AD429" s="507"/>
      <c r="AE429" s="507"/>
      <c r="AF429" s="507"/>
      <c r="AG429" s="507"/>
      <c r="AH429" s="507"/>
      <c r="AI429" s="507"/>
      <c r="AJ429" s="507"/>
      <c r="AK429" s="507"/>
      <c r="AL429" s="904"/>
      <c r="AM429" s="508"/>
      <c r="AN429" s="509"/>
      <c r="AO429" s="509"/>
      <c r="AP429" s="509"/>
      <c r="AQ429" s="509"/>
      <c r="AR429" s="509"/>
      <c r="AS429" s="509"/>
      <c r="AT429" s="509"/>
      <c r="AU429" s="510"/>
      <c r="AV429" s="507"/>
      <c r="AW429" s="507"/>
      <c r="AX429" s="507"/>
      <c r="AY429" s="507"/>
      <c r="AZ429" s="507"/>
      <c r="BA429" s="507"/>
      <c r="BB429" s="507"/>
      <c r="BC429" s="507"/>
      <c r="BD429" s="507"/>
      <c r="BE429" s="507"/>
      <c r="BF429" s="507"/>
      <c r="BG429" s="507"/>
      <c r="BH429" s="507"/>
      <c r="BI429" s="507"/>
      <c r="BJ429" s="507"/>
      <c r="BK429" s="507"/>
      <c r="BL429" s="507"/>
      <c r="BM429" s="507"/>
      <c r="BN429" s="507"/>
      <c r="BO429" s="507"/>
      <c r="BP429" s="507"/>
      <c r="BQ429" s="507"/>
      <c r="BR429" s="507"/>
      <c r="BS429" s="507"/>
      <c r="BT429" s="507"/>
      <c r="BU429" s="507"/>
      <c r="BX429" s="507"/>
      <c r="BY429" s="507"/>
      <c r="BZ429" s="507"/>
      <c r="CA429" s="507"/>
      <c r="CB429" s="507"/>
      <c r="CC429" s="507"/>
      <c r="CD429" s="507"/>
      <c r="CE429" s="507"/>
      <c r="CF429" s="507"/>
      <c r="CG429" s="507"/>
      <c r="CH429" s="507"/>
      <c r="CI429" s="507"/>
      <c r="CJ429" s="507"/>
      <c r="CK429" s="507"/>
      <c r="CL429" s="507"/>
      <c r="CM429" s="507"/>
      <c r="CN429" s="507"/>
      <c r="CO429" s="507"/>
      <c r="CP429" s="507"/>
      <c r="CQ429" s="507"/>
      <c r="CR429" s="507"/>
      <c r="CS429" s="507"/>
      <c r="CT429" s="507"/>
      <c r="CU429" s="507"/>
      <c r="CV429" s="507"/>
      <c r="CW429" s="507"/>
      <c r="CX429" s="507"/>
      <c r="CY429" s="508"/>
      <c r="CZ429" s="509"/>
      <c r="DA429" s="509"/>
      <c r="DB429" s="509"/>
      <c r="DC429" s="509"/>
      <c r="DD429" s="509"/>
      <c r="DE429" s="509"/>
      <c r="DF429" s="509"/>
      <c r="DG429" s="510"/>
      <c r="DH429" s="507"/>
      <c r="DI429" s="507"/>
      <c r="DJ429" s="507"/>
      <c r="DK429" s="507"/>
      <c r="DL429" s="507"/>
      <c r="DM429" s="507"/>
      <c r="DN429" s="507"/>
      <c r="DO429" s="507"/>
      <c r="DP429" s="594"/>
      <c r="DQ429" s="594"/>
      <c r="DR429" s="594"/>
      <c r="DS429" s="594"/>
      <c r="DT429" s="595"/>
      <c r="DY429" s="234"/>
      <c r="DZ429" s="234"/>
      <c r="EA429" s="234"/>
      <c r="EB429" s="234"/>
    </row>
    <row r="430" spans="2:132" ht="15" thickBot="1" x14ac:dyDescent="0.5">
      <c r="BX430" s="246"/>
      <c r="BY430" s="246"/>
      <c r="BZ430" s="246"/>
      <c r="CA430" s="246"/>
      <c r="CB430" s="246"/>
      <c r="CC430" s="246"/>
      <c r="CD430" s="246"/>
      <c r="CE430" s="246"/>
      <c r="CF430" s="246"/>
      <c r="CG430" s="246"/>
      <c r="CH430" s="246"/>
      <c r="CI430" s="246"/>
      <c r="CJ430" s="246"/>
      <c r="CK430" s="246"/>
      <c r="CL430" s="246"/>
      <c r="CM430" s="246"/>
      <c r="CN430" s="246"/>
      <c r="CO430" s="246"/>
      <c r="CP430" s="246"/>
      <c r="CQ430" s="246"/>
      <c r="CR430" s="246"/>
      <c r="CS430" s="246"/>
      <c r="CT430" s="246"/>
      <c r="CU430" s="246"/>
      <c r="CV430" s="246"/>
      <c r="CW430" s="246"/>
      <c r="CX430" s="246"/>
      <c r="CY430" s="246"/>
      <c r="CZ430" s="246"/>
      <c r="DA430" s="246"/>
      <c r="DB430" s="246"/>
      <c r="DC430" s="246"/>
      <c r="DD430" s="246"/>
      <c r="DE430" s="246"/>
      <c r="DF430" s="246"/>
      <c r="DG430" s="246"/>
      <c r="DH430" s="246"/>
      <c r="DI430" s="246"/>
      <c r="DJ430" s="246"/>
      <c r="DK430" s="246"/>
      <c r="DL430" s="246"/>
      <c r="DM430" s="246"/>
      <c r="DN430" s="246"/>
      <c r="DO430" s="246"/>
      <c r="DP430" s="246"/>
      <c r="DQ430" s="246"/>
      <c r="DR430" s="246"/>
      <c r="DS430" s="246"/>
      <c r="DT430" s="246"/>
      <c r="DY430" s="234"/>
      <c r="DZ430" s="234"/>
      <c r="EA430" s="234"/>
      <c r="EB430" s="234"/>
    </row>
    <row r="431" spans="2:132" ht="15" thickBot="1" x14ac:dyDescent="0.5">
      <c r="B431" s="521" t="s">
        <v>2816</v>
      </c>
      <c r="D431" s="594"/>
      <c r="E431" s="594"/>
      <c r="F431" s="594"/>
      <c r="G431" s="594"/>
      <c r="H431" s="594"/>
      <c r="I431" s="594"/>
      <c r="J431" s="594"/>
      <c r="K431" s="594"/>
      <c r="L431" s="507"/>
      <c r="M431" s="507"/>
      <c r="N431" s="507"/>
      <c r="O431" s="507"/>
      <c r="P431" s="507"/>
      <c r="Q431" s="507"/>
      <c r="R431" s="507"/>
      <c r="S431" s="507"/>
      <c r="T431" s="507"/>
      <c r="U431" s="507"/>
      <c r="V431" s="507"/>
      <c r="W431" s="507"/>
      <c r="X431" s="507"/>
      <c r="Y431" s="507"/>
      <c r="Z431" s="507"/>
      <c r="AA431" s="507"/>
      <c r="AB431" s="507"/>
      <c r="AC431" s="507"/>
      <c r="AD431" s="507"/>
      <c r="AE431" s="507"/>
      <c r="AF431" s="507"/>
      <c r="AG431" s="507"/>
      <c r="AH431" s="507"/>
      <c r="AI431" s="507"/>
      <c r="AJ431" s="507"/>
      <c r="AK431" s="507"/>
      <c r="AL431" s="507"/>
      <c r="AM431" s="507"/>
      <c r="AN431" s="507"/>
      <c r="AO431" s="507"/>
      <c r="AP431" s="507"/>
      <c r="AQ431" s="507"/>
      <c r="AR431" s="507"/>
      <c r="AS431" s="507"/>
      <c r="AT431" s="507"/>
      <c r="AU431" s="507"/>
      <c r="AV431" s="507"/>
      <c r="AW431" s="904"/>
      <c r="AX431" s="509"/>
      <c r="AY431" s="509"/>
      <c r="AZ431" s="509"/>
      <c r="BA431" s="509"/>
      <c r="BB431" s="509"/>
      <c r="BC431" s="509"/>
      <c r="BD431" s="509"/>
      <c r="BE431" s="509"/>
      <c r="BF431" s="509"/>
      <c r="BG431" s="509"/>
      <c r="BH431" s="509"/>
      <c r="BI431" s="509"/>
      <c r="BJ431" s="509"/>
      <c r="BK431" s="509"/>
      <c r="BL431" s="509"/>
      <c r="BM431" s="509"/>
      <c r="BN431" s="509"/>
      <c r="BO431" s="509"/>
      <c r="BP431" s="509"/>
      <c r="BQ431" s="509"/>
      <c r="BR431" s="509"/>
      <c r="BS431" s="509"/>
      <c r="BT431" s="509"/>
      <c r="BU431" s="509"/>
      <c r="BX431" s="509"/>
      <c r="BY431" s="509"/>
      <c r="BZ431" s="509"/>
      <c r="CA431" s="509"/>
      <c r="CB431" s="509"/>
      <c r="CC431" s="509"/>
      <c r="CD431" s="509"/>
      <c r="CE431" s="509"/>
      <c r="CF431" s="509"/>
      <c r="CG431" s="509"/>
      <c r="CH431" s="509"/>
      <c r="CI431" s="509"/>
      <c r="CJ431" s="509"/>
      <c r="CK431" s="509"/>
      <c r="CL431" s="509"/>
      <c r="CM431" s="509"/>
      <c r="CN431" s="509"/>
      <c r="CO431" s="509"/>
      <c r="CP431" s="509"/>
      <c r="CQ431" s="509"/>
      <c r="CR431" s="509"/>
      <c r="CS431" s="509"/>
      <c r="CT431" s="509"/>
      <c r="CU431" s="509"/>
      <c r="CV431" s="509"/>
      <c r="CW431" s="886"/>
      <c r="CX431" s="507"/>
      <c r="CY431" s="507"/>
      <c r="CZ431" s="507"/>
      <c r="DA431" s="507"/>
      <c r="DB431" s="507"/>
      <c r="DC431" s="507"/>
      <c r="DD431" s="507"/>
      <c r="DE431" s="507"/>
      <c r="DF431" s="507"/>
      <c r="DG431" s="507"/>
      <c r="DH431" s="507"/>
      <c r="DI431" s="904"/>
      <c r="DJ431" s="509"/>
      <c r="DK431" s="509"/>
      <c r="DL431" s="509"/>
      <c r="DM431" s="509"/>
      <c r="DN431" s="509"/>
      <c r="DO431" s="509"/>
      <c r="DP431" s="1209"/>
      <c r="DQ431" s="594"/>
      <c r="DR431" s="594"/>
      <c r="DS431" s="594"/>
      <c r="DT431" s="595"/>
      <c r="DY431" s="234"/>
      <c r="DZ431" s="234"/>
      <c r="EA431" s="234"/>
      <c r="EB431" s="234"/>
    </row>
    <row r="432" spans="2:132" x14ac:dyDescent="0.45">
      <c r="BX432" s="246"/>
      <c r="BY432" s="246"/>
      <c r="BZ432" s="246"/>
      <c r="CA432" s="246"/>
      <c r="CB432" s="246"/>
      <c r="CC432" s="246"/>
      <c r="CD432" s="246"/>
      <c r="CE432" s="246"/>
      <c r="CF432" s="246"/>
      <c r="CG432" s="246"/>
      <c r="CH432" s="246"/>
      <c r="CI432" s="246"/>
      <c r="CJ432" s="246"/>
      <c r="CK432" s="246"/>
      <c r="CL432" s="246"/>
      <c r="CM432" s="246"/>
      <c r="CN432" s="246"/>
      <c r="CO432" s="246"/>
      <c r="CP432" s="246"/>
      <c r="CQ432" s="246"/>
      <c r="CR432" s="246"/>
      <c r="CS432" s="246"/>
      <c r="CT432" s="246"/>
      <c r="CU432" s="246"/>
      <c r="CV432" s="246"/>
      <c r="CW432" s="246"/>
      <c r="CX432" s="246"/>
      <c r="CY432" s="246"/>
      <c r="CZ432" s="246"/>
      <c r="DA432" s="246"/>
      <c r="DB432" s="246"/>
      <c r="DC432" s="246"/>
      <c r="DD432" s="246"/>
      <c r="DE432" s="246"/>
      <c r="DF432" s="246"/>
      <c r="DG432" s="246"/>
      <c r="DH432" s="246"/>
      <c r="DI432" s="246"/>
      <c r="DJ432" s="246"/>
      <c r="DK432" s="246"/>
      <c r="DL432" s="246"/>
      <c r="DM432" s="246"/>
      <c r="DN432" s="246"/>
      <c r="DO432" s="246"/>
      <c r="DP432" s="246"/>
      <c r="DQ432" s="246"/>
      <c r="DR432" s="246"/>
      <c r="DS432" s="246"/>
      <c r="DT432" s="246"/>
      <c r="DY432" s="234"/>
      <c r="DZ432" s="234"/>
      <c r="EA432" s="234"/>
      <c r="EB432" s="234"/>
    </row>
    <row r="433" spans="2:132" x14ac:dyDescent="0.45">
      <c r="B433" s="521" t="s">
        <v>2817</v>
      </c>
      <c r="D433" s="862"/>
      <c r="E433" s="862"/>
      <c r="F433" s="862"/>
      <c r="G433" s="862"/>
      <c r="H433" s="862"/>
      <c r="I433" s="862"/>
      <c r="J433" s="862"/>
      <c r="K433" s="862"/>
      <c r="L433" s="584"/>
      <c r="M433" s="584"/>
      <c r="N433" s="584"/>
      <c r="O433" s="584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680"/>
      <c r="AE433" s="680"/>
      <c r="AF433" s="680"/>
      <c r="AG433" s="680"/>
      <c r="AH433" s="340"/>
      <c r="AI433" s="340"/>
      <c r="AJ433" s="340"/>
      <c r="AK433" s="340"/>
      <c r="AL433" s="340"/>
      <c r="AM433" s="681"/>
      <c r="AN433" s="681"/>
      <c r="AO433" s="681"/>
      <c r="AP433" s="681"/>
      <c r="AQ433" s="317"/>
      <c r="AR433" s="317"/>
      <c r="AS433" s="317"/>
      <c r="AT433" s="317"/>
      <c r="AU433" s="317"/>
      <c r="AV433" s="584"/>
      <c r="AW433" s="584"/>
      <c r="AX433" s="584"/>
      <c r="AY433" s="584"/>
      <c r="AZ433" s="315"/>
      <c r="BA433" s="315"/>
      <c r="BB433" s="315"/>
      <c r="BC433" s="315"/>
      <c r="BD433" s="315"/>
      <c r="BE433" s="315"/>
      <c r="BF433" s="315"/>
      <c r="BG433" s="315"/>
      <c r="BH433" s="315"/>
      <c r="BI433" s="315"/>
      <c r="BJ433" s="315"/>
      <c r="BK433" s="315"/>
      <c r="BL433" s="315"/>
      <c r="BM433" s="315"/>
      <c r="BN433" s="680"/>
      <c r="BO433" s="680"/>
      <c r="BP433" s="680"/>
      <c r="BQ433" s="680"/>
      <c r="BR433" s="340"/>
      <c r="BS433" s="340"/>
      <c r="BT433" s="340"/>
      <c r="BU433" s="340"/>
      <c r="BX433" s="584"/>
      <c r="BY433" s="584"/>
      <c r="BZ433" s="584"/>
      <c r="CA433" s="584"/>
      <c r="CB433" s="315"/>
      <c r="CC433" s="315"/>
      <c r="CD433" s="315"/>
      <c r="CE433" s="315"/>
      <c r="CF433" s="315"/>
      <c r="CG433" s="315"/>
      <c r="CH433" s="315"/>
      <c r="CI433" s="315"/>
      <c r="CJ433" s="315"/>
      <c r="CK433" s="315"/>
      <c r="CL433" s="315"/>
      <c r="CM433" s="315"/>
      <c r="CN433" s="315"/>
      <c r="CO433" s="315"/>
      <c r="CP433" s="680"/>
      <c r="CQ433" s="680"/>
      <c r="CR433" s="680"/>
      <c r="CS433" s="680"/>
      <c r="CT433" s="340"/>
      <c r="CU433" s="340"/>
      <c r="CV433" s="340"/>
      <c r="CW433" s="340"/>
      <c r="CX433" s="340"/>
      <c r="CY433" s="681"/>
      <c r="CZ433" s="681"/>
      <c r="DA433" s="681"/>
      <c r="DB433" s="681"/>
      <c r="DC433" s="317"/>
      <c r="DD433" s="317"/>
      <c r="DE433" s="317"/>
      <c r="DF433" s="317"/>
      <c r="DG433" s="317"/>
      <c r="DH433" s="584"/>
      <c r="DI433" s="584"/>
      <c r="DJ433" s="584"/>
      <c r="DK433" s="584"/>
      <c r="DL433" s="315"/>
      <c r="DM433" s="315"/>
      <c r="DN433" s="315"/>
      <c r="DO433" s="315"/>
      <c r="DP433" s="315"/>
      <c r="DQ433" s="315"/>
      <c r="DR433" s="315"/>
      <c r="DS433" s="315"/>
      <c r="DT433" s="315"/>
      <c r="DY433" s="234"/>
      <c r="DZ433" s="234"/>
      <c r="EA433" s="234"/>
      <c r="EB433" s="234"/>
    </row>
    <row r="434" spans="2:132" x14ac:dyDescent="0.45"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X434" s="234"/>
      <c r="Z434" s="234"/>
      <c r="AB434" s="234"/>
      <c r="AD434" s="234"/>
      <c r="AF434" s="234"/>
      <c r="AH434" s="234"/>
      <c r="BX434" s="246"/>
      <c r="BY434" s="246"/>
      <c r="BZ434" s="246"/>
      <c r="CA434" s="246"/>
      <c r="CB434" s="246"/>
      <c r="CC434" s="246"/>
      <c r="CD434" s="246"/>
      <c r="CE434" s="246"/>
      <c r="CF434" s="246"/>
      <c r="CG434" s="246"/>
      <c r="CH434" s="246"/>
      <c r="CI434" s="246"/>
      <c r="CJ434" s="246"/>
      <c r="CK434" s="246"/>
      <c r="CL434" s="246"/>
      <c r="CM434" s="246"/>
      <c r="CN434" s="246"/>
      <c r="CO434" s="246"/>
      <c r="CP434" s="246"/>
      <c r="CQ434" s="246"/>
      <c r="CR434" s="246"/>
      <c r="CS434" s="246"/>
      <c r="CT434" s="246"/>
      <c r="CU434" s="246"/>
      <c r="CV434" s="246"/>
      <c r="CW434" s="246"/>
      <c r="CX434" s="246"/>
      <c r="DO434" s="246"/>
      <c r="DP434" s="246"/>
      <c r="DQ434" s="246"/>
      <c r="DR434" s="246"/>
      <c r="DS434" s="246"/>
      <c r="DY434" s="234"/>
      <c r="DZ434" s="234"/>
      <c r="EA434" s="234"/>
      <c r="EB434" s="234"/>
    </row>
    <row r="435" spans="2:132" x14ac:dyDescent="0.45"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  <c r="AA435" s="234"/>
      <c r="AB435" s="234"/>
      <c r="AC435" s="234"/>
      <c r="AD435" s="234"/>
      <c r="AE435" s="234"/>
      <c r="AF435" s="234"/>
      <c r="AG435" s="234"/>
      <c r="AH435" s="234"/>
      <c r="AI435" s="234"/>
      <c r="AJ435" s="234"/>
      <c r="AK435" s="234"/>
      <c r="AL435" s="234"/>
      <c r="AM435" s="234"/>
      <c r="AN435" s="234"/>
      <c r="AO435" s="234"/>
      <c r="AP435" s="234"/>
      <c r="AQ435" s="234"/>
      <c r="AR435" s="234"/>
      <c r="AS435" s="234"/>
      <c r="AT435" s="234"/>
      <c r="AU435" s="234"/>
      <c r="AV435" s="234"/>
      <c r="AW435" s="234"/>
      <c r="AX435" s="234"/>
      <c r="AY435" s="234"/>
      <c r="AZ435" s="234"/>
      <c r="BA435" s="234"/>
      <c r="BB435" s="234"/>
      <c r="BC435" s="234"/>
      <c r="BD435" s="234"/>
      <c r="BE435" s="234"/>
      <c r="BF435" s="234"/>
      <c r="BG435" s="234"/>
      <c r="BH435" s="234"/>
      <c r="BI435" s="234"/>
      <c r="BJ435" s="234"/>
      <c r="BK435" s="234"/>
      <c r="BL435" s="234"/>
      <c r="BM435" s="234"/>
      <c r="BN435" s="234"/>
      <c r="BO435" s="234"/>
      <c r="BP435" s="234"/>
      <c r="BQ435" s="234"/>
      <c r="BR435" s="234"/>
      <c r="BS435" s="234"/>
      <c r="BT435" s="234"/>
      <c r="BU435" s="234"/>
      <c r="DY435" s="234"/>
      <c r="DZ435" s="234"/>
      <c r="EA435" s="234"/>
      <c r="EB435" s="234"/>
    </row>
    <row r="436" spans="2:132" x14ac:dyDescent="0.45"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  <c r="AA436" s="234"/>
      <c r="AB436" s="234"/>
      <c r="AC436" s="234"/>
      <c r="AD436" s="234"/>
      <c r="AE436" s="234"/>
      <c r="AF436" s="234"/>
      <c r="AG436" s="234"/>
      <c r="AH436" s="234"/>
      <c r="AI436" s="234"/>
      <c r="AJ436" s="234"/>
      <c r="AK436" s="234"/>
      <c r="AL436" s="234"/>
      <c r="AM436" s="234"/>
      <c r="AN436" s="234"/>
      <c r="AO436" s="234"/>
      <c r="AP436" s="234"/>
      <c r="AQ436" s="234"/>
      <c r="AR436" s="234"/>
      <c r="AS436" s="234"/>
      <c r="AT436" s="234"/>
      <c r="AU436" s="234"/>
      <c r="AV436" s="234"/>
      <c r="AW436" s="234"/>
      <c r="AX436" s="234"/>
      <c r="AY436" s="234"/>
      <c r="AZ436" s="234"/>
      <c r="BA436" s="234"/>
      <c r="BB436" s="234"/>
      <c r="BC436" s="234"/>
      <c r="BD436" s="234"/>
      <c r="BE436" s="234"/>
      <c r="BF436" s="234"/>
      <c r="BG436" s="234"/>
      <c r="BH436" s="234"/>
      <c r="BI436" s="234"/>
      <c r="BJ436" s="234"/>
      <c r="BK436" s="234"/>
      <c r="BL436" s="234"/>
      <c r="BM436" s="234"/>
      <c r="BN436" s="234"/>
      <c r="BO436" s="234"/>
      <c r="BP436" s="234"/>
      <c r="BQ436" s="234"/>
      <c r="BR436" s="234"/>
      <c r="BS436" s="234"/>
      <c r="BT436" s="234"/>
      <c r="BU436" s="234"/>
      <c r="BV436" s="234"/>
      <c r="BW436" s="234"/>
      <c r="DV436" s="234"/>
      <c r="DW436" s="234"/>
      <c r="DX436" s="234"/>
      <c r="DY436" s="234"/>
      <c r="DZ436" s="234"/>
      <c r="EA436" s="234"/>
      <c r="EB436" s="234"/>
    </row>
    <row r="437" spans="2:132" x14ac:dyDescent="0.45">
      <c r="B437" s="1222" t="s">
        <v>2821</v>
      </c>
      <c r="C437" s="1223"/>
      <c r="D437" s="1224"/>
      <c r="E437" s="1224"/>
      <c r="F437" s="1224"/>
      <c r="G437" s="1224"/>
      <c r="H437" s="1224"/>
      <c r="I437" s="1224"/>
      <c r="J437" s="1224"/>
      <c r="K437" s="1224"/>
      <c r="L437" s="1224"/>
      <c r="M437" s="1224"/>
      <c r="N437" s="1224"/>
      <c r="O437" s="1224"/>
      <c r="P437" s="1224"/>
      <c r="Q437" s="1224"/>
      <c r="R437" s="1224"/>
      <c r="S437" s="1224"/>
      <c r="T437" s="1224"/>
      <c r="U437" s="1224"/>
      <c r="V437" s="1224"/>
      <c r="W437" s="1224"/>
      <c r="X437" s="1224"/>
      <c r="Y437" s="1224"/>
      <c r="Z437" s="1224"/>
      <c r="AA437" s="1224"/>
      <c r="AB437" s="1224"/>
      <c r="AC437" s="1224"/>
      <c r="AD437" s="1224"/>
      <c r="AE437" s="1224"/>
      <c r="AF437" s="1224"/>
      <c r="AG437" s="1224"/>
      <c r="AH437" s="1224"/>
      <c r="AI437" s="1224"/>
      <c r="AJ437" s="1224"/>
      <c r="AK437" s="1224"/>
      <c r="AL437" s="1224"/>
      <c r="AM437" s="1224"/>
      <c r="AN437" s="1224"/>
      <c r="AO437" s="1224"/>
      <c r="AP437" s="1224"/>
      <c r="AQ437" s="1224"/>
      <c r="AR437" s="1224"/>
      <c r="AS437" s="1224"/>
      <c r="AT437" s="1224"/>
      <c r="AU437" s="1224"/>
      <c r="AV437" s="1224"/>
      <c r="AW437" s="1224"/>
      <c r="AX437" s="1224"/>
      <c r="AY437" s="1224"/>
      <c r="AZ437" s="1224"/>
      <c r="BA437" s="1224"/>
      <c r="BB437" s="1224"/>
      <c r="BC437" s="1224"/>
      <c r="BD437" s="1224"/>
      <c r="BE437" s="1224"/>
      <c r="BF437" s="1224"/>
      <c r="BG437" s="1224"/>
      <c r="BH437" s="1224"/>
      <c r="BI437" s="1224"/>
      <c r="BJ437" s="1224"/>
      <c r="BK437" s="1224"/>
      <c r="BL437" s="1224"/>
      <c r="BM437" s="1224"/>
      <c r="BN437" s="1224"/>
      <c r="BO437" s="1224"/>
      <c r="BP437" s="1224"/>
      <c r="BQ437" s="1224"/>
      <c r="BR437" s="1224"/>
      <c r="BS437" s="1224"/>
      <c r="BT437" s="1224"/>
      <c r="BU437" s="1224"/>
      <c r="BV437" s="1224"/>
      <c r="BW437" s="1224"/>
      <c r="BX437" s="1224"/>
      <c r="BY437" s="1224"/>
      <c r="BZ437" s="1224"/>
      <c r="CA437" s="1224"/>
      <c r="CB437" s="1224"/>
      <c r="CC437" s="1224"/>
      <c r="CD437" s="1224"/>
      <c r="CE437" s="1224"/>
      <c r="CF437" s="1224"/>
      <c r="CG437" s="1224"/>
      <c r="CH437" s="1224"/>
      <c r="CI437" s="1224"/>
      <c r="CJ437" s="1224"/>
      <c r="CK437" s="1224"/>
      <c r="CL437" s="1224"/>
      <c r="CM437" s="1224"/>
      <c r="CN437" s="1224"/>
      <c r="CO437" s="1224"/>
      <c r="CP437" s="1224"/>
      <c r="CQ437" s="1224"/>
      <c r="CR437" s="1224"/>
      <c r="CS437" s="1224"/>
      <c r="CT437" s="1224"/>
      <c r="CU437" s="1224"/>
      <c r="CV437" s="1224"/>
      <c r="CW437" s="1224"/>
      <c r="CX437" s="1224"/>
      <c r="CY437" s="1224"/>
      <c r="CZ437" s="1224"/>
      <c r="DA437" s="1224"/>
      <c r="DB437" s="1224"/>
      <c r="DC437" s="1224"/>
      <c r="DD437" s="1224"/>
      <c r="DE437" s="1224"/>
      <c r="DF437" s="1224"/>
      <c r="DG437" s="1224"/>
      <c r="DH437" s="1224"/>
      <c r="DI437" s="1224"/>
      <c r="DJ437" s="1224"/>
      <c r="DK437" s="1224"/>
      <c r="DL437" s="1224"/>
      <c r="DM437" s="1224"/>
      <c r="DN437" s="1224"/>
      <c r="DO437" s="1224"/>
      <c r="DP437" s="1224"/>
      <c r="DQ437" s="1224"/>
      <c r="DR437" s="1224"/>
      <c r="DS437" s="1224"/>
      <c r="DT437" s="1224"/>
    </row>
    <row r="438" spans="2:132" x14ac:dyDescent="0.45">
      <c r="B438" s="521" t="s">
        <v>1431</v>
      </c>
      <c r="D438" s="247"/>
      <c r="E438" s="247"/>
      <c r="F438" s="247"/>
      <c r="G438" s="247"/>
      <c r="H438" s="247"/>
      <c r="I438" s="347"/>
      <c r="J438" s="348"/>
      <c r="K438" s="348"/>
      <c r="L438" s="348"/>
      <c r="M438" s="349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  <c r="AA438" s="256"/>
      <c r="AB438" s="256"/>
      <c r="AC438" s="256"/>
      <c r="AD438" s="256"/>
      <c r="AE438" s="256"/>
      <c r="AF438" s="256"/>
      <c r="AG438" s="256"/>
      <c r="AH438" s="256"/>
      <c r="AI438" s="256"/>
      <c r="AJ438" s="256"/>
      <c r="AK438" s="256"/>
      <c r="AL438" s="256"/>
      <c r="AM438" s="256"/>
      <c r="AN438" s="256"/>
      <c r="AO438" s="256"/>
      <c r="AP438" s="256"/>
      <c r="AQ438" s="256"/>
      <c r="AR438" s="256"/>
      <c r="AS438" s="256"/>
      <c r="AT438" s="256"/>
      <c r="AU438" s="256"/>
      <c r="AV438" s="256"/>
      <c r="AW438" s="256"/>
      <c r="AX438" s="256"/>
      <c r="AY438" s="256"/>
      <c r="AZ438" s="256"/>
      <c r="BA438" s="256"/>
      <c r="BB438" s="256"/>
      <c r="BC438" s="256"/>
      <c r="BD438" s="256"/>
      <c r="BE438" s="256"/>
      <c r="BF438" s="256"/>
      <c r="BG438" s="256"/>
      <c r="BH438" s="256"/>
      <c r="BI438" s="256"/>
      <c r="BJ438" s="256"/>
      <c r="BK438" s="256"/>
      <c r="BL438" s="256"/>
      <c r="BM438" s="256"/>
      <c r="BN438" s="256"/>
      <c r="BO438" s="256"/>
      <c r="BP438" s="256"/>
      <c r="BQ438" s="256"/>
      <c r="BR438" s="256"/>
      <c r="BS438" s="256"/>
      <c r="BT438" s="256"/>
      <c r="BU438" s="256"/>
      <c r="BV438" s="256"/>
      <c r="BW438" s="256"/>
      <c r="BX438" s="256"/>
      <c r="BY438" s="256"/>
      <c r="BZ438" s="256"/>
      <c r="CA438" s="256"/>
      <c r="CB438" s="256"/>
      <c r="CC438" s="256"/>
      <c r="CD438" s="256"/>
      <c r="CE438" s="256"/>
      <c r="CF438" s="256"/>
      <c r="CG438" s="256"/>
      <c r="CH438" s="256"/>
      <c r="CI438" s="256"/>
      <c r="CJ438" s="256"/>
      <c r="CK438" s="256"/>
      <c r="CL438" s="256"/>
      <c r="CM438" s="256"/>
      <c r="CN438" s="256"/>
      <c r="CO438" s="256"/>
      <c r="CP438" s="256"/>
      <c r="CQ438" s="256"/>
      <c r="CR438" s="256"/>
      <c r="CS438" s="256"/>
      <c r="CT438" s="256"/>
      <c r="CU438" s="256"/>
      <c r="CV438" s="256"/>
      <c r="CW438" s="256"/>
      <c r="CX438" s="256"/>
      <c r="CY438" s="256"/>
      <c r="CZ438" s="256"/>
      <c r="DA438" s="347"/>
      <c r="DB438" s="348"/>
      <c r="DC438" s="348"/>
      <c r="DD438" s="348"/>
      <c r="DE438" s="349"/>
      <c r="DF438" s="256"/>
      <c r="DG438" s="256"/>
      <c r="DH438" s="256"/>
      <c r="DI438" s="256"/>
      <c r="DJ438" s="256"/>
      <c r="DK438" s="256"/>
      <c r="DL438" s="256"/>
      <c r="DM438" s="256"/>
      <c r="DN438" s="256"/>
      <c r="DO438" s="256"/>
      <c r="DP438" s="256"/>
      <c r="DQ438" s="256"/>
      <c r="DR438" s="256"/>
      <c r="DS438" s="256"/>
      <c r="DT438" s="256"/>
      <c r="DY438" s="234"/>
      <c r="DZ438" s="234"/>
      <c r="EA438" s="234"/>
      <c r="EB438" s="234"/>
    </row>
    <row r="439" spans="2:132" x14ac:dyDescent="0.45">
      <c r="D439" s="248"/>
      <c r="E439" s="248"/>
      <c r="F439" s="248"/>
      <c r="G439" s="248"/>
      <c r="H439" s="248"/>
      <c r="I439" s="248"/>
      <c r="J439" s="248"/>
      <c r="K439" s="248"/>
      <c r="L439" s="248"/>
      <c r="M439" s="248"/>
      <c r="N439" s="257"/>
      <c r="O439" s="257"/>
      <c r="P439" s="257"/>
      <c r="Q439" s="257"/>
      <c r="R439" s="257"/>
      <c r="S439" s="257"/>
      <c r="T439" s="257"/>
      <c r="U439" s="257"/>
      <c r="V439" s="257"/>
      <c r="W439" s="257"/>
      <c r="X439" s="257"/>
      <c r="Y439" s="257"/>
      <c r="Z439" s="257"/>
      <c r="AA439" s="257"/>
      <c r="AB439" s="257"/>
      <c r="AC439" s="257"/>
      <c r="AD439" s="257"/>
      <c r="AE439" s="257"/>
      <c r="AF439" s="257"/>
      <c r="AG439" s="257"/>
      <c r="AH439" s="257"/>
      <c r="AI439" s="257"/>
      <c r="AJ439" s="257"/>
      <c r="AK439" s="257"/>
      <c r="AL439" s="257"/>
      <c r="AM439" s="257"/>
      <c r="AN439" s="257"/>
      <c r="AO439" s="257"/>
      <c r="AP439" s="257"/>
      <c r="AQ439" s="257"/>
      <c r="AR439" s="257"/>
      <c r="AS439" s="257"/>
      <c r="AT439" s="257"/>
      <c r="AU439" s="257"/>
      <c r="AV439" s="257"/>
      <c r="AW439" s="257"/>
      <c r="AX439" s="257"/>
      <c r="AY439" s="257"/>
      <c r="AZ439" s="257"/>
      <c r="BA439" s="257"/>
      <c r="BB439" s="257"/>
      <c r="BC439" s="257"/>
      <c r="BD439" s="257"/>
      <c r="BE439" s="257"/>
      <c r="BF439" s="257"/>
      <c r="BG439" s="257"/>
      <c r="BH439" s="257"/>
      <c r="BI439" s="257"/>
      <c r="BJ439" s="257"/>
      <c r="BK439" s="257"/>
      <c r="BL439" s="257"/>
      <c r="BM439" s="257"/>
      <c r="BN439" s="257"/>
      <c r="BO439" s="257"/>
      <c r="BP439" s="257"/>
      <c r="BQ439" s="257"/>
      <c r="BR439" s="257"/>
      <c r="BS439" s="257"/>
      <c r="BT439" s="257"/>
      <c r="BU439" s="257"/>
      <c r="BV439" s="257"/>
      <c r="BW439" s="257"/>
      <c r="BX439" s="257"/>
      <c r="BY439" s="257"/>
      <c r="BZ439" s="257"/>
      <c r="CA439" s="257"/>
      <c r="CB439" s="257"/>
      <c r="CC439" s="257"/>
      <c r="CD439" s="257"/>
      <c r="CE439" s="257"/>
      <c r="CF439" s="257"/>
      <c r="CG439" s="257"/>
      <c r="CH439" s="257"/>
      <c r="CI439" s="257"/>
      <c r="CJ439" s="257"/>
      <c r="CK439" s="257"/>
      <c r="CL439" s="257"/>
      <c r="CM439" s="257"/>
      <c r="CN439" s="257"/>
      <c r="CO439" s="257"/>
      <c r="CP439" s="257"/>
      <c r="CQ439" s="257"/>
      <c r="CR439" s="257"/>
      <c r="CS439" s="257"/>
      <c r="CT439" s="257"/>
      <c r="CU439" s="257"/>
      <c r="CV439" s="257"/>
      <c r="CW439" s="257"/>
      <c r="CX439" s="257"/>
      <c r="CY439" s="257"/>
      <c r="CZ439" s="257"/>
      <c r="DA439" s="257"/>
      <c r="DB439" s="257"/>
      <c r="DC439" s="257"/>
      <c r="DD439" s="257"/>
      <c r="DF439" s="257"/>
      <c r="DH439" s="257"/>
      <c r="DI439" s="257"/>
      <c r="DJ439" s="257"/>
      <c r="DK439" s="257"/>
      <c r="DL439" s="257"/>
      <c r="DM439" s="257"/>
      <c r="DN439" s="257"/>
      <c r="DO439" s="257"/>
      <c r="DP439" s="257"/>
      <c r="DQ439" s="257"/>
      <c r="DR439" s="257"/>
      <c r="DS439" s="257"/>
      <c r="DT439" s="257"/>
      <c r="DY439" s="234"/>
      <c r="DZ439" s="234"/>
      <c r="EA439" s="234"/>
      <c r="EB439" s="234"/>
    </row>
    <row r="440" spans="2:132" x14ac:dyDescent="0.45">
      <c r="B440" s="521" t="s">
        <v>2071</v>
      </c>
      <c r="D440" s="247"/>
      <c r="E440" s="247"/>
      <c r="F440" s="247"/>
      <c r="G440" s="247"/>
      <c r="H440" s="247"/>
      <c r="I440" s="885"/>
      <c r="J440" s="256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  <c r="AA440" s="256"/>
      <c r="AB440" s="256"/>
      <c r="AC440" s="256"/>
      <c r="AD440" s="256"/>
      <c r="AE440" s="256"/>
      <c r="AF440" s="256"/>
      <c r="AG440" s="256"/>
      <c r="AH440" s="256"/>
      <c r="AI440" s="256"/>
      <c r="AJ440" s="256"/>
      <c r="AK440" s="256"/>
      <c r="AL440" s="256"/>
      <c r="AM440" s="256"/>
      <c r="AN440" s="256"/>
      <c r="AO440" s="256"/>
      <c r="AP440" s="256"/>
      <c r="AQ440" s="256"/>
      <c r="AR440" s="256"/>
      <c r="AS440" s="256"/>
      <c r="AT440" s="256"/>
      <c r="AU440" s="256"/>
      <c r="AV440" s="256"/>
      <c r="AW440" s="256"/>
      <c r="AX440" s="256"/>
      <c r="AY440" s="256"/>
      <c r="AZ440" s="256"/>
      <c r="BA440" s="256"/>
      <c r="BB440" s="256"/>
      <c r="BC440" s="256"/>
      <c r="BD440" s="256"/>
      <c r="BE440" s="256"/>
      <c r="BF440" s="256"/>
      <c r="BG440" s="256"/>
      <c r="BH440" s="256"/>
      <c r="BI440" s="256"/>
      <c r="BJ440" s="256"/>
      <c r="BK440" s="256"/>
      <c r="BL440" s="256"/>
      <c r="BM440" s="256"/>
      <c r="BN440" s="256"/>
      <c r="BO440" s="256"/>
      <c r="BP440" s="256"/>
      <c r="BQ440" s="256"/>
      <c r="BR440" s="256"/>
      <c r="BS440" s="256"/>
      <c r="BT440" s="256"/>
      <c r="BU440" s="256"/>
      <c r="BV440" s="256"/>
      <c r="BW440" s="256"/>
      <c r="BX440" s="256"/>
      <c r="BY440" s="256"/>
      <c r="BZ440" s="256"/>
      <c r="CA440" s="256"/>
      <c r="CB440" s="256"/>
      <c r="CC440" s="256"/>
      <c r="CD440" s="256"/>
      <c r="CE440" s="256"/>
      <c r="CF440" s="256"/>
      <c r="CG440" s="256"/>
      <c r="CH440" s="256"/>
      <c r="CI440" s="256"/>
      <c r="CJ440" s="256"/>
      <c r="CK440" s="256"/>
      <c r="CL440" s="256"/>
      <c r="CM440" s="256"/>
      <c r="CN440" s="256"/>
      <c r="CO440" s="256"/>
      <c r="CP440" s="256"/>
      <c r="CQ440" s="256"/>
      <c r="CR440" s="256"/>
      <c r="CS440" s="256"/>
      <c r="CT440" s="256"/>
      <c r="CU440" s="256"/>
      <c r="CV440" s="256"/>
      <c r="CW440" s="256"/>
      <c r="CX440" s="256"/>
      <c r="CY440" s="256"/>
      <c r="CZ440" s="256"/>
      <c r="DA440" s="885"/>
      <c r="DB440" s="256"/>
      <c r="DC440" s="256"/>
      <c r="DD440" s="256"/>
      <c r="DE440" s="260"/>
      <c r="DF440" s="256"/>
      <c r="DG440" s="260"/>
      <c r="DH440" s="256"/>
      <c r="DI440" s="256"/>
      <c r="DJ440" s="256"/>
      <c r="DK440" s="256"/>
      <c r="DL440" s="256"/>
      <c r="DM440" s="256"/>
      <c r="DN440" s="256"/>
      <c r="DO440" s="256"/>
      <c r="DP440" s="256"/>
      <c r="DQ440" s="256"/>
      <c r="DR440" s="256"/>
      <c r="DS440" s="256"/>
      <c r="DT440" s="256"/>
      <c r="DY440" s="234"/>
      <c r="DZ440" s="234"/>
      <c r="EA440" s="234"/>
      <c r="EB440" s="234"/>
    </row>
    <row r="441" spans="2:132" x14ac:dyDescent="0.45">
      <c r="W441" s="234"/>
      <c r="X441" s="234"/>
      <c r="CU441" s="246"/>
      <c r="CV441" s="246"/>
      <c r="CW441" s="246"/>
      <c r="CX441" s="246"/>
      <c r="CY441" s="246"/>
      <c r="CZ441" s="246"/>
      <c r="DA441" s="246"/>
      <c r="DB441" s="246"/>
      <c r="DC441" s="246"/>
      <c r="DD441" s="246"/>
      <c r="DE441" s="246"/>
      <c r="DF441" s="246"/>
      <c r="DG441" s="246"/>
      <c r="DY441" s="234"/>
      <c r="DZ441" s="234"/>
      <c r="EA441" s="234"/>
      <c r="EB441" s="234"/>
    </row>
    <row r="442" spans="2:132" x14ac:dyDescent="0.45">
      <c r="W442" s="234"/>
      <c r="X442" s="234"/>
      <c r="CU442" s="246"/>
      <c r="CV442" s="246"/>
      <c r="CW442" s="246"/>
      <c r="CX442" s="246"/>
      <c r="CY442" s="246"/>
      <c r="CZ442" s="246"/>
      <c r="DA442" s="246"/>
      <c r="DB442" s="246"/>
      <c r="DC442" s="246"/>
      <c r="DD442" s="246"/>
      <c r="DE442" s="246"/>
      <c r="DF442" s="246"/>
      <c r="DG442" s="246"/>
      <c r="DY442" s="234"/>
      <c r="DZ442" s="234"/>
      <c r="EA442" s="234"/>
      <c r="EB442" s="234"/>
    </row>
    <row r="443" spans="2:132" ht="15" thickBot="1" x14ac:dyDescent="0.5">
      <c r="W443" s="234"/>
      <c r="X443" s="234"/>
      <c r="CU443" s="246"/>
      <c r="CV443" s="246"/>
      <c r="CW443" s="246"/>
      <c r="CX443" s="246"/>
      <c r="CY443" s="246"/>
      <c r="CZ443" s="246"/>
      <c r="DA443" s="246"/>
      <c r="DB443" s="246"/>
      <c r="DC443" s="246"/>
      <c r="DD443" s="246"/>
      <c r="DE443" s="246"/>
      <c r="DF443" s="246"/>
      <c r="DG443" s="246"/>
      <c r="DY443" s="234"/>
      <c r="DZ443" s="234"/>
      <c r="EA443" s="234"/>
      <c r="EB443" s="234"/>
    </row>
    <row r="444" spans="2:132" ht="15" thickBot="1" x14ac:dyDescent="0.5">
      <c r="B444" s="521" t="s">
        <v>2057</v>
      </c>
      <c r="D444" s="247"/>
      <c r="E444" s="247"/>
      <c r="F444" s="247"/>
      <c r="G444" s="247"/>
      <c r="H444" s="247"/>
      <c r="I444" s="247"/>
      <c r="J444" s="1114" t="s">
        <v>2623</v>
      </c>
      <c r="K444" s="323"/>
      <c r="L444" s="247"/>
      <c r="M444" s="247"/>
      <c r="N444" s="1199" t="s">
        <v>2075</v>
      </c>
      <c r="O444" s="1200"/>
      <c r="P444" s="1201"/>
      <c r="Q444" s="1185"/>
      <c r="R444" s="1186"/>
      <c r="S444" s="1186"/>
      <c r="T444" s="1186"/>
      <c r="U444" s="1186"/>
      <c r="V444" s="1186"/>
      <c r="W444" s="1186"/>
      <c r="X444" s="1186"/>
      <c r="Y444" s="1186"/>
      <c r="Z444" s="1186"/>
      <c r="AA444" s="1202" t="s">
        <v>2074</v>
      </c>
      <c r="AB444" s="1203"/>
      <c r="AC444" s="1204"/>
      <c r="AD444" s="1182"/>
      <c r="AE444" s="1183"/>
      <c r="AF444" s="1183"/>
      <c r="AG444" s="1183"/>
      <c r="AH444" s="1183"/>
      <c r="AI444" s="1183"/>
      <c r="AJ444" s="1183"/>
      <c r="AK444" s="1183"/>
      <c r="AL444" s="1199" t="s">
        <v>2066</v>
      </c>
      <c r="AM444" s="1200"/>
      <c r="AN444" s="1201"/>
      <c r="AO444" s="1185"/>
      <c r="AP444" s="1186"/>
      <c r="AQ444" s="1186"/>
      <c r="AR444" s="1186"/>
      <c r="AS444" s="1186"/>
      <c r="AT444" s="1186"/>
      <c r="AU444" s="1186"/>
      <c r="AV444" s="1186"/>
      <c r="AW444" s="1186"/>
      <c r="AX444" s="1186"/>
      <c r="AY444" s="1202" t="s">
        <v>2067</v>
      </c>
      <c r="AZ444" s="1203"/>
      <c r="BA444" s="1204"/>
      <c r="BB444" s="1182"/>
      <c r="BC444" s="1183"/>
      <c r="BD444" s="1183"/>
      <c r="BE444" s="1183"/>
      <c r="BF444" s="1183"/>
      <c r="BG444" s="1183"/>
      <c r="BH444" s="1183"/>
      <c r="BI444" s="1183"/>
      <c r="BJ444" s="1199" t="s">
        <v>2068</v>
      </c>
      <c r="BK444" s="1200"/>
      <c r="BL444" s="1201"/>
      <c r="BM444" s="1185"/>
      <c r="BN444" s="1186"/>
      <c r="BO444" s="1186"/>
      <c r="BP444" s="1186"/>
      <c r="BQ444" s="1186"/>
      <c r="BR444" s="1186"/>
      <c r="BS444" s="1186"/>
      <c r="BT444" s="1186"/>
      <c r="BU444" s="1186"/>
      <c r="BV444" s="1186"/>
      <c r="BW444" s="1202" t="s">
        <v>2818</v>
      </c>
      <c r="BX444" s="1203"/>
      <c r="BY444" s="1204"/>
      <c r="BZ444" s="1182"/>
      <c r="CA444" s="1183"/>
      <c r="CD444" s="1183"/>
      <c r="CE444" s="1183"/>
      <c r="CF444" s="1183"/>
      <c r="CG444" s="1183"/>
      <c r="CH444" s="1199" t="s">
        <v>2064</v>
      </c>
      <c r="CI444" s="1200"/>
      <c r="CJ444" s="1201"/>
      <c r="CK444" s="1185"/>
      <c r="CL444" s="1186"/>
      <c r="CM444" s="1186"/>
      <c r="CN444" s="1186"/>
      <c r="CO444" s="1186"/>
      <c r="CP444" s="1186"/>
      <c r="CQ444" s="1186"/>
      <c r="CR444" s="1186"/>
      <c r="CS444" s="1186"/>
      <c r="CT444" s="1186"/>
      <c r="CU444" s="1202" t="s">
        <v>2063</v>
      </c>
      <c r="CV444" s="1203"/>
      <c r="CW444" s="1204"/>
      <c r="CX444" s="1182"/>
      <c r="CY444" s="1183"/>
      <c r="CZ444" s="1183"/>
      <c r="DA444" s="1183"/>
      <c r="DB444" s="1114" t="s">
        <v>2623</v>
      </c>
      <c r="DC444" s="323"/>
      <c r="DD444" s="247"/>
      <c r="DE444" s="247"/>
      <c r="DF444" s="1199" t="s">
        <v>2075</v>
      </c>
      <c r="DG444" s="1200"/>
      <c r="DH444" s="1201"/>
      <c r="DI444" s="1185"/>
      <c r="DJ444" s="1186"/>
      <c r="DK444" s="1186"/>
      <c r="DL444" s="1186"/>
      <c r="DM444" s="1186"/>
      <c r="DN444" s="1186"/>
      <c r="DO444" s="1186"/>
      <c r="DP444" s="1186"/>
      <c r="DQ444" s="1186"/>
      <c r="DR444" s="1186"/>
      <c r="DS444" s="1202" t="s">
        <v>2074</v>
      </c>
      <c r="DT444" s="1203"/>
      <c r="DY444" s="234"/>
      <c r="DZ444" s="234"/>
      <c r="EA444" s="234"/>
      <c r="EB444" s="234"/>
    </row>
    <row r="445" spans="2:132" x14ac:dyDescent="0.45">
      <c r="W445" s="234"/>
      <c r="X445" s="234"/>
      <c r="BY445" s="246"/>
      <c r="BZ445" s="246"/>
      <c r="DG445" s="246"/>
      <c r="DH445" s="246"/>
      <c r="DI445" s="246"/>
      <c r="DJ445" s="246"/>
      <c r="DK445" s="246"/>
      <c r="DY445" s="234"/>
      <c r="DZ445" s="234"/>
      <c r="EA445" s="234"/>
      <c r="EB445" s="234"/>
    </row>
    <row r="446" spans="2:132" ht="15" thickBot="1" x14ac:dyDescent="0.5">
      <c r="B446" s="521" t="s">
        <v>2811</v>
      </c>
      <c r="D446" s="594"/>
      <c r="E446" s="594"/>
      <c r="F446" s="594"/>
      <c r="G446" s="594"/>
      <c r="H446" s="594"/>
      <c r="I446" s="594"/>
      <c r="J446" s="594"/>
      <c r="K446" s="594"/>
      <c r="L446" s="594"/>
      <c r="M446" s="594"/>
      <c r="N446" s="594"/>
      <c r="O446" s="594"/>
      <c r="P446" s="594"/>
      <c r="Q446" s="594"/>
      <c r="R446" s="594"/>
      <c r="S446" s="594"/>
      <c r="T446" s="594"/>
      <c r="U446" s="594"/>
      <c r="V446" s="594"/>
      <c r="W446" s="594"/>
      <c r="X446" s="594"/>
      <c r="Y446" s="594"/>
      <c r="Z446" s="594"/>
      <c r="AA446" s="594"/>
      <c r="AB446" s="594"/>
      <c r="AC446" s="594"/>
      <c r="AD446" s="594"/>
      <c r="AE446" s="594"/>
      <c r="AF446" s="594"/>
      <c r="AG446" s="594"/>
      <c r="AH446" s="594"/>
      <c r="AI446" s="594"/>
      <c r="AJ446" s="594"/>
      <c r="AK446" s="594"/>
      <c r="AL446" s="594"/>
      <c r="AM446" s="594"/>
      <c r="AN446" s="594"/>
      <c r="AO446" s="594"/>
      <c r="AP446" s="594"/>
      <c r="AQ446" s="594"/>
      <c r="AR446" s="594"/>
      <c r="AS446" s="594"/>
      <c r="AT446" s="594"/>
      <c r="AU446" s="594"/>
      <c r="AV446" s="594"/>
      <c r="AW446" s="594"/>
      <c r="AX446" s="594"/>
      <c r="AY446" s="594"/>
      <c r="AZ446" s="594"/>
      <c r="BA446" s="594"/>
      <c r="BB446" s="594"/>
      <c r="BC446" s="594"/>
      <c r="BD446" s="594"/>
      <c r="BE446" s="594"/>
      <c r="BF446" s="594"/>
      <c r="BG446" s="594"/>
      <c r="BH446" s="594"/>
      <c r="BI446" s="594"/>
      <c r="BJ446" s="594"/>
      <c r="BK446" s="594"/>
      <c r="BL446" s="594"/>
      <c r="BM446" s="594"/>
      <c r="BN446" s="594"/>
      <c r="BO446" s="594"/>
      <c r="BP446" s="594"/>
      <c r="BQ446" s="594"/>
      <c r="BR446" s="594"/>
      <c r="BS446" s="594"/>
      <c r="BT446" s="594"/>
      <c r="BU446" s="594"/>
      <c r="BV446" s="594"/>
      <c r="BW446" s="594"/>
      <c r="BX446" s="594"/>
      <c r="BY446" s="594"/>
      <c r="BZ446" s="594"/>
      <c r="CA446" s="594"/>
      <c r="CD446" s="594"/>
      <c r="CE446" s="594"/>
      <c r="CF446" s="594"/>
      <c r="CG446" s="594"/>
      <c r="CH446" s="594"/>
      <c r="CI446" s="594"/>
      <c r="CJ446" s="594"/>
      <c r="CK446" s="594"/>
      <c r="CL446" s="594"/>
      <c r="CM446" s="594"/>
      <c r="CN446" s="594"/>
      <c r="CO446" s="594"/>
      <c r="CP446" s="594"/>
      <c r="CQ446" s="594"/>
      <c r="CR446" s="594"/>
      <c r="CS446" s="594"/>
      <c r="CT446" s="594"/>
      <c r="CU446" s="594"/>
      <c r="CV446" s="594"/>
      <c r="CW446" s="594"/>
      <c r="CX446" s="594"/>
      <c r="CY446" s="594"/>
      <c r="CZ446" s="594"/>
      <c r="DA446" s="594"/>
      <c r="DB446" s="594"/>
      <c r="DC446" s="594"/>
      <c r="DD446" s="594"/>
      <c r="DE446" s="594"/>
      <c r="DF446" s="594"/>
      <c r="DG446" s="594"/>
      <c r="DH446" s="594"/>
      <c r="DI446" s="594"/>
      <c r="DJ446" s="594"/>
      <c r="DK446" s="594"/>
      <c r="DL446" s="594"/>
      <c r="DM446" s="594"/>
      <c r="DN446" s="594"/>
      <c r="DO446" s="594"/>
      <c r="DP446" s="594"/>
      <c r="DQ446" s="594"/>
      <c r="DR446" s="594"/>
      <c r="DS446" s="594"/>
      <c r="DT446" s="594"/>
      <c r="DY446" s="234"/>
      <c r="DZ446" s="234"/>
      <c r="EA446" s="234"/>
      <c r="EB446" s="234"/>
    </row>
    <row r="447" spans="2:132" x14ac:dyDescent="0.45">
      <c r="Z447" s="234"/>
      <c r="AA447" s="234"/>
      <c r="BX447" s="246"/>
      <c r="BY447" s="246"/>
      <c r="BZ447" s="246"/>
      <c r="CA447" s="246"/>
      <c r="CD447" s="246"/>
      <c r="CE447" s="246"/>
      <c r="CF447" s="246"/>
      <c r="CG447" s="246"/>
      <c r="CH447" s="246"/>
      <c r="CI447" s="246"/>
      <c r="CJ447" s="246"/>
      <c r="CK447" s="246"/>
      <c r="CN447" s="246"/>
      <c r="CO447" s="246"/>
      <c r="CP447" s="246"/>
      <c r="CQ447" s="246"/>
      <c r="CR447" s="246"/>
      <c r="CS447" s="246"/>
      <c r="CT447" s="246"/>
      <c r="CU447" s="246"/>
      <c r="CV447" s="246"/>
      <c r="CW447" s="246"/>
      <c r="CX447" s="246"/>
      <c r="CY447" s="246"/>
      <c r="CZ447" s="246"/>
      <c r="DA447" s="246"/>
      <c r="DB447" s="246"/>
      <c r="DC447" s="246"/>
      <c r="DD447" s="246"/>
      <c r="DE447" s="246"/>
      <c r="DF447" s="246"/>
      <c r="DG447" s="246"/>
      <c r="DH447" s="246"/>
      <c r="DI447" s="246"/>
      <c r="DJ447" s="246"/>
      <c r="DK447" s="246"/>
      <c r="DL447" s="246"/>
      <c r="DM447" s="246"/>
      <c r="DN447" s="246"/>
      <c r="DO447" s="246"/>
      <c r="DP447" s="246"/>
      <c r="DQ447" s="246"/>
      <c r="DR447" s="246"/>
      <c r="DS447" s="246"/>
      <c r="DY447" s="234"/>
      <c r="DZ447" s="234"/>
      <c r="EA447" s="234"/>
      <c r="EB447" s="234"/>
    </row>
    <row r="448" spans="2:132" ht="15" thickBot="1" x14ac:dyDescent="0.5">
      <c r="B448" s="521" t="s">
        <v>2812</v>
      </c>
      <c r="D448" s="594"/>
      <c r="E448" s="594"/>
      <c r="F448" s="594"/>
      <c r="G448" s="594"/>
      <c r="H448" s="594"/>
      <c r="I448" s="594"/>
      <c r="J448" s="594"/>
      <c r="K448" s="594"/>
      <c r="L448" s="594"/>
      <c r="M448" s="594"/>
      <c r="N448" s="594"/>
      <c r="O448" s="594"/>
      <c r="P448" s="594"/>
      <c r="Q448" s="594"/>
      <c r="R448" s="594"/>
      <c r="S448" s="594"/>
      <c r="T448" s="594"/>
      <c r="U448" s="594"/>
      <c r="V448" s="594"/>
      <c r="W448" s="594"/>
      <c r="X448" s="594"/>
      <c r="Y448" s="594"/>
      <c r="Z448" s="594"/>
      <c r="AA448" s="594"/>
      <c r="AB448" s="594"/>
      <c r="AC448" s="594"/>
      <c r="AD448" s="594"/>
      <c r="AE448" s="594"/>
      <c r="AF448" s="594"/>
      <c r="AG448" s="594"/>
      <c r="AH448" s="594"/>
      <c r="AI448" s="594"/>
      <c r="AJ448" s="594"/>
      <c r="AK448" s="594"/>
      <c r="AL448" s="594"/>
      <c r="AM448" s="594"/>
      <c r="AN448" s="594"/>
      <c r="AO448" s="594"/>
      <c r="AP448" s="594"/>
      <c r="AQ448" s="594"/>
      <c r="AR448" s="594"/>
      <c r="AS448" s="594"/>
      <c r="AT448" s="594"/>
      <c r="AU448" s="594"/>
      <c r="AV448" s="594"/>
      <c r="AW448" s="594"/>
      <c r="AX448" s="594"/>
      <c r="AY448" s="594"/>
      <c r="AZ448" s="594"/>
      <c r="BA448" s="594"/>
      <c r="BB448" s="594"/>
      <c r="BC448" s="594"/>
      <c r="BD448" s="594"/>
      <c r="BE448" s="594"/>
      <c r="BF448" s="594"/>
      <c r="BG448" s="594"/>
      <c r="BH448" s="594"/>
      <c r="BI448" s="594"/>
      <c r="BJ448" s="594"/>
      <c r="BK448" s="594"/>
      <c r="BL448" s="594"/>
      <c r="BM448" s="594"/>
      <c r="BN448" s="594"/>
      <c r="BO448" s="594"/>
      <c r="BP448" s="594"/>
      <c r="BQ448" s="594"/>
      <c r="BR448" s="594"/>
      <c r="BS448" s="594"/>
      <c r="BT448" s="594"/>
      <c r="BU448" s="594"/>
      <c r="BV448" s="594"/>
      <c r="BW448" s="594"/>
      <c r="BX448" s="594"/>
      <c r="BY448" s="594"/>
      <c r="BZ448" s="594"/>
      <c r="CA448" s="594"/>
      <c r="CD448" s="594"/>
      <c r="CE448" s="594"/>
      <c r="CF448" s="594"/>
      <c r="CG448" s="594"/>
      <c r="CH448" s="594"/>
      <c r="CI448" s="594"/>
      <c r="CJ448" s="594"/>
      <c r="CK448" s="594"/>
      <c r="CL448" s="594"/>
      <c r="CM448" s="594"/>
      <c r="CN448" s="594"/>
      <c r="CO448" s="594"/>
      <c r="CP448" s="594"/>
      <c r="CQ448" s="594"/>
      <c r="CR448" s="594"/>
      <c r="CS448" s="594"/>
      <c r="CT448" s="594"/>
      <c r="CU448" s="594"/>
      <c r="CV448" s="594"/>
      <c r="CW448" s="594"/>
      <c r="CX448" s="594"/>
      <c r="CY448" s="594"/>
      <c r="CZ448" s="594"/>
      <c r="DA448" s="594"/>
      <c r="DB448" s="594"/>
      <c r="DC448" s="594"/>
      <c r="DD448" s="594"/>
      <c r="DE448" s="594"/>
      <c r="DF448" s="594"/>
      <c r="DG448" s="594"/>
      <c r="DH448" s="594"/>
      <c r="DI448" s="594"/>
      <c r="DJ448" s="594"/>
      <c r="DK448" s="594"/>
      <c r="DL448" s="594"/>
      <c r="DM448" s="594"/>
      <c r="DN448" s="594"/>
      <c r="DO448" s="594"/>
      <c r="DP448" s="594"/>
      <c r="DQ448" s="594"/>
      <c r="DR448" s="594"/>
      <c r="DS448" s="594"/>
      <c r="DT448" s="594"/>
      <c r="DY448" s="234"/>
      <c r="DZ448" s="234"/>
      <c r="EA448" s="234"/>
      <c r="EB448" s="234"/>
    </row>
    <row r="449" spans="2:132" ht="15" thickBot="1" x14ac:dyDescent="0.5">
      <c r="Z449" s="234"/>
      <c r="AA449" s="234"/>
      <c r="BX449" s="246"/>
      <c r="BY449" s="246"/>
      <c r="BZ449" s="246"/>
      <c r="CA449" s="246"/>
      <c r="CD449" s="246"/>
      <c r="CE449" s="246"/>
      <c r="CF449" s="246"/>
      <c r="CG449" s="246"/>
      <c r="CH449" s="246"/>
      <c r="CI449" s="246"/>
      <c r="CJ449" s="246"/>
      <c r="CK449" s="246"/>
      <c r="CN449" s="246"/>
      <c r="CO449" s="246"/>
      <c r="CP449" s="246"/>
      <c r="CQ449" s="246"/>
      <c r="CR449" s="246"/>
      <c r="CS449" s="246"/>
      <c r="CT449" s="246"/>
      <c r="CU449" s="246"/>
      <c r="CV449" s="246"/>
      <c r="CW449" s="246"/>
      <c r="CX449" s="246"/>
      <c r="CY449" s="246"/>
      <c r="CZ449" s="246"/>
      <c r="DA449" s="246"/>
      <c r="DB449" s="246"/>
      <c r="DC449" s="246"/>
      <c r="DD449" s="246"/>
      <c r="DE449" s="246"/>
      <c r="DF449" s="246"/>
      <c r="DG449" s="246"/>
      <c r="DH449" s="246"/>
      <c r="DI449" s="246"/>
      <c r="DJ449" s="246"/>
      <c r="DK449" s="246"/>
      <c r="DL449" s="246"/>
      <c r="DM449" s="246"/>
      <c r="DN449" s="246"/>
      <c r="DO449" s="246"/>
      <c r="DP449" s="246"/>
      <c r="DQ449" s="246"/>
      <c r="DR449" s="246"/>
      <c r="DS449" s="246"/>
      <c r="DY449" s="234"/>
      <c r="DZ449" s="234"/>
      <c r="EA449" s="234"/>
      <c r="EB449" s="234"/>
    </row>
    <row r="450" spans="2:132" ht="15" thickBot="1" x14ac:dyDescent="0.5">
      <c r="B450" s="521" t="s">
        <v>2813</v>
      </c>
      <c r="D450" s="594"/>
      <c r="E450" s="594"/>
      <c r="F450" s="594"/>
      <c r="G450" s="594"/>
      <c r="H450" s="594"/>
      <c r="I450" s="594"/>
      <c r="J450" s="594"/>
      <c r="K450" s="594"/>
      <c r="L450" s="594"/>
      <c r="M450" s="594"/>
      <c r="N450" s="504"/>
      <c r="O450" s="505"/>
      <c r="P450" s="505"/>
      <c r="Q450" s="505"/>
      <c r="R450" s="505"/>
      <c r="S450" s="505"/>
      <c r="T450" s="505"/>
      <c r="U450" s="505"/>
      <c r="V450" s="505"/>
      <c r="W450" s="505"/>
      <c r="X450" s="505"/>
      <c r="Y450" s="505"/>
      <c r="Z450" s="506"/>
      <c r="AA450" s="511"/>
      <c r="AB450" s="511"/>
      <c r="AC450" s="511"/>
      <c r="AD450" s="511"/>
      <c r="AE450" s="511"/>
      <c r="AF450" s="511"/>
      <c r="AG450" s="511"/>
      <c r="AH450" s="511"/>
      <c r="AI450" s="511"/>
      <c r="AJ450" s="511"/>
      <c r="AK450" s="511"/>
      <c r="AL450" s="504"/>
      <c r="AM450" s="505"/>
      <c r="AN450" s="505"/>
      <c r="AO450" s="505"/>
      <c r="AP450" s="505"/>
      <c r="AQ450" s="505"/>
      <c r="AR450" s="505"/>
      <c r="AS450" s="505"/>
      <c r="AT450" s="505"/>
      <c r="AU450" s="505"/>
      <c r="AV450" s="505"/>
      <c r="AW450" s="505"/>
      <c r="AX450" s="506"/>
      <c r="AY450" s="511"/>
      <c r="AZ450" s="511"/>
      <c r="BA450" s="511"/>
      <c r="BB450" s="511"/>
      <c r="BC450" s="511"/>
      <c r="BD450" s="511"/>
      <c r="BE450" s="511"/>
      <c r="BF450" s="511"/>
      <c r="BG450" s="511"/>
      <c r="BH450" s="511"/>
      <c r="BI450" s="511"/>
      <c r="BJ450" s="504"/>
      <c r="BK450" s="505"/>
      <c r="BL450" s="505"/>
      <c r="BM450" s="505"/>
      <c r="BN450" s="505"/>
      <c r="BO450" s="505"/>
      <c r="BP450" s="505"/>
      <c r="BQ450" s="505"/>
      <c r="BR450" s="505"/>
      <c r="BS450" s="505"/>
      <c r="BT450" s="505"/>
      <c r="BU450" s="505"/>
      <c r="BV450" s="506"/>
      <c r="BW450" s="511"/>
      <c r="BX450" s="511"/>
      <c r="BY450" s="511"/>
      <c r="BZ450" s="511"/>
      <c r="CA450" s="511"/>
      <c r="CD450" s="511"/>
      <c r="CE450" s="511"/>
      <c r="CF450" s="511"/>
      <c r="CG450" s="511"/>
      <c r="CH450" s="504"/>
      <c r="CI450" s="505"/>
      <c r="CJ450" s="505"/>
      <c r="CK450" s="505"/>
      <c r="CL450" s="505"/>
      <c r="CM450" s="505"/>
      <c r="CN450" s="505"/>
      <c r="CO450" s="505"/>
      <c r="CP450" s="505"/>
      <c r="CQ450" s="505"/>
      <c r="CR450" s="505"/>
      <c r="CS450" s="505"/>
      <c r="CT450" s="506"/>
      <c r="CU450" s="511"/>
      <c r="CV450" s="511"/>
      <c r="CW450" s="511"/>
      <c r="CX450" s="511"/>
      <c r="CY450" s="511"/>
      <c r="CZ450" s="511"/>
      <c r="DA450" s="511"/>
      <c r="DB450" s="511"/>
      <c r="DC450" s="511"/>
      <c r="DD450" s="511"/>
      <c r="DE450" s="511"/>
      <c r="DF450" s="504"/>
      <c r="DG450" s="505"/>
      <c r="DH450" s="505"/>
      <c r="DI450" s="505"/>
      <c r="DJ450" s="505"/>
      <c r="DK450" s="505"/>
      <c r="DL450" s="505"/>
      <c r="DM450" s="1209"/>
      <c r="DN450" s="594"/>
      <c r="DO450" s="594"/>
      <c r="DP450" s="594"/>
      <c r="DQ450" s="594"/>
      <c r="DR450" s="594"/>
      <c r="DS450" s="594"/>
      <c r="DT450" s="594"/>
      <c r="DV450" s="234"/>
      <c r="DW450" s="234"/>
      <c r="DX450" s="234"/>
      <c r="DY450" s="234"/>
      <c r="DZ450" s="234"/>
      <c r="EA450" s="234"/>
      <c r="EB450" s="234"/>
    </row>
    <row r="451" spans="2:132" ht="15" thickBot="1" x14ac:dyDescent="0.5">
      <c r="Z451" s="234"/>
      <c r="AA451" s="234"/>
      <c r="BX451" s="246"/>
      <c r="BY451" s="246"/>
      <c r="BZ451" s="246"/>
      <c r="CA451" s="246"/>
      <c r="CD451" s="246"/>
      <c r="CE451" s="246"/>
      <c r="CF451" s="246"/>
      <c r="CG451" s="246"/>
      <c r="CH451" s="246"/>
      <c r="CI451" s="246"/>
      <c r="CJ451" s="246"/>
      <c r="CK451" s="246"/>
      <c r="CN451" s="246"/>
      <c r="CO451" s="246"/>
      <c r="CP451" s="246"/>
      <c r="CQ451" s="246"/>
      <c r="CR451" s="246"/>
      <c r="CS451" s="246"/>
      <c r="CT451" s="246"/>
      <c r="CU451" s="246"/>
      <c r="CV451" s="246"/>
      <c r="CW451" s="246"/>
      <c r="CX451" s="246"/>
      <c r="CY451" s="246"/>
      <c r="CZ451" s="246"/>
      <c r="DA451" s="246"/>
      <c r="DB451" s="246"/>
      <c r="DC451" s="246"/>
      <c r="DD451" s="246"/>
      <c r="DE451" s="246"/>
      <c r="DF451" s="246"/>
      <c r="DG451" s="246"/>
      <c r="DH451" s="246"/>
      <c r="DI451" s="246"/>
      <c r="DJ451" s="246"/>
      <c r="DK451" s="246"/>
      <c r="DL451" s="246"/>
      <c r="DM451" s="246"/>
      <c r="DN451" s="246"/>
      <c r="DO451" s="246"/>
      <c r="DP451" s="246"/>
      <c r="DQ451" s="246"/>
      <c r="DR451" s="246"/>
      <c r="DS451" s="246"/>
      <c r="DV451" s="234"/>
      <c r="DW451" s="234"/>
      <c r="DX451" s="234"/>
      <c r="DY451" s="234"/>
      <c r="DZ451" s="234"/>
      <c r="EA451" s="234"/>
      <c r="EB451" s="234"/>
    </row>
    <row r="452" spans="2:132" ht="15" thickBot="1" x14ac:dyDescent="0.5">
      <c r="B452" s="521" t="s">
        <v>2814</v>
      </c>
      <c r="D452" s="594"/>
      <c r="E452" s="594"/>
      <c r="F452" s="594"/>
      <c r="G452" s="594"/>
      <c r="H452" s="594"/>
      <c r="I452" s="594"/>
      <c r="J452" s="594"/>
      <c r="K452" s="594"/>
      <c r="L452" s="594"/>
      <c r="M452" s="594"/>
      <c r="N452" s="884"/>
      <c r="O452" s="884"/>
      <c r="P452" s="884"/>
      <c r="Q452" s="884"/>
      <c r="R452" s="884"/>
      <c r="S452" s="884"/>
      <c r="T452" s="884"/>
      <c r="U452" s="884"/>
      <c r="V452" s="884"/>
      <c r="W452" s="884"/>
      <c r="X452" s="884"/>
      <c r="Y452" s="884"/>
      <c r="Z452" s="884"/>
      <c r="AA452" s="884"/>
      <c r="AB452" s="884"/>
      <c r="AC452" s="1206"/>
      <c r="AD452" s="1207"/>
      <c r="AE452" s="1207"/>
      <c r="AF452" s="1207"/>
      <c r="AG452" s="1207"/>
      <c r="AH452" s="1207"/>
      <c r="AI452" s="1208"/>
      <c r="AJ452" s="884"/>
      <c r="AK452" s="884"/>
      <c r="AL452" s="884"/>
      <c r="AM452" s="884"/>
      <c r="AN452" s="884"/>
      <c r="AO452" s="884"/>
      <c r="AP452" s="884"/>
      <c r="AQ452" s="884"/>
      <c r="AR452" s="884"/>
      <c r="AS452" s="884"/>
      <c r="AT452" s="884"/>
      <c r="AU452" s="884"/>
      <c r="AV452" s="884"/>
      <c r="AW452" s="884"/>
      <c r="AX452" s="884"/>
      <c r="AY452" s="884"/>
      <c r="AZ452" s="884"/>
      <c r="BA452" s="1206"/>
      <c r="BB452" s="1207"/>
      <c r="BC452" s="1207"/>
      <c r="BD452" s="1207"/>
      <c r="BE452" s="1207"/>
      <c r="BF452" s="1207"/>
      <c r="BG452" s="1208"/>
      <c r="BH452" s="884"/>
      <c r="BI452" s="884"/>
      <c r="BJ452" s="884"/>
      <c r="BK452" s="884"/>
      <c r="BL452" s="884"/>
      <c r="BM452" s="884"/>
      <c r="BN452" s="884"/>
      <c r="BO452" s="884"/>
      <c r="BP452" s="884"/>
      <c r="BQ452" s="884"/>
      <c r="BR452" s="884"/>
      <c r="BS452" s="884"/>
      <c r="BT452" s="884"/>
      <c r="BU452" s="884"/>
      <c r="BV452" s="884"/>
      <c r="BW452" s="884"/>
      <c r="BX452" s="884"/>
      <c r="BY452" s="1206"/>
      <c r="BZ452" s="1207"/>
      <c r="CA452" s="1207"/>
      <c r="CD452" s="1207"/>
      <c r="CE452" s="1208"/>
      <c r="CF452" s="884"/>
      <c r="CG452" s="884"/>
      <c r="CH452" s="884"/>
      <c r="CI452" s="884"/>
      <c r="CJ452" s="884"/>
      <c r="CK452" s="884"/>
      <c r="CL452" s="884"/>
      <c r="CM452" s="884"/>
      <c r="CN452" s="884"/>
      <c r="CO452" s="884"/>
      <c r="CP452" s="884"/>
      <c r="CQ452" s="884"/>
      <c r="CR452" s="884"/>
      <c r="CS452" s="884"/>
      <c r="CT452" s="884"/>
      <c r="CU452" s="884"/>
      <c r="CV452" s="884"/>
      <c r="CW452" s="1206"/>
      <c r="CX452" s="1207"/>
      <c r="CY452" s="1207"/>
      <c r="CZ452" s="1207"/>
      <c r="DA452" s="1207"/>
      <c r="DB452" s="1207"/>
      <c r="DC452" s="1208"/>
      <c r="DD452" s="884"/>
      <c r="DE452" s="884"/>
      <c r="DF452" s="884"/>
      <c r="DG452" s="884"/>
      <c r="DH452" s="884"/>
      <c r="DI452" s="884"/>
      <c r="DJ452" s="884"/>
      <c r="DK452" s="884"/>
      <c r="DL452" s="884"/>
      <c r="DM452" s="594"/>
      <c r="DN452" s="594"/>
      <c r="DO452" s="594"/>
      <c r="DP452" s="594"/>
      <c r="DQ452" s="594"/>
      <c r="DR452" s="594"/>
      <c r="DS452" s="594"/>
      <c r="DT452" s="594"/>
      <c r="DY452" s="234"/>
      <c r="DZ452" s="234"/>
      <c r="EA452" s="234"/>
      <c r="EB452" s="234"/>
    </row>
    <row r="453" spans="2:132" ht="15" thickBot="1" x14ac:dyDescent="0.5">
      <c r="Z453" s="234"/>
      <c r="AA453" s="234"/>
      <c r="BX453" s="246"/>
      <c r="BY453" s="246"/>
      <c r="BZ453" s="246"/>
      <c r="CA453" s="246"/>
      <c r="CD453" s="246"/>
      <c r="CE453" s="246"/>
      <c r="CF453" s="246"/>
      <c r="CG453" s="246"/>
      <c r="CH453" s="246"/>
      <c r="CI453" s="246"/>
      <c r="CJ453" s="246"/>
      <c r="CK453" s="246"/>
      <c r="CN453" s="246"/>
      <c r="CO453" s="246"/>
      <c r="CP453" s="246"/>
      <c r="CQ453" s="246"/>
      <c r="CR453" s="246"/>
      <c r="CS453" s="246"/>
      <c r="CT453" s="246"/>
      <c r="CU453" s="246"/>
      <c r="CV453" s="246"/>
      <c r="CW453" s="246"/>
      <c r="CX453" s="246"/>
      <c r="CY453" s="246"/>
      <c r="CZ453" s="246"/>
      <c r="DA453" s="246"/>
      <c r="DB453" s="246"/>
      <c r="DC453" s="246"/>
      <c r="DD453" s="246"/>
      <c r="DE453" s="246"/>
      <c r="DF453" s="246"/>
      <c r="DG453" s="246"/>
      <c r="DH453" s="246"/>
      <c r="DI453" s="246"/>
      <c r="DJ453" s="246"/>
      <c r="DK453" s="246"/>
      <c r="DL453" s="246"/>
      <c r="DM453" s="246"/>
      <c r="DN453" s="246"/>
      <c r="DO453" s="246"/>
      <c r="DP453" s="246"/>
      <c r="DQ453" s="246"/>
      <c r="DR453" s="246"/>
      <c r="DS453" s="246"/>
      <c r="DY453" s="234"/>
      <c r="DZ453" s="234"/>
      <c r="EA453" s="234"/>
      <c r="EB453" s="234"/>
    </row>
    <row r="454" spans="2:132" ht="15" thickBot="1" x14ac:dyDescent="0.5">
      <c r="B454" s="521" t="s">
        <v>2815</v>
      </c>
      <c r="D454" s="594"/>
      <c r="E454" s="594"/>
      <c r="F454" s="594"/>
      <c r="G454" s="594"/>
      <c r="H454" s="594"/>
      <c r="I454" s="594"/>
      <c r="J454" s="594"/>
      <c r="K454" s="594"/>
      <c r="L454" s="594"/>
      <c r="M454" s="594"/>
      <c r="N454" s="507"/>
      <c r="O454" s="507"/>
      <c r="P454" s="507"/>
      <c r="Q454" s="507"/>
      <c r="R454" s="507"/>
      <c r="S454" s="507"/>
      <c r="T454" s="507"/>
      <c r="U454" s="507"/>
      <c r="V454" s="507"/>
      <c r="W454" s="507"/>
      <c r="X454" s="507"/>
      <c r="Y454" s="507"/>
      <c r="Z454" s="904"/>
      <c r="AA454" s="508"/>
      <c r="AB454" s="509"/>
      <c r="AC454" s="509"/>
      <c r="AD454" s="509"/>
      <c r="AE454" s="509"/>
      <c r="AF454" s="509"/>
      <c r="AG454" s="509"/>
      <c r="AH454" s="509"/>
      <c r="AI454" s="509"/>
      <c r="AJ454" s="509"/>
      <c r="AK454" s="510"/>
      <c r="AL454" s="507"/>
      <c r="AM454" s="507"/>
      <c r="AN454" s="507"/>
      <c r="AO454" s="507"/>
      <c r="AP454" s="507"/>
      <c r="AQ454" s="507"/>
      <c r="AR454" s="507"/>
      <c r="AS454" s="507"/>
      <c r="AT454" s="507"/>
      <c r="AU454" s="507"/>
      <c r="AV454" s="507"/>
      <c r="AW454" s="507"/>
      <c r="AX454" s="507"/>
      <c r="AY454" s="508"/>
      <c r="AZ454" s="509"/>
      <c r="BA454" s="509"/>
      <c r="BB454" s="509"/>
      <c r="BC454" s="509"/>
      <c r="BD454" s="509"/>
      <c r="BE454" s="509"/>
      <c r="BF454" s="509"/>
      <c r="BG454" s="509"/>
      <c r="BH454" s="509"/>
      <c r="BI454" s="510"/>
      <c r="BJ454" s="507"/>
      <c r="BK454" s="507"/>
      <c r="BL454" s="507"/>
      <c r="BM454" s="507"/>
      <c r="BN454" s="507"/>
      <c r="BO454" s="507"/>
      <c r="BP454" s="507"/>
      <c r="BQ454" s="507"/>
      <c r="BR454" s="507"/>
      <c r="BS454" s="507"/>
      <c r="BT454" s="507"/>
      <c r="BU454" s="507"/>
      <c r="BV454" s="507"/>
      <c r="BW454" s="508"/>
      <c r="BX454" s="509"/>
      <c r="BY454" s="509"/>
      <c r="BZ454" s="509"/>
      <c r="CA454" s="509"/>
      <c r="CD454" s="509"/>
      <c r="CE454" s="509"/>
      <c r="CF454" s="509"/>
      <c r="CG454" s="510"/>
      <c r="CH454" s="507"/>
      <c r="CI454" s="507"/>
      <c r="CJ454" s="507"/>
      <c r="CK454" s="507"/>
      <c r="CL454" s="507"/>
      <c r="CM454" s="507"/>
      <c r="CN454" s="507"/>
      <c r="CO454" s="507"/>
      <c r="CP454" s="507"/>
      <c r="CQ454" s="507"/>
      <c r="CR454" s="507"/>
      <c r="CS454" s="507"/>
      <c r="CT454" s="507"/>
      <c r="CU454" s="508"/>
      <c r="CV454" s="509"/>
      <c r="CW454" s="509"/>
      <c r="CX454" s="509"/>
      <c r="CY454" s="509"/>
      <c r="CZ454" s="509"/>
      <c r="DA454" s="509"/>
      <c r="DB454" s="509"/>
      <c r="DC454" s="509"/>
      <c r="DD454" s="509"/>
      <c r="DE454" s="510"/>
      <c r="DF454" s="507"/>
      <c r="DG454" s="507"/>
      <c r="DH454" s="507"/>
      <c r="DI454" s="507"/>
      <c r="DJ454" s="507"/>
      <c r="DK454" s="507"/>
      <c r="DL454" s="507"/>
      <c r="DM454" s="594"/>
      <c r="DN454" s="594"/>
      <c r="DO454" s="594"/>
      <c r="DP454" s="594"/>
      <c r="DQ454" s="594"/>
      <c r="DR454" s="594"/>
      <c r="DS454" s="594"/>
      <c r="DT454" s="594"/>
      <c r="DY454" s="234"/>
      <c r="DZ454" s="234"/>
      <c r="EA454" s="234"/>
      <c r="EB454" s="234"/>
    </row>
    <row r="455" spans="2:132" ht="15" thickBot="1" x14ac:dyDescent="0.5">
      <c r="BX455" s="246"/>
      <c r="BY455" s="246"/>
      <c r="BZ455" s="246"/>
      <c r="CA455" s="246"/>
      <c r="CD455" s="246"/>
      <c r="CE455" s="246"/>
      <c r="CF455" s="246"/>
      <c r="CG455" s="246"/>
      <c r="CH455" s="246"/>
      <c r="CI455" s="246"/>
      <c r="CJ455" s="246"/>
      <c r="CK455" s="246"/>
      <c r="CL455" s="246"/>
      <c r="CM455" s="246"/>
      <c r="CN455" s="246"/>
      <c r="CO455" s="246"/>
      <c r="CP455" s="246"/>
      <c r="CQ455" s="246"/>
      <c r="CR455" s="246"/>
      <c r="CS455" s="246"/>
      <c r="CT455" s="246"/>
      <c r="CU455" s="246"/>
      <c r="CV455" s="246"/>
      <c r="CW455" s="246"/>
      <c r="CX455" s="246"/>
      <c r="CY455" s="246"/>
      <c r="CZ455" s="246"/>
      <c r="DA455" s="246"/>
      <c r="DB455" s="246"/>
      <c r="DC455" s="246"/>
      <c r="DD455" s="246"/>
      <c r="DE455" s="246"/>
      <c r="DF455" s="246"/>
      <c r="DG455" s="246"/>
      <c r="DH455" s="246"/>
      <c r="DI455" s="246"/>
      <c r="DJ455" s="246"/>
      <c r="DK455" s="246"/>
      <c r="DL455" s="246"/>
      <c r="DM455" s="246"/>
      <c r="DN455" s="246"/>
      <c r="DO455" s="246"/>
      <c r="DP455" s="246"/>
      <c r="DQ455" s="246"/>
      <c r="DR455" s="246"/>
      <c r="DS455" s="246"/>
      <c r="DT455" s="246"/>
      <c r="DY455" s="234"/>
      <c r="DZ455" s="234"/>
      <c r="EA455" s="234"/>
      <c r="EB455" s="234"/>
    </row>
    <row r="456" spans="2:132" ht="15" thickBot="1" x14ac:dyDescent="0.5">
      <c r="B456" s="521" t="s">
        <v>2816</v>
      </c>
      <c r="D456" s="594"/>
      <c r="E456" s="594"/>
      <c r="F456" s="594"/>
      <c r="G456" s="594"/>
      <c r="H456" s="594"/>
      <c r="I456" s="594"/>
      <c r="J456" s="594"/>
      <c r="K456" s="594"/>
      <c r="L456" s="594"/>
      <c r="M456" s="594"/>
      <c r="N456" s="507"/>
      <c r="O456" s="507"/>
      <c r="P456" s="507"/>
      <c r="Q456" s="507"/>
      <c r="R456" s="507"/>
      <c r="S456" s="507"/>
      <c r="T456" s="507"/>
      <c r="U456" s="507"/>
      <c r="V456" s="507"/>
      <c r="W456" s="507"/>
      <c r="X456" s="507"/>
      <c r="Y456" s="507"/>
      <c r="Z456" s="507"/>
      <c r="AA456" s="507"/>
      <c r="AB456" s="507"/>
      <c r="AC456" s="507"/>
      <c r="AD456" s="507"/>
      <c r="AE456" s="507"/>
      <c r="AF456" s="507"/>
      <c r="AG456" s="507"/>
      <c r="AH456" s="507"/>
      <c r="AI456" s="507"/>
      <c r="AJ456" s="507"/>
      <c r="AK456" s="507"/>
      <c r="AL456" s="507"/>
      <c r="AM456" s="507"/>
      <c r="AN456" s="508"/>
      <c r="AO456" s="509"/>
      <c r="AP456" s="509"/>
      <c r="AQ456" s="509"/>
      <c r="AR456" s="509"/>
      <c r="AS456" s="509"/>
      <c r="AT456" s="509"/>
      <c r="AU456" s="509"/>
      <c r="AV456" s="509"/>
      <c r="AW456" s="886"/>
      <c r="AX456" s="507"/>
      <c r="AY456" s="507"/>
      <c r="AZ456" s="507"/>
      <c r="BA456" s="507"/>
      <c r="BB456" s="507"/>
      <c r="BC456" s="507"/>
      <c r="BD456" s="507"/>
      <c r="BE456" s="507"/>
      <c r="BF456" s="507"/>
      <c r="BG456" s="507"/>
      <c r="BH456" s="507"/>
      <c r="BI456" s="507"/>
      <c r="BJ456" s="507"/>
      <c r="BK456" s="904"/>
      <c r="BL456" s="508"/>
      <c r="BM456" s="509"/>
      <c r="BN456" s="509"/>
      <c r="BO456" s="509"/>
      <c r="BP456" s="509"/>
      <c r="BQ456" s="509"/>
      <c r="BR456" s="509"/>
      <c r="BS456" s="509"/>
      <c r="BT456" s="509"/>
      <c r="BU456" s="886"/>
      <c r="BV456" s="507"/>
      <c r="BW456" s="507"/>
      <c r="BX456" s="507"/>
      <c r="BY456" s="507"/>
      <c r="BZ456" s="507"/>
      <c r="CA456" s="507"/>
      <c r="CD456" s="507"/>
      <c r="CE456" s="507"/>
      <c r="CF456" s="507"/>
      <c r="CG456" s="507"/>
      <c r="CH456" s="507"/>
      <c r="CI456" s="904"/>
      <c r="CJ456" s="508"/>
      <c r="CK456" s="509"/>
      <c r="CL456" s="509"/>
      <c r="CM456" s="509"/>
      <c r="CN456" s="509"/>
      <c r="CO456" s="509"/>
      <c r="CP456" s="509"/>
      <c r="CQ456" s="509"/>
      <c r="CR456" s="509"/>
      <c r="CS456" s="886"/>
      <c r="CT456" s="507"/>
      <c r="CU456" s="507"/>
      <c r="CV456" s="507"/>
      <c r="CW456" s="507"/>
      <c r="CX456" s="507"/>
      <c r="CY456" s="507"/>
      <c r="CZ456" s="507"/>
      <c r="DA456" s="507"/>
      <c r="DB456" s="507"/>
      <c r="DC456" s="507"/>
      <c r="DD456" s="507"/>
      <c r="DE456" s="507"/>
      <c r="DF456" s="507"/>
      <c r="DG456" s="904"/>
      <c r="DH456" s="508"/>
      <c r="DI456" s="509"/>
      <c r="DJ456" s="509"/>
      <c r="DK456" s="509"/>
      <c r="DL456" s="509"/>
      <c r="DM456" s="1209"/>
      <c r="DN456" s="594"/>
      <c r="DO456" s="594"/>
      <c r="DP456" s="594"/>
      <c r="DQ456" s="594"/>
      <c r="DR456" s="594"/>
      <c r="DS456" s="594"/>
      <c r="DT456" s="594"/>
      <c r="DY456" s="234"/>
      <c r="DZ456" s="234"/>
      <c r="EA456" s="234"/>
      <c r="EB456" s="234"/>
    </row>
    <row r="457" spans="2:132" x14ac:dyDescent="0.45">
      <c r="BX457" s="246"/>
      <c r="BY457" s="246"/>
      <c r="BZ457" s="246"/>
      <c r="CA457" s="246"/>
      <c r="CD457" s="246"/>
      <c r="CE457" s="246"/>
      <c r="CF457" s="246"/>
      <c r="CG457" s="246"/>
      <c r="CH457" s="246"/>
      <c r="CI457" s="246"/>
      <c r="CJ457" s="246"/>
      <c r="CK457" s="246"/>
      <c r="CL457" s="246"/>
      <c r="CM457" s="246"/>
      <c r="CN457" s="246"/>
      <c r="CO457" s="246"/>
      <c r="CP457" s="246"/>
      <c r="CQ457" s="246"/>
      <c r="CR457" s="246"/>
      <c r="CS457" s="246"/>
      <c r="CT457" s="246"/>
      <c r="CU457" s="246"/>
      <c r="CV457" s="246"/>
      <c r="CW457" s="246"/>
      <c r="CX457" s="246"/>
      <c r="CY457" s="246"/>
      <c r="CZ457" s="246"/>
      <c r="DA457" s="246"/>
      <c r="DB457" s="246"/>
      <c r="DC457" s="246"/>
      <c r="DD457" s="246"/>
      <c r="DE457" s="246"/>
      <c r="DF457" s="246"/>
      <c r="DG457" s="246"/>
      <c r="DH457" s="246"/>
      <c r="DI457" s="246"/>
      <c r="DJ457" s="246"/>
      <c r="DK457" s="246"/>
      <c r="DL457" s="246"/>
      <c r="DM457" s="246"/>
      <c r="DN457" s="246"/>
      <c r="DO457" s="246"/>
      <c r="DP457" s="246"/>
      <c r="DQ457" s="246"/>
      <c r="DR457" s="246"/>
      <c r="DS457" s="246"/>
      <c r="DT457" s="246"/>
      <c r="DY457" s="234"/>
      <c r="DZ457" s="234"/>
      <c r="EA457" s="234"/>
      <c r="EB457" s="234"/>
    </row>
    <row r="458" spans="2:132" x14ac:dyDescent="0.45">
      <c r="B458" s="521" t="s">
        <v>2817</v>
      </c>
      <c r="C458" s="895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680"/>
      <c r="O458" s="680"/>
      <c r="P458" s="680"/>
      <c r="Q458" s="340"/>
      <c r="R458" s="340"/>
      <c r="S458" s="340"/>
      <c r="T458" s="340"/>
      <c r="U458" s="340"/>
      <c r="V458" s="340"/>
      <c r="W458" s="340"/>
      <c r="X458" s="340"/>
      <c r="Y458" s="340"/>
      <c r="Z458" s="340"/>
      <c r="AA458" s="681"/>
      <c r="AB458" s="681"/>
      <c r="AC458" s="681"/>
      <c r="AD458" s="317"/>
      <c r="AE458" s="317"/>
      <c r="AF458" s="317"/>
      <c r="AG458" s="317"/>
      <c r="AH458" s="317"/>
      <c r="AI458" s="317"/>
      <c r="AJ458" s="317"/>
      <c r="AK458" s="317"/>
      <c r="AL458" s="680"/>
      <c r="AM458" s="680"/>
      <c r="AN458" s="680"/>
      <c r="AO458" s="340"/>
      <c r="AP458" s="340"/>
      <c r="AQ458" s="340"/>
      <c r="AR458" s="340"/>
      <c r="AS458" s="340"/>
      <c r="AT458" s="340"/>
      <c r="AU458" s="340"/>
      <c r="AV458" s="340"/>
      <c r="AW458" s="340"/>
      <c r="AX458" s="340"/>
      <c r="AY458" s="681"/>
      <c r="AZ458" s="681"/>
      <c r="BA458" s="681"/>
      <c r="BB458" s="317"/>
      <c r="BC458" s="317"/>
      <c r="BD458" s="317"/>
      <c r="BE458" s="317"/>
      <c r="BF458" s="317"/>
      <c r="BG458" s="317"/>
      <c r="BH458" s="317"/>
      <c r="BI458" s="317"/>
      <c r="BJ458" s="680"/>
      <c r="BK458" s="680"/>
      <c r="BL458" s="680"/>
      <c r="BM458" s="340"/>
      <c r="BN458" s="340"/>
      <c r="BO458" s="340"/>
      <c r="BP458" s="340"/>
      <c r="BQ458" s="340"/>
      <c r="BR458" s="340"/>
      <c r="BS458" s="340"/>
      <c r="BT458" s="340"/>
      <c r="BU458" s="340"/>
      <c r="BV458" s="340"/>
      <c r="BW458" s="681"/>
      <c r="BX458" s="681"/>
      <c r="BY458" s="681"/>
      <c r="BZ458" s="317"/>
      <c r="CA458" s="317"/>
      <c r="CD458" s="317"/>
      <c r="CE458" s="317"/>
      <c r="CF458" s="317"/>
      <c r="CG458" s="317"/>
      <c r="CH458" s="680"/>
      <c r="CI458" s="680"/>
      <c r="CJ458" s="680"/>
      <c r="CK458" s="340"/>
      <c r="CL458" s="340"/>
      <c r="CM458" s="340"/>
      <c r="CN458" s="340"/>
      <c r="CO458" s="340"/>
      <c r="CP458" s="340"/>
      <c r="CQ458" s="340"/>
      <c r="CR458" s="340"/>
      <c r="CS458" s="340"/>
      <c r="CT458" s="340"/>
      <c r="CU458" s="681"/>
      <c r="CV458" s="681"/>
      <c r="CW458" s="681"/>
      <c r="CX458" s="317"/>
      <c r="CY458" s="317"/>
      <c r="CZ458" s="317"/>
      <c r="DA458" s="317"/>
      <c r="DB458" s="317"/>
      <c r="DC458" s="317"/>
      <c r="DD458" s="317"/>
      <c r="DE458" s="317"/>
      <c r="DF458" s="680"/>
      <c r="DG458" s="680"/>
      <c r="DH458" s="680"/>
      <c r="DI458" s="340"/>
      <c r="DJ458" s="340"/>
      <c r="DK458" s="340"/>
      <c r="DL458" s="340"/>
      <c r="DM458" s="340"/>
      <c r="DN458" s="340"/>
      <c r="DO458" s="340"/>
      <c r="DP458" s="340"/>
      <c r="DQ458" s="340"/>
      <c r="DR458" s="340"/>
      <c r="DS458" s="681"/>
      <c r="DT458" s="681"/>
      <c r="DY458" s="234"/>
      <c r="DZ458" s="234"/>
      <c r="EA458" s="234"/>
      <c r="EB458" s="234"/>
    </row>
    <row r="459" spans="2:132" x14ac:dyDescent="0.45"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X459" s="234"/>
      <c r="Z459" s="234"/>
      <c r="AB459" s="234"/>
      <c r="AD459" s="234"/>
      <c r="AF459" s="234"/>
      <c r="AH459" s="234"/>
      <c r="BX459" s="246"/>
      <c r="BY459" s="246"/>
      <c r="BZ459" s="246"/>
      <c r="CA459" s="246"/>
      <c r="CD459" s="246"/>
      <c r="CE459" s="246"/>
      <c r="CF459" s="246"/>
      <c r="CG459" s="246"/>
      <c r="CH459" s="246"/>
      <c r="CI459" s="246"/>
      <c r="CJ459" s="246"/>
      <c r="CK459" s="246"/>
      <c r="CL459" s="246"/>
      <c r="CM459" s="246"/>
      <c r="CN459" s="246"/>
      <c r="CO459" s="246"/>
      <c r="CP459" s="246"/>
      <c r="CQ459" s="246"/>
      <c r="CR459" s="246"/>
      <c r="CS459" s="246"/>
      <c r="CT459" s="246"/>
      <c r="CU459" s="246"/>
      <c r="CV459" s="246"/>
      <c r="CW459" s="246"/>
      <c r="CX459" s="246"/>
      <c r="DO459" s="246"/>
      <c r="DP459" s="246"/>
      <c r="DQ459" s="246"/>
      <c r="DR459" s="246"/>
      <c r="DS459" s="246"/>
      <c r="DY459" s="234"/>
      <c r="DZ459" s="234"/>
      <c r="EA459" s="234"/>
      <c r="EB459" s="234"/>
    </row>
    <row r="460" spans="2:132" x14ac:dyDescent="0.45"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  <c r="AA460" s="234"/>
      <c r="AB460" s="234"/>
      <c r="AC460" s="234"/>
      <c r="AD460" s="234"/>
      <c r="AE460" s="234"/>
      <c r="AF460" s="234"/>
      <c r="AG460" s="234"/>
      <c r="AH460" s="234"/>
      <c r="AI460" s="234"/>
      <c r="AJ460" s="234"/>
      <c r="AK460" s="234"/>
      <c r="AL460" s="234"/>
      <c r="AM460" s="234"/>
      <c r="AN460" s="234"/>
      <c r="AO460" s="234"/>
      <c r="AP460" s="234"/>
      <c r="AQ460" s="234"/>
      <c r="AR460" s="234"/>
      <c r="AS460" s="234"/>
      <c r="AT460" s="234"/>
      <c r="AU460" s="234"/>
      <c r="AV460" s="234"/>
      <c r="AW460" s="234"/>
      <c r="AX460" s="234"/>
      <c r="AY460" s="234"/>
      <c r="AZ460" s="234"/>
      <c r="BA460" s="234"/>
      <c r="BB460" s="234"/>
      <c r="BC460" s="234"/>
      <c r="BD460" s="234"/>
      <c r="BE460" s="234"/>
      <c r="BF460" s="234"/>
      <c r="BG460" s="234"/>
      <c r="BH460" s="234"/>
      <c r="BI460" s="234"/>
      <c r="BJ460" s="234"/>
      <c r="BK460" s="234"/>
      <c r="BL460" s="234"/>
      <c r="BM460" s="234"/>
      <c r="BN460" s="234"/>
      <c r="BO460" s="234"/>
      <c r="BP460" s="234"/>
      <c r="BQ460" s="234"/>
      <c r="BR460" s="234"/>
      <c r="BS460" s="234"/>
      <c r="BT460" s="234"/>
      <c r="BU460" s="234"/>
      <c r="DV460" s="234"/>
      <c r="DW460" s="234"/>
      <c r="DX460" s="234"/>
      <c r="DY460" s="234"/>
      <c r="DZ460" s="234"/>
      <c r="EA460" s="234"/>
      <c r="EB460" s="234"/>
    </row>
    <row r="461" spans="2:132" x14ac:dyDescent="0.45"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  <c r="AA461" s="234"/>
      <c r="AB461" s="234"/>
      <c r="AC461" s="234"/>
      <c r="AD461" s="234"/>
      <c r="AE461" s="234"/>
      <c r="AF461" s="234"/>
      <c r="AG461" s="234"/>
      <c r="AH461" s="234"/>
      <c r="AI461" s="234"/>
      <c r="AJ461" s="234"/>
      <c r="AK461" s="234"/>
      <c r="AL461" s="234"/>
      <c r="AM461" s="234"/>
      <c r="AN461" s="234"/>
      <c r="AO461" s="234"/>
      <c r="AP461" s="234"/>
      <c r="AQ461" s="234"/>
      <c r="AR461" s="234"/>
      <c r="AS461" s="234"/>
      <c r="AT461" s="234"/>
      <c r="AU461" s="234"/>
      <c r="AV461" s="234"/>
      <c r="AW461" s="234"/>
      <c r="AX461" s="234"/>
      <c r="AY461" s="234"/>
      <c r="AZ461" s="234"/>
      <c r="BA461" s="234"/>
      <c r="BB461" s="234"/>
      <c r="BC461" s="234"/>
      <c r="BD461" s="234"/>
      <c r="BE461" s="234"/>
      <c r="BF461" s="234"/>
      <c r="BG461" s="234"/>
      <c r="BH461" s="234"/>
      <c r="BI461" s="234"/>
      <c r="BJ461" s="234"/>
      <c r="BK461" s="234"/>
      <c r="BL461" s="234"/>
      <c r="BM461" s="234"/>
      <c r="BN461" s="234"/>
      <c r="BO461" s="234"/>
      <c r="BP461" s="234"/>
      <c r="BQ461" s="234"/>
      <c r="BR461" s="234"/>
      <c r="BS461" s="234"/>
      <c r="BT461" s="234"/>
      <c r="BU461" s="234"/>
      <c r="BV461" s="234"/>
      <c r="BW461" s="234"/>
      <c r="DV461" s="234"/>
      <c r="DW461" s="234"/>
      <c r="DX461" s="234"/>
      <c r="DY461" s="234"/>
      <c r="DZ461" s="234"/>
      <c r="EA461" s="234"/>
      <c r="EB461" s="234"/>
    </row>
    <row r="462" spans="2:132" x14ac:dyDescent="0.45">
      <c r="B462" s="1222" t="s">
        <v>2826</v>
      </c>
      <c r="C462" s="1223"/>
      <c r="D462" s="1224"/>
      <c r="E462" s="1224"/>
      <c r="F462" s="1224"/>
      <c r="G462" s="1224"/>
      <c r="H462" s="1224"/>
      <c r="I462" s="1224"/>
      <c r="J462" s="1224"/>
      <c r="K462" s="1224"/>
      <c r="L462" s="1224"/>
      <c r="M462" s="1224"/>
      <c r="N462" s="1224"/>
      <c r="O462" s="1224"/>
      <c r="P462" s="1224"/>
      <c r="Q462" s="1224"/>
      <c r="R462" s="1224"/>
      <c r="S462" s="1224"/>
      <c r="T462" s="1224"/>
      <c r="U462" s="1224"/>
      <c r="V462" s="1224"/>
      <c r="W462" s="1224"/>
      <c r="X462" s="1224"/>
      <c r="Y462" s="1224"/>
      <c r="Z462" s="1224"/>
      <c r="AA462" s="1224"/>
      <c r="AB462" s="1224"/>
      <c r="AC462" s="1224"/>
      <c r="AD462" s="1224"/>
      <c r="AE462" s="1224"/>
      <c r="AF462" s="1224"/>
      <c r="AG462" s="1224"/>
      <c r="AH462" s="1224"/>
      <c r="AI462" s="1224"/>
      <c r="AJ462" s="1224"/>
      <c r="AK462" s="1224"/>
      <c r="AL462" s="1224"/>
      <c r="AM462" s="1224"/>
      <c r="AN462" s="1224"/>
      <c r="AO462" s="1224"/>
      <c r="AP462" s="1224"/>
      <c r="AQ462" s="1224"/>
      <c r="AR462" s="1224"/>
      <c r="AS462" s="1224"/>
      <c r="AT462" s="1224"/>
      <c r="AU462" s="1224"/>
      <c r="AV462" s="1224"/>
      <c r="AW462" s="1224"/>
      <c r="AX462" s="1224"/>
      <c r="AY462" s="1224"/>
      <c r="AZ462" s="1224"/>
      <c r="BA462" s="1224"/>
      <c r="BB462" s="1224"/>
      <c r="BC462" s="1224"/>
      <c r="BD462" s="1224"/>
      <c r="BE462" s="1224"/>
      <c r="BF462" s="1224"/>
      <c r="BG462" s="1224"/>
      <c r="BH462" s="1224"/>
      <c r="BI462" s="1224"/>
      <c r="BJ462" s="1224"/>
      <c r="BK462" s="1224"/>
      <c r="BL462" s="1224"/>
      <c r="BM462" s="1224"/>
      <c r="BN462" s="1224"/>
      <c r="BO462" s="1224"/>
      <c r="BP462" s="1224"/>
      <c r="BQ462" s="1224"/>
      <c r="BR462" s="1224"/>
      <c r="BS462" s="1224"/>
      <c r="BT462" s="1224"/>
      <c r="BU462" s="1224"/>
      <c r="BV462" s="1224"/>
      <c r="BW462" s="1224"/>
      <c r="BX462" s="1224"/>
      <c r="BY462" s="1224"/>
      <c r="BZ462" s="1224"/>
      <c r="CA462" s="1224"/>
      <c r="CB462" s="1224"/>
      <c r="CC462" s="1224"/>
      <c r="CD462" s="1224"/>
      <c r="CE462" s="1224"/>
      <c r="CF462" s="1224"/>
      <c r="CG462" s="1224"/>
      <c r="CH462" s="1224"/>
      <c r="CI462" s="1224"/>
      <c r="CJ462" s="1224"/>
      <c r="CK462" s="1224"/>
      <c r="CL462" s="1224"/>
      <c r="CM462" s="1224"/>
      <c r="CN462" s="1224"/>
      <c r="CO462" s="1224"/>
      <c r="CP462" s="1224"/>
      <c r="CQ462" s="1224"/>
      <c r="CR462" s="1224"/>
      <c r="CS462" s="1224"/>
      <c r="CT462" s="1224"/>
      <c r="CU462" s="1224"/>
      <c r="CV462" s="1224"/>
      <c r="CW462" s="1224"/>
      <c r="CX462" s="1224"/>
      <c r="CY462" s="1224"/>
      <c r="CZ462" s="1224"/>
      <c r="DA462" s="1224"/>
      <c r="DB462" s="1224"/>
      <c r="DC462" s="1224"/>
      <c r="DD462" s="1224"/>
      <c r="DE462" s="1224"/>
      <c r="DF462" s="1224"/>
      <c r="DG462" s="1224"/>
      <c r="DH462" s="1224"/>
      <c r="DI462" s="1224"/>
      <c r="DJ462" s="1224"/>
      <c r="DK462" s="1224"/>
      <c r="DL462" s="1224"/>
      <c r="DM462" s="1224"/>
      <c r="DN462" s="1224"/>
      <c r="DO462" s="1224"/>
      <c r="DP462" s="1224"/>
      <c r="DQ462" s="1224"/>
      <c r="DR462" s="1224"/>
      <c r="DS462" s="1224"/>
      <c r="DT462" s="1224"/>
    </row>
    <row r="463" spans="2:132" x14ac:dyDescent="0.45">
      <c r="B463" s="521" t="s">
        <v>1431</v>
      </c>
      <c r="D463" s="247"/>
      <c r="E463" s="247"/>
      <c r="F463" s="347"/>
      <c r="G463" s="348"/>
      <c r="H463" s="348"/>
      <c r="I463" s="348"/>
      <c r="J463" s="349"/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  <c r="AA463" s="256"/>
      <c r="AB463" s="256"/>
      <c r="AC463" s="256"/>
      <c r="AD463" s="256"/>
      <c r="AE463" s="256"/>
      <c r="AF463" s="256"/>
      <c r="AG463" s="256"/>
      <c r="AH463" s="256"/>
      <c r="AI463" s="256"/>
      <c r="AJ463" s="256"/>
      <c r="AK463" s="256"/>
      <c r="AL463" s="256"/>
      <c r="AM463" s="256"/>
      <c r="AN463" s="256"/>
      <c r="AO463" s="256"/>
      <c r="AP463" s="256"/>
      <c r="AQ463" s="256"/>
      <c r="AR463" s="256"/>
      <c r="AS463" s="256"/>
      <c r="AT463" s="256"/>
      <c r="AU463" s="256"/>
      <c r="AV463" s="256"/>
      <c r="AW463" s="256"/>
      <c r="AX463" s="256"/>
      <c r="AY463" s="256"/>
      <c r="AZ463" s="256"/>
      <c r="BA463" s="256"/>
      <c r="BB463" s="256"/>
      <c r="BC463" s="256"/>
      <c r="BD463" s="256"/>
      <c r="BE463" s="256"/>
      <c r="BF463" s="256"/>
      <c r="BG463" s="256"/>
      <c r="BH463" s="256"/>
      <c r="BI463" s="256"/>
      <c r="BJ463" s="256"/>
      <c r="BK463" s="256"/>
      <c r="BL463" s="256"/>
      <c r="BM463" s="256"/>
      <c r="BN463" s="256"/>
      <c r="BO463" s="256"/>
      <c r="BP463" s="256"/>
      <c r="BQ463" s="256"/>
      <c r="BR463" s="256"/>
      <c r="BS463" s="256"/>
      <c r="BT463" s="256"/>
      <c r="BU463" s="256"/>
      <c r="BV463" s="256"/>
      <c r="BW463" s="256"/>
      <c r="BX463" s="256"/>
      <c r="BY463" s="256"/>
      <c r="BZ463" s="256"/>
      <c r="CA463" s="256"/>
      <c r="CB463" s="256"/>
      <c r="CC463" s="256"/>
      <c r="CD463" s="256"/>
      <c r="CE463" s="256"/>
      <c r="CF463" s="256"/>
      <c r="CG463" s="256"/>
      <c r="CH463" s="256"/>
      <c r="CI463" s="256"/>
      <c r="CJ463" s="256"/>
      <c r="CK463" s="256"/>
      <c r="CL463" s="256"/>
      <c r="CM463" s="256"/>
      <c r="CN463" s="256"/>
      <c r="CO463" s="256"/>
      <c r="CP463" s="256"/>
      <c r="CQ463" s="256"/>
      <c r="CR463" s="256"/>
      <c r="CS463" s="256"/>
      <c r="CT463" s="256"/>
      <c r="CU463" s="256"/>
      <c r="CV463" s="256"/>
      <c r="CW463" s="256"/>
      <c r="CX463" s="256"/>
      <c r="CY463" s="256"/>
      <c r="CZ463" s="256"/>
      <c r="DA463" s="256"/>
      <c r="DB463" s="256"/>
      <c r="DC463" s="256"/>
      <c r="DD463" s="256"/>
      <c r="DE463" s="256"/>
      <c r="DF463" s="256"/>
      <c r="DG463" s="256"/>
      <c r="DH463" s="256"/>
      <c r="DI463" s="256"/>
      <c r="DJ463" s="256"/>
      <c r="DK463" s="256"/>
      <c r="DL463" s="256"/>
      <c r="DM463" s="256"/>
      <c r="DN463" s="256"/>
      <c r="DO463" s="256"/>
      <c r="DP463" s="256"/>
      <c r="DQ463" s="256"/>
      <c r="DR463" s="256"/>
      <c r="DS463" s="256"/>
      <c r="DT463" s="256"/>
      <c r="DY463" s="234"/>
      <c r="DZ463" s="234"/>
      <c r="EA463" s="234"/>
      <c r="EB463" s="234"/>
    </row>
    <row r="464" spans="2:132" x14ac:dyDescent="0.45">
      <c r="B464" s="554"/>
      <c r="BX464" s="246"/>
      <c r="BY464" s="246"/>
      <c r="BZ464" s="246"/>
      <c r="CA464" s="246"/>
      <c r="CB464" s="246"/>
      <c r="CC464" s="246"/>
      <c r="CD464" s="246"/>
      <c r="CE464" s="246"/>
      <c r="CF464" s="246"/>
      <c r="CG464" s="246"/>
      <c r="CH464" s="246"/>
      <c r="CI464" s="246"/>
      <c r="CJ464" s="246"/>
      <c r="CK464" s="246"/>
      <c r="CL464" s="246"/>
      <c r="CM464" s="246"/>
      <c r="CN464" s="246"/>
      <c r="CO464" s="246"/>
      <c r="CP464" s="246"/>
      <c r="CQ464" s="246"/>
      <c r="CR464" s="246"/>
      <c r="CS464" s="246"/>
      <c r="CT464" s="246"/>
      <c r="CU464" s="246"/>
      <c r="CV464" s="246"/>
      <c r="CW464" s="246"/>
      <c r="CX464" s="246"/>
      <c r="CY464" s="246"/>
      <c r="CZ464" s="246"/>
      <c r="DA464" s="246"/>
      <c r="DB464" s="246"/>
      <c r="DC464" s="246"/>
      <c r="DD464" s="246"/>
      <c r="DE464" s="246"/>
      <c r="DF464" s="246"/>
      <c r="DG464" s="246"/>
      <c r="DH464" s="246"/>
      <c r="DI464" s="246"/>
      <c r="DJ464" s="246"/>
      <c r="DK464" s="246"/>
      <c r="DL464" s="246"/>
      <c r="DM464" s="246"/>
      <c r="DN464" s="246"/>
      <c r="DO464" s="246"/>
      <c r="DP464" s="246"/>
      <c r="DQ464" s="246"/>
      <c r="DR464" s="246"/>
      <c r="DS464" s="246"/>
      <c r="DT464" s="246"/>
    </row>
    <row r="465" spans="2:132" x14ac:dyDescent="0.45">
      <c r="B465" s="521" t="s">
        <v>2071</v>
      </c>
      <c r="D465" s="247"/>
      <c r="E465" s="247"/>
      <c r="F465" s="258"/>
      <c r="G465" s="256"/>
      <c r="H465" s="256"/>
      <c r="I465" s="256"/>
      <c r="J465" s="256"/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  <c r="AA465" s="256"/>
      <c r="AB465" s="256"/>
      <c r="AC465" s="256"/>
      <c r="AD465" s="256"/>
      <c r="AE465" s="256"/>
      <c r="AF465" s="256"/>
      <c r="AG465" s="256"/>
      <c r="AH465" s="256"/>
      <c r="AI465" s="256"/>
      <c r="AJ465" s="256"/>
      <c r="AK465" s="256"/>
      <c r="AL465" s="256"/>
      <c r="AM465" s="256"/>
      <c r="AN465" s="256"/>
      <c r="AO465" s="256"/>
      <c r="AP465" s="256"/>
      <c r="AQ465" s="256"/>
      <c r="AR465" s="256"/>
      <c r="AS465" s="256"/>
      <c r="AT465" s="256"/>
      <c r="AU465" s="256"/>
      <c r="AV465" s="256"/>
      <c r="AW465" s="256"/>
      <c r="AX465" s="256"/>
      <c r="AY465" s="256"/>
      <c r="AZ465" s="256"/>
      <c r="BA465" s="256"/>
      <c r="BB465" s="256"/>
      <c r="BC465" s="256"/>
      <c r="BD465" s="256"/>
      <c r="BE465" s="256"/>
      <c r="BF465" s="256"/>
      <c r="BG465" s="256"/>
      <c r="BH465" s="256"/>
      <c r="BI465" s="256"/>
      <c r="BJ465" s="256"/>
      <c r="BK465" s="256"/>
      <c r="BL465" s="256"/>
      <c r="BM465" s="256"/>
      <c r="BN465" s="256"/>
      <c r="BO465" s="256"/>
      <c r="BP465" s="256"/>
      <c r="BQ465" s="256"/>
      <c r="BR465" s="256"/>
      <c r="BS465" s="256"/>
      <c r="BT465" s="256"/>
      <c r="BU465" s="256"/>
      <c r="BV465" s="256"/>
      <c r="BW465" s="256"/>
      <c r="BX465" s="256"/>
      <c r="BY465" s="256"/>
      <c r="BZ465" s="256"/>
      <c r="CA465" s="256"/>
      <c r="CB465" s="256"/>
      <c r="CC465" s="256"/>
      <c r="CD465" s="256"/>
      <c r="CE465" s="256"/>
      <c r="CF465" s="256"/>
      <c r="CG465" s="256"/>
      <c r="CH465" s="256"/>
      <c r="CI465" s="256"/>
      <c r="CJ465" s="256"/>
      <c r="CK465" s="256"/>
      <c r="CL465" s="256"/>
      <c r="CM465" s="256"/>
      <c r="CN465" s="256"/>
      <c r="CO465" s="256"/>
      <c r="CP465" s="256"/>
      <c r="CQ465" s="256"/>
      <c r="CR465" s="256"/>
      <c r="CS465" s="256"/>
      <c r="CT465" s="256"/>
      <c r="CU465" s="256"/>
      <c r="CV465" s="256"/>
      <c r="CW465" s="256"/>
      <c r="CX465" s="256"/>
      <c r="CY465" s="256"/>
      <c r="CZ465" s="256"/>
      <c r="DA465" s="256"/>
      <c r="DB465" s="256"/>
      <c r="DC465" s="256"/>
      <c r="DD465" s="256"/>
      <c r="DE465" s="256"/>
      <c r="DF465" s="256"/>
      <c r="DG465" s="256"/>
      <c r="DH465" s="256"/>
      <c r="DI465" s="256"/>
      <c r="DJ465" s="256"/>
      <c r="DK465" s="256"/>
      <c r="DL465" s="256"/>
      <c r="DM465" s="256"/>
      <c r="DN465" s="256"/>
      <c r="DO465" s="256"/>
      <c r="DP465" s="256"/>
      <c r="DQ465" s="256"/>
      <c r="DR465" s="256"/>
      <c r="DS465" s="256"/>
      <c r="DT465" s="256"/>
      <c r="DY465" s="234"/>
      <c r="DZ465" s="234"/>
      <c r="EA465" s="234"/>
      <c r="EB465" s="234"/>
    </row>
    <row r="466" spans="2:132" x14ac:dyDescent="0.45">
      <c r="U466" s="234"/>
      <c r="V466" s="234"/>
      <c r="BX466" s="246"/>
      <c r="BY466" s="246"/>
      <c r="BZ466" s="246"/>
      <c r="CA466" s="246"/>
      <c r="CB466" s="246"/>
      <c r="CC466" s="246"/>
      <c r="CD466" s="246"/>
      <c r="CE466" s="246"/>
      <c r="CF466" s="246"/>
      <c r="CG466" s="246"/>
      <c r="CH466" s="246"/>
      <c r="CI466" s="246"/>
      <c r="CJ466" s="246"/>
      <c r="CK466" s="246"/>
      <c r="CL466" s="246"/>
      <c r="CM466" s="246"/>
      <c r="CN466" s="246"/>
      <c r="CO466" s="246"/>
      <c r="CP466" s="246"/>
      <c r="CQ466" s="246"/>
      <c r="CR466" s="246"/>
      <c r="CS466" s="246"/>
      <c r="CT466" s="246"/>
      <c r="CU466" s="246"/>
      <c r="CV466" s="246"/>
      <c r="CW466" s="246"/>
      <c r="CX466" s="246"/>
      <c r="CY466" s="246"/>
      <c r="CZ466" s="246"/>
      <c r="DA466" s="246"/>
      <c r="DB466" s="246"/>
      <c r="DC466" s="246"/>
      <c r="DD466" s="246"/>
      <c r="DE466" s="246"/>
      <c r="DF466" s="246"/>
      <c r="DG466" s="246"/>
      <c r="DH466" s="246"/>
      <c r="DI466" s="246"/>
      <c r="DJ466" s="246"/>
      <c r="DK466" s="246"/>
      <c r="DL466" s="246"/>
      <c r="DS466" s="246"/>
      <c r="DT466" s="246"/>
      <c r="DY466" s="234"/>
      <c r="DZ466" s="234"/>
      <c r="EA466" s="234"/>
      <c r="EB466" s="234"/>
    </row>
    <row r="467" spans="2:132" x14ac:dyDescent="0.45">
      <c r="B467" s="521" t="s">
        <v>2081</v>
      </c>
      <c r="D467" s="250"/>
      <c r="E467" s="250"/>
      <c r="F467" s="250"/>
      <c r="G467" s="387"/>
      <c r="H467" s="387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60"/>
      <c r="V467" s="260"/>
      <c r="W467" s="250"/>
      <c r="X467" s="250"/>
      <c r="Y467" s="250"/>
      <c r="Z467" s="250"/>
      <c r="AA467" s="250"/>
      <c r="AB467" s="250"/>
      <c r="AC467" s="250"/>
      <c r="AD467" s="250"/>
      <c r="AE467" s="250"/>
      <c r="AF467" s="250"/>
      <c r="AG467" s="250"/>
      <c r="AH467" s="250"/>
      <c r="AI467" s="250"/>
      <c r="AJ467" s="250"/>
      <c r="AK467" s="250"/>
      <c r="AL467" s="250"/>
      <c r="AM467" s="250"/>
      <c r="AN467" s="250"/>
      <c r="AO467" s="250"/>
      <c r="AP467" s="250"/>
      <c r="AQ467" s="250"/>
      <c r="AR467" s="250"/>
      <c r="AS467" s="250"/>
      <c r="AT467" s="250"/>
      <c r="AU467" s="250"/>
      <c r="AV467" s="250"/>
      <c r="AW467" s="250"/>
      <c r="AX467" s="250"/>
      <c r="AY467" s="250"/>
      <c r="AZ467" s="250"/>
      <c r="BA467" s="250"/>
      <c r="BB467" s="250"/>
      <c r="BC467" s="250"/>
      <c r="BD467" s="250"/>
      <c r="BE467" s="250"/>
      <c r="BF467" s="250"/>
      <c r="BG467" s="250"/>
      <c r="BH467" s="250"/>
      <c r="BI467" s="250"/>
      <c r="BJ467" s="250"/>
      <c r="BK467" s="250"/>
      <c r="BL467" s="250"/>
      <c r="BM467" s="250"/>
      <c r="BN467" s="250"/>
      <c r="BO467" s="250"/>
      <c r="BP467" s="250"/>
      <c r="BQ467" s="250"/>
      <c r="BR467" s="250"/>
      <c r="BS467" s="250"/>
      <c r="BT467" s="250"/>
      <c r="BU467" s="250"/>
      <c r="BV467" s="250"/>
      <c r="BW467" s="250"/>
      <c r="BX467" s="250"/>
      <c r="BY467" s="250"/>
      <c r="BZ467" s="250"/>
      <c r="CA467" s="250"/>
      <c r="CB467" s="250"/>
      <c r="CC467" s="250"/>
      <c r="CD467" s="250"/>
      <c r="CE467" s="250"/>
      <c r="CF467" s="250"/>
      <c r="CG467" s="250"/>
      <c r="CH467" s="250"/>
      <c r="CI467" s="250"/>
      <c r="CJ467" s="250"/>
      <c r="CK467" s="250"/>
      <c r="CL467" s="250"/>
      <c r="CM467" s="250"/>
      <c r="CN467" s="250"/>
      <c r="CO467" s="250"/>
      <c r="CP467" s="250"/>
      <c r="CQ467" s="250"/>
      <c r="CR467" s="250"/>
      <c r="CS467" s="250"/>
      <c r="CT467" s="250"/>
      <c r="CU467" s="250"/>
      <c r="CV467" s="250"/>
      <c r="CW467" s="250"/>
      <c r="CX467" s="250"/>
      <c r="CY467" s="250"/>
      <c r="CZ467" s="250"/>
      <c r="DA467" s="250"/>
      <c r="DB467" s="250"/>
      <c r="DC467" s="250"/>
      <c r="DD467" s="250"/>
      <c r="DE467" s="250"/>
      <c r="DF467" s="250"/>
      <c r="DG467" s="250"/>
      <c r="DH467" s="250"/>
      <c r="DI467" s="250"/>
      <c r="DJ467" s="250"/>
      <c r="DK467" s="250"/>
      <c r="DL467" s="250"/>
      <c r="DM467" s="260"/>
      <c r="DN467" s="260"/>
      <c r="DO467" s="260"/>
      <c r="DP467" s="260"/>
      <c r="DQ467" s="260"/>
      <c r="DR467" s="260"/>
      <c r="DS467" s="250"/>
      <c r="DT467" s="250"/>
      <c r="DY467" s="234"/>
      <c r="DZ467" s="234"/>
      <c r="EA467" s="234"/>
      <c r="EB467" s="234"/>
    </row>
    <row r="468" spans="2:132" x14ac:dyDescent="0.45">
      <c r="U468" s="234"/>
      <c r="V468" s="234"/>
      <c r="BX468" s="246"/>
      <c r="BY468" s="246"/>
      <c r="BZ468" s="246"/>
      <c r="CA468" s="246"/>
      <c r="CB468" s="246"/>
      <c r="CC468" s="246"/>
      <c r="CD468" s="246"/>
      <c r="CE468" s="246"/>
      <c r="CF468" s="246"/>
      <c r="CG468" s="246"/>
      <c r="CH468" s="246"/>
      <c r="CI468" s="246"/>
      <c r="CJ468" s="246"/>
      <c r="CK468" s="246"/>
      <c r="CL468" s="246"/>
      <c r="CM468" s="246"/>
      <c r="CN468" s="246"/>
      <c r="CO468" s="246"/>
      <c r="CP468" s="246"/>
      <c r="CQ468" s="246"/>
      <c r="CR468" s="246"/>
      <c r="CS468" s="246"/>
      <c r="CT468" s="246"/>
      <c r="CU468" s="246"/>
      <c r="CV468" s="246"/>
      <c r="CW468" s="246"/>
      <c r="CX468" s="246"/>
      <c r="CY468" s="246"/>
      <c r="CZ468" s="246"/>
      <c r="DA468" s="246"/>
      <c r="DB468" s="246"/>
      <c r="DC468" s="246"/>
      <c r="DD468" s="246"/>
      <c r="DE468" s="246"/>
      <c r="DF468" s="246"/>
      <c r="DG468" s="246"/>
      <c r="DH468" s="246"/>
      <c r="DI468" s="246"/>
      <c r="DJ468" s="246"/>
      <c r="DK468" s="246"/>
      <c r="DL468" s="246"/>
      <c r="DS468" s="246"/>
      <c r="DT468" s="246"/>
      <c r="DY468" s="234"/>
      <c r="DZ468" s="234"/>
      <c r="EA468" s="234"/>
      <c r="EB468" s="234"/>
    </row>
    <row r="469" spans="2:132" x14ac:dyDescent="0.45">
      <c r="B469" s="521" t="s">
        <v>2089</v>
      </c>
      <c r="D469" s="250"/>
      <c r="E469" s="250"/>
      <c r="F469" s="250"/>
      <c r="G469" s="250"/>
      <c r="H469" s="250"/>
      <c r="I469" s="250"/>
      <c r="J469" s="258"/>
      <c r="K469" s="250"/>
      <c r="L469" s="250"/>
      <c r="M469" s="250"/>
      <c r="N469" s="250"/>
      <c r="O469" s="250"/>
      <c r="P469" s="250"/>
      <c r="Q469" s="250"/>
      <c r="R469" s="250"/>
      <c r="S469" s="250"/>
      <c r="T469" s="260"/>
      <c r="U469" s="260"/>
      <c r="V469" s="250"/>
      <c r="W469" s="250"/>
      <c r="X469" s="250"/>
      <c r="Y469" s="250"/>
      <c r="Z469" s="250"/>
      <c r="AA469" s="250"/>
      <c r="AB469" s="250"/>
      <c r="AC469" s="250"/>
      <c r="AD469" s="250"/>
      <c r="AE469" s="250"/>
      <c r="AF469" s="250"/>
      <c r="AG469" s="250"/>
      <c r="AH469" s="250"/>
      <c r="AI469" s="250"/>
      <c r="AJ469" s="250"/>
      <c r="AK469" s="250"/>
      <c r="AL469" s="250"/>
      <c r="AM469" s="250"/>
      <c r="AN469" s="250"/>
      <c r="AO469" s="250"/>
      <c r="AP469" s="250"/>
      <c r="AQ469" s="250"/>
      <c r="AR469" s="250"/>
      <c r="AS469" s="250"/>
      <c r="AT469" s="250"/>
      <c r="AU469" s="250"/>
      <c r="AV469" s="250"/>
      <c r="AW469" s="250"/>
      <c r="AX469" s="250"/>
      <c r="AY469" s="250"/>
      <c r="AZ469" s="250"/>
      <c r="BA469" s="250"/>
      <c r="BB469" s="250"/>
      <c r="BC469" s="250"/>
      <c r="BD469" s="250"/>
      <c r="BE469" s="250"/>
      <c r="BF469" s="250"/>
      <c r="BG469" s="250"/>
      <c r="BH469" s="250"/>
      <c r="BI469" s="250"/>
      <c r="BJ469" s="250"/>
      <c r="BK469" s="250"/>
      <c r="BL469" s="250"/>
      <c r="BM469" s="250"/>
      <c r="BN469" s="250"/>
      <c r="BO469" s="250"/>
      <c r="BP469" s="250"/>
      <c r="BQ469" s="250"/>
      <c r="BR469" s="250"/>
      <c r="BS469" s="250"/>
      <c r="BT469" s="250"/>
      <c r="BU469" s="250"/>
      <c r="BV469" s="250"/>
      <c r="BW469" s="250"/>
      <c r="BX469" s="250"/>
      <c r="BY469" s="250"/>
      <c r="BZ469" s="250"/>
      <c r="CA469" s="250"/>
      <c r="CB469" s="250"/>
      <c r="CC469" s="250"/>
      <c r="CD469" s="250"/>
      <c r="CE469" s="250"/>
      <c r="CF469" s="250"/>
      <c r="CG469" s="250"/>
      <c r="CH469" s="250"/>
      <c r="CI469" s="250"/>
      <c r="CJ469" s="250"/>
      <c r="CK469" s="250"/>
      <c r="CL469" s="250"/>
      <c r="CM469" s="250"/>
      <c r="CN469" s="250"/>
      <c r="CO469" s="250"/>
      <c r="CP469" s="250"/>
      <c r="CQ469" s="250"/>
      <c r="CR469" s="250"/>
      <c r="CS469" s="250"/>
      <c r="CT469" s="250"/>
      <c r="CU469" s="250"/>
      <c r="CV469" s="250"/>
      <c r="CW469" s="250"/>
      <c r="CX469" s="250"/>
      <c r="CY469" s="250"/>
      <c r="CZ469" s="250"/>
      <c r="DA469" s="250"/>
      <c r="DB469" s="250"/>
      <c r="DC469" s="250"/>
      <c r="DD469" s="250"/>
      <c r="DE469" s="250"/>
      <c r="DF469" s="250"/>
      <c r="DG469" s="250"/>
      <c r="DH469" s="250"/>
      <c r="DI469" s="250"/>
      <c r="DJ469" s="250"/>
      <c r="DK469" s="250"/>
      <c r="DL469" s="250"/>
      <c r="DM469" s="250"/>
      <c r="DN469" s="250"/>
      <c r="DO469" s="250"/>
      <c r="DP469" s="260"/>
      <c r="DQ469" s="260"/>
      <c r="DR469" s="250"/>
      <c r="DS469" s="250"/>
      <c r="DY469" s="234"/>
      <c r="DZ469" s="234"/>
      <c r="EA469" s="234"/>
      <c r="EB469" s="234"/>
    </row>
    <row r="470" spans="2:132" x14ac:dyDescent="0.45">
      <c r="J470" s="257"/>
      <c r="T470" s="234"/>
      <c r="U470" s="234"/>
      <c r="BX470" s="246"/>
      <c r="BY470" s="246"/>
      <c r="BZ470" s="246"/>
      <c r="CA470" s="246"/>
      <c r="CB470" s="246"/>
      <c r="CC470" s="246"/>
      <c r="CD470" s="246"/>
      <c r="CE470" s="246"/>
      <c r="CF470" s="246"/>
      <c r="CG470" s="246"/>
      <c r="CH470" s="246"/>
      <c r="CI470" s="246"/>
      <c r="CJ470" s="246"/>
      <c r="CK470" s="246"/>
      <c r="CL470" s="246"/>
      <c r="CM470" s="246"/>
      <c r="CN470" s="246"/>
      <c r="CO470" s="246"/>
      <c r="CP470" s="246"/>
      <c r="CQ470" s="246"/>
      <c r="CR470" s="246"/>
      <c r="CS470" s="246"/>
      <c r="CT470" s="246"/>
      <c r="CU470" s="246"/>
      <c r="CV470" s="246"/>
      <c r="CW470" s="246"/>
      <c r="CX470" s="246"/>
      <c r="CY470" s="246"/>
      <c r="CZ470" s="246"/>
      <c r="DA470" s="246"/>
      <c r="DB470" s="246"/>
      <c r="DC470" s="246"/>
      <c r="DD470" s="246"/>
      <c r="DE470" s="246"/>
      <c r="DF470" s="246"/>
      <c r="DG470" s="246"/>
      <c r="DH470" s="246"/>
      <c r="DI470" s="246"/>
      <c r="DJ470" s="246"/>
      <c r="DK470" s="246"/>
      <c r="DL470" s="246"/>
      <c r="DM470" s="246"/>
      <c r="DN470" s="246"/>
      <c r="DO470" s="246"/>
      <c r="DR470" s="246"/>
      <c r="DS470" s="246"/>
      <c r="DY470" s="234"/>
      <c r="DZ470" s="234"/>
      <c r="EA470" s="234"/>
      <c r="EB470" s="234"/>
    </row>
    <row r="471" spans="2:132" ht="15" thickBot="1" x14ac:dyDescent="0.5">
      <c r="J471" s="257"/>
      <c r="T471" s="234"/>
      <c r="U471" s="234"/>
      <c r="BY471" s="246"/>
      <c r="BZ471" s="246"/>
      <c r="CA471" s="246"/>
      <c r="CB471" s="246"/>
      <c r="CC471" s="246"/>
      <c r="DD471" s="246"/>
      <c r="DE471" s="246"/>
      <c r="DF471" s="246"/>
      <c r="DG471" s="246"/>
      <c r="DH471" s="257"/>
      <c r="DI471" s="246"/>
      <c r="DJ471" s="246"/>
      <c r="DK471" s="246"/>
      <c r="DL471" s="246"/>
      <c r="DM471" s="246"/>
      <c r="DN471" s="246"/>
      <c r="DO471" s="246"/>
      <c r="DP471" s="246"/>
      <c r="DQ471" s="246"/>
      <c r="DT471" s="246"/>
      <c r="DV471" s="234"/>
      <c r="DY471" s="234"/>
      <c r="DZ471" s="234"/>
      <c r="EA471" s="234"/>
      <c r="EB471" s="234"/>
    </row>
    <row r="472" spans="2:132" ht="15" thickBot="1" x14ac:dyDescent="0.5">
      <c r="B472" s="521" t="s">
        <v>2057</v>
      </c>
      <c r="D472" s="250"/>
      <c r="E472" s="250"/>
      <c r="F472" s="250"/>
      <c r="G472" s="250"/>
      <c r="H472" s="250"/>
      <c r="I472" s="250"/>
      <c r="J472" s="250"/>
      <c r="K472" s="1210" t="s">
        <v>1292</v>
      </c>
      <c r="L472" s="1211"/>
      <c r="M472" s="1212"/>
      <c r="N472" s="1212"/>
      <c r="O472" s="1212"/>
      <c r="P472" s="1212"/>
      <c r="Q472" s="1212"/>
      <c r="R472" s="1212"/>
      <c r="S472" s="1212"/>
      <c r="T472" s="1212"/>
      <c r="U472" s="1212"/>
      <c r="V472" s="1212"/>
      <c r="W472" s="1213" t="s">
        <v>2058</v>
      </c>
      <c r="X472" s="1214"/>
      <c r="Y472" s="1215"/>
      <c r="Z472" s="1215"/>
      <c r="AA472" s="1215"/>
      <c r="AB472" s="1215"/>
      <c r="AC472" s="1215"/>
      <c r="AD472" s="1215"/>
      <c r="AE472" s="1215"/>
      <c r="AF472" s="1215"/>
      <c r="AG472" s="1215"/>
      <c r="AH472" s="1215"/>
      <c r="AI472" s="1216" t="s">
        <v>2074</v>
      </c>
      <c r="AJ472" s="1217"/>
      <c r="AK472" s="1218"/>
      <c r="AL472" s="1218"/>
      <c r="AM472" s="1218"/>
      <c r="AN472" s="1218"/>
      <c r="AO472" s="1218"/>
      <c r="AP472" s="1218"/>
      <c r="AQ472" s="1218"/>
      <c r="AR472" s="1218"/>
      <c r="AS472" s="1218"/>
      <c r="AT472" s="1218"/>
      <c r="AU472" s="1210" t="s">
        <v>2060</v>
      </c>
      <c r="AV472" s="1211"/>
      <c r="AW472" s="1212"/>
      <c r="AX472" s="1212"/>
      <c r="AY472" s="1212"/>
      <c r="AZ472" s="1212"/>
      <c r="BA472" s="1212"/>
      <c r="BB472" s="1212"/>
      <c r="BC472" s="1212"/>
      <c r="BD472" s="1212"/>
      <c r="BE472" s="1213" t="s">
        <v>2066</v>
      </c>
      <c r="BF472" s="1214"/>
      <c r="BG472" s="1215"/>
      <c r="BH472" s="1215"/>
      <c r="BI472" s="1215"/>
      <c r="BJ472" s="1215"/>
      <c r="BK472" s="1215"/>
      <c r="BL472" s="1215"/>
      <c r="BM472" s="1215"/>
      <c r="BN472" s="1215"/>
      <c r="BO472" s="1216" t="s">
        <v>2067</v>
      </c>
      <c r="BP472" s="1217"/>
      <c r="BQ472" s="1218"/>
      <c r="BR472" s="1218"/>
      <c r="BS472" s="1218"/>
      <c r="BT472" s="1218"/>
      <c r="BU472" s="1218"/>
      <c r="BV472" s="1218"/>
      <c r="BW472" s="1218"/>
      <c r="BX472" s="1218"/>
      <c r="BY472" s="1210" t="s">
        <v>2062</v>
      </c>
      <c r="BZ472" s="1211"/>
      <c r="CA472" s="1212"/>
      <c r="CB472" s="1212"/>
      <c r="CC472" s="1212"/>
      <c r="CD472" s="1212"/>
      <c r="CE472" s="1212"/>
      <c r="CF472" s="1212"/>
      <c r="CG472" s="1213" t="s">
        <v>2068</v>
      </c>
      <c r="CH472" s="1214"/>
      <c r="CI472" s="1215"/>
      <c r="CJ472" s="1215"/>
      <c r="CK472" s="1215"/>
      <c r="CL472" s="1215"/>
      <c r="CM472" s="1215"/>
      <c r="CN472" s="1215"/>
      <c r="CO472" s="1216" t="s">
        <v>2818</v>
      </c>
      <c r="CP472" s="1217"/>
      <c r="CQ472" s="1218"/>
      <c r="CR472" s="1218"/>
      <c r="CS472" s="1218"/>
      <c r="CT472" s="1218"/>
      <c r="CU472" s="1218"/>
      <c r="CV472" s="1218"/>
      <c r="CW472" s="1210" t="s">
        <v>2073</v>
      </c>
      <c r="CX472" s="1211"/>
      <c r="CY472" s="1212"/>
      <c r="CZ472" s="1212"/>
      <c r="DA472" s="1212"/>
      <c r="DB472" s="1212"/>
      <c r="DC472" s="1213" t="s">
        <v>2819</v>
      </c>
      <c r="DD472" s="1214"/>
      <c r="DE472" s="1215"/>
      <c r="DF472" s="1215"/>
      <c r="DG472" s="1215"/>
      <c r="DH472" s="1215"/>
      <c r="DI472" s="1216" t="s">
        <v>2822</v>
      </c>
      <c r="DJ472" s="1217"/>
      <c r="DK472" s="1218"/>
      <c r="DL472" s="1218"/>
      <c r="DM472" s="1218"/>
      <c r="DN472" s="1218"/>
      <c r="DO472" s="1210" t="s">
        <v>2823</v>
      </c>
      <c r="DP472" s="1211"/>
      <c r="DQ472" s="1212"/>
      <c r="DR472" s="1212"/>
      <c r="DS472" s="1213" t="s">
        <v>2824</v>
      </c>
      <c r="DT472" s="1219"/>
      <c r="DV472" s="234"/>
      <c r="DY472" s="234"/>
      <c r="DZ472" s="234"/>
      <c r="EA472" s="234"/>
      <c r="EB472" s="234"/>
    </row>
    <row r="473" spans="2:132" x14ac:dyDescent="0.45">
      <c r="U473" s="234"/>
      <c r="V473" s="234"/>
      <c r="BH473" s="234"/>
      <c r="BI473" s="234"/>
      <c r="BY473" s="246"/>
      <c r="DE473" s="246"/>
      <c r="DF473" s="246"/>
      <c r="DG473" s="246"/>
      <c r="DH473" s="246"/>
      <c r="DI473" s="246"/>
      <c r="DJ473" s="246"/>
      <c r="DK473" s="246"/>
      <c r="DL473" s="246"/>
      <c r="DM473" s="246"/>
      <c r="DN473" s="246"/>
      <c r="DO473" s="246"/>
      <c r="DP473" s="246"/>
      <c r="DQ473" s="246"/>
      <c r="DS473" s="246"/>
      <c r="DT473" s="246"/>
      <c r="DV473" s="246"/>
      <c r="DY473" s="234"/>
      <c r="DZ473" s="234"/>
      <c r="EA473" s="234"/>
      <c r="EB473" s="234"/>
    </row>
    <row r="474" spans="2:132" x14ac:dyDescent="0.45">
      <c r="U474" s="234"/>
      <c r="V474" s="234"/>
      <c r="BH474" s="234"/>
      <c r="BI474" s="234"/>
      <c r="BY474" s="246"/>
      <c r="DE474" s="246"/>
      <c r="DF474" s="246"/>
      <c r="DG474" s="246"/>
      <c r="DH474" s="246"/>
      <c r="DI474" s="246"/>
      <c r="DJ474" s="246"/>
      <c r="DK474" s="246"/>
      <c r="DL474" s="246"/>
      <c r="DM474" s="246"/>
      <c r="DN474" s="246"/>
      <c r="DO474" s="246"/>
      <c r="DP474" s="246"/>
      <c r="DQ474" s="246"/>
      <c r="DS474" s="246"/>
      <c r="DT474" s="246"/>
      <c r="DV474" s="246"/>
      <c r="DY474" s="234"/>
      <c r="DZ474" s="234"/>
      <c r="EA474" s="234"/>
      <c r="EB474" s="234"/>
    </row>
    <row r="475" spans="2:132" x14ac:dyDescent="0.45">
      <c r="U475" s="234"/>
      <c r="V475" s="234"/>
      <c r="BH475" s="234"/>
      <c r="BI475" s="234"/>
      <c r="BY475" s="246"/>
      <c r="DE475" s="246"/>
      <c r="DF475" s="246"/>
      <c r="DG475" s="246"/>
      <c r="DH475" s="246"/>
      <c r="DI475" s="246"/>
      <c r="DJ475" s="246"/>
      <c r="DK475" s="246"/>
      <c r="DL475" s="246"/>
      <c r="DM475" s="246"/>
      <c r="DN475" s="246"/>
      <c r="DO475" s="246"/>
      <c r="DP475" s="246"/>
      <c r="DQ475" s="246"/>
      <c r="DS475" s="246"/>
      <c r="DT475" s="246"/>
      <c r="DV475" s="246"/>
      <c r="DY475" s="234"/>
      <c r="DZ475" s="234"/>
      <c r="EA475" s="234"/>
      <c r="EB475" s="234"/>
    </row>
    <row r="476" spans="2:132" x14ac:dyDescent="0.45">
      <c r="U476" s="234"/>
      <c r="V476" s="234"/>
      <c r="BH476" s="234"/>
      <c r="BI476" s="234"/>
      <c r="DC476" s="246"/>
      <c r="DD476" s="246"/>
      <c r="DE476" s="246"/>
      <c r="DF476" s="246"/>
      <c r="DG476" s="246"/>
      <c r="DH476" s="246"/>
      <c r="DI476" s="246"/>
      <c r="DJ476" s="246"/>
      <c r="DK476" s="246"/>
      <c r="DL476" s="246"/>
      <c r="DM476" s="246"/>
      <c r="DN476" s="246"/>
      <c r="DO476" s="246"/>
      <c r="DQ476" s="246"/>
      <c r="DR476" s="246"/>
      <c r="DS476" s="246"/>
      <c r="DT476" s="246"/>
      <c r="DY476" s="234"/>
      <c r="DZ476" s="234"/>
      <c r="EA476" s="234"/>
      <c r="EB476" s="234"/>
    </row>
    <row r="477" spans="2:132" x14ac:dyDescent="0.45">
      <c r="U477" s="234"/>
      <c r="V477" s="234"/>
      <c r="BH477" s="234"/>
      <c r="BI477" s="234"/>
      <c r="DC477" s="246"/>
      <c r="DD477" s="246"/>
      <c r="DE477" s="246"/>
      <c r="DF477" s="246"/>
      <c r="DG477" s="246"/>
      <c r="DH477" s="246"/>
      <c r="DI477" s="246"/>
      <c r="DJ477" s="246"/>
      <c r="DK477" s="246"/>
      <c r="DL477" s="246"/>
      <c r="DM477" s="246"/>
      <c r="DN477" s="246"/>
      <c r="DO477" s="246"/>
      <c r="DQ477" s="246"/>
      <c r="DR477" s="246"/>
      <c r="DS477" s="246"/>
      <c r="DT477" s="246"/>
      <c r="DY477" s="234"/>
      <c r="DZ477" s="234"/>
      <c r="EA477" s="234"/>
      <c r="EB477" s="234"/>
    </row>
    <row r="478" spans="2:132" x14ac:dyDescent="0.45">
      <c r="U478" s="234"/>
      <c r="V478" s="234"/>
      <c r="BH478" s="234"/>
      <c r="BI478" s="234"/>
      <c r="DC478" s="246"/>
      <c r="DD478" s="246"/>
      <c r="DE478" s="246"/>
      <c r="DF478" s="246"/>
      <c r="DG478" s="246"/>
      <c r="DH478" s="246"/>
      <c r="DI478" s="246"/>
      <c r="DJ478" s="246"/>
      <c r="DK478" s="246"/>
      <c r="DL478" s="246"/>
      <c r="DM478" s="246"/>
      <c r="DN478" s="246"/>
      <c r="DO478" s="246"/>
      <c r="DQ478" s="246"/>
      <c r="DR478" s="246"/>
      <c r="DS478" s="246"/>
      <c r="DT478" s="246"/>
      <c r="DY478" s="234"/>
      <c r="DZ478" s="234"/>
      <c r="EA478" s="234"/>
      <c r="EB478" s="234"/>
    </row>
    <row r="481" spans="2:132" x14ac:dyDescent="0.45">
      <c r="B481" s="1222" t="s">
        <v>2830</v>
      </c>
      <c r="C481" s="1223"/>
      <c r="D481" s="1224"/>
      <c r="E481" s="1224"/>
      <c r="F481" s="1224"/>
      <c r="G481" s="1224"/>
      <c r="H481" s="1224"/>
      <c r="I481" s="1224"/>
      <c r="J481" s="1224"/>
      <c r="K481" s="1224"/>
      <c r="L481" s="1224"/>
      <c r="M481" s="1224"/>
      <c r="N481" s="1224"/>
      <c r="O481" s="1224"/>
      <c r="P481" s="1224"/>
      <c r="Q481" s="1224"/>
      <c r="R481" s="1224"/>
      <c r="S481" s="1224"/>
      <c r="T481" s="1224"/>
      <c r="U481" s="1224"/>
      <c r="V481" s="1224"/>
      <c r="W481" s="1224"/>
      <c r="X481" s="1224"/>
      <c r="Y481" s="1224"/>
      <c r="Z481" s="1224"/>
      <c r="AA481" s="1224"/>
      <c r="AB481" s="1224"/>
      <c r="AC481" s="1224"/>
      <c r="AD481" s="1224"/>
      <c r="AE481" s="1224"/>
      <c r="AF481" s="1224"/>
      <c r="AG481" s="1224"/>
      <c r="AH481" s="1224"/>
      <c r="AI481" s="1224"/>
      <c r="AJ481" s="1224"/>
      <c r="AK481" s="1224"/>
      <c r="AL481" s="1224"/>
      <c r="AM481" s="1224"/>
      <c r="AN481" s="1224"/>
      <c r="AO481" s="1224"/>
      <c r="AP481" s="1224"/>
      <c r="AQ481" s="1224"/>
      <c r="AR481" s="1224"/>
      <c r="AS481" s="1224"/>
      <c r="AT481" s="1224"/>
      <c r="AU481" s="1224"/>
      <c r="AV481" s="1224"/>
      <c r="AW481" s="1224"/>
      <c r="AX481" s="1224"/>
      <c r="AY481" s="1224"/>
      <c r="AZ481" s="1224"/>
      <c r="BA481" s="1224"/>
      <c r="BB481" s="1224"/>
      <c r="BC481" s="1224"/>
      <c r="BD481" s="1224"/>
      <c r="BE481" s="1224"/>
      <c r="BF481" s="1224"/>
      <c r="BG481" s="1224"/>
      <c r="BH481" s="1224"/>
      <c r="BI481" s="1224"/>
      <c r="BJ481" s="1224"/>
      <c r="BK481" s="1224"/>
      <c r="BL481" s="1224"/>
      <c r="BM481" s="1224"/>
      <c r="BN481" s="1224"/>
      <c r="BO481" s="1224"/>
      <c r="BP481" s="1224"/>
      <c r="BQ481" s="1224"/>
      <c r="BR481" s="1224"/>
      <c r="BS481" s="1224"/>
      <c r="BT481" s="1224"/>
      <c r="BU481" s="1224"/>
      <c r="BV481" s="1224"/>
      <c r="BW481" s="1224"/>
      <c r="BX481" s="1224"/>
      <c r="BY481" s="1224"/>
      <c r="BZ481" s="1224"/>
      <c r="CA481" s="1224"/>
      <c r="CB481" s="1224"/>
      <c r="CC481" s="1224"/>
      <c r="CD481" s="1224"/>
      <c r="CE481" s="1224"/>
      <c r="CF481" s="1224"/>
      <c r="CG481" s="1224"/>
      <c r="CH481" s="1224"/>
      <c r="CI481" s="1224"/>
      <c r="CJ481" s="1224"/>
      <c r="CK481" s="1224"/>
      <c r="CL481" s="1224"/>
      <c r="CM481" s="1224"/>
      <c r="CN481" s="1224"/>
      <c r="CO481" s="1224"/>
      <c r="CP481" s="1224"/>
      <c r="CQ481" s="1224"/>
      <c r="CR481" s="1224"/>
      <c r="CS481" s="1224"/>
      <c r="CT481" s="1224"/>
      <c r="CU481" s="1224"/>
      <c r="CV481" s="1224"/>
      <c r="CW481" s="1224"/>
      <c r="CX481" s="1224"/>
      <c r="CY481" s="1224"/>
      <c r="CZ481" s="1224"/>
      <c r="DA481" s="1224"/>
      <c r="DB481" s="1224"/>
      <c r="DC481" s="1224"/>
      <c r="DD481" s="1224"/>
      <c r="DE481" s="1224"/>
      <c r="DF481" s="1224"/>
      <c r="DG481" s="1224"/>
      <c r="DH481" s="1224"/>
      <c r="DI481" s="1224"/>
      <c r="DJ481" s="1224"/>
      <c r="DK481" s="1224"/>
      <c r="DL481" s="1224"/>
      <c r="DM481" s="1224"/>
      <c r="DN481" s="1224"/>
      <c r="DO481" s="1224"/>
      <c r="DP481" s="1224"/>
      <c r="DQ481" s="1224"/>
      <c r="DR481" s="1224"/>
      <c r="DS481" s="1224"/>
      <c r="DT481" s="1224"/>
    </row>
    <row r="482" spans="2:132" x14ac:dyDescent="0.45">
      <c r="B482" s="521" t="s">
        <v>1431</v>
      </c>
      <c r="D482" s="247"/>
      <c r="E482" s="247"/>
      <c r="F482" s="347"/>
      <c r="G482" s="348"/>
      <c r="H482" s="348"/>
      <c r="I482" s="348"/>
      <c r="J482" s="349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  <c r="AA482" s="256"/>
      <c r="AB482" s="256"/>
      <c r="AC482" s="256"/>
      <c r="AD482" s="256"/>
      <c r="AE482" s="256"/>
      <c r="AF482" s="256"/>
      <c r="AG482" s="256"/>
      <c r="AH482" s="256"/>
      <c r="AI482" s="256"/>
      <c r="AJ482" s="256"/>
      <c r="AK482" s="256"/>
      <c r="AL482" s="256"/>
      <c r="AM482" s="256"/>
      <c r="AN482" s="256"/>
      <c r="AO482" s="256"/>
      <c r="AP482" s="256"/>
      <c r="AQ482" s="256"/>
      <c r="AR482" s="256"/>
      <c r="AS482" s="256"/>
      <c r="AT482" s="256"/>
      <c r="AU482" s="256"/>
      <c r="AV482" s="256"/>
      <c r="AW482" s="256"/>
      <c r="AX482" s="256"/>
      <c r="AY482" s="256"/>
      <c r="AZ482" s="256"/>
      <c r="BA482" s="256"/>
      <c r="BB482" s="256"/>
      <c r="BC482" s="256"/>
      <c r="BD482" s="256"/>
      <c r="BE482" s="256"/>
      <c r="BF482" s="256"/>
      <c r="BG482" s="256"/>
      <c r="BH482" s="256"/>
      <c r="BI482" s="256"/>
      <c r="BJ482" s="256"/>
      <c r="BK482" s="256"/>
      <c r="BL482" s="256"/>
      <c r="BM482" s="256"/>
      <c r="BN482" s="256"/>
      <c r="BO482" s="256"/>
      <c r="BP482" s="256"/>
      <c r="BQ482" s="256"/>
      <c r="BR482" s="256"/>
      <c r="BS482" s="256"/>
      <c r="BT482" s="256"/>
      <c r="BU482" s="256"/>
      <c r="BV482" s="256"/>
      <c r="BW482" s="256"/>
      <c r="BX482" s="256"/>
      <c r="BY482" s="256"/>
      <c r="BZ482" s="256"/>
      <c r="CA482" s="256"/>
      <c r="CB482" s="256"/>
      <c r="CC482" s="256"/>
      <c r="CD482" s="256"/>
      <c r="CE482" s="256"/>
      <c r="CF482" s="256"/>
      <c r="CG482" s="256"/>
      <c r="CH482" s="256"/>
      <c r="CI482" s="256"/>
      <c r="CJ482" s="256"/>
      <c r="CK482" s="256"/>
      <c r="CL482" s="256"/>
      <c r="CM482" s="256"/>
      <c r="CN482" s="256"/>
      <c r="CO482" s="256"/>
      <c r="CP482" s="256"/>
      <c r="CQ482" s="256"/>
      <c r="CR482" s="256"/>
      <c r="CS482" s="256"/>
      <c r="CT482" s="256"/>
      <c r="CU482" s="256"/>
      <c r="CV482" s="256"/>
      <c r="CW482" s="256"/>
      <c r="CX482" s="256"/>
      <c r="CY482" s="256"/>
      <c r="CZ482" s="256"/>
      <c r="DA482" s="256"/>
      <c r="DB482" s="256"/>
      <c r="DC482" s="256"/>
      <c r="DD482" s="256"/>
      <c r="DE482" s="256"/>
      <c r="DF482" s="256"/>
      <c r="DG482" s="256"/>
      <c r="DH482" s="256"/>
      <c r="DI482" s="256"/>
      <c r="DJ482" s="256"/>
      <c r="DK482" s="256"/>
      <c r="DL482" s="256"/>
      <c r="DM482" s="256"/>
      <c r="DN482" s="256"/>
      <c r="DO482" s="256"/>
      <c r="DP482" s="256"/>
      <c r="DQ482" s="256"/>
      <c r="DR482" s="256"/>
      <c r="DS482" s="256"/>
      <c r="DT482" s="256"/>
      <c r="DY482" s="234"/>
      <c r="DZ482" s="234"/>
      <c r="EA482" s="234"/>
      <c r="EB482" s="234"/>
    </row>
    <row r="483" spans="2:132" x14ac:dyDescent="0.45">
      <c r="B483" s="554"/>
      <c r="BX483" s="246"/>
      <c r="BY483" s="246"/>
      <c r="BZ483" s="246"/>
      <c r="CA483" s="246"/>
      <c r="CB483" s="246"/>
      <c r="CC483" s="246"/>
      <c r="CD483" s="246"/>
      <c r="CE483" s="246"/>
      <c r="CF483" s="246"/>
      <c r="CG483" s="246"/>
      <c r="CH483" s="246"/>
      <c r="CI483" s="246"/>
      <c r="CJ483" s="246"/>
      <c r="CK483" s="246"/>
      <c r="CL483" s="246"/>
      <c r="CM483" s="246"/>
      <c r="CN483" s="246"/>
      <c r="CO483" s="246"/>
      <c r="CP483" s="246"/>
      <c r="CQ483" s="246"/>
      <c r="CR483" s="246"/>
      <c r="CS483" s="246"/>
      <c r="CT483" s="246"/>
      <c r="CU483" s="246"/>
      <c r="CV483" s="246"/>
      <c r="CW483" s="246"/>
      <c r="CX483" s="246"/>
      <c r="CY483" s="246"/>
      <c r="CZ483" s="246"/>
      <c r="DA483" s="246"/>
      <c r="DB483" s="246"/>
      <c r="DC483" s="246"/>
      <c r="DD483" s="246"/>
      <c r="DE483" s="246"/>
      <c r="DF483" s="246"/>
      <c r="DG483" s="246"/>
      <c r="DH483" s="246"/>
      <c r="DI483" s="246"/>
      <c r="DJ483" s="246"/>
      <c r="DK483" s="246"/>
      <c r="DL483" s="246"/>
      <c r="DM483" s="246"/>
      <c r="DN483" s="246"/>
      <c r="DO483" s="246"/>
      <c r="DP483" s="246"/>
      <c r="DQ483" s="246"/>
      <c r="DR483" s="246"/>
      <c r="DS483" s="246"/>
      <c r="DT483" s="246"/>
    </row>
    <row r="484" spans="2:132" x14ac:dyDescent="0.45">
      <c r="B484" s="521" t="s">
        <v>2071</v>
      </c>
      <c r="D484" s="247"/>
      <c r="E484" s="247"/>
      <c r="F484" s="258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  <c r="AA484" s="256"/>
      <c r="AB484" s="256"/>
      <c r="AC484" s="256"/>
      <c r="AD484" s="256"/>
      <c r="AE484" s="256"/>
      <c r="AF484" s="256"/>
      <c r="AG484" s="256"/>
      <c r="AH484" s="256"/>
      <c r="AI484" s="256"/>
      <c r="AJ484" s="256"/>
      <c r="AK484" s="256"/>
      <c r="AL484" s="256"/>
      <c r="AM484" s="256"/>
      <c r="AN484" s="256"/>
      <c r="AO484" s="256"/>
      <c r="AP484" s="256"/>
      <c r="AQ484" s="256"/>
      <c r="AR484" s="256"/>
      <c r="AS484" s="256"/>
      <c r="AT484" s="256"/>
      <c r="AU484" s="256"/>
      <c r="AV484" s="256"/>
      <c r="AW484" s="256"/>
      <c r="AX484" s="256"/>
      <c r="AY484" s="256"/>
      <c r="AZ484" s="256"/>
      <c r="BA484" s="256"/>
      <c r="BB484" s="256"/>
      <c r="BC484" s="256"/>
      <c r="BD484" s="256"/>
      <c r="BE484" s="256"/>
      <c r="BF484" s="256"/>
      <c r="BG484" s="256"/>
      <c r="BH484" s="256"/>
      <c r="BI484" s="256"/>
      <c r="BJ484" s="256"/>
      <c r="BK484" s="256"/>
      <c r="BL484" s="256"/>
      <c r="BM484" s="256"/>
      <c r="BN484" s="256"/>
      <c r="BO484" s="256"/>
      <c r="BP484" s="256"/>
      <c r="BQ484" s="256"/>
      <c r="BR484" s="256"/>
      <c r="BS484" s="256"/>
      <c r="BT484" s="256"/>
      <c r="BU484" s="256"/>
      <c r="BV484" s="256"/>
      <c r="BW484" s="256"/>
      <c r="BX484" s="256"/>
      <c r="BY484" s="256"/>
      <c r="BZ484" s="256"/>
      <c r="CA484" s="256"/>
      <c r="CB484" s="256"/>
      <c r="CC484" s="256"/>
      <c r="CD484" s="256"/>
      <c r="CE484" s="256"/>
      <c r="CF484" s="256"/>
      <c r="CG484" s="256"/>
      <c r="CH484" s="256"/>
      <c r="CI484" s="256"/>
      <c r="CJ484" s="256"/>
      <c r="CK484" s="256"/>
      <c r="CL484" s="256"/>
      <c r="CM484" s="256"/>
      <c r="CN484" s="256"/>
      <c r="CO484" s="256"/>
      <c r="CP484" s="256"/>
      <c r="CQ484" s="256"/>
      <c r="CR484" s="256"/>
      <c r="CS484" s="256"/>
      <c r="CT484" s="256"/>
      <c r="CU484" s="256"/>
      <c r="CV484" s="256"/>
      <c r="CW484" s="256"/>
      <c r="CX484" s="256"/>
      <c r="CY484" s="256"/>
      <c r="CZ484" s="256"/>
      <c r="DA484" s="256"/>
      <c r="DB484" s="256"/>
      <c r="DC484" s="256"/>
      <c r="DD484" s="256"/>
      <c r="DE484" s="256"/>
      <c r="DF484" s="256"/>
      <c r="DG484" s="256"/>
      <c r="DH484" s="256"/>
      <c r="DI484" s="256"/>
      <c r="DJ484" s="256"/>
      <c r="DK484" s="256"/>
      <c r="DL484" s="256"/>
      <c r="DM484" s="256"/>
      <c r="DN484" s="256"/>
      <c r="DO484" s="256"/>
      <c r="DP484" s="256"/>
      <c r="DQ484" s="256"/>
      <c r="DR484" s="256"/>
      <c r="DS484" s="256"/>
      <c r="DT484" s="256"/>
      <c r="DY484" s="234"/>
      <c r="DZ484" s="234"/>
      <c r="EA484" s="234"/>
      <c r="EB484" s="234"/>
    </row>
    <row r="485" spans="2:132" x14ac:dyDescent="0.45">
      <c r="U485" s="234"/>
      <c r="V485" s="234"/>
      <c r="BX485" s="246"/>
      <c r="BY485" s="246"/>
      <c r="BZ485" s="246"/>
      <c r="CA485" s="246"/>
      <c r="CB485" s="246"/>
      <c r="CC485" s="246"/>
      <c r="CD485" s="246"/>
      <c r="CE485" s="246"/>
      <c r="CF485" s="246"/>
      <c r="CG485" s="246"/>
      <c r="CH485" s="246"/>
      <c r="CI485" s="246"/>
      <c r="CJ485" s="246"/>
      <c r="CK485" s="246"/>
      <c r="CL485" s="246"/>
      <c r="CM485" s="246"/>
      <c r="CN485" s="246"/>
      <c r="CO485" s="246"/>
      <c r="CP485" s="246"/>
      <c r="CQ485" s="246"/>
      <c r="CR485" s="246"/>
      <c r="CS485" s="246"/>
      <c r="CT485" s="246"/>
      <c r="CU485" s="246"/>
      <c r="CV485" s="246"/>
      <c r="CW485" s="246"/>
      <c r="CX485" s="246"/>
      <c r="CY485" s="246"/>
      <c r="CZ485" s="246"/>
      <c r="DA485" s="246"/>
      <c r="DB485" s="246"/>
      <c r="DC485" s="246"/>
      <c r="DD485" s="246"/>
      <c r="DE485" s="246"/>
      <c r="DF485" s="246"/>
      <c r="DG485" s="246"/>
      <c r="DH485" s="246"/>
      <c r="DI485" s="246"/>
      <c r="DJ485" s="246"/>
      <c r="DK485" s="246"/>
      <c r="DL485" s="246"/>
      <c r="DS485" s="246"/>
      <c r="DT485" s="246"/>
      <c r="DY485" s="234"/>
      <c r="DZ485" s="234"/>
      <c r="EA485" s="234"/>
      <c r="EB485" s="234"/>
    </row>
    <row r="486" spans="2:132" x14ac:dyDescent="0.45">
      <c r="B486" s="521" t="s">
        <v>2081</v>
      </c>
      <c r="D486" s="250"/>
      <c r="E486" s="250"/>
      <c r="F486" s="250"/>
      <c r="G486" s="387"/>
      <c r="H486" s="387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60"/>
      <c r="V486" s="260"/>
      <c r="W486" s="250"/>
      <c r="X486" s="250"/>
      <c r="Y486" s="250"/>
      <c r="Z486" s="250"/>
      <c r="AA486" s="250"/>
      <c r="AB486" s="250"/>
      <c r="AC486" s="250"/>
      <c r="AD486" s="250"/>
      <c r="AE486" s="250"/>
      <c r="AF486" s="250"/>
      <c r="AG486" s="250"/>
      <c r="AH486" s="250"/>
      <c r="AI486" s="250"/>
      <c r="AJ486" s="250"/>
      <c r="AK486" s="250"/>
      <c r="AL486" s="250"/>
      <c r="AM486" s="250"/>
      <c r="AN486" s="250"/>
      <c r="AO486" s="250"/>
      <c r="AP486" s="250"/>
      <c r="AQ486" s="250"/>
      <c r="AR486" s="250"/>
      <c r="AS486" s="250"/>
      <c r="AT486" s="250"/>
      <c r="AU486" s="250"/>
      <c r="AV486" s="250"/>
      <c r="AW486" s="250"/>
      <c r="AX486" s="250"/>
      <c r="AY486" s="250"/>
      <c r="AZ486" s="250"/>
      <c r="BA486" s="250"/>
      <c r="BB486" s="250"/>
      <c r="BC486" s="250"/>
      <c r="BD486" s="250"/>
      <c r="BE486" s="250"/>
      <c r="BF486" s="250"/>
      <c r="BG486" s="250"/>
      <c r="BH486" s="250"/>
      <c r="BI486" s="250"/>
      <c r="BJ486" s="250"/>
      <c r="BK486" s="250"/>
      <c r="BL486" s="250"/>
      <c r="BM486" s="250"/>
      <c r="BN486" s="250"/>
      <c r="BO486" s="250"/>
      <c r="BP486" s="250"/>
      <c r="BQ486" s="250"/>
      <c r="BR486" s="250"/>
      <c r="BS486" s="250"/>
      <c r="BT486" s="250"/>
      <c r="BU486" s="250"/>
      <c r="BV486" s="250"/>
      <c r="BW486" s="250"/>
      <c r="BX486" s="250"/>
      <c r="BY486" s="250"/>
      <c r="BZ486" s="250"/>
      <c r="CA486" s="250"/>
      <c r="CB486" s="250"/>
      <c r="CC486" s="250"/>
      <c r="CD486" s="250"/>
      <c r="CE486" s="250"/>
      <c r="CF486" s="250"/>
      <c r="CG486" s="250"/>
      <c r="CH486" s="250"/>
      <c r="CI486" s="250"/>
      <c r="CJ486" s="250"/>
      <c r="CK486" s="250"/>
      <c r="CL486" s="250"/>
      <c r="CM486" s="250"/>
      <c r="CN486" s="250"/>
      <c r="CO486" s="250"/>
      <c r="CP486" s="250"/>
      <c r="CQ486" s="250"/>
      <c r="CR486" s="250"/>
      <c r="CS486" s="250"/>
      <c r="CT486" s="250"/>
      <c r="CU486" s="250"/>
      <c r="CV486" s="250"/>
      <c r="CW486" s="250"/>
      <c r="CX486" s="250"/>
      <c r="CY486" s="250"/>
      <c r="CZ486" s="250"/>
      <c r="DA486" s="250"/>
      <c r="DB486" s="250"/>
      <c r="DC486" s="250"/>
      <c r="DD486" s="250"/>
      <c r="DE486" s="250"/>
      <c r="DF486" s="250"/>
      <c r="DG486" s="250"/>
      <c r="DH486" s="250"/>
      <c r="DI486" s="250"/>
      <c r="DJ486" s="250"/>
      <c r="DK486" s="250"/>
      <c r="DL486" s="250"/>
      <c r="DM486" s="260"/>
      <c r="DN486" s="260"/>
      <c r="DO486" s="260"/>
      <c r="DP486" s="260"/>
      <c r="DQ486" s="260"/>
      <c r="DR486" s="260"/>
      <c r="DS486" s="250"/>
      <c r="DT486" s="250"/>
      <c r="DY486" s="234"/>
      <c r="DZ486" s="234"/>
      <c r="EA486" s="234"/>
      <c r="EB486" s="234"/>
    </row>
    <row r="487" spans="2:132" x14ac:dyDescent="0.45">
      <c r="U487" s="234"/>
      <c r="V487" s="234"/>
      <c r="BX487" s="246"/>
      <c r="BY487" s="246"/>
      <c r="BZ487" s="246"/>
      <c r="CA487" s="246"/>
      <c r="CB487" s="246"/>
      <c r="CC487" s="246"/>
      <c r="CD487" s="246"/>
      <c r="CE487" s="246"/>
      <c r="CF487" s="246"/>
      <c r="CG487" s="246"/>
      <c r="CH487" s="246"/>
      <c r="CI487" s="246"/>
      <c r="CJ487" s="246"/>
      <c r="CK487" s="246"/>
      <c r="CL487" s="246"/>
      <c r="CM487" s="246"/>
      <c r="CN487" s="246"/>
      <c r="CO487" s="246"/>
      <c r="CP487" s="246"/>
      <c r="CQ487" s="246"/>
      <c r="CR487" s="246"/>
      <c r="CS487" s="246"/>
      <c r="CT487" s="246"/>
      <c r="CU487" s="246"/>
      <c r="CV487" s="246"/>
      <c r="CW487" s="246"/>
      <c r="CX487" s="246"/>
      <c r="CY487" s="246"/>
      <c r="CZ487" s="246"/>
      <c r="DA487" s="246"/>
      <c r="DB487" s="246"/>
      <c r="DC487" s="246"/>
      <c r="DD487" s="246"/>
      <c r="DE487" s="246"/>
      <c r="DF487" s="246"/>
      <c r="DG487" s="246"/>
      <c r="DH487" s="246"/>
      <c r="DI487" s="246"/>
      <c r="DJ487" s="246"/>
      <c r="DK487" s="246"/>
      <c r="DL487" s="246"/>
      <c r="DS487" s="246"/>
      <c r="DT487" s="246"/>
      <c r="DY487" s="234"/>
      <c r="DZ487" s="234"/>
      <c r="EA487" s="234"/>
      <c r="EB487" s="234"/>
    </row>
    <row r="488" spans="2:132" x14ac:dyDescent="0.45">
      <c r="B488" s="521" t="s">
        <v>2089</v>
      </c>
      <c r="D488" s="250"/>
      <c r="E488" s="250"/>
      <c r="F488" s="250"/>
      <c r="G488" s="250"/>
      <c r="H488" s="250"/>
      <c r="I488" s="250"/>
      <c r="J488" s="258"/>
      <c r="K488" s="250"/>
      <c r="L488" s="250"/>
      <c r="M488" s="250"/>
      <c r="N488" s="250"/>
      <c r="O488" s="250"/>
      <c r="P488" s="250"/>
      <c r="Q488" s="250"/>
      <c r="R488" s="250"/>
      <c r="S488" s="250"/>
      <c r="T488" s="260"/>
      <c r="U488" s="260"/>
      <c r="V488" s="250"/>
      <c r="W488" s="250"/>
      <c r="X488" s="250"/>
      <c r="Y488" s="250"/>
      <c r="Z488" s="250"/>
      <c r="AA488" s="250"/>
      <c r="AB488" s="250"/>
      <c r="AC488" s="250"/>
      <c r="AD488" s="250"/>
      <c r="AE488" s="250"/>
      <c r="AF488" s="250"/>
      <c r="AG488" s="250"/>
      <c r="AH488" s="250"/>
      <c r="AI488" s="250"/>
      <c r="AJ488" s="250"/>
      <c r="AK488" s="250"/>
      <c r="AL488" s="250"/>
      <c r="AM488" s="250"/>
      <c r="AN488" s="250"/>
      <c r="AO488" s="250"/>
      <c r="AP488" s="250"/>
      <c r="AQ488" s="250"/>
      <c r="AR488" s="250"/>
      <c r="AS488" s="250"/>
      <c r="AT488" s="250"/>
      <c r="AU488" s="250"/>
      <c r="AV488" s="250"/>
      <c r="AW488" s="250"/>
      <c r="AX488" s="250"/>
      <c r="AY488" s="250"/>
      <c r="AZ488" s="250"/>
      <c r="BA488" s="250"/>
      <c r="BB488" s="250"/>
      <c r="BC488" s="250"/>
      <c r="BD488" s="250"/>
      <c r="BE488" s="250"/>
      <c r="BF488" s="250"/>
      <c r="BG488" s="250"/>
      <c r="BH488" s="250"/>
      <c r="BI488" s="250"/>
      <c r="BJ488" s="250"/>
      <c r="BK488" s="250"/>
      <c r="BL488" s="250"/>
      <c r="BM488" s="250"/>
      <c r="BN488" s="250"/>
      <c r="BO488" s="250"/>
      <c r="BP488" s="250"/>
      <c r="BQ488" s="250"/>
      <c r="BR488" s="250"/>
      <c r="BS488" s="250"/>
      <c r="BT488" s="250"/>
      <c r="BU488" s="250"/>
      <c r="BV488" s="250"/>
      <c r="BW488" s="250"/>
      <c r="BX488" s="250"/>
      <c r="BY488" s="250"/>
      <c r="BZ488" s="250"/>
      <c r="CA488" s="250"/>
      <c r="CB488" s="250"/>
      <c r="CC488" s="250"/>
      <c r="CD488" s="250"/>
      <c r="CE488" s="250"/>
      <c r="CF488" s="250"/>
      <c r="CG488" s="250"/>
      <c r="CH488" s="250"/>
      <c r="CI488" s="250"/>
      <c r="CJ488" s="250"/>
      <c r="CK488" s="250"/>
      <c r="CL488" s="250"/>
      <c r="CM488" s="250"/>
      <c r="CN488" s="250"/>
      <c r="CO488" s="250"/>
      <c r="CP488" s="250"/>
      <c r="CQ488" s="250"/>
      <c r="CR488" s="250"/>
      <c r="CS488" s="250"/>
      <c r="CT488" s="250"/>
      <c r="CU488" s="250"/>
      <c r="CV488" s="250"/>
      <c r="CW488" s="250"/>
      <c r="CX488" s="250"/>
      <c r="CY488" s="250"/>
      <c r="CZ488" s="250"/>
      <c r="DA488" s="250"/>
      <c r="DB488" s="250"/>
      <c r="DC488" s="250"/>
      <c r="DD488" s="250"/>
      <c r="DE488" s="250"/>
      <c r="DF488" s="250"/>
      <c r="DG488" s="250"/>
      <c r="DH488" s="250"/>
      <c r="DI488" s="250"/>
      <c r="DJ488" s="250"/>
      <c r="DK488" s="250"/>
      <c r="DL488" s="250"/>
      <c r="DM488" s="250"/>
      <c r="DN488" s="250"/>
      <c r="DO488" s="250"/>
      <c r="DP488" s="260"/>
      <c r="DQ488" s="260"/>
      <c r="DR488" s="250"/>
      <c r="DS488" s="250"/>
      <c r="DY488" s="234"/>
      <c r="DZ488" s="234"/>
      <c r="EA488" s="234"/>
      <c r="EB488" s="234"/>
    </row>
    <row r="489" spans="2:132" x14ac:dyDescent="0.45">
      <c r="J489" s="257"/>
      <c r="T489" s="234"/>
      <c r="U489" s="234"/>
      <c r="BX489" s="246"/>
      <c r="BY489" s="246"/>
      <c r="BZ489" s="246"/>
      <c r="CA489" s="246"/>
      <c r="CB489" s="246"/>
      <c r="CC489" s="246"/>
      <c r="CD489" s="246"/>
      <c r="CE489" s="246"/>
      <c r="CF489" s="246"/>
      <c r="CG489" s="246"/>
      <c r="CH489" s="246"/>
      <c r="CI489" s="246"/>
      <c r="CJ489" s="246"/>
      <c r="CK489" s="246"/>
      <c r="CL489" s="246"/>
      <c r="CM489" s="246"/>
      <c r="CN489" s="246"/>
      <c r="CO489" s="246"/>
      <c r="CP489" s="246"/>
      <c r="CQ489" s="246"/>
      <c r="CR489" s="246"/>
      <c r="CS489" s="246"/>
      <c r="CT489" s="246"/>
      <c r="CU489" s="246"/>
      <c r="CV489" s="246"/>
      <c r="CW489" s="246"/>
      <c r="CX489" s="246"/>
      <c r="CY489" s="246"/>
      <c r="CZ489" s="246"/>
      <c r="DA489" s="246"/>
      <c r="DB489" s="246"/>
      <c r="DC489" s="246"/>
      <c r="DD489" s="246"/>
      <c r="DE489" s="246"/>
      <c r="DF489" s="246"/>
      <c r="DG489" s="246"/>
      <c r="DH489" s="246"/>
      <c r="DI489" s="246"/>
      <c r="DJ489" s="246"/>
      <c r="DK489" s="246"/>
      <c r="DL489" s="246"/>
      <c r="DM489" s="246"/>
      <c r="DN489" s="246"/>
      <c r="DO489" s="246"/>
      <c r="DR489" s="246"/>
      <c r="DS489" s="246"/>
      <c r="DY489" s="234"/>
      <c r="DZ489" s="234"/>
      <c r="EA489" s="234"/>
      <c r="EB489" s="234"/>
    </row>
    <row r="490" spans="2:132" ht="15" thickBot="1" x14ac:dyDescent="0.5">
      <c r="J490" s="257"/>
      <c r="T490" s="234"/>
      <c r="U490" s="234"/>
      <c r="BY490" s="246"/>
      <c r="BZ490" s="246"/>
      <c r="CA490" s="246"/>
      <c r="CB490" s="246"/>
      <c r="CC490" s="246"/>
      <c r="DD490" s="246"/>
      <c r="DE490" s="246"/>
      <c r="DF490" s="246"/>
      <c r="DG490" s="246"/>
      <c r="DH490" s="257"/>
      <c r="DI490" s="246"/>
      <c r="DJ490" s="246"/>
      <c r="DK490" s="246"/>
      <c r="DL490" s="246"/>
      <c r="DM490" s="246"/>
      <c r="DN490" s="246"/>
      <c r="DO490" s="246"/>
      <c r="DP490" s="246"/>
      <c r="DQ490" s="246"/>
      <c r="DT490" s="246"/>
      <c r="DV490" s="234"/>
      <c r="DY490" s="234"/>
      <c r="DZ490" s="234"/>
      <c r="EA490" s="234"/>
      <c r="EB490" s="234"/>
    </row>
    <row r="491" spans="2:132" ht="15" thickBot="1" x14ac:dyDescent="0.5">
      <c r="B491" s="521" t="s">
        <v>2057</v>
      </c>
      <c r="D491" s="250"/>
      <c r="E491" s="250"/>
      <c r="F491" s="250"/>
      <c r="G491" s="250"/>
      <c r="H491" s="250"/>
      <c r="I491" s="250"/>
      <c r="J491" s="250"/>
      <c r="K491" s="1213" t="s">
        <v>2075</v>
      </c>
      <c r="L491" s="1219"/>
      <c r="M491" s="1220"/>
      <c r="N491" s="1215"/>
      <c r="O491" s="1215"/>
      <c r="P491" s="1215"/>
      <c r="Q491" s="1215"/>
      <c r="R491" s="1215"/>
      <c r="S491" s="1215"/>
      <c r="T491" s="1215"/>
      <c r="U491" s="1215"/>
      <c r="V491" s="1215"/>
      <c r="W491" s="1215"/>
      <c r="X491" s="1215"/>
      <c r="Y491" s="1216" t="s">
        <v>2074</v>
      </c>
      <c r="Z491" s="1217"/>
      <c r="AA491" s="1218"/>
      <c r="AB491" s="1218"/>
      <c r="AC491" s="1218"/>
      <c r="AD491" s="1218"/>
      <c r="AE491" s="1218"/>
      <c r="AF491" s="1218"/>
      <c r="AG491" s="1218"/>
      <c r="AH491" s="1218"/>
      <c r="AI491" s="1218"/>
      <c r="AJ491" s="1218"/>
      <c r="AK491" s="1218"/>
      <c r="AL491" s="1218"/>
      <c r="AM491" s="1213" t="s">
        <v>2066</v>
      </c>
      <c r="AN491" s="1219"/>
      <c r="AO491" s="1220"/>
      <c r="AP491" s="1215"/>
      <c r="AQ491" s="1215"/>
      <c r="AR491" s="1215"/>
      <c r="AS491" s="1215"/>
      <c r="AT491" s="1215"/>
      <c r="AU491" s="1215"/>
      <c r="AV491" s="1215"/>
      <c r="AW491" s="1215"/>
      <c r="AX491" s="1215"/>
      <c r="AY491" s="1216" t="s">
        <v>2067</v>
      </c>
      <c r="AZ491" s="1217"/>
      <c r="BA491" s="1218"/>
      <c r="BB491" s="1218"/>
      <c r="BC491" s="1218"/>
      <c r="BD491" s="1218"/>
      <c r="BE491" s="1218"/>
      <c r="BF491" s="1218"/>
      <c r="BG491" s="1218"/>
      <c r="BH491" s="1218"/>
      <c r="BI491" s="1218"/>
      <c r="BJ491" s="1218"/>
      <c r="BK491" s="1213" t="s">
        <v>2062</v>
      </c>
      <c r="BL491" s="1219"/>
      <c r="BM491" s="1220"/>
      <c r="BN491" s="1215"/>
      <c r="BO491" s="1215"/>
      <c r="BP491" s="1215"/>
      <c r="BQ491" s="1215"/>
      <c r="BR491" s="1215"/>
      <c r="BS491" s="1215"/>
      <c r="BT491" s="1215"/>
      <c r="BU491" s="1216" t="s">
        <v>2068</v>
      </c>
      <c r="BV491" s="1217"/>
      <c r="BW491" s="1218"/>
      <c r="BX491" s="1218"/>
      <c r="BY491" s="1218"/>
      <c r="BZ491" s="1218"/>
      <c r="CA491" s="1218"/>
      <c r="CB491" s="1218"/>
      <c r="CC491" s="1218"/>
      <c r="CD491" s="1218"/>
      <c r="CE491" s="1213" t="s">
        <v>2073</v>
      </c>
      <c r="CF491" s="1219"/>
      <c r="CG491" s="1220"/>
      <c r="CH491" s="1215"/>
      <c r="CI491" s="1215"/>
      <c r="CJ491" s="1215"/>
      <c r="CK491" s="1215"/>
      <c r="CL491" s="1215"/>
      <c r="CM491" s="1216" t="s">
        <v>2819</v>
      </c>
      <c r="CN491" s="1217"/>
      <c r="CO491" s="1218"/>
      <c r="CP491" s="1218"/>
      <c r="CQ491" s="1218"/>
      <c r="CR491" s="1218"/>
      <c r="CS491" s="1218"/>
      <c r="CT491" s="1218"/>
      <c r="CU491" s="1213" t="s">
        <v>2823</v>
      </c>
      <c r="CV491" s="1219"/>
      <c r="CW491" s="1220"/>
      <c r="CX491" s="1215"/>
      <c r="CY491" s="1215"/>
      <c r="CZ491" s="1215"/>
      <c r="DA491" s="1216" t="s">
        <v>2824</v>
      </c>
      <c r="DB491" s="1217"/>
      <c r="DC491" s="1218"/>
      <c r="DD491" s="1218"/>
      <c r="DE491" s="1218"/>
      <c r="DF491" s="1218"/>
      <c r="DG491" s="1213" t="s">
        <v>2827</v>
      </c>
      <c r="DH491" s="1219"/>
      <c r="DI491" s="1220"/>
      <c r="DJ491" s="1215"/>
      <c r="DK491" s="1215"/>
      <c r="DL491" s="1216" t="s">
        <v>2828</v>
      </c>
      <c r="DM491" s="1217"/>
      <c r="DN491" s="1218"/>
      <c r="DO491" s="1218"/>
      <c r="DP491" s="1218"/>
      <c r="DQ491" s="1213" t="s">
        <v>2829</v>
      </c>
      <c r="DR491" s="1219"/>
      <c r="DS491" s="1221"/>
      <c r="DV491" s="234"/>
      <c r="DY491" s="234"/>
      <c r="DZ491" s="234"/>
      <c r="EA491" s="234"/>
      <c r="EB491" s="234"/>
    </row>
    <row r="492" spans="2:132" x14ac:dyDescent="0.45">
      <c r="U492" s="234"/>
      <c r="V492" s="234"/>
      <c r="BH492" s="234"/>
      <c r="BI492" s="234"/>
      <c r="BY492" s="246"/>
      <c r="DE492" s="246"/>
      <c r="DF492" s="246"/>
      <c r="DG492" s="246"/>
      <c r="DH492" s="246"/>
      <c r="DI492" s="246"/>
      <c r="DJ492" s="246"/>
      <c r="DK492" s="246"/>
      <c r="DL492" s="246"/>
      <c r="DM492" s="246"/>
      <c r="DN492" s="246"/>
      <c r="DO492" s="246"/>
      <c r="DP492" s="246"/>
      <c r="DQ492" s="246"/>
      <c r="DS492" s="246"/>
      <c r="DT492" s="246"/>
      <c r="DV492" s="246"/>
      <c r="DY492" s="234"/>
      <c r="DZ492" s="234"/>
      <c r="EA492" s="234"/>
      <c r="EB492" s="234"/>
    </row>
    <row r="493" spans="2:132" x14ac:dyDescent="0.45">
      <c r="U493" s="234"/>
      <c r="V493" s="234"/>
      <c r="BH493" s="234"/>
      <c r="BI493" s="234"/>
      <c r="BY493" s="246"/>
      <c r="DE493" s="246"/>
      <c r="DF493" s="246"/>
      <c r="DG493" s="246"/>
      <c r="DH493" s="246"/>
      <c r="DI493" s="246"/>
      <c r="DJ493" s="246"/>
      <c r="DK493" s="246"/>
      <c r="DL493" s="246"/>
      <c r="DM493" s="246"/>
      <c r="DN493" s="246"/>
      <c r="DO493" s="246"/>
      <c r="DP493" s="246"/>
      <c r="DQ493" s="246"/>
      <c r="DS493" s="246"/>
      <c r="DT493" s="246"/>
      <c r="DV493" s="246"/>
      <c r="DY493" s="234"/>
      <c r="DZ493" s="234"/>
      <c r="EA493" s="234"/>
      <c r="EB493" s="234"/>
    </row>
    <row r="494" spans="2:132" x14ac:dyDescent="0.45">
      <c r="U494" s="234"/>
      <c r="V494" s="234"/>
      <c r="BH494" s="234"/>
      <c r="BI494" s="234"/>
      <c r="BY494" s="246"/>
      <c r="DE494" s="246"/>
      <c r="DF494" s="246"/>
      <c r="DG494" s="246"/>
      <c r="DH494" s="246"/>
      <c r="DI494" s="246"/>
      <c r="DJ494" s="246"/>
      <c r="DK494" s="246"/>
      <c r="DL494" s="246"/>
      <c r="DM494" s="246"/>
      <c r="DN494" s="246"/>
      <c r="DO494" s="246"/>
      <c r="DP494" s="246"/>
      <c r="DQ494" s="246"/>
      <c r="DS494" s="246"/>
      <c r="DT494" s="246"/>
      <c r="DV494" s="246"/>
      <c r="DY494" s="234"/>
      <c r="DZ494" s="234"/>
      <c r="EA494" s="234"/>
      <c r="EB494" s="234"/>
    </row>
    <row r="495" spans="2:132" x14ac:dyDescent="0.45">
      <c r="U495" s="234"/>
      <c r="V495" s="234"/>
      <c r="BH495" s="234"/>
      <c r="BI495" s="234"/>
      <c r="DC495" s="246"/>
      <c r="DD495" s="246"/>
      <c r="DE495" s="246"/>
      <c r="DF495" s="246"/>
      <c r="DG495" s="246"/>
      <c r="DH495" s="246"/>
      <c r="DI495" s="246"/>
      <c r="DJ495" s="246"/>
      <c r="DK495" s="246"/>
      <c r="DL495" s="246"/>
      <c r="DM495" s="246"/>
      <c r="DN495" s="246"/>
      <c r="DO495" s="246"/>
      <c r="DQ495" s="246"/>
      <c r="DR495" s="246"/>
      <c r="DS495" s="246"/>
      <c r="DT495" s="246"/>
      <c r="DY495" s="234"/>
      <c r="DZ495" s="234"/>
      <c r="EA495" s="234"/>
      <c r="EB495" s="234"/>
    </row>
    <row r="496" spans="2:132" x14ac:dyDescent="0.45">
      <c r="U496" s="234"/>
      <c r="V496" s="234"/>
      <c r="BH496" s="234"/>
      <c r="BI496" s="234"/>
      <c r="DC496" s="246"/>
      <c r="DD496" s="246"/>
      <c r="DE496" s="246"/>
      <c r="DF496" s="246"/>
      <c r="DG496" s="246"/>
      <c r="DH496" s="246"/>
      <c r="DI496" s="246"/>
      <c r="DJ496" s="246"/>
      <c r="DK496" s="246"/>
      <c r="DL496" s="246"/>
      <c r="DM496" s="246"/>
      <c r="DN496" s="246"/>
      <c r="DO496" s="246"/>
      <c r="DQ496" s="246"/>
      <c r="DR496" s="246"/>
      <c r="DS496" s="246"/>
      <c r="DT496" s="246"/>
      <c r="DY496" s="234"/>
      <c r="DZ496" s="234"/>
      <c r="EA496" s="234"/>
      <c r="EB496" s="234"/>
    </row>
    <row r="497" spans="21:132" x14ac:dyDescent="0.45">
      <c r="U497" s="234"/>
      <c r="V497" s="234"/>
      <c r="BH497" s="234"/>
      <c r="BI497" s="234"/>
      <c r="DC497" s="246"/>
      <c r="DD497" s="246"/>
      <c r="DE497" s="246"/>
      <c r="DF497" s="246"/>
      <c r="DG497" s="246"/>
      <c r="DH497" s="246"/>
      <c r="DI497" s="246"/>
      <c r="DJ497" s="246"/>
      <c r="DK497" s="246"/>
      <c r="DL497" s="246"/>
      <c r="DM497" s="246"/>
      <c r="DN497" s="246"/>
      <c r="DO497" s="246"/>
      <c r="DQ497" s="246"/>
      <c r="DR497" s="246"/>
      <c r="DS497" s="246"/>
      <c r="DT497" s="246"/>
      <c r="DY497" s="234"/>
      <c r="DZ497" s="234"/>
      <c r="EA497" s="234"/>
      <c r="EB497" s="234"/>
    </row>
  </sheetData>
  <phoneticPr fontId="2" type="noConversion"/>
  <pageMargins left="0.7" right="0.7" top="0.75" bottom="0.75" header="0.3" footer="0.3"/>
  <pageSetup paperSize="9" orientation="portrait" r:id="rId1"/>
  <ignoredErrors>
    <ignoredError sqref="DX326" 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826F-9574-4A16-A282-C38B8958F7D1}">
  <sheetPr>
    <tabColor rgb="FFFFFF00"/>
  </sheetPr>
  <dimension ref="B2:DW278"/>
  <sheetViews>
    <sheetView showGridLines="0" zoomScale="150" zoomScaleNormal="150" zoomScaleSheetLayoutView="95" workbookViewId="0"/>
  </sheetViews>
  <sheetFormatPr defaultColWidth="8.58203125" defaultRowHeight="14.5" customHeight="1" x14ac:dyDescent="0.45"/>
  <cols>
    <col min="1" max="1" width="8.58203125" style="234"/>
    <col min="2" max="2" width="8.33203125" style="818" bestFit="1" customWidth="1"/>
    <col min="3" max="3" width="8.83203125" style="818" bestFit="1" customWidth="1"/>
    <col min="4" max="4" width="8.58203125" style="234"/>
    <col min="5" max="5" width="21.33203125" style="521" customWidth="1"/>
    <col min="6" max="6" width="0.83203125" style="521" customWidth="1"/>
    <col min="7" max="78" width="0.83203125" style="246" customWidth="1"/>
    <col min="79" max="127" width="0.83203125" style="234" customWidth="1"/>
    <col min="128" max="16384" width="8.58203125" style="234"/>
  </cols>
  <sheetData>
    <row r="2" spans="2:127" ht="14.5" customHeight="1" x14ac:dyDescent="0.45">
      <c r="B2" s="841" t="s">
        <v>9</v>
      </c>
      <c r="C2" s="842" t="s">
        <v>1558</v>
      </c>
      <c r="E2" s="608" t="s">
        <v>2026</v>
      </c>
      <c r="F2" s="615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Z2" s="616"/>
      <c r="AA2" s="616"/>
      <c r="AB2" s="616"/>
      <c r="AC2" s="616"/>
      <c r="AD2" s="616"/>
      <c r="AE2" s="616"/>
      <c r="AF2" s="616"/>
      <c r="AG2" s="616"/>
      <c r="AH2" s="616"/>
      <c r="AI2" s="616"/>
      <c r="AJ2" s="616"/>
      <c r="AK2" s="616"/>
      <c r="AL2" s="616"/>
      <c r="AM2" s="616"/>
      <c r="AN2" s="616"/>
      <c r="AO2" s="616"/>
      <c r="AP2" s="616"/>
      <c r="AQ2" s="616"/>
      <c r="AR2" s="616"/>
      <c r="AS2" s="616"/>
      <c r="AT2" s="616"/>
      <c r="AU2" s="616"/>
      <c r="AV2" s="616"/>
      <c r="AW2" s="616"/>
      <c r="AX2" s="616"/>
      <c r="AY2" s="616"/>
      <c r="AZ2" s="616"/>
      <c r="BA2" s="616"/>
      <c r="BB2" s="616"/>
      <c r="BC2" s="616"/>
      <c r="BD2" s="616"/>
      <c r="BE2" s="616"/>
      <c r="BF2" s="616"/>
      <c r="BG2" s="616"/>
      <c r="BH2" s="616"/>
      <c r="BI2" s="616"/>
      <c r="BJ2" s="616"/>
      <c r="BK2" s="616"/>
      <c r="BL2" s="616"/>
      <c r="BM2" s="616"/>
      <c r="BN2" s="616"/>
      <c r="BO2" s="616"/>
      <c r="BP2" s="616"/>
      <c r="BQ2" s="616"/>
      <c r="BR2" s="616"/>
      <c r="BS2" s="616"/>
      <c r="BT2" s="616"/>
      <c r="BU2" s="616"/>
      <c r="BV2" s="616"/>
      <c r="BW2" s="616"/>
      <c r="BX2" s="616"/>
      <c r="BY2" s="616"/>
      <c r="BZ2" s="616"/>
      <c r="CA2" s="616"/>
      <c r="CB2" s="616"/>
      <c r="CC2" s="616"/>
      <c r="CD2" s="616"/>
      <c r="CE2" s="616"/>
      <c r="CF2" s="616"/>
      <c r="CG2" s="616"/>
      <c r="CH2" s="616"/>
      <c r="CI2" s="616"/>
      <c r="CJ2" s="616"/>
      <c r="CK2" s="616"/>
      <c r="CL2" s="616"/>
      <c r="CM2" s="616"/>
      <c r="CN2" s="616"/>
      <c r="CO2" s="616"/>
      <c r="CP2" s="616"/>
      <c r="CQ2" s="616"/>
      <c r="CR2" s="616"/>
      <c r="CS2" s="616"/>
      <c r="CT2" s="616"/>
      <c r="CU2" s="616"/>
      <c r="CV2" s="616"/>
      <c r="CW2" s="616"/>
      <c r="CX2" s="616"/>
      <c r="CY2" s="616"/>
      <c r="CZ2" s="616"/>
      <c r="DA2" s="616"/>
      <c r="DB2" s="616"/>
      <c r="DC2" s="616"/>
      <c r="DD2" s="616"/>
      <c r="DE2" s="616"/>
      <c r="DF2" s="616"/>
      <c r="DG2" s="616"/>
      <c r="DH2" s="616"/>
      <c r="DI2" s="616"/>
      <c r="DJ2" s="616"/>
      <c r="DK2" s="616"/>
      <c r="DL2" s="616"/>
      <c r="DM2" s="616"/>
      <c r="DN2" s="616"/>
      <c r="DO2" s="616"/>
      <c r="DP2" s="616"/>
      <c r="DQ2" s="616"/>
      <c r="DR2" s="616"/>
      <c r="DS2" s="616"/>
      <c r="DT2" s="616"/>
      <c r="DU2" s="616"/>
      <c r="DV2" s="616"/>
      <c r="DW2" s="616"/>
    </row>
    <row r="3" spans="2:127" ht="14.5" customHeight="1" x14ac:dyDescent="0.45">
      <c r="B3" s="839"/>
      <c r="C3" s="819" t="s">
        <v>1535</v>
      </c>
      <c r="E3" s="521" t="s">
        <v>1431</v>
      </c>
      <c r="G3" s="247"/>
      <c r="H3" s="247"/>
      <c r="I3" s="258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Q3" s="256"/>
      <c r="AR3" s="256"/>
      <c r="AS3" s="256"/>
      <c r="AT3" s="256"/>
      <c r="AU3" s="256"/>
      <c r="AV3" s="256"/>
      <c r="AW3" s="256"/>
      <c r="AX3" s="256"/>
      <c r="AY3" s="256"/>
      <c r="AZ3" s="256"/>
      <c r="BA3" s="256"/>
      <c r="BB3" s="256"/>
      <c r="BC3" s="256"/>
      <c r="BD3" s="256"/>
      <c r="BE3" s="256"/>
      <c r="BF3" s="256"/>
      <c r="BG3" s="256"/>
      <c r="BH3" s="256"/>
      <c r="BI3" s="256"/>
      <c r="BJ3" s="256"/>
      <c r="BK3" s="256"/>
      <c r="BL3" s="256"/>
      <c r="BM3" s="256"/>
      <c r="BN3" s="256"/>
      <c r="BO3" s="256"/>
      <c r="BP3" s="256"/>
      <c r="BQ3" s="256"/>
      <c r="BR3" s="256"/>
      <c r="BS3" s="256"/>
      <c r="BT3" s="256"/>
      <c r="BU3" s="256"/>
      <c r="BV3" s="256"/>
      <c r="BW3" s="256"/>
      <c r="BX3" s="256"/>
      <c r="BY3" s="256"/>
      <c r="BZ3" s="256"/>
      <c r="CA3" s="256"/>
      <c r="CB3" s="256"/>
      <c r="CC3" s="256"/>
      <c r="CD3" s="256"/>
      <c r="CE3" s="256"/>
      <c r="CF3" s="256"/>
      <c r="CG3" s="256"/>
      <c r="CH3" s="256"/>
      <c r="CI3" s="256"/>
      <c r="CJ3" s="256"/>
      <c r="CK3" s="256"/>
      <c r="CL3" s="256"/>
      <c r="CM3" s="256"/>
      <c r="CN3" s="256"/>
      <c r="CO3" s="256"/>
      <c r="CP3" s="256"/>
      <c r="CQ3" s="256"/>
      <c r="CR3" s="256"/>
      <c r="CS3" s="256"/>
      <c r="CT3" s="256"/>
      <c r="CU3" s="256"/>
      <c r="CV3" s="256"/>
      <c r="CW3" s="256"/>
      <c r="CX3" s="256"/>
      <c r="CY3" s="256"/>
      <c r="CZ3" s="256"/>
      <c r="DA3" s="256"/>
      <c r="DB3" s="256"/>
      <c r="DC3" s="256"/>
      <c r="DD3" s="256"/>
      <c r="DE3" s="256"/>
      <c r="DF3" s="256"/>
      <c r="DG3" s="256"/>
      <c r="DH3" s="256"/>
      <c r="DI3" s="256"/>
      <c r="DJ3" s="256"/>
      <c r="DK3" s="256"/>
      <c r="DL3" s="256"/>
      <c r="DM3" s="258"/>
      <c r="DN3" s="256"/>
      <c r="DO3" s="256"/>
      <c r="DP3" s="256"/>
      <c r="DQ3" s="256"/>
      <c r="DR3" s="256"/>
      <c r="DS3" s="256"/>
      <c r="DT3" s="256"/>
      <c r="DU3" s="256"/>
      <c r="DV3" s="256"/>
      <c r="DW3" s="256"/>
    </row>
    <row r="4" spans="2:127" ht="14.5" customHeight="1" x14ac:dyDescent="0.45">
      <c r="B4" s="840" t="s">
        <v>1376</v>
      </c>
      <c r="C4" s="819" t="s">
        <v>1536</v>
      </c>
      <c r="W4" s="234"/>
      <c r="X4" s="234"/>
      <c r="DM4" s="246"/>
      <c r="DN4" s="246"/>
      <c r="DO4" s="246"/>
      <c r="DP4" s="246"/>
      <c r="DQ4" s="246"/>
    </row>
    <row r="5" spans="2:127" ht="14.5" customHeight="1" x14ac:dyDescent="0.45">
      <c r="B5" s="817"/>
      <c r="C5" s="819" t="s">
        <v>1537</v>
      </c>
      <c r="E5" s="521" t="s">
        <v>2081</v>
      </c>
      <c r="G5" s="250"/>
      <c r="H5" s="250"/>
      <c r="I5" s="387"/>
      <c r="J5" s="387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60"/>
      <c r="X5" s="26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250"/>
      <c r="BN5" s="250"/>
      <c r="BO5" s="250"/>
      <c r="BP5" s="250"/>
      <c r="BQ5" s="250"/>
      <c r="BR5" s="250"/>
      <c r="BS5" s="250"/>
      <c r="BT5" s="250"/>
      <c r="BU5" s="250"/>
      <c r="BV5" s="250"/>
      <c r="BW5" s="250"/>
      <c r="BX5" s="250"/>
      <c r="BY5" s="250"/>
      <c r="BZ5" s="250"/>
      <c r="CA5" s="250"/>
      <c r="CB5" s="250"/>
      <c r="CC5" s="250"/>
      <c r="CD5" s="250"/>
      <c r="CE5" s="250"/>
      <c r="CF5" s="250"/>
      <c r="CG5" s="250"/>
      <c r="CH5" s="250"/>
      <c r="CI5" s="250"/>
      <c r="CJ5" s="250"/>
      <c r="CK5" s="250"/>
      <c r="CL5" s="250"/>
      <c r="CM5" s="260"/>
      <c r="CN5" s="260"/>
      <c r="CO5" s="260"/>
      <c r="CP5" s="260"/>
      <c r="CQ5" s="260"/>
      <c r="CR5" s="260"/>
      <c r="CS5" s="260"/>
      <c r="CT5" s="260"/>
      <c r="CU5" s="260"/>
      <c r="CV5" s="260"/>
      <c r="CW5" s="260"/>
      <c r="CX5" s="260"/>
      <c r="CY5" s="260"/>
      <c r="CZ5" s="260"/>
      <c r="DA5" s="260"/>
      <c r="DB5" s="260"/>
      <c r="DC5" s="260"/>
      <c r="DD5" s="260"/>
      <c r="DE5" s="260"/>
      <c r="DF5" s="260"/>
      <c r="DG5" s="260"/>
      <c r="DH5" s="260"/>
      <c r="DI5" s="260"/>
      <c r="DJ5" s="260"/>
      <c r="DK5" s="260"/>
      <c r="DL5" s="260"/>
      <c r="DM5" s="387"/>
      <c r="DN5" s="387"/>
      <c r="DO5" s="260"/>
      <c r="DP5" s="260"/>
      <c r="DQ5" s="260"/>
      <c r="DR5" s="260"/>
      <c r="DS5" s="260"/>
      <c r="DT5" s="260"/>
      <c r="DU5" s="260"/>
      <c r="DV5" s="260"/>
      <c r="DW5" s="260"/>
    </row>
    <row r="6" spans="2:127" ht="14.5" customHeight="1" x14ac:dyDescent="0.45">
      <c r="W6" s="234"/>
      <c r="X6" s="234"/>
      <c r="DM6" s="246"/>
      <c r="DN6" s="246"/>
      <c r="DO6" s="246"/>
      <c r="DP6" s="246"/>
      <c r="DQ6" s="246"/>
    </row>
    <row r="7" spans="2:127" ht="14.5" customHeight="1" thickBot="1" x14ac:dyDescent="0.5">
      <c r="B7" s="820" t="s">
        <v>1943</v>
      </c>
      <c r="C7" s="837"/>
      <c r="E7" s="521" t="s">
        <v>2088</v>
      </c>
      <c r="G7" s="250"/>
      <c r="H7" s="250"/>
      <c r="I7" s="250"/>
      <c r="J7" s="250"/>
      <c r="K7" s="250"/>
      <c r="L7" s="258"/>
      <c r="M7" s="250"/>
      <c r="N7" s="250"/>
      <c r="O7" s="250"/>
      <c r="P7" s="250"/>
      <c r="Q7" s="250"/>
      <c r="R7" s="250"/>
      <c r="S7" s="250"/>
      <c r="T7" s="250"/>
      <c r="U7" s="250"/>
      <c r="V7" s="260"/>
      <c r="W7" s="26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0"/>
      <c r="BJ7" s="250"/>
      <c r="BK7" s="250"/>
      <c r="BL7" s="250"/>
      <c r="BM7" s="250"/>
      <c r="BN7" s="250"/>
      <c r="BO7" s="250"/>
      <c r="BP7" s="250"/>
      <c r="BQ7" s="250"/>
      <c r="BR7" s="250"/>
      <c r="BS7" s="250"/>
      <c r="BT7" s="250"/>
      <c r="BU7" s="250"/>
      <c r="BV7" s="250"/>
      <c r="BW7" s="250"/>
      <c r="BX7" s="250"/>
      <c r="BY7" s="250"/>
      <c r="BZ7" s="250"/>
      <c r="CA7" s="250"/>
      <c r="CB7" s="250"/>
      <c r="CC7" s="250"/>
      <c r="CD7" s="250"/>
      <c r="CE7" s="250"/>
      <c r="CF7" s="250"/>
      <c r="CG7" s="250"/>
      <c r="CH7" s="250"/>
      <c r="CI7" s="250"/>
      <c r="CJ7" s="250"/>
      <c r="CK7" s="250"/>
      <c r="CL7" s="260"/>
      <c r="CM7" s="260"/>
      <c r="CN7" s="260"/>
      <c r="CO7" s="260"/>
      <c r="CP7" s="260"/>
      <c r="CQ7" s="260"/>
      <c r="CR7" s="260"/>
      <c r="CS7" s="260"/>
      <c r="CT7" s="260"/>
      <c r="CU7" s="260"/>
      <c r="CV7" s="260"/>
      <c r="CW7" s="260"/>
      <c r="CX7" s="260"/>
      <c r="CY7" s="260"/>
      <c r="CZ7" s="260"/>
      <c r="DA7" s="260"/>
      <c r="DB7" s="260"/>
      <c r="DC7" s="260"/>
      <c r="DD7" s="260"/>
      <c r="DE7" s="260"/>
      <c r="DF7" s="260"/>
      <c r="DG7" s="260"/>
      <c r="DH7" s="260"/>
      <c r="DI7" s="260"/>
      <c r="DJ7" s="260"/>
      <c r="DK7" s="260"/>
      <c r="DL7" s="250"/>
      <c r="DM7" s="250"/>
      <c r="DN7" s="250"/>
      <c r="DO7" s="250"/>
      <c r="DP7" s="258"/>
      <c r="DQ7" s="260"/>
      <c r="DR7" s="260"/>
      <c r="DS7" s="260"/>
      <c r="DT7" s="260"/>
      <c r="DU7" s="260"/>
      <c r="DV7" s="260"/>
      <c r="DW7" s="260"/>
    </row>
    <row r="8" spans="2:127" ht="14.5" customHeight="1" x14ac:dyDescent="0.45">
      <c r="B8" s="821" t="s">
        <v>1275</v>
      </c>
      <c r="C8" s="822" t="s">
        <v>1538</v>
      </c>
      <c r="L8" s="257"/>
      <c r="V8" s="234"/>
      <c r="W8" s="234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DL8" s="246"/>
      <c r="DM8" s="246"/>
      <c r="DN8" s="246"/>
      <c r="DO8" s="246"/>
      <c r="DP8" s="257"/>
    </row>
    <row r="9" spans="2:127" ht="14.5" customHeight="1" x14ac:dyDescent="0.45">
      <c r="B9" s="823"/>
      <c r="C9" s="824" t="s">
        <v>1550</v>
      </c>
      <c r="V9" s="234"/>
      <c r="W9" s="234"/>
      <c r="BZ9" s="234"/>
      <c r="DL9" s="246"/>
      <c r="DM9" s="246"/>
      <c r="DN9" s="246"/>
      <c r="DO9" s="246"/>
      <c r="DP9" s="246"/>
    </row>
    <row r="10" spans="2:127" ht="14.5" customHeight="1" x14ac:dyDescent="0.45">
      <c r="B10" s="823"/>
      <c r="C10" s="825" t="s">
        <v>1539</v>
      </c>
      <c r="E10" s="521" t="s">
        <v>2057</v>
      </c>
      <c r="G10" s="250"/>
      <c r="H10" s="250"/>
      <c r="I10" s="250"/>
      <c r="J10" s="250"/>
      <c r="K10" s="250"/>
      <c r="L10" s="250"/>
      <c r="M10" s="899" t="s">
        <v>1292</v>
      </c>
      <c r="N10" s="900"/>
      <c r="O10" s="900"/>
      <c r="P10" s="901"/>
      <c r="Q10" s="902"/>
      <c r="R10" s="902"/>
      <c r="S10" s="902"/>
      <c r="T10" s="902"/>
      <c r="U10" s="902"/>
      <c r="V10" s="902"/>
      <c r="W10" s="902"/>
      <c r="X10" s="902"/>
      <c r="Y10" s="902"/>
      <c r="Z10" s="902"/>
      <c r="AA10" s="902"/>
      <c r="AB10" s="902"/>
      <c r="AC10" s="902"/>
      <c r="AD10" s="902"/>
      <c r="AE10" s="899" t="s">
        <v>2075</v>
      </c>
      <c r="AF10" s="900"/>
      <c r="AG10" s="900"/>
      <c r="AH10" s="901"/>
      <c r="AI10" s="902"/>
      <c r="AJ10" s="902"/>
      <c r="AK10" s="902"/>
      <c r="AL10" s="902"/>
      <c r="AM10" s="902"/>
      <c r="AN10" s="899" t="s">
        <v>2074</v>
      </c>
      <c r="AO10" s="900"/>
      <c r="AP10" s="900"/>
      <c r="AQ10" s="901"/>
      <c r="AR10" s="902"/>
      <c r="AS10" s="902"/>
      <c r="AT10" s="902"/>
      <c r="AU10" s="902"/>
      <c r="AV10" s="902"/>
      <c r="AW10" s="899" t="s">
        <v>2060</v>
      </c>
      <c r="AX10" s="900"/>
      <c r="AY10" s="900"/>
      <c r="AZ10" s="901"/>
      <c r="BA10" s="902"/>
      <c r="BB10" s="902"/>
      <c r="BC10" s="902"/>
      <c r="BD10" s="902"/>
      <c r="BE10" s="902"/>
      <c r="BF10" s="902"/>
      <c r="BG10" s="903"/>
      <c r="BH10" s="903"/>
      <c r="BI10" s="902"/>
      <c r="BJ10" s="902"/>
      <c r="BK10" s="902"/>
      <c r="BL10" s="902"/>
      <c r="BM10" s="902"/>
      <c r="BN10" s="902"/>
      <c r="BO10" s="899"/>
      <c r="BP10" s="900"/>
      <c r="BQ10" s="900"/>
      <c r="BR10" s="901"/>
      <c r="BS10" s="902"/>
      <c r="BT10" s="902"/>
      <c r="BU10" s="902"/>
      <c r="BV10" s="902"/>
      <c r="BW10" s="902"/>
      <c r="BX10" s="899"/>
      <c r="BY10" s="900"/>
      <c r="BZ10" s="900"/>
      <c r="CA10" s="901"/>
      <c r="CB10" s="902"/>
      <c r="CC10" s="902"/>
      <c r="CD10" s="902"/>
      <c r="CE10" s="902"/>
      <c r="CF10" s="902"/>
      <c r="CG10" s="899" t="s">
        <v>2065</v>
      </c>
      <c r="CH10" s="900"/>
      <c r="CI10" s="900"/>
      <c r="CJ10" s="901"/>
      <c r="CK10" s="902"/>
      <c r="CL10" s="902"/>
      <c r="CM10" s="902"/>
      <c r="CN10" s="902"/>
      <c r="CO10" s="902"/>
      <c r="CP10" s="902"/>
      <c r="CQ10" s="902"/>
      <c r="CR10" s="902"/>
      <c r="CS10" s="902"/>
      <c r="CT10" s="902"/>
      <c r="CU10" s="902"/>
      <c r="CV10" s="902"/>
      <c r="CW10" s="902"/>
      <c r="CX10" s="902"/>
      <c r="CY10" s="899" t="s">
        <v>2064</v>
      </c>
      <c r="CZ10" s="900"/>
      <c r="DA10" s="900"/>
      <c r="DB10" s="901"/>
      <c r="DC10" s="902"/>
      <c r="DD10" s="902"/>
      <c r="DE10" s="902"/>
      <c r="DF10" s="902"/>
      <c r="DG10" s="902"/>
      <c r="DH10" s="899" t="s">
        <v>2063</v>
      </c>
      <c r="DI10" s="900"/>
      <c r="DJ10" s="900"/>
      <c r="DK10" s="901"/>
      <c r="DL10" s="902"/>
      <c r="DM10" s="902"/>
      <c r="DN10" s="902"/>
      <c r="DO10" s="902"/>
      <c r="DP10" s="902"/>
      <c r="DQ10" s="899" t="s">
        <v>1292</v>
      </c>
      <c r="DR10" s="900"/>
      <c r="DS10" s="900"/>
      <c r="DT10" s="901"/>
      <c r="DU10" s="671"/>
      <c r="DV10" s="671"/>
      <c r="DW10" s="671"/>
    </row>
    <row r="11" spans="2:127" ht="14.5" customHeight="1" x14ac:dyDescent="0.45">
      <c r="B11" s="823"/>
      <c r="C11" s="824" t="s">
        <v>1551</v>
      </c>
      <c r="V11" s="234"/>
      <c r="W11" s="234"/>
      <c r="BZ11" s="234"/>
      <c r="DL11" s="246"/>
      <c r="DM11" s="246"/>
      <c r="DN11" s="246"/>
      <c r="DO11" s="246"/>
      <c r="DP11" s="246"/>
    </row>
    <row r="12" spans="2:127" ht="14.5" customHeight="1" x14ac:dyDescent="0.45">
      <c r="B12" s="823"/>
      <c r="C12" s="825" t="s">
        <v>1540</v>
      </c>
      <c r="E12" s="521" t="s">
        <v>2099</v>
      </c>
      <c r="G12" s="250"/>
      <c r="H12" s="250"/>
      <c r="I12" s="250"/>
      <c r="J12" s="250"/>
      <c r="K12" s="250"/>
      <c r="L12" s="250"/>
      <c r="M12" s="313"/>
      <c r="N12" s="250"/>
      <c r="O12" s="250"/>
      <c r="P12" s="250"/>
      <c r="Q12" s="250"/>
      <c r="R12" s="250"/>
      <c r="S12" s="250"/>
      <c r="T12" s="250"/>
      <c r="U12" s="250"/>
      <c r="V12" s="260"/>
      <c r="W12" s="260"/>
      <c r="X12" s="250"/>
      <c r="Y12" s="250"/>
      <c r="Z12" s="250"/>
      <c r="AA12" s="250"/>
      <c r="AB12" s="250"/>
      <c r="AC12" s="250"/>
      <c r="AD12" s="250"/>
      <c r="AE12" s="313"/>
      <c r="AF12" s="250"/>
      <c r="AG12" s="250"/>
      <c r="AH12" s="250"/>
      <c r="AI12" s="250"/>
      <c r="AJ12" s="250"/>
      <c r="AK12" s="250"/>
      <c r="AL12" s="250"/>
      <c r="AM12" s="250"/>
      <c r="AN12" s="313"/>
      <c r="AO12" s="250"/>
      <c r="AP12" s="250"/>
      <c r="AQ12" s="250"/>
      <c r="AR12" s="250"/>
      <c r="AS12" s="250"/>
      <c r="AT12" s="250"/>
      <c r="AU12" s="250"/>
      <c r="AV12" s="250"/>
      <c r="AW12" s="313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313"/>
      <c r="BP12" s="250"/>
      <c r="BQ12" s="250"/>
      <c r="BR12" s="250"/>
      <c r="BS12" s="250"/>
      <c r="BT12" s="250"/>
      <c r="BU12" s="250"/>
      <c r="BV12" s="250"/>
      <c r="BW12" s="250"/>
      <c r="BX12" s="313"/>
      <c r="BY12" s="250"/>
      <c r="BZ12" s="250"/>
      <c r="CA12" s="250"/>
      <c r="CB12" s="260"/>
      <c r="CC12" s="260"/>
      <c r="CD12" s="260"/>
      <c r="CE12" s="260"/>
      <c r="CF12" s="260"/>
      <c r="CG12" s="313"/>
      <c r="CH12" s="250"/>
      <c r="CI12" s="250"/>
      <c r="CJ12" s="250"/>
      <c r="CK12" s="260"/>
      <c r="CL12" s="260"/>
      <c r="CM12" s="260"/>
      <c r="CN12" s="260"/>
      <c r="CO12" s="260"/>
      <c r="CP12" s="260"/>
      <c r="CQ12" s="260"/>
      <c r="CR12" s="260"/>
      <c r="CS12" s="260"/>
      <c r="CT12" s="260"/>
      <c r="CU12" s="260"/>
      <c r="CV12" s="260"/>
      <c r="CW12" s="260"/>
      <c r="CX12" s="260"/>
      <c r="CY12" s="313"/>
      <c r="CZ12" s="250"/>
      <c r="DA12" s="250"/>
      <c r="DB12" s="250"/>
      <c r="DC12" s="260"/>
      <c r="DD12" s="260"/>
      <c r="DE12" s="260"/>
      <c r="DF12" s="260"/>
      <c r="DG12" s="260"/>
      <c r="DH12" s="313"/>
      <c r="DI12" s="250"/>
      <c r="DJ12" s="250"/>
      <c r="DK12" s="250"/>
      <c r="DL12" s="250"/>
      <c r="DM12" s="250"/>
      <c r="DN12" s="250"/>
      <c r="DO12" s="250"/>
      <c r="DP12" s="250"/>
      <c r="DQ12" s="313"/>
      <c r="DR12" s="250"/>
      <c r="DS12" s="250"/>
      <c r="DT12" s="250"/>
      <c r="DU12" s="260"/>
      <c r="DV12" s="260"/>
      <c r="DW12" s="260"/>
    </row>
    <row r="13" spans="2:127" ht="14.5" customHeight="1" thickBot="1" x14ac:dyDescent="0.5">
      <c r="B13" s="826"/>
      <c r="C13" s="827" t="s">
        <v>1552</v>
      </c>
      <c r="V13" s="234"/>
      <c r="W13" s="234"/>
      <c r="CA13" s="246"/>
      <c r="CG13" s="246"/>
      <c r="CH13" s="246"/>
      <c r="CI13" s="246"/>
      <c r="CJ13" s="246"/>
      <c r="CY13" s="246"/>
      <c r="CZ13" s="246"/>
      <c r="DA13" s="246"/>
      <c r="DB13" s="246"/>
      <c r="DH13" s="246"/>
      <c r="DI13" s="246"/>
      <c r="DJ13" s="246"/>
      <c r="DK13" s="246"/>
      <c r="DL13" s="246"/>
      <c r="DM13" s="246"/>
      <c r="DN13" s="246"/>
      <c r="DO13" s="246"/>
      <c r="DP13" s="246"/>
      <c r="DQ13" s="246"/>
      <c r="DR13" s="246"/>
      <c r="DS13" s="246"/>
      <c r="DT13" s="246"/>
    </row>
    <row r="14" spans="2:127" ht="14.5" customHeight="1" x14ac:dyDescent="0.45">
      <c r="B14" s="821" t="s">
        <v>1276</v>
      </c>
      <c r="C14" s="822" t="s">
        <v>1541</v>
      </c>
      <c r="E14" s="521" t="s">
        <v>2100</v>
      </c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313"/>
      <c r="R14" s="250"/>
      <c r="S14" s="250"/>
      <c r="T14" s="250"/>
      <c r="U14" s="250"/>
      <c r="V14" s="260"/>
      <c r="W14" s="26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313"/>
      <c r="AJ14" s="250"/>
      <c r="AK14" s="250"/>
      <c r="AL14" s="250"/>
      <c r="AM14" s="250"/>
      <c r="AN14" s="250"/>
      <c r="AO14" s="250"/>
      <c r="AP14" s="250"/>
      <c r="AQ14" s="250"/>
      <c r="AR14" s="313"/>
      <c r="AS14" s="250"/>
      <c r="AT14" s="250"/>
      <c r="AU14" s="250"/>
      <c r="AV14" s="250"/>
      <c r="AW14" s="250"/>
      <c r="AX14" s="250"/>
      <c r="AY14" s="250"/>
      <c r="AZ14" s="250"/>
      <c r="BA14" s="313"/>
      <c r="BB14" s="250"/>
      <c r="BC14" s="250"/>
      <c r="BD14" s="250"/>
      <c r="BE14" s="250"/>
      <c r="BF14" s="250"/>
      <c r="BG14" s="250"/>
      <c r="BH14" s="250"/>
      <c r="BI14" s="250"/>
      <c r="BJ14" s="250"/>
      <c r="BK14" s="250"/>
      <c r="BL14" s="250"/>
      <c r="BM14" s="250"/>
      <c r="BN14" s="250"/>
      <c r="BO14" s="250"/>
      <c r="BP14" s="250"/>
      <c r="BQ14" s="250"/>
      <c r="BR14" s="250"/>
      <c r="BS14" s="313"/>
      <c r="BT14" s="250"/>
      <c r="BU14" s="250"/>
      <c r="BV14" s="250"/>
      <c r="BW14" s="250"/>
      <c r="BX14" s="250"/>
      <c r="BY14" s="250"/>
      <c r="BZ14" s="250"/>
      <c r="CA14" s="250"/>
      <c r="CB14" s="313"/>
      <c r="CC14" s="260"/>
      <c r="CD14" s="260"/>
      <c r="CE14" s="260"/>
      <c r="CF14" s="260"/>
      <c r="CG14" s="260"/>
      <c r="CH14" s="250"/>
      <c r="CI14" s="250"/>
      <c r="CJ14" s="250"/>
      <c r="CK14" s="313"/>
      <c r="CL14" s="260"/>
      <c r="CM14" s="260"/>
      <c r="CN14" s="260"/>
      <c r="CO14" s="260"/>
      <c r="CP14" s="260"/>
      <c r="CQ14" s="260"/>
      <c r="CR14" s="260"/>
      <c r="CS14" s="260"/>
      <c r="CT14" s="260"/>
      <c r="CU14" s="260"/>
      <c r="CV14" s="260"/>
      <c r="CW14" s="260"/>
      <c r="CX14" s="260"/>
      <c r="CY14" s="260"/>
      <c r="CZ14" s="250"/>
      <c r="DA14" s="250"/>
      <c r="DB14" s="250"/>
      <c r="DC14" s="313"/>
      <c r="DD14" s="260"/>
      <c r="DE14" s="260"/>
      <c r="DF14" s="260"/>
      <c r="DG14" s="260"/>
      <c r="DH14" s="260"/>
      <c r="DI14" s="250"/>
      <c r="DJ14" s="250"/>
      <c r="DK14" s="250"/>
      <c r="DL14" s="313"/>
      <c r="DM14" s="250"/>
      <c r="DN14" s="250"/>
      <c r="DO14" s="250"/>
      <c r="DP14" s="250"/>
      <c r="DQ14" s="250"/>
      <c r="DR14" s="250"/>
      <c r="DS14" s="250"/>
      <c r="DT14" s="250"/>
      <c r="DU14" s="313"/>
      <c r="DV14" s="260"/>
      <c r="DW14" s="260"/>
    </row>
    <row r="15" spans="2:127" ht="14.5" customHeight="1" thickBot="1" x14ac:dyDescent="0.5">
      <c r="B15" s="823"/>
      <c r="C15" s="824" t="s">
        <v>1553</v>
      </c>
      <c r="V15" s="234"/>
      <c r="W15" s="234"/>
      <c r="BZ15" s="234"/>
      <c r="DL15" s="246"/>
      <c r="DM15" s="246"/>
      <c r="DN15" s="246"/>
      <c r="DO15" s="246"/>
      <c r="DP15" s="246"/>
    </row>
    <row r="16" spans="2:127" ht="14.5" customHeight="1" thickBot="1" x14ac:dyDescent="0.5">
      <c r="B16" s="823"/>
      <c r="C16" s="825" t="s">
        <v>1542</v>
      </c>
      <c r="E16" s="521" t="s">
        <v>1419</v>
      </c>
      <c r="G16" s="497"/>
      <c r="H16" s="497"/>
      <c r="I16" s="497"/>
      <c r="J16" s="497"/>
      <c r="K16" s="497"/>
      <c r="L16" s="498"/>
      <c r="M16" s="499"/>
      <c r="N16" s="500"/>
      <c r="O16" s="500"/>
      <c r="P16" s="500"/>
      <c r="Q16" s="500"/>
      <c r="R16" s="500"/>
      <c r="S16" s="500"/>
      <c r="T16" s="500"/>
      <c r="U16" s="500"/>
      <c r="V16" s="500"/>
      <c r="W16" s="500"/>
      <c r="X16" s="500"/>
      <c r="Y16" s="500"/>
      <c r="Z16" s="500"/>
      <c r="AA16" s="501"/>
      <c r="AB16" s="501"/>
      <c r="AC16" s="500"/>
      <c r="AD16" s="502"/>
      <c r="AE16" s="503"/>
      <c r="AF16" s="497"/>
      <c r="AG16" s="497"/>
      <c r="AH16" s="497"/>
      <c r="AI16" s="497"/>
      <c r="AJ16" s="497"/>
      <c r="AK16" s="497"/>
      <c r="AL16" s="497"/>
      <c r="AM16" s="497"/>
      <c r="AN16" s="497"/>
      <c r="AO16" s="497"/>
      <c r="AP16" s="497"/>
      <c r="AQ16" s="497"/>
      <c r="AR16" s="497"/>
      <c r="AS16" s="497"/>
      <c r="AT16" s="497"/>
      <c r="AU16" s="497"/>
      <c r="AV16" s="498"/>
      <c r="AW16" s="499"/>
      <c r="AX16" s="500"/>
      <c r="AY16" s="500"/>
      <c r="AZ16" s="500"/>
      <c r="BA16" s="500"/>
      <c r="BB16" s="500"/>
      <c r="BC16" s="500"/>
      <c r="BD16" s="500"/>
      <c r="BE16" s="500"/>
      <c r="BF16" s="500"/>
      <c r="BI16" s="500"/>
      <c r="BJ16" s="500"/>
      <c r="BK16" s="501"/>
      <c r="BL16" s="501"/>
      <c r="BM16" s="500"/>
      <c r="BN16" s="502"/>
      <c r="BO16" s="503"/>
      <c r="BP16" s="497"/>
      <c r="BQ16" s="497"/>
      <c r="BR16" s="497"/>
      <c r="BS16" s="497"/>
      <c r="BT16" s="497"/>
      <c r="BU16" s="497"/>
      <c r="BV16" s="497"/>
      <c r="BW16" s="497"/>
      <c r="BX16" s="497"/>
      <c r="BY16" s="497"/>
      <c r="BZ16" s="497"/>
      <c r="CA16" s="497"/>
      <c r="CB16" s="497"/>
      <c r="CC16" s="497"/>
      <c r="CD16" s="497"/>
      <c r="CE16" s="497"/>
      <c r="CF16" s="498"/>
      <c r="CG16" s="499"/>
      <c r="CH16" s="500"/>
      <c r="CI16" s="500"/>
      <c r="CJ16" s="500"/>
      <c r="CK16" s="500"/>
      <c r="CL16" s="500"/>
      <c r="CM16" s="500"/>
      <c r="CN16" s="500"/>
      <c r="CO16" s="500"/>
      <c r="CP16" s="500"/>
      <c r="CQ16" s="500"/>
      <c r="CR16" s="500"/>
      <c r="CS16" s="500"/>
      <c r="CT16" s="500"/>
      <c r="CU16" s="501"/>
      <c r="CV16" s="501"/>
      <c r="CW16" s="500"/>
      <c r="CX16" s="502"/>
      <c r="CY16" s="503"/>
      <c r="CZ16" s="497"/>
      <c r="DA16" s="497"/>
      <c r="DB16" s="497"/>
      <c r="DC16" s="497"/>
      <c r="DD16" s="497"/>
      <c r="DE16" s="497"/>
      <c r="DF16" s="497"/>
      <c r="DG16" s="497"/>
      <c r="DH16" s="497"/>
      <c r="DI16" s="497"/>
      <c r="DJ16" s="497"/>
      <c r="DK16" s="497"/>
      <c r="DL16" s="497"/>
      <c r="DM16" s="497"/>
      <c r="DN16" s="497"/>
      <c r="DO16" s="497"/>
      <c r="DP16" s="498"/>
      <c r="DQ16" s="499"/>
      <c r="DR16" s="500"/>
      <c r="DS16" s="500"/>
      <c r="DT16" s="500"/>
      <c r="DU16" s="500"/>
      <c r="DV16" s="500"/>
      <c r="DW16" s="500"/>
    </row>
    <row r="17" spans="2:127" ht="14.5" customHeight="1" thickBot="1" x14ac:dyDescent="0.5">
      <c r="B17" s="823"/>
      <c r="C17" s="824" t="s">
        <v>1554</v>
      </c>
      <c r="AA17" s="234"/>
      <c r="AB17" s="234"/>
      <c r="BK17" s="234"/>
      <c r="BL17" s="234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W17" s="246"/>
      <c r="CX17" s="246"/>
      <c r="CY17" s="246"/>
      <c r="CZ17" s="246"/>
      <c r="DA17" s="246"/>
      <c r="DB17" s="246"/>
      <c r="DC17" s="246"/>
      <c r="DD17" s="246"/>
      <c r="DE17" s="246"/>
      <c r="DF17" s="246"/>
      <c r="DG17" s="246"/>
      <c r="DH17" s="246"/>
      <c r="DI17" s="246"/>
      <c r="DJ17" s="246"/>
      <c r="DK17" s="246"/>
      <c r="DL17" s="246"/>
      <c r="DM17" s="246"/>
      <c r="DN17" s="246"/>
      <c r="DO17" s="246"/>
      <c r="DP17" s="246"/>
    </row>
    <row r="18" spans="2:127" ht="14.5" customHeight="1" thickBot="1" x14ac:dyDescent="0.5">
      <c r="B18" s="823"/>
      <c r="C18" s="825" t="s">
        <v>1543</v>
      </c>
      <c r="E18" s="521" t="s">
        <v>1420</v>
      </c>
      <c r="G18" s="511"/>
      <c r="H18" s="511"/>
      <c r="I18" s="511"/>
      <c r="J18" s="511"/>
      <c r="K18" s="511"/>
      <c r="L18" s="511"/>
      <c r="M18" s="511"/>
      <c r="N18" s="511"/>
      <c r="O18" s="511"/>
      <c r="P18" s="511"/>
      <c r="Q18" s="511"/>
      <c r="R18" s="511"/>
      <c r="S18" s="511"/>
      <c r="T18" s="511"/>
      <c r="U18" s="511"/>
      <c r="V18" s="511"/>
      <c r="W18" s="511"/>
      <c r="X18" s="511"/>
      <c r="Y18" s="511"/>
      <c r="Z18" s="511"/>
      <c r="AA18" s="511"/>
      <c r="AB18" s="511"/>
      <c r="AC18" s="511"/>
      <c r="AD18" s="511"/>
      <c r="AE18" s="504"/>
      <c r="AF18" s="505"/>
      <c r="AG18" s="505"/>
      <c r="AH18" s="505"/>
      <c r="AI18" s="505"/>
      <c r="AJ18" s="505"/>
      <c r="AK18" s="505"/>
      <c r="AL18" s="505"/>
      <c r="AM18" s="506"/>
      <c r="AN18" s="511"/>
      <c r="AO18" s="511"/>
      <c r="AP18" s="511"/>
      <c r="AQ18" s="511"/>
      <c r="AR18" s="511"/>
      <c r="AS18" s="511"/>
      <c r="AT18" s="511"/>
      <c r="AU18" s="511"/>
      <c r="AV18" s="511"/>
      <c r="AW18" s="511"/>
      <c r="AX18" s="511"/>
      <c r="AY18" s="511"/>
      <c r="AZ18" s="511"/>
      <c r="BA18" s="511"/>
      <c r="BB18" s="511"/>
      <c r="BC18" s="511"/>
      <c r="BD18" s="511"/>
      <c r="BE18" s="511"/>
      <c r="BF18" s="511"/>
      <c r="BI18" s="511"/>
      <c r="BJ18" s="511"/>
      <c r="BK18" s="511"/>
      <c r="BL18" s="511"/>
      <c r="BM18" s="511"/>
      <c r="BN18" s="511"/>
      <c r="BO18" s="504"/>
      <c r="BP18" s="505"/>
      <c r="BQ18" s="505"/>
      <c r="BR18" s="505"/>
      <c r="BS18" s="505"/>
      <c r="BT18" s="505"/>
      <c r="BU18" s="505"/>
      <c r="BV18" s="505"/>
      <c r="BW18" s="506"/>
      <c r="BX18" s="511"/>
      <c r="BY18" s="511"/>
      <c r="BZ18" s="511"/>
      <c r="CA18" s="511"/>
      <c r="CB18" s="511"/>
      <c r="CC18" s="511"/>
      <c r="CD18" s="511"/>
      <c r="CE18" s="511"/>
      <c r="CF18" s="511"/>
      <c r="CG18" s="511"/>
      <c r="CH18" s="511"/>
      <c r="CI18" s="511"/>
      <c r="CJ18" s="511"/>
      <c r="CK18" s="511"/>
      <c r="CL18" s="511"/>
      <c r="CM18" s="511"/>
      <c r="CN18" s="511"/>
      <c r="CO18" s="511"/>
      <c r="CP18" s="511"/>
      <c r="CQ18" s="511"/>
      <c r="CR18" s="511"/>
      <c r="CS18" s="511"/>
      <c r="CT18" s="511"/>
      <c r="CU18" s="511"/>
      <c r="CV18" s="511"/>
      <c r="CW18" s="511"/>
      <c r="CX18" s="511"/>
      <c r="CY18" s="504"/>
      <c r="CZ18" s="505"/>
      <c r="DA18" s="505"/>
      <c r="DB18" s="505"/>
      <c r="DC18" s="505"/>
      <c r="DD18" s="505"/>
      <c r="DE18" s="505"/>
      <c r="DF18" s="505"/>
      <c r="DG18" s="506"/>
      <c r="DH18" s="511"/>
      <c r="DI18" s="511"/>
      <c r="DJ18" s="511"/>
      <c r="DK18" s="511"/>
      <c r="DL18" s="511"/>
      <c r="DM18" s="511"/>
      <c r="DN18" s="511"/>
      <c r="DO18" s="511"/>
      <c r="DP18" s="511"/>
      <c r="DQ18" s="511"/>
      <c r="DR18" s="511"/>
      <c r="DS18" s="511"/>
      <c r="DT18" s="511"/>
      <c r="DU18" s="511"/>
      <c r="DV18" s="511"/>
      <c r="DW18" s="511"/>
    </row>
    <row r="19" spans="2:127" ht="14.5" customHeight="1" thickBot="1" x14ac:dyDescent="0.5">
      <c r="B19" s="826"/>
      <c r="C19" s="827" t="s">
        <v>1562</v>
      </c>
      <c r="AA19" s="234"/>
      <c r="AB19" s="234"/>
      <c r="BK19" s="234"/>
      <c r="BL19" s="234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W19" s="246"/>
      <c r="CX19" s="246"/>
      <c r="CY19" s="246"/>
      <c r="CZ19" s="246"/>
      <c r="DA19" s="246"/>
      <c r="DB19" s="246"/>
      <c r="DC19" s="246"/>
      <c r="DD19" s="246"/>
      <c r="DE19" s="246"/>
      <c r="DF19" s="246"/>
      <c r="DG19" s="246"/>
      <c r="DH19" s="246"/>
      <c r="DI19" s="246"/>
      <c r="DJ19" s="246"/>
      <c r="DK19" s="246"/>
      <c r="DL19" s="246"/>
      <c r="DM19" s="246"/>
      <c r="DN19" s="246"/>
      <c r="DO19" s="246"/>
      <c r="DP19" s="246"/>
    </row>
    <row r="20" spans="2:127" ht="14.5" customHeight="1" thickBot="1" x14ac:dyDescent="0.5">
      <c r="B20" s="818" t="s">
        <v>1402</v>
      </c>
      <c r="C20" s="818" t="s">
        <v>1402</v>
      </c>
      <c r="E20" s="521" t="s">
        <v>1421</v>
      </c>
      <c r="G20" s="509"/>
      <c r="H20" s="509"/>
      <c r="I20" s="509"/>
      <c r="J20" s="509"/>
      <c r="K20" s="509"/>
      <c r="L20" s="510"/>
      <c r="M20" s="507"/>
      <c r="N20" s="507"/>
      <c r="O20" s="507"/>
      <c r="P20" s="507"/>
      <c r="Q20" s="507"/>
      <c r="R20" s="507"/>
      <c r="S20" s="507"/>
      <c r="T20" s="507"/>
      <c r="U20" s="507"/>
      <c r="V20" s="507"/>
      <c r="W20" s="507"/>
      <c r="X20" s="507"/>
      <c r="Y20" s="507"/>
      <c r="Z20" s="507"/>
      <c r="AA20" s="507"/>
      <c r="AB20" s="507"/>
      <c r="AC20" s="507"/>
      <c r="AD20" s="507"/>
      <c r="AE20" s="507"/>
      <c r="AF20" s="507"/>
      <c r="AG20" s="507"/>
      <c r="AH20" s="507"/>
      <c r="AI20" s="507"/>
      <c r="AJ20" s="507"/>
      <c r="AK20" s="507"/>
      <c r="AL20" s="507"/>
      <c r="AM20" s="507"/>
      <c r="AN20" s="508"/>
      <c r="AO20" s="509"/>
      <c r="AP20" s="509"/>
      <c r="AQ20" s="509"/>
      <c r="AR20" s="509"/>
      <c r="AS20" s="509"/>
      <c r="AT20" s="509"/>
      <c r="AU20" s="509"/>
      <c r="AV20" s="510"/>
      <c r="AW20" s="507"/>
      <c r="AX20" s="507"/>
      <c r="AY20" s="507"/>
      <c r="AZ20" s="507"/>
      <c r="BA20" s="507"/>
      <c r="BB20" s="507"/>
      <c r="BC20" s="507"/>
      <c r="BD20" s="507"/>
      <c r="BE20" s="507"/>
      <c r="BF20" s="507"/>
      <c r="BI20" s="507"/>
      <c r="BJ20" s="507"/>
      <c r="BK20" s="507"/>
      <c r="BL20" s="507"/>
      <c r="BM20" s="507"/>
      <c r="BN20" s="507"/>
      <c r="BO20" s="507"/>
      <c r="BP20" s="507"/>
      <c r="BQ20" s="507"/>
      <c r="BR20" s="507"/>
      <c r="BS20" s="507"/>
      <c r="BT20" s="507"/>
      <c r="BU20" s="507"/>
      <c r="BV20" s="507"/>
      <c r="BW20" s="507"/>
      <c r="BX20" s="508"/>
      <c r="BY20" s="509"/>
      <c r="BZ20" s="509"/>
      <c r="CA20" s="509"/>
      <c r="CB20" s="509"/>
      <c r="CC20" s="509"/>
      <c r="CD20" s="509"/>
      <c r="CE20" s="509"/>
      <c r="CF20" s="510"/>
      <c r="CG20" s="507"/>
      <c r="CH20" s="507"/>
      <c r="CI20" s="507"/>
      <c r="CJ20" s="507"/>
      <c r="CK20" s="507"/>
      <c r="CL20" s="507"/>
      <c r="CM20" s="507"/>
      <c r="CN20" s="507"/>
      <c r="CO20" s="507"/>
      <c r="CP20" s="507"/>
      <c r="CQ20" s="507"/>
      <c r="CR20" s="507"/>
      <c r="CS20" s="507"/>
      <c r="CT20" s="507"/>
      <c r="CU20" s="507"/>
      <c r="CV20" s="507"/>
      <c r="CW20" s="507"/>
      <c r="CX20" s="507"/>
      <c r="CY20" s="507"/>
      <c r="CZ20" s="507"/>
      <c r="DA20" s="507"/>
      <c r="DB20" s="507"/>
      <c r="DC20" s="507"/>
      <c r="DD20" s="507"/>
      <c r="DE20" s="507"/>
      <c r="DF20" s="507"/>
      <c r="DG20" s="507"/>
      <c r="DH20" s="508"/>
      <c r="DI20" s="509"/>
      <c r="DJ20" s="509"/>
      <c r="DK20" s="509"/>
      <c r="DL20" s="509"/>
      <c r="DM20" s="509"/>
      <c r="DN20" s="509"/>
      <c r="DO20" s="509"/>
      <c r="DP20" s="510"/>
      <c r="DQ20" s="507"/>
      <c r="DR20" s="507"/>
      <c r="DS20" s="507"/>
      <c r="DT20" s="507"/>
      <c r="DU20" s="507"/>
      <c r="DV20" s="507"/>
      <c r="DW20" s="507"/>
    </row>
    <row r="21" spans="2:127" ht="14.5" customHeight="1" x14ac:dyDescent="0.45">
      <c r="B21" s="821" t="s">
        <v>1544</v>
      </c>
      <c r="C21" s="822" t="s">
        <v>1545</v>
      </c>
      <c r="CA21" s="246"/>
      <c r="CB21" s="246"/>
      <c r="CC21" s="246"/>
      <c r="CD21" s="246"/>
      <c r="CE21" s="246"/>
      <c r="CF21" s="246"/>
      <c r="CG21" s="246"/>
      <c r="CH21" s="246"/>
      <c r="CI21" s="246"/>
      <c r="CJ21" s="246"/>
      <c r="CK21" s="246"/>
      <c r="CL21" s="246"/>
      <c r="CM21" s="246"/>
      <c r="CN21" s="246"/>
      <c r="CO21" s="246"/>
      <c r="CP21" s="246"/>
      <c r="CQ21" s="246"/>
      <c r="CR21" s="246"/>
      <c r="CS21" s="246"/>
      <c r="CT21" s="246"/>
      <c r="CU21" s="246"/>
      <c r="CV21" s="246"/>
      <c r="CW21" s="246"/>
      <c r="CX21" s="246"/>
      <c r="CY21" s="246"/>
      <c r="CZ21" s="246"/>
      <c r="DA21" s="246"/>
      <c r="DB21" s="246"/>
      <c r="DC21" s="246"/>
      <c r="DD21" s="246"/>
      <c r="DE21" s="246"/>
      <c r="DF21" s="246"/>
      <c r="DG21" s="246"/>
      <c r="DH21" s="246"/>
      <c r="DI21" s="246"/>
      <c r="DJ21" s="246"/>
      <c r="DK21" s="246"/>
      <c r="DL21" s="246"/>
      <c r="DM21" s="246"/>
      <c r="DN21" s="246"/>
      <c r="DO21" s="246"/>
      <c r="DP21" s="246"/>
      <c r="DQ21" s="246"/>
      <c r="DR21" s="246"/>
      <c r="DS21" s="246"/>
      <c r="DT21" s="246"/>
      <c r="DU21" s="246"/>
      <c r="DV21" s="246"/>
      <c r="DW21" s="246"/>
    </row>
    <row r="22" spans="2:127" ht="14.5" customHeight="1" x14ac:dyDescent="0.45">
      <c r="B22" s="823"/>
      <c r="C22" s="824" t="s">
        <v>1555</v>
      </c>
      <c r="E22" s="521" t="s">
        <v>2029</v>
      </c>
      <c r="G22" s="317"/>
      <c r="H22" s="317"/>
      <c r="I22" s="317"/>
      <c r="J22" s="317"/>
      <c r="K22" s="317"/>
      <c r="L22" s="317"/>
      <c r="M22" s="317"/>
      <c r="N22" s="584"/>
      <c r="O22" s="584"/>
      <c r="P22" s="584"/>
      <c r="Q22" s="584"/>
      <c r="R22" s="315"/>
      <c r="S22" s="315"/>
      <c r="T22" s="315"/>
      <c r="U22" s="315"/>
      <c r="V22" s="315"/>
      <c r="W22" s="315"/>
      <c r="X22" s="315"/>
      <c r="Y22" s="315"/>
      <c r="Z22" s="315"/>
      <c r="AA22" s="315"/>
      <c r="AB22" s="315"/>
      <c r="AC22" s="315"/>
      <c r="AD22" s="315"/>
      <c r="AE22" s="315"/>
      <c r="AF22" s="680"/>
      <c r="AG22" s="680"/>
      <c r="AH22" s="680"/>
      <c r="AI22" s="680"/>
      <c r="AJ22" s="340"/>
      <c r="AK22" s="340"/>
      <c r="AL22" s="340"/>
      <c r="AM22" s="340"/>
      <c r="AN22" s="340"/>
      <c r="AO22" s="681"/>
      <c r="AP22" s="681"/>
      <c r="AQ22" s="681"/>
      <c r="AR22" s="681"/>
      <c r="AS22" s="317"/>
      <c r="AT22" s="317"/>
      <c r="AU22" s="317"/>
      <c r="AV22" s="317"/>
      <c r="AW22" s="317"/>
      <c r="AX22" s="584"/>
      <c r="AY22" s="584"/>
      <c r="AZ22" s="584"/>
      <c r="BA22" s="584"/>
      <c r="BB22" s="315"/>
      <c r="BC22" s="315"/>
      <c r="BD22" s="315"/>
      <c r="BE22" s="315"/>
      <c r="BF22" s="315"/>
      <c r="BG22" s="315"/>
      <c r="BJ22" s="315"/>
      <c r="BK22" s="315"/>
      <c r="BL22" s="315"/>
      <c r="BM22" s="315"/>
      <c r="BN22" s="315"/>
      <c r="BO22" s="315"/>
      <c r="BP22" s="680"/>
      <c r="BQ22" s="680"/>
      <c r="BR22" s="680"/>
      <c r="BS22" s="680"/>
      <c r="BT22" s="340"/>
      <c r="BU22" s="340"/>
      <c r="BV22" s="340"/>
      <c r="BW22" s="340"/>
      <c r="BX22" s="340"/>
      <c r="BY22" s="681"/>
      <c r="BZ22" s="681"/>
      <c r="CA22" s="681"/>
      <c r="CB22" s="681"/>
      <c r="CC22" s="317"/>
      <c r="CD22" s="317"/>
      <c r="CE22" s="317"/>
      <c r="CF22" s="317"/>
      <c r="CG22" s="317"/>
      <c r="CH22" s="584"/>
      <c r="CI22" s="584"/>
      <c r="CJ22" s="584"/>
      <c r="CK22" s="584"/>
      <c r="CL22" s="315"/>
      <c r="CM22" s="315"/>
      <c r="CN22" s="315"/>
      <c r="CO22" s="315"/>
      <c r="CP22" s="315"/>
      <c r="CQ22" s="315"/>
      <c r="CR22" s="315"/>
      <c r="CS22" s="315"/>
      <c r="CT22" s="315"/>
      <c r="CU22" s="315"/>
      <c r="CV22" s="315"/>
      <c r="CW22" s="315"/>
      <c r="CX22" s="315"/>
      <c r="CY22" s="315"/>
      <c r="CZ22" s="680"/>
      <c r="DA22" s="680"/>
      <c r="DB22" s="680"/>
      <c r="DC22" s="680"/>
      <c r="DD22" s="340"/>
      <c r="DE22" s="340"/>
      <c r="DF22" s="340"/>
      <c r="DG22" s="340"/>
      <c r="DH22" s="340"/>
      <c r="DI22" s="681"/>
      <c r="DJ22" s="681"/>
      <c r="DK22" s="681"/>
      <c r="DL22" s="681"/>
      <c r="DM22" s="317"/>
      <c r="DN22" s="317"/>
      <c r="DO22" s="317"/>
      <c r="DP22" s="317"/>
      <c r="DQ22" s="317"/>
      <c r="DR22" s="584"/>
      <c r="DS22" s="584"/>
      <c r="DT22" s="584"/>
      <c r="DU22" s="584"/>
      <c r="DV22" s="315"/>
      <c r="DW22" s="315"/>
    </row>
    <row r="23" spans="2:127" ht="14.5" customHeight="1" x14ac:dyDescent="0.45">
      <c r="B23" s="823"/>
      <c r="C23" s="825" t="s">
        <v>1546</v>
      </c>
      <c r="N23" s="234"/>
      <c r="P23" s="234"/>
      <c r="R23" s="234"/>
      <c r="T23" s="234"/>
      <c r="V23" s="234"/>
      <c r="X23" s="234"/>
    </row>
    <row r="24" spans="2:127" ht="14.5" customHeight="1" x14ac:dyDescent="0.45">
      <c r="B24" s="823"/>
      <c r="C24" s="824" t="s">
        <v>1556</v>
      </c>
      <c r="E24" s="521" t="s">
        <v>2266</v>
      </c>
      <c r="G24" s="317"/>
      <c r="H24" s="317"/>
      <c r="I24" s="317"/>
      <c r="J24" s="317"/>
      <c r="K24" s="317"/>
      <c r="L24" s="317"/>
      <c r="M24" s="317"/>
      <c r="N24" s="584"/>
      <c r="O24" s="584"/>
      <c r="P24" s="584"/>
      <c r="Q24" s="584"/>
      <c r="R24" s="315"/>
      <c r="S24" s="315"/>
      <c r="T24" s="315"/>
      <c r="U24" s="315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680"/>
      <c r="AG24" s="680"/>
      <c r="AH24" s="680"/>
      <c r="AI24" s="680"/>
      <c r="AJ24" s="340"/>
      <c r="AK24" s="340"/>
      <c r="AL24" s="340"/>
      <c r="AM24" s="340"/>
      <c r="AN24" s="340"/>
      <c r="AO24" s="681"/>
      <c r="AP24" s="681"/>
      <c r="AQ24" s="681"/>
      <c r="AR24" s="681"/>
      <c r="AS24" s="317"/>
      <c r="AT24" s="317"/>
      <c r="AU24" s="317"/>
      <c r="AV24" s="317"/>
      <c r="AW24" s="317"/>
      <c r="AX24" s="584"/>
      <c r="AY24" s="584"/>
      <c r="AZ24" s="584"/>
      <c r="BA24" s="584"/>
      <c r="BB24" s="315"/>
      <c r="BC24" s="315"/>
      <c r="BD24" s="315"/>
      <c r="BE24" s="315"/>
      <c r="BF24" s="315"/>
      <c r="BG24" s="315"/>
      <c r="BJ24" s="315"/>
      <c r="BK24" s="315"/>
      <c r="BL24" s="315"/>
      <c r="BM24" s="315"/>
      <c r="BN24" s="315"/>
      <c r="BO24" s="315"/>
      <c r="BP24" s="680"/>
      <c r="BQ24" s="680"/>
      <c r="BR24" s="680"/>
      <c r="BS24" s="680"/>
      <c r="BT24" s="340"/>
      <c r="BU24" s="340"/>
      <c r="BV24" s="340"/>
      <c r="BW24" s="340"/>
      <c r="BX24" s="340"/>
      <c r="BY24" s="681"/>
      <c r="BZ24" s="681"/>
      <c r="CA24" s="681"/>
      <c r="CB24" s="681"/>
      <c r="CC24" s="317"/>
      <c r="CD24" s="317"/>
      <c r="CE24" s="317"/>
      <c r="CF24" s="317"/>
      <c r="CG24" s="317"/>
      <c r="CH24" s="584"/>
      <c r="CI24" s="584"/>
      <c r="CJ24" s="584"/>
      <c r="CK24" s="584"/>
      <c r="CL24" s="315"/>
      <c r="CM24" s="315"/>
      <c r="CN24" s="315"/>
      <c r="CO24" s="315"/>
      <c r="CP24" s="315"/>
      <c r="CQ24" s="315"/>
      <c r="CR24" s="315"/>
      <c r="CS24" s="315"/>
      <c r="CT24" s="315"/>
      <c r="CU24" s="315"/>
      <c r="CV24" s="315"/>
      <c r="CW24" s="315"/>
      <c r="CX24" s="315"/>
      <c r="CY24" s="315"/>
      <c r="CZ24" s="680"/>
      <c r="DA24" s="680"/>
      <c r="DB24" s="680"/>
      <c r="DC24" s="680"/>
      <c r="DD24" s="340"/>
      <c r="DE24" s="340"/>
      <c r="DF24" s="340"/>
      <c r="DG24" s="340"/>
      <c r="DH24" s="340"/>
      <c r="DI24" s="681"/>
      <c r="DJ24" s="681"/>
      <c r="DK24" s="681"/>
      <c r="DL24" s="681"/>
      <c r="DM24" s="317"/>
      <c r="DN24" s="317"/>
      <c r="DO24" s="317"/>
      <c r="DP24" s="317"/>
      <c r="DQ24" s="317"/>
      <c r="DR24" s="584"/>
      <c r="DS24" s="584"/>
      <c r="DT24" s="584"/>
      <c r="DU24" s="584"/>
      <c r="DV24" s="315"/>
      <c r="DW24" s="315"/>
    </row>
    <row r="25" spans="2:127" ht="14.5" customHeight="1" x14ac:dyDescent="0.45">
      <c r="B25" s="823"/>
      <c r="C25" s="825" t="s">
        <v>1547</v>
      </c>
      <c r="N25" s="234"/>
      <c r="P25" s="234"/>
      <c r="R25" s="234"/>
      <c r="T25" s="234"/>
      <c r="V25" s="234"/>
      <c r="X25" s="234"/>
    </row>
    <row r="26" spans="2:127" ht="14.5" customHeight="1" thickBot="1" x14ac:dyDescent="0.5">
      <c r="B26" s="826"/>
      <c r="C26" s="827" t="s">
        <v>1557</v>
      </c>
      <c r="N26" s="234"/>
      <c r="P26" s="234"/>
      <c r="R26" s="234"/>
      <c r="T26" s="234"/>
      <c r="V26" s="234"/>
      <c r="X26" s="234"/>
    </row>
    <row r="27" spans="2:127" ht="14.5" customHeight="1" x14ac:dyDescent="0.45">
      <c r="B27" s="234"/>
      <c r="C27" s="234"/>
      <c r="E27" s="521" t="s">
        <v>2340</v>
      </c>
      <c r="G27" s="317"/>
      <c r="H27" s="317"/>
      <c r="I27" s="317"/>
      <c r="J27" s="317"/>
      <c r="K27" s="317"/>
      <c r="L27" s="317"/>
      <c r="M27" s="317"/>
      <c r="N27" s="584"/>
      <c r="O27" s="584"/>
      <c r="P27" s="584"/>
      <c r="Q27" s="584"/>
      <c r="R27" s="315"/>
      <c r="S27" s="315"/>
      <c r="T27" s="315"/>
      <c r="U27" s="315"/>
      <c r="V27" s="315"/>
      <c r="W27" s="315"/>
      <c r="X27" s="315"/>
      <c r="Y27" s="315"/>
      <c r="Z27" s="315"/>
      <c r="AA27" s="315"/>
      <c r="AB27" s="315"/>
      <c r="AC27" s="315"/>
      <c r="AD27" s="315"/>
      <c r="AE27" s="315"/>
      <c r="AF27" s="680"/>
      <c r="AG27" s="680"/>
      <c r="AH27" s="680"/>
      <c r="AI27" s="680"/>
      <c r="AJ27" s="340"/>
      <c r="AK27" s="340"/>
      <c r="AL27" s="340"/>
      <c r="AM27" s="340"/>
      <c r="AN27" s="340"/>
      <c r="AO27" s="681"/>
      <c r="AP27" s="681"/>
      <c r="AQ27" s="681"/>
      <c r="AR27" s="681"/>
      <c r="AS27" s="317"/>
      <c r="AT27" s="317"/>
      <c r="AU27" s="317"/>
      <c r="AV27" s="317"/>
      <c r="AW27" s="317"/>
      <c r="AX27" s="584"/>
      <c r="AY27" s="584"/>
      <c r="AZ27" s="584"/>
      <c r="BA27" s="584"/>
      <c r="BB27" s="315"/>
      <c r="BC27" s="315"/>
      <c r="BD27" s="315"/>
      <c r="BE27" s="315"/>
      <c r="BF27" s="315"/>
      <c r="BG27" s="315"/>
      <c r="BJ27" s="315"/>
      <c r="BK27" s="315"/>
      <c r="BL27" s="315"/>
      <c r="BM27" s="315"/>
      <c r="BN27" s="315"/>
      <c r="BO27" s="315"/>
      <c r="BP27" s="680"/>
      <c r="BQ27" s="680"/>
      <c r="BR27" s="680"/>
      <c r="BS27" s="680"/>
      <c r="BT27" s="340"/>
      <c r="BU27" s="340"/>
      <c r="BV27" s="340"/>
      <c r="BW27" s="340"/>
      <c r="BX27" s="340"/>
      <c r="BY27" s="681"/>
      <c r="BZ27" s="681"/>
      <c r="CA27" s="681"/>
      <c r="CB27" s="681"/>
      <c r="CC27" s="317"/>
      <c r="CD27" s="317"/>
      <c r="CE27" s="317"/>
      <c r="CF27" s="317"/>
      <c r="CG27" s="317"/>
      <c r="CH27" s="584"/>
      <c r="CI27" s="584"/>
      <c r="CJ27" s="584"/>
      <c r="CK27" s="584"/>
      <c r="CL27" s="315"/>
      <c r="CM27" s="315"/>
      <c r="CN27" s="315"/>
      <c r="CO27" s="315"/>
      <c r="CP27" s="315"/>
      <c r="CQ27" s="315"/>
      <c r="CR27" s="315"/>
      <c r="CS27" s="315"/>
      <c r="CT27" s="315"/>
      <c r="CU27" s="315"/>
      <c r="CV27" s="315"/>
      <c r="CW27" s="315"/>
      <c r="CX27" s="315"/>
      <c r="CY27" s="315"/>
      <c r="CZ27" s="680"/>
      <c r="DA27" s="680"/>
      <c r="DB27" s="680"/>
      <c r="DC27" s="680"/>
      <c r="DD27" s="340"/>
      <c r="DE27" s="340"/>
      <c r="DF27" s="340"/>
      <c r="DG27" s="340"/>
      <c r="DH27" s="340"/>
      <c r="DI27" s="681"/>
      <c r="DJ27" s="681"/>
      <c r="DK27" s="681"/>
      <c r="DL27" s="681"/>
      <c r="DM27" s="317"/>
      <c r="DN27" s="317"/>
      <c r="DO27" s="317"/>
      <c r="DP27" s="317"/>
      <c r="DQ27" s="317"/>
      <c r="DR27" s="584"/>
      <c r="DS27" s="584"/>
      <c r="DT27" s="584"/>
      <c r="DU27" s="584"/>
      <c r="DV27" s="315"/>
      <c r="DW27" s="315"/>
    </row>
    <row r="28" spans="2:127" ht="14.5" customHeight="1" x14ac:dyDescent="0.45">
      <c r="N28" s="234"/>
      <c r="P28" s="234"/>
      <c r="R28" s="234"/>
      <c r="T28" s="234"/>
      <c r="V28" s="234"/>
      <c r="X28" s="234"/>
    </row>
    <row r="29" spans="2:127" ht="14.5" customHeight="1" x14ac:dyDescent="0.45">
      <c r="E29" s="521" t="s">
        <v>2341</v>
      </c>
      <c r="G29" s="317"/>
      <c r="H29" s="317"/>
      <c r="I29" s="317"/>
      <c r="J29" s="317"/>
      <c r="K29" s="317"/>
      <c r="L29" s="317"/>
      <c r="M29" s="317"/>
      <c r="N29" s="584"/>
      <c r="O29" s="584"/>
      <c r="P29" s="584"/>
      <c r="Q29" s="584"/>
      <c r="R29" s="315"/>
      <c r="S29" s="315"/>
      <c r="T29" s="315"/>
      <c r="U29" s="315"/>
      <c r="V29" s="315"/>
      <c r="W29" s="315"/>
      <c r="X29" s="315"/>
      <c r="Y29" s="315"/>
      <c r="Z29" s="315"/>
      <c r="AA29" s="315"/>
      <c r="AB29" s="315"/>
      <c r="AC29" s="315"/>
      <c r="AD29" s="315"/>
      <c r="AE29" s="315"/>
      <c r="AF29" s="680"/>
      <c r="AG29" s="680"/>
      <c r="AH29" s="680"/>
      <c r="AI29" s="680"/>
      <c r="AJ29" s="340"/>
      <c r="AK29" s="340"/>
      <c r="AL29" s="340"/>
      <c r="AM29" s="340"/>
      <c r="AN29" s="340"/>
      <c r="AO29" s="681"/>
      <c r="AP29" s="681"/>
      <c r="AQ29" s="681"/>
      <c r="AR29" s="681"/>
      <c r="AS29" s="317"/>
      <c r="AT29" s="317"/>
      <c r="AU29" s="317"/>
      <c r="AV29" s="317"/>
      <c r="AW29" s="317"/>
      <c r="AX29" s="584"/>
      <c r="AY29" s="584"/>
      <c r="AZ29" s="584"/>
      <c r="BA29" s="584"/>
      <c r="BB29" s="315"/>
      <c r="BC29" s="315"/>
      <c r="BD29" s="315"/>
      <c r="BE29" s="315"/>
      <c r="BF29" s="315"/>
      <c r="BG29" s="315"/>
      <c r="BJ29" s="315"/>
      <c r="BK29" s="315"/>
      <c r="BL29" s="315"/>
      <c r="BM29" s="315"/>
      <c r="BN29" s="315"/>
      <c r="BO29" s="315"/>
      <c r="BP29" s="680"/>
      <c r="BQ29" s="680"/>
      <c r="BR29" s="680"/>
      <c r="BS29" s="680"/>
      <c r="BT29" s="340"/>
      <c r="BU29" s="340"/>
      <c r="BV29" s="340"/>
      <c r="BW29" s="340"/>
      <c r="BX29" s="340"/>
      <c r="BY29" s="681"/>
      <c r="BZ29" s="681"/>
      <c r="CA29" s="681"/>
      <c r="CB29" s="681"/>
      <c r="CC29" s="317"/>
      <c r="CD29" s="317"/>
      <c r="CE29" s="317"/>
      <c r="CF29" s="317"/>
      <c r="CG29" s="317"/>
      <c r="CH29" s="584"/>
      <c r="CI29" s="584"/>
      <c r="CJ29" s="584"/>
      <c r="CK29" s="584"/>
      <c r="CL29" s="315"/>
      <c r="CM29" s="315"/>
      <c r="CN29" s="315"/>
      <c r="CO29" s="315"/>
      <c r="CP29" s="315"/>
      <c r="CQ29" s="315"/>
      <c r="CR29" s="315"/>
      <c r="CS29" s="315"/>
      <c r="CT29" s="315"/>
      <c r="CU29" s="315"/>
      <c r="CV29" s="315"/>
      <c r="CW29" s="315"/>
      <c r="CX29" s="315"/>
      <c r="CY29" s="315"/>
      <c r="CZ29" s="680"/>
      <c r="DA29" s="680"/>
      <c r="DB29" s="680"/>
      <c r="DC29" s="680"/>
      <c r="DD29" s="340"/>
      <c r="DE29" s="340"/>
      <c r="DF29" s="340"/>
      <c r="DG29" s="340"/>
      <c r="DH29" s="340"/>
      <c r="DI29" s="681"/>
      <c r="DJ29" s="681"/>
      <c r="DK29" s="681"/>
      <c r="DL29" s="681"/>
      <c r="DM29" s="317"/>
      <c r="DN29" s="317"/>
      <c r="DO29" s="317"/>
      <c r="DP29" s="317"/>
      <c r="DQ29" s="317"/>
      <c r="DR29" s="584"/>
      <c r="DS29" s="584"/>
      <c r="DT29" s="584"/>
      <c r="DU29" s="584"/>
      <c r="DV29" s="315"/>
      <c r="DW29" s="315"/>
    </row>
    <row r="30" spans="2:127" ht="14.5" customHeight="1" x14ac:dyDescent="0.45">
      <c r="N30" s="234"/>
      <c r="P30" s="234"/>
      <c r="R30" s="234"/>
      <c r="T30" s="234"/>
      <c r="V30" s="234"/>
      <c r="X30" s="234"/>
    </row>
    <row r="31" spans="2:127" ht="14.5" customHeight="1" x14ac:dyDescent="0.45">
      <c r="C31" s="521"/>
      <c r="E31" s="521" t="s">
        <v>1424</v>
      </c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516"/>
      <c r="S31" s="315"/>
      <c r="T31" s="517"/>
      <c r="U31" s="315"/>
      <c r="V31" s="517"/>
      <c r="W31" s="315"/>
      <c r="X31" s="513"/>
      <c r="Y31" s="341"/>
      <c r="Z31" s="341"/>
      <c r="AA31" s="341"/>
      <c r="AB31" s="341"/>
      <c r="AC31" s="341"/>
      <c r="AD31" s="341"/>
      <c r="AE31" s="342"/>
      <c r="AF31" s="250"/>
      <c r="AG31" s="250"/>
      <c r="AH31" s="250"/>
      <c r="AI31" s="250"/>
      <c r="AJ31" s="339"/>
      <c r="AK31" s="340"/>
      <c r="AL31" s="343"/>
      <c r="AM31" s="343"/>
      <c r="AN31" s="344"/>
      <c r="AO31" s="250"/>
      <c r="AP31" s="250"/>
      <c r="AQ31" s="250"/>
      <c r="AR31" s="250"/>
      <c r="AS31" s="316"/>
      <c r="AT31" s="317"/>
      <c r="AU31" s="345"/>
      <c r="AV31" s="345"/>
      <c r="AW31" s="346"/>
      <c r="AX31" s="250"/>
      <c r="AY31" s="250"/>
      <c r="AZ31" s="250"/>
      <c r="BA31" s="250"/>
      <c r="BB31" s="512"/>
      <c r="BC31" s="341"/>
      <c r="BD31" s="513"/>
      <c r="BE31" s="341"/>
      <c r="BF31" s="513"/>
      <c r="BG31" s="513"/>
      <c r="BH31" s="513"/>
      <c r="BI31" s="868"/>
      <c r="BJ31" s="341"/>
      <c r="BK31" s="341"/>
      <c r="BL31" s="341"/>
      <c r="BM31" s="341"/>
      <c r="BN31" s="341"/>
      <c r="BO31" s="342"/>
      <c r="BP31" s="250"/>
      <c r="BQ31" s="250"/>
      <c r="BR31" s="250"/>
      <c r="BS31" s="250"/>
      <c r="BT31" s="514"/>
      <c r="BU31" s="343"/>
      <c r="BV31" s="343"/>
      <c r="BW31" s="343"/>
      <c r="BX31" s="344"/>
      <c r="BY31" s="250"/>
      <c r="BZ31" s="250"/>
      <c r="CA31" s="250"/>
      <c r="CB31" s="250"/>
      <c r="CC31" s="515"/>
      <c r="CD31" s="345"/>
      <c r="CE31" s="345"/>
      <c r="CF31" s="345"/>
      <c r="CG31" s="346"/>
      <c r="CH31" s="250"/>
      <c r="CI31" s="250"/>
      <c r="CJ31" s="250"/>
      <c r="CK31" s="250"/>
      <c r="CL31" s="512"/>
      <c r="CM31" s="341"/>
      <c r="CN31" s="513"/>
      <c r="CO31" s="341"/>
      <c r="CP31" s="513"/>
      <c r="CQ31" s="341"/>
      <c r="CR31" s="513"/>
      <c r="CS31" s="341"/>
      <c r="CT31" s="341"/>
      <c r="CU31" s="341"/>
      <c r="CV31" s="341"/>
      <c r="CW31" s="341"/>
      <c r="CX31" s="341"/>
      <c r="CY31" s="342"/>
      <c r="CZ31" s="250"/>
      <c r="DA31" s="250"/>
      <c r="DB31" s="250"/>
      <c r="DC31" s="250"/>
      <c r="DD31" s="514"/>
      <c r="DE31" s="343"/>
      <c r="DF31" s="343"/>
      <c r="DG31" s="343"/>
      <c r="DH31" s="344"/>
      <c r="DI31" s="250"/>
      <c r="DJ31" s="250"/>
      <c r="DK31" s="250"/>
      <c r="DL31" s="250"/>
      <c r="DM31" s="515"/>
      <c r="DN31" s="345"/>
      <c r="DO31" s="345"/>
      <c r="DP31" s="345"/>
      <c r="DQ31" s="346"/>
      <c r="DR31" s="250"/>
      <c r="DS31" s="250"/>
      <c r="DT31" s="250"/>
      <c r="DU31" s="250"/>
      <c r="DV31" s="314"/>
      <c r="DW31" s="315"/>
    </row>
    <row r="32" spans="2:127" ht="14.5" customHeight="1" thickBot="1" x14ac:dyDescent="0.5">
      <c r="N32" s="234"/>
      <c r="P32" s="234"/>
      <c r="R32" s="234"/>
      <c r="T32" s="234"/>
      <c r="V32" s="234"/>
      <c r="X32" s="234"/>
    </row>
    <row r="33" spans="5:127" ht="14.5" customHeight="1" thickTop="1" thickBot="1" x14ac:dyDescent="0.5">
      <c r="E33" s="521" t="s">
        <v>2036</v>
      </c>
      <c r="G33" s="250"/>
      <c r="H33" s="250"/>
      <c r="I33" s="250"/>
      <c r="J33" s="250"/>
      <c r="K33" s="250"/>
      <c r="L33" s="250"/>
      <c r="M33" s="250"/>
      <c r="N33" s="260"/>
      <c r="O33" s="250"/>
      <c r="P33" s="260"/>
      <c r="Q33" s="250"/>
      <c r="R33" s="282"/>
      <c r="S33" s="280"/>
      <c r="T33" s="282"/>
      <c r="U33" s="280"/>
      <c r="V33" s="282"/>
      <c r="W33" s="280"/>
      <c r="X33" s="843"/>
      <c r="Y33" s="277"/>
      <c r="Z33" s="277"/>
      <c r="AA33" s="277"/>
      <c r="AB33" s="277"/>
      <c r="AC33" s="277"/>
      <c r="AD33" s="277"/>
      <c r="AE33" s="844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250"/>
      <c r="BB33" s="843"/>
      <c r="BC33" s="277"/>
      <c r="BD33" s="284"/>
      <c r="BE33" s="277"/>
      <c r="BF33" s="284"/>
      <c r="BG33" s="277"/>
      <c r="BJ33" s="277"/>
      <c r="BK33" s="277"/>
      <c r="BL33" s="277"/>
      <c r="BM33" s="277"/>
      <c r="BN33" s="277"/>
      <c r="BO33" s="844"/>
      <c r="BP33" s="250"/>
      <c r="BQ33" s="250"/>
      <c r="BR33" s="250"/>
      <c r="BS33" s="250"/>
      <c r="BT33" s="250"/>
      <c r="BU33" s="250"/>
      <c r="BV33" s="250"/>
      <c r="BW33" s="250"/>
      <c r="BX33" s="250"/>
      <c r="BY33" s="250"/>
      <c r="BZ33" s="250"/>
      <c r="CA33" s="260"/>
      <c r="CB33" s="260"/>
      <c r="CC33" s="260"/>
      <c r="CD33" s="260"/>
      <c r="CE33" s="260"/>
      <c r="CF33" s="260"/>
      <c r="CG33" s="260"/>
      <c r="CH33" s="260"/>
      <c r="CI33" s="260"/>
      <c r="CJ33" s="260"/>
      <c r="CK33" s="260"/>
      <c r="CL33" s="843"/>
      <c r="CM33" s="277"/>
      <c r="CN33" s="284"/>
      <c r="CO33" s="277"/>
      <c r="CP33" s="284"/>
      <c r="CQ33" s="277"/>
      <c r="CR33" s="284"/>
      <c r="CS33" s="277"/>
      <c r="CT33" s="277"/>
      <c r="CU33" s="277"/>
      <c r="CV33" s="277"/>
      <c r="CW33" s="277"/>
      <c r="CX33" s="277"/>
      <c r="CY33" s="844"/>
      <c r="CZ33" s="260"/>
      <c r="DA33" s="260"/>
      <c r="DB33" s="260"/>
      <c r="DC33" s="260"/>
      <c r="DD33" s="260"/>
      <c r="DE33" s="260"/>
      <c r="DF33" s="260"/>
      <c r="DG33" s="260"/>
      <c r="DH33" s="260"/>
      <c r="DI33" s="260"/>
      <c r="DJ33" s="260"/>
      <c r="DK33" s="260"/>
      <c r="DL33" s="260"/>
      <c r="DM33" s="260"/>
      <c r="DN33" s="260"/>
      <c r="DO33" s="260"/>
      <c r="DP33" s="260"/>
      <c r="DQ33" s="260"/>
      <c r="DR33" s="260"/>
      <c r="DS33" s="260"/>
      <c r="DT33" s="260"/>
      <c r="DU33" s="260"/>
      <c r="DV33" s="282"/>
      <c r="DW33" s="280"/>
    </row>
    <row r="34" spans="5:127" ht="14.5" customHeight="1" thickTop="1" thickBot="1" x14ac:dyDescent="0.5">
      <c r="N34" s="234"/>
      <c r="P34" s="234"/>
      <c r="R34" s="234"/>
      <c r="T34" s="234"/>
      <c r="V34" s="234"/>
      <c r="X34" s="234"/>
    </row>
    <row r="35" spans="5:127" ht="14.5" customHeight="1" thickTop="1" thickBot="1" x14ac:dyDescent="0.5">
      <c r="E35" s="521" t="s">
        <v>2037</v>
      </c>
      <c r="G35" s="250"/>
      <c r="H35" s="250"/>
      <c r="I35" s="250"/>
      <c r="J35" s="250"/>
      <c r="K35" s="250"/>
      <c r="L35" s="250"/>
      <c r="M35" s="250"/>
      <c r="N35" s="260"/>
      <c r="O35" s="250"/>
      <c r="P35" s="260"/>
      <c r="Q35" s="250"/>
      <c r="R35" s="260"/>
      <c r="S35" s="250"/>
      <c r="T35" s="260"/>
      <c r="U35" s="250"/>
      <c r="V35" s="260"/>
      <c r="W35" s="250"/>
      <c r="X35" s="26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845"/>
      <c r="AK35" s="845"/>
      <c r="AL35" s="846"/>
      <c r="AM35" s="847"/>
      <c r="AN35" s="848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  <c r="BF35" s="250"/>
      <c r="BG35" s="250"/>
      <c r="BJ35" s="250"/>
      <c r="BK35" s="250"/>
      <c r="BL35" s="250"/>
      <c r="BM35" s="250"/>
      <c r="BN35" s="250"/>
      <c r="BO35" s="250"/>
      <c r="BP35" s="250"/>
      <c r="BQ35" s="250"/>
      <c r="BR35" s="250"/>
      <c r="BS35" s="250"/>
      <c r="BT35" s="846"/>
      <c r="BU35" s="847"/>
      <c r="BV35" s="847"/>
      <c r="BW35" s="847"/>
      <c r="BX35" s="848"/>
      <c r="BY35" s="250"/>
      <c r="BZ35" s="250"/>
      <c r="CA35" s="260"/>
      <c r="CB35" s="260"/>
      <c r="CC35" s="260"/>
      <c r="CD35" s="260"/>
      <c r="CE35" s="260"/>
      <c r="CF35" s="260"/>
      <c r="CG35" s="260"/>
      <c r="CH35" s="260"/>
      <c r="CI35" s="260"/>
      <c r="CJ35" s="260"/>
      <c r="CK35" s="260"/>
      <c r="CL35" s="260"/>
      <c r="CM35" s="260"/>
      <c r="CN35" s="260"/>
      <c r="CO35" s="260"/>
      <c r="CP35" s="260"/>
      <c r="CQ35" s="260"/>
      <c r="CR35" s="260"/>
      <c r="CS35" s="260"/>
      <c r="CT35" s="260"/>
      <c r="CU35" s="260"/>
      <c r="CV35" s="260"/>
      <c r="CW35" s="260"/>
      <c r="CX35" s="260"/>
      <c r="CY35" s="260"/>
      <c r="CZ35" s="260"/>
      <c r="DA35" s="260"/>
      <c r="DB35" s="260"/>
      <c r="DC35" s="260"/>
      <c r="DD35" s="846"/>
      <c r="DE35" s="847"/>
      <c r="DF35" s="847"/>
      <c r="DG35" s="847"/>
      <c r="DH35" s="848"/>
      <c r="DI35" s="260"/>
      <c r="DJ35" s="260"/>
      <c r="DK35" s="260"/>
      <c r="DL35" s="260"/>
      <c r="DM35" s="260"/>
      <c r="DN35" s="260"/>
      <c r="DO35" s="260"/>
      <c r="DP35" s="260"/>
      <c r="DQ35" s="260"/>
      <c r="DR35" s="260"/>
      <c r="DS35" s="260"/>
      <c r="DT35" s="260"/>
      <c r="DU35" s="260"/>
      <c r="DV35" s="260"/>
      <c r="DW35" s="260"/>
    </row>
    <row r="36" spans="5:127" ht="14.5" customHeight="1" thickTop="1" thickBot="1" x14ac:dyDescent="0.5">
      <c r="N36" s="234"/>
      <c r="P36" s="234"/>
      <c r="R36" s="234"/>
      <c r="T36" s="234"/>
      <c r="V36" s="234"/>
      <c r="X36" s="234"/>
    </row>
    <row r="37" spans="5:127" ht="14.5" customHeight="1" thickTop="1" thickBot="1" x14ac:dyDescent="0.5">
      <c r="E37" s="521" t="s">
        <v>2038</v>
      </c>
      <c r="G37" s="250"/>
      <c r="H37" s="250"/>
      <c r="I37" s="250"/>
      <c r="J37" s="250"/>
      <c r="K37" s="250"/>
      <c r="L37" s="250"/>
      <c r="M37" s="250"/>
      <c r="N37" s="260"/>
      <c r="O37" s="250"/>
      <c r="P37" s="260"/>
      <c r="Q37" s="250"/>
      <c r="R37" s="260"/>
      <c r="S37" s="250"/>
      <c r="T37" s="260"/>
      <c r="U37" s="250"/>
      <c r="V37" s="260"/>
      <c r="W37" s="250"/>
      <c r="X37" s="26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90"/>
      <c r="AT37" s="290"/>
      <c r="AU37" s="304"/>
      <c r="AV37" s="298"/>
      <c r="AW37" s="305"/>
      <c r="AX37" s="250"/>
      <c r="AY37" s="250"/>
      <c r="AZ37" s="250"/>
      <c r="BA37" s="250"/>
      <c r="BB37" s="250"/>
      <c r="BC37" s="250"/>
      <c r="BD37" s="250"/>
      <c r="BE37" s="250"/>
      <c r="BF37" s="250"/>
      <c r="BG37" s="250"/>
      <c r="BJ37" s="250"/>
      <c r="BK37" s="250"/>
      <c r="BL37" s="250"/>
      <c r="BM37" s="250"/>
      <c r="BN37" s="250"/>
      <c r="BO37" s="250"/>
      <c r="BP37" s="250"/>
      <c r="BQ37" s="250"/>
      <c r="BR37" s="250"/>
      <c r="BS37" s="250"/>
      <c r="BT37" s="250"/>
      <c r="BU37" s="250"/>
      <c r="BV37" s="250"/>
      <c r="BW37" s="250"/>
      <c r="BX37" s="250"/>
      <c r="BY37" s="250"/>
      <c r="BZ37" s="250"/>
      <c r="CA37" s="260"/>
      <c r="CB37" s="260"/>
      <c r="CC37" s="304"/>
      <c r="CD37" s="298"/>
      <c r="CE37" s="298"/>
      <c r="CF37" s="298"/>
      <c r="CG37" s="305"/>
      <c r="CH37" s="260"/>
      <c r="CI37" s="260"/>
      <c r="CJ37" s="260"/>
      <c r="CK37" s="260"/>
      <c r="CL37" s="260"/>
      <c r="CM37" s="260"/>
      <c r="CN37" s="260"/>
      <c r="CO37" s="260"/>
      <c r="CP37" s="260"/>
      <c r="CQ37" s="260"/>
      <c r="CR37" s="260"/>
      <c r="CS37" s="260"/>
      <c r="CT37" s="260"/>
      <c r="CU37" s="260"/>
      <c r="CV37" s="260"/>
      <c r="CW37" s="260"/>
      <c r="CX37" s="260"/>
      <c r="CY37" s="260"/>
      <c r="CZ37" s="260"/>
      <c r="DA37" s="260"/>
      <c r="DB37" s="260"/>
      <c r="DC37" s="260"/>
      <c r="DD37" s="260"/>
      <c r="DE37" s="260"/>
      <c r="DF37" s="260"/>
      <c r="DG37" s="260"/>
      <c r="DH37" s="260"/>
      <c r="DI37" s="260"/>
      <c r="DJ37" s="260"/>
      <c r="DK37" s="260"/>
      <c r="DL37" s="260"/>
      <c r="DM37" s="304"/>
      <c r="DN37" s="298"/>
      <c r="DO37" s="298"/>
      <c r="DP37" s="298"/>
      <c r="DQ37" s="305"/>
      <c r="DR37" s="260"/>
      <c r="DS37" s="260"/>
      <c r="DT37" s="260"/>
      <c r="DU37" s="260"/>
      <c r="DV37" s="260"/>
      <c r="DW37" s="260"/>
    </row>
    <row r="38" spans="5:127" ht="14.5" customHeight="1" thickTop="1" x14ac:dyDescent="0.45">
      <c r="N38" s="234"/>
      <c r="P38" s="234"/>
      <c r="R38" s="234"/>
      <c r="T38" s="234"/>
      <c r="V38" s="234"/>
      <c r="X38" s="234"/>
    </row>
    <row r="39" spans="5:127" ht="14.5" customHeight="1" x14ac:dyDescent="0.45">
      <c r="N39" s="234"/>
      <c r="P39" s="234"/>
      <c r="R39" s="234"/>
      <c r="T39" s="234"/>
      <c r="V39" s="234"/>
      <c r="X39" s="234"/>
    </row>
    <row r="40" spans="5:127" ht="14.5" customHeight="1" x14ac:dyDescent="0.45">
      <c r="E40" s="521" t="s">
        <v>2035</v>
      </c>
      <c r="G40" s="250"/>
      <c r="H40" s="250"/>
      <c r="I40" s="250"/>
      <c r="J40" s="250"/>
      <c r="K40" s="250"/>
      <c r="L40" s="250"/>
      <c r="M40" s="26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869"/>
      <c r="Y40" s="865"/>
      <c r="Z40" s="865"/>
      <c r="AA40" s="865"/>
      <c r="AB40" s="865"/>
      <c r="AC40" s="865"/>
      <c r="AD40" s="865"/>
      <c r="AE40" s="866"/>
      <c r="AF40" s="250"/>
      <c r="AG40" s="250"/>
      <c r="AH40" s="250"/>
      <c r="AI40" s="250"/>
      <c r="AJ40" s="250"/>
      <c r="AK40" s="250"/>
      <c r="AL40" s="864"/>
      <c r="AM40" s="865"/>
      <c r="AN40" s="866"/>
      <c r="AO40" s="250"/>
      <c r="AP40" s="250"/>
      <c r="AQ40" s="250"/>
      <c r="AR40" s="250"/>
      <c r="AS40" s="250"/>
      <c r="AT40" s="250"/>
      <c r="AU40" s="864"/>
      <c r="AV40" s="865"/>
      <c r="AW40" s="866"/>
      <c r="AX40" s="250"/>
      <c r="AY40" s="250"/>
      <c r="AZ40" s="250"/>
      <c r="BA40" s="869"/>
      <c r="BB40" s="865"/>
      <c r="BC40" s="870"/>
      <c r="BD40" s="865"/>
      <c r="BE40" s="870"/>
      <c r="BF40" s="865"/>
      <c r="BG40" s="870"/>
      <c r="BJ40" s="865"/>
      <c r="BK40" s="865"/>
      <c r="BL40" s="865"/>
      <c r="BM40" s="865"/>
      <c r="BN40" s="866"/>
      <c r="BO40" s="250"/>
      <c r="BP40" s="250"/>
      <c r="BQ40" s="250"/>
      <c r="BR40" s="250"/>
      <c r="BS40" s="250"/>
      <c r="BT40" s="864"/>
      <c r="BU40" s="865"/>
      <c r="BV40" s="865"/>
      <c r="BW40" s="865"/>
      <c r="BX40" s="866"/>
      <c r="BY40" s="250"/>
      <c r="BZ40" s="260"/>
      <c r="CA40" s="260"/>
      <c r="CB40" s="260"/>
      <c r="CC40" s="864"/>
      <c r="CD40" s="865"/>
      <c r="CE40" s="865"/>
      <c r="CF40" s="865"/>
      <c r="CG40" s="866"/>
      <c r="CH40" s="260"/>
      <c r="CI40" s="260"/>
      <c r="CJ40" s="260"/>
      <c r="CK40" s="869"/>
      <c r="CL40" s="865"/>
      <c r="CM40" s="870"/>
      <c r="CN40" s="865"/>
      <c r="CO40" s="870"/>
      <c r="CP40" s="865"/>
      <c r="CQ40" s="870"/>
      <c r="CR40" s="865"/>
      <c r="CS40" s="865"/>
      <c r="CT40" s="865"/>
      <c r="CU40" s="865"/>
      <c r="CV40" s="865"/>
      <c r="CW40" s="865"/>
      <c r="CX40" s="866"/>
      <c r="CY40" s="260"/>
      <c r="CZ40" s="260"/>
      <c r="DA40" s="260"/>
      <c r="DB40" s="260"/>
      <c r="DC40" s="260"/>
      <c r="DD40" s="864"/>
      <c r="DE40" s="865"/>
      <c r="DF40" s="865"/>
      <c r="DG40" s="865"/>
      <c r="DH40" s="866"/>
      <c r="DI40" s="250"/>
      <c r="DJ40" s="260"/>
      <c r="DK40" s="260"/>
      <c r="DL40" s="260"/>
      <c r="DM40" s="864"/>
      <c r="DN40" s="865"/>
      <c r="DO40" s="865"/>
      <c r="DP40" s="865"/>
      <c r="DQ40" s="866"/>
      <c r="DR40" s="260"/>
      <c r="DS40" s="260"/>
      <c r="DT40" s="260"/>
      <c r="DU40" s="260"/>
      <c r="DV40" s="260"/>
    </row>
    <row r="41" spans="5:127" ht="14.5" customHeight="1" x14ac:dyDescent="0.45">
      <c r="N41" s="234"/>
      <c r="P41" s="234"/>
      <c r="R41" s="234"/>
      <c r="Y41" s="234"/>
    </row>
    <row r="42" spans="5:127" ht="14.5" customHeight="1" x14ac:dyDescent="0.45"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521"/>
      <c r="S42" s="521"/>
      <c r="T42" s="521"/>
      <c r="U42" s="521"/>
      <c r="V42" s="521"/>
      <c r="W42" s="521"/>
      <c r="X42" s="521"/>
      <c r="Y42" s="521"/>
      <c r="Z42" s="521"/>
      <c r="AA42" s="521"/>
      <c r="AB42" s="521"/>
      <c r="AC42" s="521"/>
      <c r="AD42" s="521"/>
      <c r="AE42" s="521"/>
      <c r="AF42" s="521"/>
      <c r="AG42" s="521"/>
      <c r="AH42" s="521"/>
      <c r="AI42" s="521"/>
      <c r="AJ42" s="521"/>
      <c r="AK42" s="521"/>
      <c r="AL42" s="521"/>
      <c r="AM42" s="521"/>
      <c r="AN42" s="521"/>
      <c r="AO42" s="521"/>
      <c r="AP42" s="521"/>
      <c r="AQ42" s="521"/>
      <c r="AR42" s="521"/>
      <c r="AS42" s="521"/>
      <c r="AT42" s="521"/>
      <c r="AU42" s="521"/>
      <c r="AV42" s="521"/>
      <c r="AW42" s="521"/>
      <c r="AX42" s="521"/>
      <c r="AY42" s="521"/>
      <c r="AZ42" s="521"/>
      <c r="BA42" s="521"/>
      <c r="BB42" s="521"/>
      <c r="BC42" s="521"/>
      <c r="BD42" s="521"/>
      <c r="BE42" s="521"/>
      <c r="BF42" s="521"/>
      <c r="BG42" s="521"/>
      <c r="BH42" s="521"/>
      <c r="BI42" s="521"/>
      <c r="BJ42" s="521"/>
      <c r="BK42" s="521"/>
      <c r="BL42" s="521"/>
      <c r="BM42" s="521"/>
      <c r="BN42" s="521"/>
      <c r="BO42" s="521"/>
      <c r="BP42" s="521"/>
      <c r="BQ42" s="521"/>
      <c r="BR42" s="521"/>
      <c r="BS42" s="521"/>
      <c r="BT42" s="521"/>
      <c r="BU42" s="521"/>
      <c r="BV42" s="521"/>
      <c r="BW42" s="521"/>
      <c r="BX42" s="521"/>
      <c r="BY42" s="521"/>
      <c r="BZ42" s="521"/>
      <c r="CA42" s="521"/>
      <c r="CB42" s="521"/>
      <c r="CC42" s="521"/>
      <c r="CD42" s="521"/>
      <c r="CE42" s="521"/>
      <c r="CF42" s="521"/>
      <c r="CG42" s="521"/>
      <c r="CH42" s="521"/>
      <c r="CI42" s="521"/>
      <c r="CJ42" s="521"/>
      <c r="CK42" s="521"/>
      <c r="CL42" s="521"/>
      <c r="CM42" s="521"/>
      <c r="CN42" s="521"/>
      <c r="CO42" s="521"/>
      <c r="CP42" s="521"/>
      <c r="CQ42" s="521"/>
      <c r="CR42" s="521"/>
      <c r="CS42" s="521"/>
      <c r="CT42" s="521"/>
      <c r="CU42" s="521"/>
      <c r="CV42" s="521"/>
      <c r="CW42" s="521"/>
      <c r="CX42" s="521"/>
      <c r="CY42" s="521"/>
      <c r="CZ42" s="521"/>
      <c r="DA42" s="521"/>
      <c r="DB42" s="521"/>
      <c r="DC42" s="521"/>
      <c r="DD42" s="521"/>
      <c r="DE42" s="521"/>
      <c r="DF42" s="521"/>
      <c r="DG42" s="521"/>
      <c r="DH42" s="521"/>
      <c r="DI42" s="521"/>
      <c r="DJ42" s="521"/>
      <c r="DK42" s="521"/>
      <c r="DL42" s="521"/>
      <c r="DM42" s="521"/>
      <c r="DN42" s="521"/>
      <c r="DO42" s="521"/>
      <c r="DP42" s="521"/>
      <c r="DQ42" s="521"/>
      <c r="DR42" s="521"/>
      <c r="DS42" s="521"/>
      <c r="DT42" s="521"/>
      <c r="DU42" s="521"/>
      <c r="DV42" s="521"/>
      <c r="DW42" s="521"/>
    </row>
    <row r="43" spans="5:127" ht="14.5" customHeight="1" thickBot="1" x14ac:dyDescent="0.5">
      <c r="N43" s="234"/>
      <c r="P43" s="234"/>
      <c r="R43" s="234"/>
      <c r="T43" s="234"/>
      <c r="V43" s="234"/>
      <c r="X43" s="234"/>
    </row>
    <row r="44" spans="5:127" ht="14.5" customHeight="1" thickTop="1" x14ac:dyDescent="0.45">
      <c r="E44" s="521" t="s">
        <v>2034</v>
      </c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843"/>
      <c r="Y44" s="277"/>
      <c r="Z44" s="277"/>
      <c r="AA44" s="277"/>
      <c r="AB44" s="277"/>
      <c r="AC44" s="277"/>
      <c r="AD44" s="277"/>
      <c r="AE44" s="844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/>
      <c r="AV44" s="250"/>
      <c r="AW44" s="250"/>
      <c r="AX44" s="250"/>
      <c r="AY44" s="250"/>
      <c r="AZ44" s="250"/>
      <c r="BA44" s="250"/>
      <c r="BB44" s="843"/>
      <c r="BC44" s="277"/>
      <c r="BD44" s="284"/>
      <c r="BE44" s="277"/>
      <c r="BF44" s="284"/>
      <c r="BG44" s="277"/>
      <c r="BJ44" s="277"/>
      <c r="BK44" s="277"/>
      <c r="BL44" s="277"/>
      <c r="BM44" s="277"/>
      <c r="BN44" s="277"/>
      <c r="BO44" s="844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60"/>
      <c r="CB44" s="260"/>
      <c r="CC44" s="260"/>
      <c r="CD44" s="260"/>
      <c r="CE44" s="260"/>
      <c r="CF44" s="260"/>
      <c r="CG44" s="260"/>
      <c r="CH44" s="260"/>
      <c r="CI44" s="260"/>
      <c r="CJ44" s="260"/>
      <c r="CK44" s="260"/>
      <c r="CL44" s="843"/>
      <c r="CM44" s="277"/>
      <c r="CN44" s="284"/>
      <c r="CO44" s="277"/>
      <c r="CP44" s="284"/>
      <c r="CQ44" s="277"/>
      <c r="CR44" s="284"/>
      <c r="CS44" s="277"/>
      <c r="CT44" s="277"/>
      <c r="CU44" s="277"/>
      <c r="CV44" s="277"/>
      <c r="CW44" s="277"/>
      <c r="CX44" s="277"/>
      <c r="CY44" s="844"/>
      <c r="CZ44" s="260"/>
      <c r="DA44" s="260"/>
      <c r="DB44" s="260"/>
      <c r="DC44" s="260"/>
      <c r="DD44" s="260"/>
      <c r="DE44" s="260"/>
      <c r="DF44" s="260"/>
      <c r="DG44" s="260"/>
      <c r="DH44" s="260"/>
      <c r="DI44" s="260"/>
      <c r="DJ44" s="260"/>
      <c r="DK44" s="260"/>
      <c r="DL44" s="260"/>
      <c r="DM44" s="260"/>
      <c r="DN44" s="260"/>
      <c r="DO44" s="260"/>
      <c r="DP44" s="260"/>
      <c r="DQ44" s="260"/>
      <c r="DR44" s="260"/>
      <c r="DS44" s="260"/>
      <c r="DT44" s="260"/>
      <c r="DU44" s="260"/>
      <c r="DV44" s="260"/>
      <c r="DW44" s="260"/>
    </row>
    <row r="45" spans="5:127" ht="14.5" customHeight="1" thickBot="1" x14ac:dyDescent="0.5">
      <c r="N45" s="234"/>
      <c r="P45" s="234"/>
      <c r="R45" s="234"/>
      <c r="T45" s="234"/>
      <c r="V45" s="234"/>
      <c r="X45" s="234"/>
    </row>
    <row r="46" spans="5:127" ht="14.5" customHeight="1" thickTop="1" x14ac:dyDescent="0.45">
      <c r="E46" s="521" t="s">
        <v>2033</v>
      </c>
      <c r="G46" s="250"/>
      <c r="H46" s="250"/>
      <c r="I46" s="250"/>
      <c r="J46" s="250"/>
      <c r="K46" s="250"/>
      <c r="L46" s="250"/>
      <c r="M46" s="250"/>
      <c r="N46" s="260"/>
      <c r="O46" s="250"/>
      <c r="P46" s="260"/>
      <c r="Q46" s="250"/>
      <c r="R46" s="260"/>
      <c r="S46" s="250"/>
      <c r="T46" s="260"/>
      <c r="U46" s="250"/>
      <c r="V46" s="260"/>
      <c r="W46" s="250"/>
      <c r="X46" s="26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L46" s="846"/>
      <c r="AM46" s="847"/>
      <c r="AN46" s="848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  <c r="AY46" s="250"/>
      <c r="AZ46" s="250"/>
      <c r="BA46" s="250"/>
      <c r="BB46" s="250"/>
      <c r="BC46" s="250"/>
      <c r="BD46" s="250"/>
      <c r="BE46" s="250"/>
      <c r="BF46" s="250"/>
      <c r="BG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846"/>
      <c r="BU46" s="847"/>
      <c r="BV46" s="847"/>
      <c r="BW46" s="847"/>
      <c r="BX46" s="848"/>
      <c r="BY46" s="250"/>
      <c r="BZ46" s="250"/>
      <c r="CA46" s="260"/>
      <c r="CB46" s="260"/>
      <c r="CC46" s="260"/>
      <c r="CD46" s="260"/>
      <c r="CE46" s="260"/>
      <c r="CF46" s="260"/>
      <c r="CG46" s="260"/>
      <c r="CH46" s="260"/>
      <c r="CI46" s="260"/>
      <c r="CJ46" s="260"/>
      <c r="CK46" s="260"/>
      <c r="CL46" s="260"/>
      <c r="CM46" s="260"/>
      <c r="CN46" s="260"/>
      <c r="CO46" s="260"/>
      <c r="CP46" s="260"/>
      <c r="CQ46" s="260"/>
      <c r="CR46" s="260"/>
      <c r="CS46" s="260"/>
      <c r="CT46" s="260"/>
      <c r="CU46" s="260"/>
      <c r="CV46" s="260"/>
      <c r="CW46" s="260"/>
      <c r="CX46" s="260"/>
      <c r="CY46" s="260"/>
      <c r="CZ46" s="260"/>
      <c r="DA46" s="260"/>
      <c r="DB46" s="260"/>
      <c r="DC46" s="260"/>
      <c r="DD46" s="846"/>
      <c r="DE46" s="847"/>
      <c r="DF46" s="847"/>
      <c r="DG46" s="847"/>
      <c r="DH46" s="848"/>
      <c r="DI46" s="260"/>
      <c r="DJ46" s="260"/>
      <c r="DK46" s="260"/>
      <c r="DL46" s="260"/>
      <c r="DM46" s="260"/>
      <c r="DN46" s="260"/>
      <c r="DO46" s="260"/>
      <c r="DP46" s="260"/>
      <c r="DQ46" s="260"/>
      <c r="DR46" s="260"/>
      <c r="DS46" s="260"/>
      <c r="DT46" s="260"/>
      <c r="DU46" s="260"/>
      <c r="DV46" s="260"/>
      <c r="DW46" s="260"/>
    </row>
    <row r="47" spans="5:127" ht="14.5" customHeight="1" thickBot="1" x14ac:dyDescent="0.5">
      <c r="N47" s="234"/>
      <c r="P47" s="234"/>
      <c r="R47" s="234"/>
      <c r="T47" s="234"/>
      <c r="V47" s="234"/>
      <c r="X47" s="234"/>
    </row>
    <row r="48" spans="5:127" ht="14.5" customHeight="1" thickTop="1" x14ac:dyDescent="0.45">
      <c r="E48" s="521" t="s">
        <v>2032</v>
      </c>
      <c r="G48" s="250"/>
      <c r="H48" s="250"/>
      <c r="I48" s="250"/>
      <c r="J48" s="250"/>
      <c r="K48" s="250"/>
      <c r="L48" s="250"/>
      <c r="M48" s="250"/>
      <c r="N48" s="260"/>
      <c r="O48" s="250"/>
      <c r="P48" s="260"/>
      <c r="Q48" s="250"/>
      <c r="R48" s="260"/>
      <c r="S48" s="250"/>
      <c r="T48" s="260"/>
      <c r="U48" s="250"/>
      <c r="V48" s="260"/>
      <c r="W48" s="250"/>
      <c r="X48" s="26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304"/>
      <c r="AV48" s="298"/>
      <c r="AW48" s="305"/>
      <c r="AX48" s="250"/>
      <c r="AY48" s="250"/>
      <c r="AZ48" s="250"/>
      <c r="BA48" s="250"/>
      <c r="BB48" s="250"/>
      <c r="BC48" s="250"/>
      <c r="BD48" s="250"/>
      <c r="BE48" s="250"/>
      <c r="BF48" s="250"/>
      <c r="BG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60"/>
      <c r="CB48" s="260"/>
      <c r="CC48" s="304"/>
      <c r="CD48" s="298"/>
      <c r="CE48" s="298"/>
      <c r="CF48" s="298"/>
      <c r="CG48" s="305"/>
      <c r="CH48" s="260"/>
      <c r="CI48" s="260"/>
      <c r="CJ48" s="260"/>
      <c r="CK48" s="260"/>
      <c r="CL48" s="260"/>
      <c r="CM48" s="260"/>
      <c r="CN48" s="260"/>
      <c r="CO48" s="260"/>
      <c r="CP48" s="260"/>
      <c r="CQ48" s="260"/>
      <c r="CR48" s="260"/>
      <c r="CS48" s="260"/>
      <c r="CT48" s="260"/>
      <c r="CU48" s="260"/>
      <c r="CV48" s="260"/>
      <c r="CW48" s="260"/>
      <c r="CX48" s="260"/>
      <c r="CY48" s="260"/>
      <c r="CZ48" s="260"/>
      <c r="DA48" s="260"/>
      <c r="DB48" s="260"/>
      <c r="DC48" s="260"/>
      <c r="DD48" s="260"/>
      <c r="DE48" s="260"/>
      <c r="DF48" s="260"/>
      <c r="DG48" s="260"/>
      <c r="DH48" s="260"/>
      <c r="DI48" s="260"/>
      <c r="DJ48" s="260"/>
      <c r="DK48" s="260"/>
      <c r="DL48" s="260"/>
      <c r="DM48" s="304"/>
      <c r="DN48" s="298"/>
      <c r="DO48" s="298"/>
      <c r="DP48" s="298"/>
      <c r="DQ48" s="305"/>
      <c r="DR48" s="260"/>
      <c r="DS48" s="260"/>
      <c r="DT48" s="260"/>
      <c r="DU48" s="260"/>
      <c r="DV48" s="260"/>
      <c r="DW48" s="260"/>
    </row>
    <row r="49" spans="2:127" ht="14.5" customHeight="1" thickBot="1" x14ac:dyDescent="0.5">
      <c r="N49" s="234"/>
      <c r="P49" s="234"/>
      <c r="R49" s="234"/>
      <c r="T49" s="234"/>
      <c r="V49" s="234"/>
      <c r="X49" s="234"/>
    </row>
    <row r="50" spans="2:127" ht="14.5" customHeight="1" thickTop="1" x14ac:dyDescent="0.45">
      <c r="E50" s="521" t="s">
        <v>2031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843"/>
      <c r="Y50" s="277"/>
      <c r="Z50" s="277"/>
      <c r="AA50" s="277"/>
      <c r="AB50" s="277"/>
      <c r="AC50" s="277"/>
      <c r="AD50" s="277"/>
      <c r="AE50" s="844"/>
      <c r="AF50" s="250"/>
      <c r="AG50" s="250"/>
      <c r="AH50" s="250"/>
      <c r="AI50" s="250"/>
      <c r="AJ50" s="250"/>
      <c r="AK50" s="250"/>
      <c r="AL50" s="846"/>
      <c r="AM50" s="847"/>
      <c r="AN50" s="848"/>
      <c r="AO50" s="250"/>
      <c r="AP50" s="250"/>
      <c r="AQ50" s="250"/>
      <c r="AR50" s="250"/>
      <c r="AS50" s="250"/>
      <c r="AT50" s="250"/>
      <c r="AU50" s="304"/>
      <c r="AV50" s="298"/>
      <c r="AW50" s="305"/>
      <c r="AX50" s="250"/>
      <c r="AY50" s="250"/>
      <c r="AZ50" s="250"/>
      <c r="BA50" s="250"/>
      <c r="BB50" s="843"/>
      <c r="BC50" s="277"/>
      <c r="BD50" s="284"/>
      <c r="BE50" s="277"/>
      <c r="BF50" s="284"/>
      <c r="BG50" s="277"/>
      <c r="BJ50" s="277"/>
      <c r="BK50" s="277"/>
      <c r="BL50" s="277"/>
      <c r="BM50" s="277"/>
      <c r="BN50" s="277"/>
      <c r="BO50" s="844"/>
      <c r="BP50" s="250"/>
      <c r="BQ50" s="250"/>
      <c r="BR50" s="250"/>
      <c r="BS50" s="250"/>
      <c r="BT50" s="846"/>
      <c r="BU50" s="847"/>
      <c r="BV50" s="847"/>
      <c r="BW50" s="847"/>
      <c r="BX50" s="848"/>
      <c r="BY50" s="250"/>
      <c r="BZ50" s="250"/>
      <c r="CA50" s="260"/>
      <c r="CB50" s="260"/>
      <c r="CC50" s="304"/>
      <c r="CD50" s="298"/>
      <c r="CE50" s="298"/>
      <c r="CF50" s="298"/>
      <c r="CG50" s="305"/>
      <c r="CH50" s="260"/>
      <c r="CI50" s="260"/>
      <c r="CJ50" s="260"/>
      <c r="CK50" s="260"/>
      <c r="CL50" s="843"/>
      <c r="CM50" s="277"/>
      <c r="CN50" s="284"/>
      <c r="CO50" s="277"/>
      <c r="CP50" s="284"/>
      <c r="CQ50" s="277"/>
      <c r="CR50" s="284"/>
      <c r="CS50" s="277"/>
      <c r="CT50" s="277"/>
      <c r="CU50" s="277"/>
      <c r="CV50" s="277"/>
      <c r="CW50" s="277"/>
      <c r="CX50" s="277"/>
      <c r="CY50" s="844"/>
      <c r="CZ50" s="260"/>
      <c r="DA50" s="260"/>
      <c r="DB50" s="260"/>
      <c r="DC50" s="260"/>
      <c r="DD50" s="846"/>
      <c r="DE50" s="847"/>
      <c r="DF50" s="847"/>
      <c r="DG50" s="847"/>
      <c r="DH50" s="848"/>
      <c r="DI50" s="250"/>
      <c r="DJ50" s="250"/>
      <c r="DK50" s="260"/>
      <c r="DL50" s="260"/>
      <c r="DM50" s="304"/>
      <c r="DN50" s="298"/>
      <c r="DO50" s="298"/>
      <c r="DP50" s="298"/>
      <c r="DQ50" s="305"/>
      <c r="DR50" s="260"/>
      <c r="DS50" s="260"/>
      <c r="DT50" s="260"/>
      <c r="DU50" s="260"/>
      <c r="DV50" s="260"/>
      <c r="DW50" s="260"/>
    </row>
    <row r="51" spans="2:127" ht="14.5" customHeight="1" x14ac:dyDescent="0.45">
      <c r="N51" s="234"/>
      <c r="P51" s="234"/>
      <c r="R51" s="234"/>
      <c r="T51" s="234"/>
      <c r="V51" s="234"/>
      <c r="X51" s="234"/>
    </row>
    <row r="52" spans="2:127" ht="14.5" customHeight="1" thickBot="1" x14ac:dyDescent="0.5">
      <c r="N52" s="234"/>
      <c r="P52" s="234"/>
      <c r="R52" s="234"/>
      <c r="T52" s="234"/>
      <c r="V52" s="234"/>
      <c r="X52" s="234"/>
      <c r="CA52" s="246"/>
      <c r="CB52" s="246"/>
      <c r="CC52" s="246"/>
      <c r="CD52" s="246"/>
      <c r="CE52" s="246"/>
      <c r="CF52" s="246"/>
      <c r="CG52" s="246"/>
      <c r="CH52" s="246"/>
      <c r="CI52" s="246"/>
      <c r="CJ52" s="246"/>
      <c r="CK52" s="246"/>
      <c r="CL52" s="246"/>
      <c r="CM52" s="246"/>
      <c r="CN52" s="246"/>
      <c r="CO52" s="246"/>
      <c r="CP52" s="246"/>
      <c r="CQ52" s="246"/>
      <c r="CR52" s="246"/>
      <c r="CS52" s="246"/>
      <c r="CT52" s="246"/>
      <c r="CU52" s="246"/>
      <c r="CV52" s="246"/>
      <c r="CW52" s="246"/>
      <c r="CX52" s="246"/>
      <c r="CY52" s="246"/>
      <c r="CZ52" s="246"/>
      <c r="DA52" s="246"/>
      <c r="DB52" s="246"/>
      <c r="DC52" s="246"/>
      <c r="DD52" s="246"/>
      <c r="DE52" s="246"/>
      <c r="DF52" s="246"/>
      <c r="DG52" s="246"/>
      <c r="DH52" s="246"/>
      <c r="DI52" s="246"/>
      <c r="DJ52" s="246"/>
      <c r="DK52" s="246"/>
      <c r="DL52" s="246"/>
      <c r="DM52" s="246"/>
      <c r="DN52" s="246"/>
      <c r="DO52" s="246"/>
      <c r="DP52" s="246"/>
      <c r="DQ52" s="246"/>
      <c r="DR52" s="246"/>
      <c r="DS52" s="246"/>
      <c r="DT52" s="246"/>
      <c r="DU52" s="246"/>
      <c r="DV52" s="246"/>
    </row>
    <row r="53" spans="2:127" ht="14.5" customHeight="1" thickBot="1" x14ac:dyDescent="0.5">
      <c r="E53" s="521" t="s">
        <v>2039</v>
      </c>
      <c r="G53" s="325"/>
      <c r="H53" s="325"/>
      <c r="I53" s="325"/>
      <c r="J53" s="325"/>
      <c r="K53" s="325"/>
      <c r="L53" s="325"/>
      <c r="M53" s="325"/>
      <c r="N53" s="326"/>
      <c r="O53" s="325"/>
      <c r="P53" s="326"/>
      <c r="Q53" s="327"/>
      <c r="R53" s="518"/>
      <c r="S53" s="519"/>
      <c r="T53" s="518"/>
      <c r="U53" s="519"/>
      <c r="V53" s="518"/>
      <c r="W53" s="520"/>
      <c r="X53" s="337"/>
      <c r="Y53" s="328"/>
      <c r="Z53" s="328"/>
      <c r="AA53" s="328"/>
      <c r="AB53" s="328"/>
      <c r="AC53" s="328"/>
      <c r="AD53" s="328"/>
      <c r="AE53" s="329"/>
      <c r="AF53" s="330"/>
      <c r="AG53" s="331"/>
      <c r="AH53" s="331"/>
      <c r="AI53" s="332"/>
      <c r="AJ53" s="519"/>
      <c r="AK53" s="520"/>
      <c r="AL53" s="328"/>
      <c r="AM53" s="328"/>
      <c r="AN53" s="329"/>
      <c r="AO53" s="330"/>
      <c r="AP53" s="331"/>
      <c r="AQ53" s="331"/>
      <c r="AR53" s="332"/>
      <c r="AS53" s="519"/>
      <c r="AT53" s="520"/>
      <c r="AU53" s="328"/>
      <c r="AV53" s="328"/>
      <c r="AW53" s="329"/>
      <c r="AX53" s="333"/>
      <c r="AY53" s="331"/>
      <c r="AZ53" s="334"/>
      <c r="BA53" s="335"/>
      <c r="BB53" s="336"/>
      <c r="BC53" s="328"/>
      <c r="BD53" s="337"/>
      <c r="BE53" s="328"/>
      <c r="BF53" s="337"/>
      <c r="BG53" s="328"/>
      <c r="BJ53" s="328"/>
      <c r="BK53" s="328"/>
      <c r="BL53" s="328"/>
      <c r="BM53" s="328"/>
      <c r="BN53" s="328"/>
      <c r="BO53" s="329"/>
      <c r="BP53" s="330"/>
      <c r="BQ53" s="331"/>
      <c r="BR53" s="331"/>
      <c r="BS53" s="335"/>
      <c r="BT53" s="338"/>
      <c r="BU53" s="328"/>
      <c r="BV53" s="328"/>
      <c r="BW53" s="328"/>
      <c r="BX53" s="329"/>
      <c r="BY53" s="330"/>
      <c r="BZ53" s="331"/>
      <c r="CA53" s="331"/>
      <c r="CB53" s="335"/>
      <c r="CC53" s="338"/>
      <c r="CD53" s="328"/>
      <c r="CE53" s="328"/>
      <c r="CF53" s="328"/>
      <c r="CG53" s="329"/>
      <c r="CH53" s="333"/>
      <c r="CI53" s="331"/>
      <c r="CJ53" s="334"/>
      <c r="CK53" s="335"/>
      <c r="CL53" s="336"/>
      <c r="CM53" s="328"/>
      <c r="CN53" s="337"/>
      <c r="CO53" s="328"/>
      <c r="CP53" s="337"/>
      <c r="CQ53" s="328"/>
      <c r="CR53" s="328"/>
      <c r="CS53" s="328"/>
      <c r="CT53" s="328"/>
      <c r="CU53" s="328"/>
      <c r="CV53" s="328"/>
      <c r="CW53" s="328"/>
      <c r="CX53" s="328"/>
      <c r="CY53" s="329"/>
      <c r="CZ53" s="330"/>
      <c r="DA53" s="331"/>
      <c r="DB53" s="331"/>
      <c r="DC53" s="335"/>
      <c r="DD53" s="338"/>
      <c r="DE53" s="328"/>
      <c r="DF53" s="328"/>
      <c r="DG53" s="328"/>
      <c r="DH53" s="329"/>
      <c r="DI53" s="330"/>
      <c r="DJ53" s="331"/>
      <c r="DK53" s="331"/>
      <c r="DL53" s="335"/>
      <c r="DM53" s="338"/>
      <c r="DN53" s="328"/>
      <c r="DO53" s="328"/>
      <c r="DP53" s="328"/>
      <c r="DQ53" s="328"/>
      <c r="DR53" s="330"/>
      <c r="DS53" s="331"/>
      <c r="DT53" s="331"/>
      <c r="DU53" s="331"/>
      <c r="DV53" s="518"/>
      <c r="DW53" s="519"/>
    </row>
    <row r="54" spans="2:127" ht="14.5" customHeight="1" x14ac:dyDescent="0.45">
      <c r="N54" s="234"/>
      <c r="P54" s="234"/>
      <c r="R54" s="234"/>
      <c r="T54" s="234"/>
      <c r="V54" s="234"/>
      <c r="X54" s="234"/>
    </row>
    <row r="55" spans="2:127" ht="14.5" customHeight="1" x14ac:dyDescent="0.45">
      <c r="N55" s="234"/>
      <c r="P55" s="234"/>
      <c r="R55" s="234"/>
      <c r="T55" s="234"/>
      <c r="V55" s="234"/>
      <c r="X55" s="234"/>
    </row>
    <row r="56" spans="2:127" ht="14.5" customHeight="1" x14ac:dyDescent="0.45"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  <c r="AG56" s="521"/>
      <c r="AH56" s="521"/>
      <c r="AI56" s="521"/>
      <c r="AJ56" s="521"/>
      <c r="AK56" s="521"/>
      <c r="AL56" s="521"/>
      <c r="AM56" s="521"/>
      <c r="AN56" s="521"/>
      <c r="AO56" s="521"/>
      <c r="AP56" s="521"/>
      <c r="AQ56" s="521"/>
      <c r="AR56" s="521"/>
      <c r="AS56" s="521"/>
      <c r="AT56" s="521"/>
      <c r="AU56" s="521"/>
      <c r="AV56" s="521"/>
      <c r="AW56" s="521"/>
      <c r="AX56" s="521"/>
      <c r="AY56" s="521"/>
      <c r="AZ56" s="521"/>
      <c r="BA56" s="521"/>
      <c r="BB56" s="521"/>
      <c r="BC56" s="521"/>
      <c r="BD56" s="521"/>
      <c r="BE56" s="521"/>
      <c r="BF56" s="521"/>
      <c r="BG56" s="521"/>
      <c r="BH56" s="521"/>
      <c r="BI56" s="521"/>
    </row>
    <row r="57" spans="2:127" ht="14.5" customHeight="1" x14ac:dyDescent="0.45">
      <c r="F57" s="246"/>
    </row>
    <row r="58" spans="2:127" ht="14.5" customHeight="1" thickBot="1" x14ac:dyDescent="0.5">
      <c r="B58" s="828" t="s">
        <v>1944</v>
      </c>
      <c r="C58" s="838"/>
      <c r="E58" s="608" t="s">
        <v>2027</v>
      </c>
      <c r="F58" s="615"/>
      <c r="G58" s="616"/>
      <c r="H58" s="616"/>
      <c r="I58" s="616"/>
      <c r="J58" s="616"/>
      <c r="K58" s="616"/>
      <c r="L58" s="616"/>
      <c r="M58" s="616"/>
      <c r="N58" s="616"/>
      <c r="O58" s="616"/>
      <c r="P58" s="616"/>
      <c r="Q58" s="616"/>
      <c r="R58" s="616"/>
      <c r="S58" s="616"/>
      <c r="T58" s="616"/>
      <c r="U58" s="616"/>
      <c r="V58" s="616"/>
      <c r="W58" s="616"/>
      <c r="X58" s="616"/>
      <c r="Y58" s="616"/>
      <c r="Z58" s="616"/>
      <c r="AA58" s="616"/>
      <c r="AB58" s="616"/>
      <c r="AC58" s="616"/>
      <c r="AD58" s="616"/>
      <c r="AE58" s="616"/>
      <c r="AF58" s="616"/>
      <c r="AG58" s="616"/>
      <c r="AH58" s="616"/>
      <c r="AI58" s="616"/>
      <c r="AJ58" s="616"/>
      <c r="AK58" s="616"/>
      <c r="AL58" s="616"/>
      <c r="AM58" s="616"/>
      <c r="AN58" s="616"/>
      <c r="AO58" s="616"/>
      <c r="AP58" s="616"/>
      <c r="AQ58" s="616"/>
      <c r="AR58" s="616"/>
      <c r="AS58" s="616"/>
      <c r="AT58" s="616"/>
      <c r="AU58" s="616"/>
      <c r="AV58" s="616"/>
      <c r="AW58" s="616"/>
      <c r="AX58" s="616"/>
      <c r="AY58" s="616"/>
      <c r="AZ58" s="616"/>
      <c r="BA58" s="616"/>
      <c r="BB58" s="616"/>
      <c r="BC58" s="616"/>
      <c r="BD58" s="616"/>
      <c r="BE58" s="616"/>
      <c r="BF58" s="616"/>
      <c r="BG58" s="616"/>
      <c r="BH58" s="616"/>
      <c r="BI58" s="616"/>
      <c r="BJ58" s="616"/>
      <c r="BK58" s="616"/>
      <c r="BL58" s="616"/>
      <c r="BM58" s="616"/>
      <c r="BN58" s="616"/>
      <c r="BO58" s="616"/>
      <c r="BP58" s="616"/>
      <c r="BQ58" s="616"/>
      <c r="BR58" s="616"/>
      <c r="BS58" s="616"/>
      <c r="BT58" s="616"/>
      <c r="BU58" s="616"/>
      <c r="BV58" s="616"/>
      <c r="BW58" s="616"/>
      <c r="BX58" s="616"/>
      <c r="BY58" s="616"/>
      <c r="BZ58" s="616"/>
      <c r="CA58" s="614"/>
      <c r="CB58" s="614"/>
      <c r="CC58" s="614"/>
      <c r="CD58" s="614"/>
      <c r="CE58" s="614"/>
      <c r="CF58" s="614"/>
      <c r="CG58" s="614"/>
      <c r="CH58" s="614"/>
      <c r="CI58" s="614"/>
      <c r="CJ58" s="614"/>
      <c r="CK58" s="614"/>
      <c r="CL58" s="614"/>
      <c r="CM58" s="614"/>
      <c r="CN58" s="614"/>
      <c r="CO58" s="614"/>
      <c r="CP58" s="614"/>
      <c r="CQ58" s="614"/>
      <c r="CR58" s="614"/>
      <c r="CS58" s="614"/>
      <c r="CT58" s="614"/>
      <c r="CU58" s="614"/>
      <c r="CV58" s="614"/>
      <c r="CW58" s="614"/>
      <c r="CX58" s="614"/>
      <c r="CY58" s="614"/>
      <c r="CZ58" s="614"/>
      <c r="DA58" s="614"/>
      <c r="DB58" s="614"/>
      <c r="DC58" s="614"/>
      <c r="DD58" s="614"/>
      <c r="DE58" s="614"/>
      <c r="DF58" s="614"/>
      <c r="DG58" s="614"/>
      <c r="DH58" s="614"/>
      <c r="DI58" s="614"/>
      <c r="DJ58" s="614"/>
      <c r="DK58" s="614"/>
      <c r="DL58" s="614"/>
      <c r="DM58" s="614"/>
      <c r="DN58" s="614"/>
      <c r="DO58" s="614"/>
      <c r="DP58" s="614"/>
      <c r="DQ58" s="614"/>
      <c r="DR58" s="614"/>
      <c r="DS58" s="614"/>
      <c r="DT58" s="614"/>
      <c r="DU58" s="614"/>
      <c r="DV58" s="614"/>
      <c r="DW58" s="614"/>
    </row>
    <row r="59" spans="2:127" ht="14.5" customHeight="1" thickTop="1" x14ac:dyDescent="0.45">
      <c r="B59" s="829" t="s">
        <v>1275</v>
      </c>
      <c r="C59" s="830" t="s">
        <v>1538</v>
      </c>
      <c r="E59" s="521" t="s">
        <v>1431</v>
      </c>
      <c r="G59" s="247"/>
      <c r="H59" s="247"/>
      <c r="I59" s="258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6"/>
      <c r="BJ59" s="256"/>
      <c r="BK59" s="256"/>
      <c r="BL59" s="256"/>
      <c r="BM59" s="256"/>
      <c r="BN59" s="256"/>
      <c r="BO59" s="256"/>
      <c r="BP59" s="256"/>
      <c r="BQ59" s="256"/>
      <c r="BR59" s="256"/>
      <c r="BS59" s="256"/>
      <c r="BT59" s="256"/>
      <c r="BU59" s="256"/>
      <c r="BV59" s="256"/>
      <c r="BW59" s="256"/>
      <c r="BX59" s="256"/>
      <c r="BY59" s="256"/>
      <c r="BZ59" s="256"/>
      <c r="CA59" s="256"/>
      <c r="CB59" s="256"/>
      <c r="CC59" s="256"/>
      <c r="CD59" s="256"/>
      <c r="CE59" s="256"/>
      <c r="CF59" s="256"/>
      <c r="CG59" s="256"/>
      <c r="CH59" s="256"/>
      <c r="CI59" s="256"/>
      <c r="CJ59" s="256"/>
      <c r="CK59" s="256"/>
      <c r="CL59" s="256"/>
      <c r="CM59" s="256"/>
      <c r="CN59" s="256"/>
      <c r="CO59" s="256"/>
      <c r="CP59" s="256"/>
      <c r="CQ59" s="256"/>
      <c r="CR59" s="256"/>
      <c r="CS59" s="256"/>
      <c r="CT59" s="256"/>
      <c r="CU59" s="256"/>
      <c r="CV59" s="256"/>
      <c r="CW59" s="256"/>
      <c r="CX59" s="256"/>
      <c r="CY59" s="256"/>
      <c r="CZ59" s="256"/>
      <c r="DA59" s="256"/>
      <c r="DB59" s="256"/>
      <c r="DC59" s="256"/>
      <c r="DD59" s="256"/>
      <c r="DE59" s="256"/>
      <c r="DF59" s="256"/>
      <c r="DG59" s="256"/>
      <c r="DH59" s="256"/>
      <c r="DI59" s="256"/>
      <c r="DJ59" s="256"/>
      <c r="DK59" s="256"/>
      <c r="DL59" s="256"/>
      <c r="DM59" s="258"/>
      <c r="DN59" s="256"/>
      <c r="DO59" s="256"/>
      <c r="DP59" s="256"/>
      <c r="DQ59" s="256"/>
      <c r="DR59" s="256"/>
      <c r="DS59" s="256"/>
      <c r="DT59" s="256"/>
      <c r="DU59" s="256"/>
      <c r="DV59" s="256"/>
      <c r="DW59" s="256"/>
    </row>
    <row r="60" spans="2:127" ht="14.5" customHeight="1" x14ac:dyDescent="0.45">
      <c r="B60" s="831"/>
      <c r="C60" s="832" t="s">
        <v>1550</v>
      </c>
      <c r="W60" s="234"/>
      <c r="X60" s="234"/>
      <c r="DM60" s="246"/>
      <c r="DN60" s="246"/>
      <c r="DO60" s="246"/>
      <c r="DP60" s="246"/>
      <c r="DQ60" s="246"/>
    </row>
    <row r="61" spans="2:127" ht="14.5" customHeight="1" x14ac:dyDescent="0.45">
      <c r="B61" s="833" t="s">
        <v>1559</v>
      </c>
      <c r="C61" s="834" t="s">
        <v>1539</v>
      </c>
      <c r="E61" s="521" t="s">
        <v>2081</v>
      </c>
      <c r="G61" s="250"/>
      <c r="H61" s="250"/>
      <c r="I61" s="387"/>
      <c r="J61" s="387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60"/>
      <c r="X61" s="26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250"/>
      <c r="AY61" s="250"/>
      <c r="AZ61" s="250"/>
      <c r="BA61" s="250"/>
      <c r="BB61" s="250"/>
      <c r="BC61" s="250"/>
      <c r="BD61" s="250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250"/>
      <c r="CH61" s="250"/>
      <c r="CI61" s="250"/>
      <c r="CJ61" s="250"/>
      <c r="CK61" s="250"/>
      <c r="CL61" s="250"/>
      <c r="CM61" s="260"/>
      <c r="CN61" s="260"/>
      <c r="CO61" s="260"/>
      <c r="CP61" s="260"/>
      <c r="CQ61" s="260"/>
      <c r="CR61" s="260"/>
      <c r="CS61" s="260"/>
      <c r="CT61" s="260"/>
      <c r="CU61" s="260"/>
      <c r="CV61" s="260"/>
      <c r="CW61" s="260"/>
      <c r="CX61" s="260"/>
      <c r="CY61" s="260"/>
      <c r="CZ61" s="260"/>
      <c r="DA61" s="260"/>
      <c r="DB61" s="260"/>
      <c r="DC61" s="260"/>
      <c r="DD61" s="260"/>
      <c r="DE61" s="260"/>
      <c r="DF61" s="260"/>
      <c r="DG61" s="260"/>
      <c r="DH61" s="260"/>
      <c r="DI61" s="260"/>
      <c r="DJ61" s="260"/>
      <c r="DK61" s="260"/>
      <c r="DL61" s="260"/>
      <c r="DM61" s="387"/>
      <c r="DN61" s="387"/>
      <c r="DO61" s="260"/>
      <c r="DP61" s="260"/>
      <c r="DQ61" s="260"/>
      <c r="DR61" s="260"/>
      <c r="DS61" s="260"/>
      <c r="DT61" s="260"/>
      <c r="DU61" s="260"/>
      <c r="DV61" s="260"/>
      <c r="DW61" s="260"/>
    </row>
    <row r="62" spans="2:127" ht="14.5" customHeight="1" x14ac:dyDescent="0.45">
      <c r="B62" s="831"/>
      <c r="C62" s="832" t="s">
        <v>1551</v>
      </c>
      <c r="W62" s="234"/>
      <c r="X62" s="234"/>
      <c r="DM62" s="246"/>
      <c r="DN62" s="246"/>
      <c r="DO62" s="246"/>
      <c r="DP62" s="246"/>
      <c r="DQ62" s="246"/>
    </row>
    <row r="63" spans="2:127" ht="14.5" customHeight="1" x14ac:dyDescent="0.45">
      <c r="B63" s="831"/>
      <c r="C63" s="834" t="s">
        <v>1540</v>
      </c>
      <c r="E63" s="521" t="s">
        <v>2088</v>
      </c>
      <c r="G63" s="250"/>
      <c r="H63" s="250"/>
      <c r="I63" s="250"/>
      <c r="J63" s="250"/>
      <c r="K63" s="250"/>
      <c r="L63" s="258"/>
      <c r="M63" s="250"/>
      <c r="N63" s="250"/>
      <c r="O63" s="250"/>
      <c r="P63" s="250"/>
      <c r="Q63" s="250"/>
      <c r="R63" s="250"/>
      <c r="S63" s="250"/>
      <c r="T63" s="250"/>
      <c r="U63" s="250"/>
      <c r="V63" s="260"/>
      <c r="W63" s="26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250"/>
      <c r="AY63" s="250"/>
      <c r="AZ63" s="250"/>
      <c r="BA63" s="250"/>
      <c r="BB63" s="250"/>
      <c r="BC63" s="250"/>
      <c r="BD63" s="250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250"/>
      <c r="CH63" s="250"/>
      <c r="CI63" s="250"/>
      <c r="CJ63" s="250"/>
      <c r="CK63" s="250"/>
      <c r="CL63" s="260"/>
      <c r="CM63" s="260"/>
      <c r="CN63" s="260"/>
      <c r="CO63" s="260"/>
      <c r="CP63" s="260"/>
      <c r="CQ63" s="260"/>
      <c r="CR63" s="260"/>
      <c r="CS63" s="260"/>
      <c r="CT63" s="260"/>
      <c r="CU63" s="260"/>
      <c r="CV63" s="260"/>
      <c r="CW63" s="260"/>
      <c r="CX63" s="260"/>
      <c r="CY63" s="260"/>
      <c r="CZ63" s="260"/>
      <c r="DA63" s="260"/>
      <c r="DB63" s="260"/>
      <c r="DC63" s="260"/>
      <c r="DD63" s="260"/>
      <c r="DE63" s="260"/>
      <c r="DF63" s="260"/>
      <c r="DG63" s="260"/>
      <c r="DH63" s="260"/>
      <c r="DI63" s="260"/>
      <c r="DJ63" s="260"/>
      <c r="DK63" s="260"/>
      <c r="DL63" s="250"/>
      <c r="DM63" s="250"/>
      <c r="DN63" s="250"/>
      <c r="DO63" s="250"/>
      <c r="DP63" s="258"/>
      <c r="DQ63" s="260"/>
      <c r="DR63" s="260"/>
      <c r="DS63" s="260"/>
      <c r="DT63" s="260"/>
      <c r="DU63" s="260"/>
      <c r="DV63" s="260"/>
    </row>
    <row r="64" spans="2:127" ht="14.5" customHeight="1" thickBot="1" x14ac:dyDescent="0.5">
      <c r="B64" s="835"/>
      <c r="C64" s="836" t="s">
        <v>1552</v>
      </c>
      <c r="L64" s="257"/>
      <c r="V64" s="234"/>
      <c r="W64" s="234"/>
      <c r="CA64" s="246"/>
      <c r="CB64" s="246"/>
      <c r="CC64" s="246"/>
      <c r="CD64" s="246"/>
      <c r="CE64" s="246"/>
      <c r="CF64" s="246"/>
      <c r="CG64" s="246"/>
      <c r="CH64" s="246"/>
      <c r="CI64" s="246"/>
      <c r="CJ64" s="246"/>
      <c r="CK64" s="246"/>
      <c r="DL64" s="246"/>
      <c r="DM64" s="246"/>
      <c r="DN64" s="246"/>
      <c r="DO64" s="246"/>
      <c r="DP64" s="257"/>
    </row>
    <row r="65" spans="2:127" ht="14.5" customHeight="1" thickTop="1" x14ac:dyDescent="0.45">
      <c r="B65" s="829" t="s">
        <v>1560</v>
      </c>
      <c r="C65" s="830" t="s">
        <v>1541</v>
      </c>
      <c r="V65" s="234"/>
      <c r="W65" s="234"/>
      <c r="BZ65" s="234"/>
      <c r="DL65" s="246"/>
      <c r="DM65" s="246"/>
      <c r="DN65" s="246"/>
      <c r="DO65" s="246"/>
      <c r="DP65" s="246"/>
    </row>
    <row r="66" spans="2:127" ht="14.5" customHeight="1" x14ac:dyDescent="0.45">
      <c r="B66" s="831"/>
      <c r="C66" s="832" t="s">
        <v>1553</v>
      </c>
      <c r="E66" s="521" t="s">
        <v>2057</v>
      </c>
      <c r="G66" s="671"/>
      <c r="H66" s="671"/>
      <c r="I66" s="671"/>
      <c r="J66" s="671"/>
      <c r="K66" s="671"/>
      <c r="L66" s="671"/>
      <c r="M66" s="899" t="s">
        <v>1292</v>
      </c>
      <c r="N66" s="900"/>
      <c r="O66" s="900"/>
      <c r="P66" s="901"/>
      <c r="Q66" s="902"/>
      <c r="R66" s="902"/>
      <c r="S66" s="902"/>
      <c r="T66" s="902"/>
      <c r="U66" s="902"/>
      <c r="V66" s="902"/>
      <c r="W66" s="902"/>
      <c r="X66" s="902"/>
      <c r="Y66" s="902"/>
      <c r="Z66" s="902"/>
      <c r="AA66" s="902"/>
      <c r="AB66" s="902"/>
      <c r="AC66" s="902"/>
      <c r="AD66" s="902"/>
      <c r="AE66" s="902"/>
      <c r="AF66" s="902"/>
      <c r="AG66" s="902"/>
      <c r="AH66" s="902"/>
      <c r="AI66" s="899" t="s">
        <v>2075</v>
      </c>
      <c r="AJ66" s="900"/>
      <c r="AK66" s="900"/>
      <c r="AL66" s="901"/>
      <c r="AM66" s="902"/>
      <c r="AN66" s="902"/>
      <c r="AO66" s="902"/>
      <c r="AP66" s="902"/>
      <c r="AQ66" s="902"/>
      <c r="AR66" s="902"/>
      <c r="AS66" s="902"/>
      <c r="AT66" s="902"/>
      <c r="AU66" s="902"/>
      <c r="AV66" s="902"/>
      <c r="AW66" s="899" t="s">
        <v>2060</v>
      </c>
      <c r="AX66" s="900"/>
      <c r="AY66" s="900"/>
      <c r="AZ66" s="901"/>
      <c r="BA66" s="902"/>
      <c r="BB66" s="902"/>
      <c r="BC66" s="902"/>
      <c r="BD66" s="902"/>
      <c r="BE66" s="902"/>
      <c r="BF66" s="903"/>
      <c r="BG66" s="903"/>
      <c r="BH66" s="902"/>
      <c r="BI66" s="902"/>
      <c r="BJ66" s="902"/>
      <c r="BK66" s="902"/>
      <c r="BL66" s="902"/>
      <c r="BM66" s="902"/>
      <c r="BN66" s="902"/>
      <c r="BO66" s="902"/>
      <c r="BP66" s="902"/>
      <c r="BQ66" s="902"/>
      <c r="BR66" s="902"/>
      <c r="BS66" s="899"/>
      <c r="BT66" s="900"/>
      <c r="BU66" s="900"/>
      <c r="BV66" s="901"/>
      <c r="BW66" s="902"/>
      <c r="BX66" s="902"/>
      <c r="BY66" s="902"/>
      <c r="BZ66" s="902"/>
      <c r="CA66" s="902"/>
      <c r="CB66" s="902"/>
      <c r="CC66" s="902"/>
      <c r="CD66" s="902"/>
      <c r="CE66" s="902"/>
      <c r="CF66" s="902"/>
      <c r="CG66" s="899" t="s">
        <v>2065</v>
      </c>
      <c r="CH66" s="900"/>
      <c r="CI66" s="900"/>
      <c r="CJ66" s="901"/>
      <c r="CK66" s="902"/>
      <c r="CL66" s="902"/>
      <c r="CM66" s="902"/>
      <c r="CN66" s="902"/>
      <c r="CO66" s="902"/>
      <c r="CP66" s="902"/>
      <c r="CQ66" s="902"/>
      <c r="CR66" s="902"/>
      <c r="CS66" s="902"/>
      <c r="CT66" s="902"/>
      <c r="CU66" s="902"/>
      <c r="CV66" s="902"/>
      <c r="CW66" s="902"/>
      <c r="CX66" s="902"/>
      <c r="CY66" s="902"/>
      <c r="CZ66" s="902"/>
      <c r="DA66" s="902"/>
      <c r="DB66" s="902"/>
      <c r="DC66" s="899" t="s">
        <v>2064</v>
      </c>
      <c r="DD66" s="900"/>
      <c r="DE66" s="900"/>
      <c r="DF66" s="901"/>
      <c r="DG66" s="902"/>
      <c r="DH66" s="902"/>
      <c r="DI66" s="902"/>
      <c r="DJ66" s="902"/>
      <c r="DK66" s="902"/>
      <c r="DL66" s="902"/>
      <c r="DM66" s="902"/>
      <c r="DN66" s="902"/>
      <c r="DO66" s="902"/>
      <c r="DP66" s="902"/>
      <c r="DQ66" s="899" t="s">
        <v>1292</v>
      </c>
      <c r="DR66" s="900"/>
      <c r="DS66" s="900"/>
      <c r="DT66" s="901"/>
      <c r="DU66" s="671"/>
      <c r="DV66" s="671"/>
      <c r="DW66" s="671"/>
    </row>
    <row r="67" spans="2:127" ht="14.5" customHeight="1" x14ac:dyDescent="0.45">
      <c r="B67" s="833" t="s">
        <v>1561</v>
      </c>
      <c r="C67" s="834" t="s">
        <v>1542</v>
      </c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601"/>
      <c r="X67" s="601"/>
      <c r="Y67" s="248"/>
      <c r="Z67" s="248"/>
      <c r="AA67" s="248"/>
      <c r="AB67" s="248"/>
      <c r="AC67" s="248"/>
      <c r="AD67" s="248"/>
      <c r="AE67" s="248"/>
      <c r="AF67" s="248"/>
      <c r="AG67" s="248"/>
      <c r="AH67" s="248"/>
      <c r="AI67" s="248"/>
      <c r="AJ67" s="248"/>
      <c r="AK67" s="248"/>
      <c r="AL67" s="248"/>
      <c r="AM67" s="248"/>
      <c r="AN67" s="248"/>
      <c r="AO67" s="248"/>
      <c r="AP67" s="248"/>
      <c r="AQ67" s="248"/>
      <c r="AR67" s="248"/>
      <c r="AS67" s="248"/>
      <c r="AT67" s="248"/>
      <c r="AU67" s="248"/>
      <c r="AV67" s="248"/>
      <c r="AW67" s="248"/>
      <c r="AX67" s="248"/>
      <c r="AY67" s="248"/>
      <c r="AZ67" s="248"/>
      <c r="BA67" s="248"/>
      <c r="BB67" s="248"/>
      <c r="BC67" s="248"/>
      <c r="BD67" s="248"/>
      <c r="BE67" s="248"/>
      <c r="BF67" s="248"/>
      <c r="BG67" s="248"/>
      <c r="BH67" s="248"/>
      <c r="BI67" s="248"/>
      <c r="BJ67" s="248"/>
      <c r="BK67" s="248"/>
      <c r="BL67" s="248"/>
      <c r="BM67" s="248"/>
      <c r="BO67" s="248"/>
      <c r="BP67" s="248"/>
      <c r="BQ67" s="248"/>
      <c r="BR67" s="248"/>
      <c r="BS67" s="248"/>
      <c r="BT67" s="248"/>
      <c r="BU67" s="248"/>
      <c r="BV67" s="248"/>
      <c r="BW67" s="248"/>
      <c r="BX67" s="248"/>
      <c r="BY67" s="248"/>
      <c r="BZ67" s="248"/>
      <c r="CA67" s="248"/>
      <c r="CB67" s="248"/>
      <c r="CC67" s="248"/>
      <c r="CD67" s="248"/>
      <c r="CE67" s="248"/>
      <c r="CF67" s="248"/>
      <c r="CG67" s="248"/>
      <c r="CH67" s="248"/>
      <c r="CI67" s="248"/>
      <c r="CJ67" s="248"/>
      <c r="CK67" s="248"/>
      <c r="CL67" s="248"/>
      <c r="CM67" s="248"/>
      <c r="CN67" s="248"/>
      <c r="CO67" s="248"/>
      <c r="CP67" s="248"/>
      <c r="CQ67" s="601"/>
      <c r="CR67" s="601"/>
      <c r="CS67" s="248"/>
      <c r="CT67" s="248"/>
      <c r="CU67" s="248"/>
      <c r="CV67" s="248"/>
      <c r="CW67" s="248"/>
      <c r="CX67" s="248"/>
      <c r="CY67" s="248"/>
      <c r="CZ67" s="248"/>
      <c r="DA67" s="248"/>
      <c r="DB67" s="248"/>
      <c r="DC67" s="248"/>
      <c r="DD67" s="248"/>
      <c r="DE67" s="248"/>
      <c r="DF67" s="248"/>
      <c r="DG67" s="248"/>
      <c r="DH67" s="248"/>
      <c r="DI67" s="248"/>
      <c r="DJ67" s="248"/>
      <c r="DK67" s="248"/>
      <c r="DL67" s="248"/>
      <c r="DM67" s="248"/>
      <c r="DN67" s="248"/>
      <c r="DO67" s="248"/>
      <c r="DP67" s="248"/>
      <c r="DQ67" s="248"/>
      <c r="DR67" s="248"/>
      <c r="DS67" s="248"/>
      <c r="DT67" s="601"/>
    </row>
    <row r="68" spans="2:127" ht="14.5" customHeight="1" x14ac:dyDescent="0.45">
      <c r="B68" s="831"/>
      <c r="C68" s="832" t="s">
        <v>1554</v>
      </c>
      <c r="E68" s="521" t="s">
        <v>2099</v>
      </c>
      <c r="G68" s="250"/>
      <c r="H68" s="250"/>
      <c r="I68" s="250"/>
      <c r="J68" s="250"/>
      <c r="K68" s="250"/>
      <c r="L68" s="250"/>
      <c r="M68" s="313"/>
      <c r="N68" s="250"/>
      <c r="O68" s="250"/>
      <c r="P68" s="250"/>
      <c r="Q68" s="250"/>
      <c r="R68" s="250"/>
      <c r="S68" s="250"/>
      <c r="T68" s="250"/>
      <c r="U68" s="250"/>
      <c r="V68" s="260"/>
      <c r="W68" s="26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313"/>
      <c r="AJ68" s="250"/>
      <c r="AK68" s="250"/>
      <c r="AL68" s="250"/>
      <c r="AM68" s="250"/>
      <c r="AN68" s="250"/>
      <c r="AO68" s="250"/>
      <c r="AP68" s="250"/>
      <c r="AQ68" s="250"/>
      <c r="AR68" s="250"/>
      <c r="AS68" s="250"/>
      <c r="AT68" s="250"/>
      <c r="AU68" s="250"/>
      <c r="AV68" s="250"/>
      <c r="AW68" s="313"/>
      <c r="AX68" s="250"/>
      <c r="AY68" s="250"/>
      <c r="AZ68" s="250"/>
      <c r="BA68" s="250"/>
      <c r="BB68" s="250"/>
      <c r="BC68" s="250"/>
      <c r="BD68" s="250"/>
      <c r="BE68" s="250"/>
      <c r="BF68" s="248"/>
      <c r="BG68" s="248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313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313"/>
      <c r="CH68" s="250"/>
      <c r="CI68" s="250"/>
      <c r="CJ68" s="250"/>
      <c r="CK68" s="260"/>
      <c r="CL68" s="260"/>
      <c r="CM68" s="260"/>
      <c r="CN68" s="260"/>
      <c r="CO68" s="260"/>
      <c r="CP68" s="260"/>
      <c r="CQ68" s="260"/>
      <c r="CR68" s="260"/>
      <c r="CS68" s="260"/>
      <c r="CT68" s="260"/>
      <c r="CU68" s="260"/>
      <c r="CV68" s="260"/>
      <c r="CW68" s="260"/>
      <c r="CX68" s="260"/>
      <c r="CY68" s="260"/>
      <c r="CZ68" s="260"/>
      <c r="DA68" s="260"/>
      <c r="DB68" s="260"/>
      <c r="DC68" s="313"/>
      <c r="DD68" s="250"/>
      <c r="DE68" s="250"/>
      <c r="DF68" s="250"/>
      <c r="DG68" s="260"/>
      <c r="DH68" s="260"/>
      <c r="DI68" s="260"/>
      <c r="DJ68" s="260"/>
      <c r="DK68" s="260"/>
      <c r="DL68" s="260"/>
      <c r="DM68" s="260"/>
      <c r="DN68" s="260"/>
      <c r="DO68" s="260"/>
      <c r="DP68" s="260"/>
      <c r="DQ68" s="313"/>
      <c r="DR68" s="250"/>
      <c r="DS68" s="250"/>
      <c r="DT68" s="250"/>
      <c r="DU68" s="250"/>
      <c r="DV68" s="250"/>
      <c r="DW68" s="260"/>
    </row>
    <row r="69" spans="2:127" ht="14.5" customHeight="1" x14ac:dyDescent="0.45">
      <c r="B69" s="831"/>
      <c r="C69" s="834" t="s">
        <v>1543</v>
      </c>
      <c r="V69" s="234"/>
      <c r="W69" s="234"/>
      <c r="BF69" s="248"/>
      <c r="BG69" s="248"/>
      <c r="CA69" s="246"/>
      <c r="CB69" s="246"/>
      <c r="CC69" s="246"/>
      <c r="CD69" s="246"/>
      <c r="CE69" s="246"/>
      <c r="CF69" s="246"/>
      <c r="CG69" s="246"/>
      <c r="CH69" s="246"/>
      <c r="CI69" s="246"/>
      <c r="CJ69" s="246"/>
      <c r="DC69" s="246"/>
      <c r="DD69" s="246"/>
      <c r="DE69" s="246"/>
      <c r="DF69" s="246"/>
      <c r="DQ69" s="246"/>
      <c r="DR69" s="246"/>
      <c r="DS69" s="246"/>
      <c r="DT69" s="246"/>
      <c r="DU69" s="246"/>
      <c r="DV69" s="246"/>
    </row>
    <row r="70" spans="2:127" ht="14.5" customHeight="1" thickBot="1" x14ac:dyDescent="0.5">
      <c r="B70" s="835"/>
      <c r="C70" s="836" t="s">
        <v>1562</v>
      </c>
      <c r="E70" s="521" t="s">
        <v>2100</v>
      </c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313"/>
      <c r="R70" s="250"/>
      <c r="S70" s="250"/>
      <c r="T70" s="250"/>
      <c r="U70" s="250"/>
      <c r="V70" s="260"/>
      <c r="W70" s="26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  <c r="AI70" s="250"/>
      <c r="AJ70" s="250"/>
      <c r="AK70" s="250"/>
      <c r="AL70" s="250"/>
      <c r="AM70" s="313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  <c r="AX70" s="250"/>
      <c r="AY70" s="250"/>
      <c r="AZ70" s="250"/>
      <c r="BA70" s="313"/>
      <c r="BB70" s="250"/>
      <c r="BC70" s="250"/>
      <c r="BD70" s="250"/>
      <c r="BE70" s="250"/>
      <c r="BF70" s="248"/>
      <c r="BG70" s="248"/>
      <c r="BH70" s="250"/>
      <c r="BI70" s="250"/>
      <c r="BJ70" s="313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313"/>
      <c r="BX70" s="250"/>
      <c r="BY70" s="250"/>
      <c r="BZ70" s="250"/>
      <c r="CA70" s="250"/>
      <c r="CB70" s="250"/>
      <c r="CC70" s="250"/>
      <c r="CD70" s="250"/>
      <c r="CE70" s="250"/>
      <c r="CF70" s="250"/>
      <c r="CG70" s="250"/>
      <c r="CH70" s="250"/>
      <c r="CI70" s="250"/>
      <c r="CJ70" s="250"/>
      <c r="CK70" s="313"/>
      <c r="CL70" s="260"/>
      <c r="CM70" s="260"/>
      <c r="CN70" s="260"/>
      <c r="CO70" s="260"/>
      <c r="CP70" s="260"/>
      <c r="CQ70" s="260"/>
      <c r="CR70" s="260"/>
      <c r="CS70" s="260"/>
      <c r="CT70" s="260"/>
      <c r="CU70" s="260"/>
      <c r="CV70" s="260"/>
      <c r="CW70" s="260"/>
      <c r="CX70" s="260"/>
      <c r="CY70" s="260"/>
      <c r="CZ70" s="260"/>
      <c r="DA70" s="260"/>
      <c r="DB70" s="260"/>
      <c r="DC70" s="260"/>
      <c r="DD70" s="250"/>
      <c r="DE70" s="250"/>
      <c r="DF70" s="250"/>
      <c r="DG70" s="313"/>
      <c r="DH70" s="260"/>
      <c r="DI70" s="260"/>
      <c r="DJ70" s="260"/>
      <c r="DK70" s="260"/>
      <c r="DL70" s="260"/>
      <c r="DM70" s="260"/>
      <c r="DN70" s="260"/>
      <c r="DO70" s="260"/>
      <c r="DP70" s="260"/>
      <c r="DQ70" s="260"/>
      <c r="DR70" s="250"/>
      <c r="DS70" s="250"/>
      <c r="DT70" s="250"/>
      <c r="DU70" s="313"/>
      <c r="DV70" s="250"/>
      <c r="DW70" s="260"/>
    </row>
    <row r="71" spans="2:127" ht="14.5" customHeight="1" thickTop="1" thickBot="1" x14ac:dyDescent="0.5">
      <c r="B71" s="818" t="s">
        <v>1402</v>
      </c>
      <c r="C71" s="818" t="s">
        <v>1402</v>
      </c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601"/>
      <c r="X71" s="601"/>
      <c r="Y71" s="248"/>
      <c r="Z71" s="248"/>
      <c r="AA71" s="248"/>
      <c r="AB71" s="248"/>
      <c r="AC71" s="248"/>
      <c r="AD71" s="248"/>
      <c r="AE71" s="248"/>
      <c r="AF71" s="248"/>
      <c r="AG71" s="248"/>
      <c r="AH71" s="248"/>
      <c r="AI71" s="248"/>
      <c r="AJ71" s="248"/>
      <c r="AK71" s="248"/>
      <c r="AL71" s="248"/>
      <c r="AM71" s="248"/>
      <c r="AN71" s="248"/>
      <c r="AO71" s="248"/>
      <c r="AP71" s="248"/>
      <c r="AQ71" s="248"/>
      <c r="AR71" s="248"/>
      <c r="AS71" s="248"/>
      <c r="AT71" s="248"/>
      <c r="AU71" s="248"/>
      <c r="AV71" s="248"/>
      <c r="AW71" s="248"/>
      <c r="AX71" s="248"/>
      <c r="AY71" s="248"/>
      <c r="AZ71" s="248"/>
      <c r="BA71" s="248"/>
      <c r="BB71" s="248"/>
      <c r="BC71" s="248"/>
      <c r="BD71" s="248"/>
      <c r="BE71" s="248"/>
      <c r="BF71" s="248"/>
      <c r="BG71" s="248"/>
      <c r="BH71" s="248"/>
      <c r="BI71" s="248"/>
      <c r="BJ71" s="248"/>
      <c r="BK71" s="248"/>
      <c r="BL71" s="248"/>
      <c r="BM71" s="248"/>
      <c r="BO71" s="248"/>
      <c r="BP71" s="248"/>
      <c r="BQ71" s="248"/>
      <c r="BR71" s="248"/>
      <c r="BS71" s="248"/>
      <c r="BT71" s="248"/>
      <c r="BU71" s="248"/>
      <c r="BV71" s="248"/>
      <c r="BW71" s="248"/>
      <c r="BX71" s="248"/>
      <c r="BY71" s="248"/>
      <c r="BZ71" s="248"/>
      <c r="CA71" s="248"/>
      <c r="CB71" s="248"/>
      <c r="CC71" s="248"/>
      <c r="CD71" s="248"/>
      <c r="CE71" s="248"/>
      <c r="CF71" s="248"/>
      <c r="CG71" s="248"/>
      <c r="CH71" s="248"/>
      <c r="CI71" s="248"/>
      <c r="CJ71" s="248"/>
      <c r="CK71" s="248"/>
      <c r="CL71" s="248"/>
      <c r="CM71" s="248"/>
      <c r="CN71" s="248"/>
      <c r="CO71" s="248"/>
      <c r="CP71" s="248"/>
      <c r="CQ71" s="601"/>
      <c r="CR71" s="601"/>
      <c r="CS71" s="248"/>
      <c r="CT71" s="248"/>
      <c r="CU71" s="248"/>
      <c r="CV71" s="248"/>
      <c r="CW71" s="248"/>
      <c r="CX71" s="248"/>
      <c r="CY71" s="248"/>
      <c r="CZ71" s="248"/>
      <c r="DA71" s="248"/>
      <c r="DB71" s="248"/>
      <c r="DC71" s="248"/>
      <c r="DD71" s="248"/>
      <c r="DE71" s="248"/>
      <c r="DF71" s="248"/>
      <c r="DG71" s="248"/>
      <c r="DH71" s="248"/>
      <c r="DI71" s="248"/>
      <c r="DJ71" s="248"/>
      <c r="DK71" s="248"/>
      <c r="DL71" s="248"/>
      <c r="DM71" s="248"/>
      <c r="DN71" s="248"/>
      <c r="DO71" s="248"/>
      <c r="DP71" s="248"/>
      <c r="DQ71" s="248"/>
      <c r="DR71" s="248"/>
      <c r="DS71" s="248"/>
      <c r="DT71" s="601"/>
    </row>
    <row r="72" spans="2:127" ht="14.5" customHeight="1" thickTop="1" x14ac:dyDescent="0.45">
      <c r="B72" s="829" t="s">
        <v>1569</v>
      </c>
      <c r="C72" s="830" t="s">
        <v>1563</v>
      </c>
      <c r="E72" s="521" t="s">
        <v>1437</v>
      </c>
      <c r="G72" s="500"/>
      <c r="H72" s="500"/>
      <c r="I72" s="500"/>
      <c r="J72" s="500"/>
      <c r="K72" s="500"/>
      <c r="L72" s="500"/>
      <c r="M72" s="602"/>
      <c r="N72" s="602"/>
      <c r="O72" s="602"/>
      <c r="P72" s="602"/>
      <c r="Q72" s="602"/>
      <c r="R72" s="602"/>
      <c r="S72" s="602"/>
      <c r="T72" s="602"/>
      <c r="U72" s="602"/>
      <c r="V72" s="602"/>
      <c r="W72" s="603"/>
      <c r="X72" s="603"/>
      <c r="Y72" s="602"/>
      <c r="Z72" s="602"/>
      <c r="AA72" s="602"/>
      <c r="AB72" s="602"/>
      <c r="AC72" s="602"/>
      <c r="AD72" s="602"/>
      <c r="AE72" s="602"/>
      <c r="AF72" s="602"/>
      <c r="AG72" s="602"/>
      <c r="AH72" s="602"/>
      <c r="AI72" s="602"/>
      <c r="AJ72" s="602"/>
      <c r="AK72" s="602"/>
      <c r="AL72" s="602"/>
      <c r="AM72" s="602"/>
      <c r="AN72" s="602"/>
      <c r="AO72" s="602"/>
      <c r="AP72" s="602"/>
      <c r="AQ72" s="602"/>
      <c r="AR72" s="602"/>
      <c r="AS72" s="602"/>
      <c r="AT72" s="602"/>
      <c r="AU72" s="602"/>
      <c r="AV72" s="602"/>
      <c r="AW72" s="602"/>
      <c r="AX72" s="602"/>
      <c r="AY72" s="602"/>
      <c r="AZ72" s="602"/>
      <c r="BA72" s="602"/>
      <c r="BB72" s="602"/>
      <c r="BC72" s="602"/>
      <c r="BD72" s="602"/>
      <c r="BE72" s="602"/>
      <c r="BF72" s="602"/>
      <c r="BG72" s="602"/>
      <c r="BH72" s="602"/>
      <c r="BI72" s="602"/>
      <c r="BJ72" s="602"/>
      <c r="BK72" s="602"/>
      <c r="BL72" s="602"/>
      <c r="BM72" s="602"/>
      <c r="BN72" s="500"/>
      <c r="BO72" s="602"/>
      <c r="BP72" s="602"/>
      <c r="BQ72" s="602"/>
      <c r="BR72" s="602"/>
      <c r="BS72" s="602"/>
      <c r="BT72" s="602"/>
      <c r="BU72" s="602"/>
      <c r="BV72" s="602"/>
      <c r="BW72" s="602"/>
      <c r="BX72" s="602"/>
      <c r="BY72" s="602"/>
      <c r="BZ72" s="602"/>
      <c r="CA72" s="602"/>
      <c r="CB72" s="602"/>
      <c r="CC72" s="602"/>
      <c r="CD72" s="602"/>
      <c r="CE72" s="602"/>
      <c r="CF72" s="602"/>
      <c r="CG72" s="602"/>
      <c r="CH72" s="602"/>
      <c r="CI72" s="602"/>
      <c r="CJ72" s="602"/>
      <c r="CK72" s="602"/>
      <c r="CL72" s="602"/>
      <c r="CM72" s="602"/>
      <c r="CN72" s="602"/>
      <c r="CO72" s="602"/>
      <c r="CP72" s="602"/>
      <c r="CQ72" s="603"/>
      <c r="CR72" s="603"/>
      <c r="CS72" s="602"/>
      <c r="CT72" s="602"/>
      <c r="CU72" s="602"/>
      <c r="CV72" s="602"/>
      <c r="CW72" s="602"/>
      <c r="CX72" s="602"/>
      <c r="CY72" s="602"/>
      <c r="CZ72" s="602"/>
      <c r="DA72" s="602"/>
      <c r="DB72" s="602"/>
      <c r="DC72" s="602"/>
      <c r="DD72" s="602"/>
      <c r="DE72" s="602"/>
      <c r="DF72" s="602"/>
      <c r="DG72" s="602"/>
      <c r="DH72" s="602"/>
      <c r="DI72" s="602"/>
      <c r="DJ72" s="602"/>
      <c r="DK72" s="602"/>
      <c r="DL72" s="602"/>
      <c r="DM72" s="602"/>
      <c r="DN72" s="602"/>
      <c r="DO72" s="602"/>
      <c r="DP72" s="602"/>
      <c r="DQ72" s="602"/>
      <c r="DR72" s="602"/>
      <c r="DS72" s="602"/>
      <c r="DT72" s="602"/>
      <c r="DU72" s="602"/>
      <c r="DV72" s="602"/>
      <c r="DW72" s="602"/>
    </row>
    <row r="73" spans="2:127" ht="14.5" customHeight="1" thickBot="1" x14ac:dyDescent="0.5">
      <c r="B73" s="831"/>
      <c r="C73" s="832" t="s">
        <v>1564</v>
      </c>
      <c r="E73" s="554"/>
      <c r="F73" s="234"/>
      <c r="AA73" s="234"/>
      <c r="AB73" s="234"/>
      <c r="CA73" s="246"/>
      <c r="CB73" s="246"/>
      <c r="CC73" s="246"/>
      <c r="CD73" s="246"/>
      <c r="CE73" s="246"/>
      <c r="CF73" s="246"/>
      <c r="CG73" s="246"/>
      <c r="CH73" s="246"/>
      <c r="CI73" s="246"/>
      <c r="CJ73" s="246"/>
      <c r="CK73" s="246"/>
      <c r="CL73" s="246"/>
      <c r="CM73" s="246"/>
      <c r="CN73" s="246"/>
      <c r="CO73" s="246"/>
      <c r="CP73" s="246"/>
      <c r="CQ73" s="246"/>
      <c r="CR73" s="246"/>
      <c r="CS73" s="246"/>
      <c r="CT73" s="246"/>
      <c r="CW73" s="246"/>
      <c r="CX73" s="246"/>
      <c r="CY73" s="246"/>
      <c r="CZ73" s="246"/>
      <c r="DA73" s="246"/>
      <c r="DB73" s="246"/>
      <c r="DC73" s="246"/>
      <c r="DD73" s="246"/>
      <c r="DE73" s="246"/>
      <c r="DF73" s="246"/>
      <c r="DG73" s="246"/>
      <c r="DH73" s="246"/>
      <c r="DI73" s="246"/>
      <c r="DJ73" s="246"/>
      <c r="DK73" s="246"/>
      <c r="DL73" s="246"/>
      <c r="DM73" s="246"/>
      <c r="DN73" s="246"/>
      <c r="DO73" s="246"/>
      <c r="DP73" s="246"/>
    </row>
    <row r="74" spans="2:127" ht="14.5" customHeight="1" thickBot="1" x14ac:dyDescent="0.5">
      <c r="B74" s="833" t="s">
        <v>1544</v>
      </c>
      <c r="C74" s="834" t="s">
        <v>1567</v>
      </c>
      <c r="E74" s="521" t="s">
        <v>1420</v>
      </c>
      <c r="G74" s="511"/>
      <c r="H74" s="511"/>
      <c r="I74" s="511"/>
      <c r="J74" s="511"/>
      <c r="K74" s="511"/>
      <c r="L74" s="511"/>
      <c r="M74" s="504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  <c r="Z74" s="505"/>
      <c r="AA74" s="505"/>
      <c r="AB74" s="505"/>
      <c r="AC74" s="505"/>
      <c r="AD74" s="505"/>
      <c r="AE74" s="505"/>
      <c r="AF74" s="505"/>
      <c r="AG74" s="505"/>
      <c r="AH74" s="506"/>
      <c r="AI74" s="511"/>
      <c r="AJ74" s="511"/>
      <c r="AK74" s="511"/>
      <c r="AL74" s="511"/>
      <c r="AM74" s="511"/>
      <c r="AN74" s="511"/>
      <c r="AO74" s="511"/>
      <c r="AP74" s="511"/>
      <c r="AQ74" s="511"/>
      <c r="AR74" s="511"/>
      <c r="AS74" s="511"/>
      <c r="AT74" s="511"/>
      <c r="AU74" s="511"/>
      <c r="AV74" s="511"/>
      <c r="AW74" s="504"/>
      <c r="AX74" s="505"/>
      <c r="AY74" s="505"/>
      <c r="AZ74" s="505"/>
      <c r="BA74" s="505"/>
      <c r="BB74" s="505"/>
      <c r="BC74" s="505"/>
      <c r="BD74" s="505"/>
      <c r="BE74" s="505"/>
      <c r="BH74" s="505"/>
      <c r="BI74" s="505"/>
      <c r="BJ74" s="505"/>
      <c r="BK74" s="505"/>
      <c r="BL74" s="505"/>
      <c r="BM74" s="505"/>
      <c r="BN74" s="505"/>
      <c r="BO74" s="505"/>
      <c r="BP74" s="505"/>
      <c r="BQ74" s="505"/>
      <c r="BR74" s="506"/>
      <c r="BS74" s="511"/>
      <c r="BT74" s="511"/>
      <c r="BU74" s="511"/>
      <c r="BV74" s="511"/>
      <c r="BW74" s="511"/>
      <c r="BX74" s="511"/>
      <c r="BY74" s="511"/>
      <c r="BZ74" s="511"/>
      <c r="CA74" s="511"/>
      <c r="CB74" s="511"/>
      <c r="CC74" s="511"/>
      <c r="CD74" s="511"/>
      <c r="CE74" s="511"/>
      <c r="CF74" s="511"/>
      <c r="CG74" s="504"/>
      <c r="CH74" s="505"/>
      <c r="CI74" s="505"/>
      <c r="CJ74" s="505"/>
      <c r="CK74" s="505"/>
      <c r="CL74" s="505"/>
      <c r="CM74" s="505"/>
      <c r="CN74" s="505"/>
      <c r="CO74" s="505"/>
      <c r="CP74" s="505"/>
      <c r="CQ74" s="505"/>
      <c r="CR74" s="505"/>
      <c r="CS74" s="505"/>
      <c r="CT74" s="505"/>
      <c r="CU74" s="505"/>
      <c r="CV74" s="505"/>
      <c r="CW74" s="505"/>
      <c r="CX74" s="505"/>
      <c r="CY74" s="505"/>
      <c r="CZ74" s="505"/>
      <c r="DA74" s="505"/>
      <c r="DB74" s="506"/>
      <c r="DC74" s="511"/>
      <c r="DD74" s="511"/>
      <c r="DE74" s="511"/>
      <c r="DF74" s="511"/>
      <c r="DG74" s="511"/>
      <c r="DH74" s="511"/>
      <c r="DI74" s="511"/>
      <c r="DJ74" s="511"/>
      <c r="DK74" s="511"/>
      <c r="DL74" s="511"/>
      <c r="DM74" s="511"/>
      <c r="DN74" s="511"/>
      <c r="DO74" s="511"/>
      <c r="DP74" s="511"/>
      <c r="DQ74" s="504"/>
      <c r="DR74" s="505"/>
      <c r="DS74" s="505"/>
      <c r="DT74" s="505"/>
      <c r="DU74" s="505"/>
      <c r="DV74" s="505"/>
      <c r="DW74" s="505"/>
    </row>
    <row r="75" spans="2:127" ht="14.5" customHeight="1" thickBot="1" x14ac:dyDescent="0.5">
      <c r="B75" s="831"/>
      <c r="C75" s="832" t="s">
        <v>1565</v>
      </c>
      <c r="AA75" s="234"/>
      <c r="AB75" s="234"/>
      <c r="CA75" s="246"/>
      <c r="CB75" s="246"/>
      <c r="CC75" s="246"/>
      <c r="CD75" s="246"/>
      <c r="CE75" s="246"/>
      <c r="CF75" s="246"/>
      <c r="CG75" s="246"/>
      <c r="CH75" s="246"/>
      <c r="CI75" s="246"/>
      <c r="CJ75" s="246"/>
      <c r="CK75" s="246"/>
      <c r="CL75" s="246"/>
      <c r="CM75" s="246"/>
      <c r="CN75" s="246"/>
      <c r="CO75" s="246"/>
      <c r="CP75" s="246"/>
      <c r="CQ75" s="246"/>
      <c r="CR75" s="246"/>
      <c r="CS75" s="246"/>
      <c r="CT75" s="246"/>
      <c r="CW75" s="246"/>
      <c r="CX75" s="246"/>
      <c r="CY75" s="246"/>
      <c r="CZ75" s="246"/>
      <c r="DA75" s="246"/>
      <c r="DB75" s="246"/>
      <c r="DC75" s="246"/>
      <c r="DD75" s="246"/>
      <c r="DE75" s="246"/>
      <c r="DF75" s="246"/>
      <c r="DG75" s="246"/>
      <c r="DH75" s="246"/>
      <c r="DI75" s="246"/>
      <c r="DJ75" s="246"/>
      <c r="DK75" s="246"/>
      <c r="DL75" s="246"/>
      <c r="DM75" s="246"/>
      <c r="DN75" s="246"/>
      <c r="DO75" s="246"/>
      <c r="DP75" s="246"/>
    </row>
    <row r="76" spans="2:127" ht="14.5" customHeight="1" thickBot="1" x14ac:dyDescent="0.5">
      <c r="B76" s="831"/>
      <c r="C76" s="834" t="s">
        <v>1568</v>
      </c>
      <c r="E76" s="521" t="s">
        <v>1421</v>
      </c>
      <c r="G76" s="509"/>
      <c r="H76" s="509"/>
      <c r="I76" s="509"/>
      <c r="J76" s="509"/>
      <c r="K76" s="509"/>
      <c r="L76" s="510"/>
      <c r="M76" s="507"/>
      <c r="N76" s="507"/>
      <c r="O76" s="507"/>
      <c r="P76" s="507"/>
      <c r="Q76" s="507"/>
      <c r="R76" s="507"/>
      <c r="S76" s="507"/>
      <c r="T76" s="507"/>
      <c r="U76" s="507"/>
      <c r="V76" s="507"/>
      <c r="W76" s="507"/>
      <c r="X76" s="507"/>
      <c r="Y76" s="507"/>
      <c r="Z76" s="507"/>
      <c r="AA76" s="507"/>
      <c r="AB76" s="507"/>
      <c r="AC76" s="507"/>
      <c r="AD76" s="507"/>
      <c r="AE76" s="507"/>
      <c r="AF76" s="507"/>
      <c r="AG76" s="507"/>
      <c r="AH76" s="507"/>
      <c r="AI76" s="508"/>
      <c r="AJ76" s="509"/>
      <c r="AK76" s="509"/>
      <c r="AL76" s="509"/>
      <c r="AM76" s="509"/>
      <c r="AN76" s="509"/>
      <c r="AO76" s="509"/>
      <c r="AP76" s="509"/>
      <c r="AQ76" s="509"/>
      <c r="AR76" s="509"/>
      <c r="AS76" s="509"/>
      <c r="AT76" s="509"/>
      <c r="AU76" s="509"/>
      <c r="AV76" s="510"/>
      <c r="AW76" s="507"/>
      <c r="AX76" s="507"/>
      <c r="AY76" s="507"/>
      <c r="AZ76" s="507"/>
      <c r="BA76" s="507"/>
      <c r="BB76" s="507"/>
      <c r="BC76" s="507"/>
      <c r="BD76" s="507"/>
      <c r="BE76" s="507"/>
      <c r="BH76" s="507"/>
      <c r="BI76" s="507"/>
      <c r="BJ76" s="507"/>
      <c r="BK76" s="507"/>
      <c r="BL76" s="507"/>
      <c r="BM76" s="507"/>
      <c r="BN76" s="507"/>
      <c r="BO76" s="507"/>
      <c r="BP76" s="507"/>
      <c r="BQ76" s="507"/>
      <c r="BR76" s="507"/>
      <c r="BS76" s="508"/>
      <c r="BT76" s="509"/>
      <c r="BU76" s="509"/>
      <c r="BV76" s="509"/>
      <c r="BW76" s="509"/>
      <c r="BX76" s="509"/>
      <c r="BY76" s="509"/>
      <c r="BZ76" s="509"/>
      <c r="CA76" s="509"/>
      <c r="CB76" s="509"/>
      <c r="CC76" s="509"/>
      <c r="CD76" s="509"/>
      <c r="CE76" s="509"/>
      <c r="CF76" s="510"/>
      <c r="CG76" s="507"/>
      <c r="CH76" s="507"/>
      <c r="CI76" s="507"/>
      <c r="CJ76" s="507"/>
      <c r="CK76" s="507"/>
      <c r="CL76" s="507"/>
      <c r="CM76" s="507"/>
      <c r="CN76" s="507"/>
      <c r="CO76" s="507"/>
      <c r="CP76" s="507"/>
      <c r="CQ76" s="507"/>
      <c r="CR76" s="507"/>
      <c r="CS76" s="507"/>
      <c r="CT76" s="507"/>
      <c r="CU76" s="507"/>
      <c r="CV76" s="507"/>
      <c r="CW76" s="507"/>
      <c r="CX76" s="507"/>
      <c r="CY76" s="507"/>
      <c r="CZ76" s="507"/>
      <c r="DA76" s="507"/>
      <c r="DB76" s="507"/>
      <c r="DC76" s="508"/>
      <c r="DD76" s="509"/>
      <c r="DE76" s="509"/>
      <c r="DF76" s="509"/>
      <c r="DG76" s="509"/>
      <c r="DH76" s="509"/>
      <c r="DI76" s="509"/>
      <c r="DJ76" s="509"/>
      <c r="DK76" s="509"/>
      <c r="DL76" s="509"/>
      <c r="DM76" s="509"/>
      <c r="DN76" s="509"/>
      <c r="DO76" s="509"/>
      <c r="DP76" s="510"/>
      <c r="DQ76" s="507"/>
      <c r="DR76" s="507"/>
      <c r="DS76" s="507"/>
      <c r="DT76" s="507"/>
      <c r="DU76" s="507"/>
      <c r="DV76" s="507"/>
      <c r="DW76" s="507"/>
    </row>
    <row r="77" spans="2:127" ht="14.5" customHeight="1" thickBot="1" x14ac:dyDescent="0.5">
      <c r="B77" s="835"/>
      <c r="C77" s="836" t="s">
        <v>1566</v>
      </c>
      <c r="CA77" s="246"/>
      <c r="CB77" s="246"/>
      <c r="CC77" s="246"/>
      <c r="CD77" s="246"/>
      <c r="CE77" s="246"/>
      <c r="CF77" s="246"/>
      <c r="CG77" s="246"/>
      <c r="CH77" s="246"/>
      <c r="CI77" s="246"/>
      <c r="CJ77" s="246"/>
      <c r="CK77" s="246"/>
      <c r="CL77" s="246"/>
      <c r="CM77" s="246"/>
      <c r="CN77" s="246"/>
      <c r="CO77" s="246"/>
      <c r="CP77" s="246"/>
      <c r="CQ77" s="246"/>
      <c r="CR77" s="246"/>
      <c r="CS77" s="246"/>
      <c r="CT77" s="246"/>
      <c r="CU77" s="246"/>
      <c r="CV77" s="246"/>
      <c r="CW77" s="246"/>
      <c r="CX77" s="246"/>
      <c r="CY77" s="246"/>
      <c r="CZ77" s="246"/>
      <c r="DA77" s="246"/>
      <c r="DB77" s="246"/>
      <c r="DC77" s="246"/>
      <c r="DD77" s="246"/>
      <c r="DE77" s="246"/>
      <c r="DF77" s="246"/>
      <c r="DG77" s="246"/>
      <c r="DH77" s="246"/>
      <c r="DI77" s="246"/>
      <c r="DJ77" s="246"/>
      <c r="DK77" s="246"/>
      <c r="DL77" s="246"/>
      <c r="DM77" s="246"/>
      <c r="DN77" s="246"/>
      <c r="DO77" s="246"/>
      <c r="DP77" s="246"/>
      <c r="DQ77" s="246"/>
      <c r="DR77" s="246"/>
      <c r="DS77" s="246"/>
      <c r="DT77" s="246"/>
      <c r="DU77" s="246"/>
      <c r="DV77" s="246"/>
      <c r="DW77" s="246"/>
    </row>
    <row r="78" spans="2:127" ht="14.5" customHeight="1" thickTop="1" x14ac:dyDescent="0.45">
      <c r="B78" s="234"/>
      <c r="C78" s="234"/>
      <c r="E78" s="521" t="s">
        <v>2103</v>
      </c>
      <c r="G78" s="315"/>
      <c r="H78" s="315"/>
      <c r="I78" s="315"/>
      <c r="J78" s="315"/>
      <c r="K78" s="315"/>
      <c r="L78" s="315"/>
      <c r="M78" s="584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315"/>
      <c r="AC78" s="315"/>
      <c r="AD78" s="315"/>
      <c r="AE78" s="315"/>
      <c r="AF78" s="315"/>
      <c r="AG78" s="315"/>
      <c r="AH78" s="315"/>
      <c r="AI78" s="315"/>
      <c r="AJ78" s="584"/>
      <c r="AK78" s="315"/>
      <c r="AL78" s="315"/>
      <c r="AM78" s="315"/>
      <c r="AN78" s="315"/>
      <c r="AO78" s="315"/>
      <c r="AP78" s="315"/>
      <c r="AQ78" s="315"/>
      <c r="AR78" s="315"/>
      <c r="AS78" s="315"/>
      <c r="AT78" s="315"/>
      <c r="AU78" s="315"/>
      <c r="AV78" s="315"/>
      <c r="AW78" s="315"/>
      <c r="AX78" s="584"/>
      <c r="AY78" s="315"/>
      <c r="AZ78" s="315"/>
      <c r="BA78" s="315"/>
      <c r="BB78" s="315"/>
      <c r="BC78" s="315"/>
      <c r="BD78" s="315"/>
      <c r="BE78" s="315"/>
      <c r="BF78" s="315"/>
      <c r="BI78" s="315"/>
      <c r="BJ78" s="315"/>
      <c r="BK78" s="315"/>
      <c r="BL78" s="315"/>
      <c r="BM78" s="315"/>
      <c r="BN78" s="315"/>
      <c r="BO78" s="315"/>
      <c r="BP78" s="315"/>
      <c r="BQ78" s="315"/>
      <c r="BR78" s="315"/>
      <c r="BS78" s="315"/>
      <c r="BT78" s="315"/>
      <c r="BU78" s="315"/>
      <c r="BV78" s="315"/>
      <c r="BW78" s="315"/>
      <c r="BX78" s="315"/>
      <c r="BY78" s="315"/>
      <c r="BZ78" s="315"/>
      <c r="CA78" s="315"/>
      <c r="CB78" s="315"/>
      <c r="CC78" s="315"/>
      <c r="CD78" s="315"/>
      <c r="CE78" s="315"/>
      <c r="CF78" s="315"/>
      <c r="CG78" s="315"/>
      <c r="CH78" s="315"/>
      <c r="CI78" s="315"/>
      <c r="CJ78" s="315"/>
      <c r="CK78" s="315"/>
      <c r="CL78" s="315"/>
      <c r="CM78" s="315"/>
      <c r="CN78" s="315"/>
      <c r="CO78" s="315"/>
      <c r="CP78" s="315"/>
      <c r="CQ78" s="315"/>
      <c r="CR78" s="315"/>
      <c r="CS78" s="315"/>
      <c r="CT78" s="315"/>
      <c r="CU78" s="315"/>
      <c r="CV78" s="315"/>
      <c r="CW78" s="315"/>
      <c r="CX78" s="315"/>
      <c r="CY78" s="315"/>
      <c r="CZ78" s="315"/>
      <c r="DA78" s="315"/>
      <c r="DB78" s="315"/>
      <c r="DC78" s="315"/>
      <c r="DD78" s="315"/>
      <c r="DE78" s="315"/>
      <c r="DF78" s="315"/>
      <c r="DG78" s="315"/>
      <c r="DH78" s="315"/>
      <c r="DI78" s="315"/>
      <c r="DJ78" s="315"/>
      <c r="DK78" s="315"/>
      <c r="DL78" s="315"/>
      <c r="DM78" s="315"/>
      <c r="DN78" s="315"/>
      <c r="DO78" s="315"/>
      <c r="DP78" s="315"/>
      <c r="DQ78" s="584"/>
      <c r="DR78" s="315"/>
      <c r="DS78" s="315"/>
      <c r="DT78" s="315"/>
      <c r="DU78" s="315"/>
      <c r="DV78" s="315"/>
      <c r="DW78" s="315"/>
    </row>
    <row r="79" spans="2:127" ht="14.5" customHeight="1" x14ac:dyDescent="0.45">
      <c r="B79" s="234"/>
      <c r="C79" s="234"/>
      <c r="CA79" s="246"/>
      <c r="CB79" s="246"/>
      <c r="CC79" s="246"/>
      <c r="CD79" s="246"/>
      <c r="CE79" s="246"/>
      <c r="CF79" s="246"/>
      <c r="CG79" s="246"/>
      <c r="CH79" s="246"/>
      <c r="CI79" s="246"/>
      <c r="CJ79" s="246"/>
      <c r="CK79" s="246"/>
      <c r="CL79" s="246"/>
      <c r="CM79" s="246"/>
      <c r="CN79" s="246"/>
      <c r="CO79" s="246"/>
      <c r="CP79" s="246"/>
      <c r="CQ79" s="246"/>
      <c r="CR79" s="246"/>
      <c r="CS79" s="246"/>
      <c r="CT79" s="246"/>
      <c r="CU79" s="246"/>
      <c r="CV79" s="246"/>
      <c r="CW79" s="246"/>
      <c r="CX79" s="246"/>
      <c r="CY79" s="246"/>
      <c r="CZ79" s="246"/>
      <c r="DA79" s="246"/>
      <c r="DB79" s="246"/>
      <c r="DC79" s="246"/>
      <c r="DD79" s="246"/>
      <c r="DE79" s="246"/>
      <c r="DF79" s="246"/>
      <c r="DG79" s="246"/>
      <c r="DH79" s="246"/>
      <c r="DI79" s="246"/>
      <c r="DJ79" s="246"/>
      <c r="DK79" s="246"/>
      <c r="DL79" s="246"/>
      <c r="DM79" s="246"/>
      <c r="DN79" s="246"/>
      <c r="DO79" s="246"/>
      <c r="DP79" s="246"/>
      <c r="DQ79" s="246"/>
      <c r="DR79" s="246"/>
      <c r="DS79" s="246"/>
      <c r="DT79" s="246"/>
      <c r="DU79" s="246"/>
      <c r="DV79" s="246"/>
      <c r="DW79" s="246"/>
    </row>
    <row r="80" spans="2:127" ht="14.5" customHeight="1" x14ac:dyDescent="0.45">
      <c r="B80" s="234"/>
      <c r="C80" s="234"/>
      <c r="E80" s="521" t="s">
        <v>2104</v>
      </c>
      <c r="G80" s="317"/>
      <c r="H80" s="317"/>
      <c r="I80" s="317"/>
      <c r="J80" s="317"/>
      <c r="K80" s="317"/>
      <c r="L80" s="317"/>
      <c r="M80" s="317"/>
      <c r="N80" s="680"/>
      <c r="O80" s="680"/>
      <c r="P80" s="680"/>
      <c r="Q80" s="680"/>
      <c r="R80" s="585"/>
      <c r="S80" s="585"/>
      <c r="T80" s="585"/>
      <c r="U80" s="585"/>
      <c r="V80" s="585"/>
      <c r="W80" s="585"/>
      <c r="X80" s="585"/>
      <c r="Y80" s="585"/>
      <c r="Z80" s="585"/>
      <c r="AA80" s="585"/>
      <c r="AB80" s="585"/>
      <c r="AC80" s="585"/>
      <c r="AD80" s="585"/>
      <c r="AE80" s="585"/>
      <c r="AF80" s="585"/>
      <c r="AG80" s="585"/>
      <c r="AH80" s="585"/>
      <c r="AI80" s="585"/>
      <c r="AJ80" s="681"/>
      <c r="AK80" s="681"/>
      <c r="AL80" s="681"/>
      <c r="AM80" s="681"/>
      <c r="AN80" s="317"/>
      <c r="AO80" s="317"/>
      <c r="AP80" s="317"/>
      <c r="AQ80" s="317"/>
      <c r="AR80" s="317"/>
      <c r="AS80" s="317"/>
      <c r="AT80" s="317"/>
      <c r="AU80" s="317"/>
      <c r="AV80" s="317"/>
      <c r="AW80" s="317"/>
      <c r="AX80" s="680"/>
      <c r="AY80" s="680"/>
      <c r="AZ80" s="680"/>
      <c r="BA80" s="680"/>
      <c r="BB80" s="585"/>
      <c r="BC80" s="585"/>
      <c r="BD80" s="585"/>
      <c r="BE80" s="585"/>
      <c r="BF80" s="585"/>
      <c r="BI80" s="585"/>
      <c r="BJ80" s="585"/>
      <c r="BK80" s="585"/>
      <c r="BL80" s="585"/>
      <c r="BM80" s="585"/>
      <c r="BN80" s="585"/>
      <c r="BO80" s="585"/>
      <c r="BP80" s="585"/>
      <c r="BQ80" s="585"/>
      <c r="BR80" s="585"/>
      <c r="BS80" s="585"/>
      <c r="BT80" s="681"/>
      <c r="BU80" s="681"/>
      <c r="BV80" s="681"/>
      <c r="BW80" s="681"/>
      <c r="BX80" s="317"/>
      <c r="BY80" s="317"/>
      <c r="BZ80" s="317"/>
      <c r="CA80" s="317"/>
      <c r="CB80" s="317"/>
      <c r="CC80" s="317"/>
      <c r="CD80" s="317"/>
      <c r="CE80" s="317"/>
      <c r="CF80" s="317"/>
      <c r="CG80" s="317"/>
      <c r="CH80" s="680"/>
      <c r="CI80" s="680"/>
      <c r="CJ80" s="680"/>
      <c r="CK80" s="680"/>
      <c r="CL80" s="585"/>
      <c r="CM80" s="585"/>
      <c r="CN80" s="585"/>
      <c r="CO80" s="585"/>
      <c r="CP80" s="585"/>
      <c r="CQ80" s="585"/>
      <c r="CR80" s="585"/>
      <c r="CS80" s="585"/>
      <c r="CT80" s="585"/>
      <c r="CU80" s="585"/>
      <c r="CV80" s="585"/>
      <c r="CW80" s="585"/>
      <c r="CX80" s="585"/>
      <c r="CY80" s="585"/>
      <c r="CZ80" s="585"/>
      <c r="DA80" s="585"/>
      <c r="DB80" s="585"/>
      <c r="DC80" s="585"/>
      <c r="DD80" s="681"/>
      <c r="DE80" s="681"/>
      <c r="DF80" s="681"/>
      <c r="DG80" s="681"/>
      <c r="DH80" s="317"/>
      <c r="DI80" s="317"/>
      <c r="DJ80" s="317"/>
      <c r="DK80" s="317"/>
      <c r="DL80" s="317"/>
      <c r="DM80" s="317"/>
      <c r="DN80" s="317"/>
      <c r="DO80" s="317"/>
      <c r="DP80" s="317"/>
      <c r="DQ80" s="317"/>
      <c r="DR80" s="680"/>
      <c r="DS80" s="680"/>
      <c r="DT80" s="680"/>
      <c r="DU80" s="680"/>
      <c r="DV80" s="585"/>
      <c r="DW80" s="585"/>
    </row>
    <row r="81" spans="2:127" ht="14.5" customHeight="1" x14ac:dyDescent="0.45">
      <c r="B81" s="234"/>
      <c r="C81" s="234"/>
      <c r="N81" s="234"/>
      <c r="P81" s="234"/>
      <c r="R81" s="234"/>
      <c r="T81" s="234"/>
      <c r="V81" s="234"/>
      <c r="X81" s="234"/>
    </row>
    <row r="82" spans="2:127" ht="14.5" customHeight="1" x14ac:dyDescent="0.45">
      <c r="B82" s="234"/>
      <c r="C82" s="234"/>
      <c r="E82" s="521" t="s">
        <v>2104</v>
      </c>
      <c r="G82" s="317"/>
      <c r="H82" s="317"/>
      <c r="I82" s="317"/>
      <c r="J82" s="317"/>
      <c r="K82" s="317"/>
      <c r="L82" s="317"/>
      <c r="M82" s="317"/>
      <c r="N82" s="680"/>
      <c r="O82" s="680"/>
      <c r="P82" s="680"/>
      <c r="Q82" s="680"/>
      <c r="R82" s="585"/>
      <c r="S82" s="585"/>
      <c r="T82" s="585"/>
      <c r="U82" s="585"/>
      <c r="V82" s="585"/>
      <c r="W82" s="585"/>
      <c r="X82" s="585"/>
      <c r="Y82" s="585"/>
      <c r="Z82" s="585"/>
      <c r="AA82" s="585"/>
      <c r="AB82" s="585"/>
      <c r="AC82" s="585"/>
      <c r="AD82" s="585"/>
      <c r="AE82" s="585"/>
      <c r="AF82" s="585"/>
      <c r="AG82" s="585"/>
      <c r="AH82" s="585"/>
      <c r="AI82" s="585"/>
      <c r="AJ82" s="681"/>
      <c r="AK82" s="681"/>
      <c r="AL82" s="681"/>
      <c r="AM82" s="681"/>
      <c r="AN82" s="317"/>
      <c r="AO82" s="317"/>
      <c r="AP82" s="317"/>
      <c r="AQ82" s="317"/>
      <c r="AR82" s="317"/>
      <c r="AS82" s="317"/>
      <c r="AT82" s="317"/>
      <c r="AU82" s="317"/>
      <c r="AV82" s="317"/>
      <c r="AW82" s="317"/>
      <c r="AX82" s="680"/>
      <c r="AY82" s="680"/>
      <c r="AZ82" s="680"/>
      <c r="BA82" s="680"/>
      <c r="BB82" s="585"/>
      <c r="BC82" s="585"/>
      <c r="BD82" s="585"/>
      <c r="BE82" s="585"/>
      <c r="BF82" s="585"/>
      <c r="BI82" s="585"/>
      <c r="BJ82" s="585"/>
      <c r="BK82" s="585"/>
      <c r="BL82" s="585"/>
      <c r="BM82" s="585"/>
      <c r="BN82" s="585"/>
      <c r="BO82" s="585"/>
      <c r="BP82" s="585"/>
      <c r="BQ82" s="585"/>
      <c r="BR82" s="585"/>
      <c r="BS82" s="585"/>
      <c r="BT82" s="681"/>
      <c r="BU82" s="681"/>
      <c r="BV82" s="681"/>
      <c r="BW82" s="681"/>
      <c r="BX82" s="317"/>
      <c r="BY82" s="317"/>
      <c r="BZ82" s="317"/>
      <c r="CA82" s="317"/>
      <c r="CB82" s="317"/>
      <c r="CC82" s="317"/>
      <c r="CD82" s="317"/>
      <c r="CE82" s="317"/>
      <c r="CF82" s="317"/>
      <c r="CG82" s="317"/>
      <c r="CH82" s="680"/>
      <c r="CI82" s="680"/>
      <c r="CJ82" s="680"/>
      <c r="CK82" s="680"/>
      <c r="CL82" s="585"/>
      <c r="CM82" s="585"/>
      <c r="CN82" s="585"/>
      <c r="CO82" s="585"/>
      <c r="CP82" s="585"/>
      <c r="CQ82" s="585"/>
      <c r="CR82" s="585"/>
      <c r="CS82" s="585"/>
      <c r="CT82" s="585"/>
      <c r="CU82" s="585"/>
      <c r="CV82" s="585"/>
      <c r="CW82" s="585"/>
      <c r="CX82" s="585"/>
      <c r="CY82" s="585"/>
      <c r="CZ82" s="585"/>
      <c r="DA82" s="585"/>
      <c r="DB82" s="585"/>
      <c r="DC82" s="585"/>
      <c r="DD82" s="681"/>
      <c r="DE82" s="681"/>
      <c r="DF82" s="681"/>
      <c r="DG82" s="681"/>
      <c r="DH82" s="317"/>
      <c r="DI82" s="317"/>
      <c r="DJ82" s="317"/>
      <c r="DK82" s="317"/>
      <c r="DL82" s="317"/>
      <c r="DM82" s="317"/>
      <c r="DN82" s="317"/>
      <c r="DO82" s="317"/>
      <c r="DP82" s="317"/>
      <c r="DQ82" s="317"/>
      <c r="DR82" s="680"/>
      <c r="DS82" s="680"/>
      <c r="DT82" s="680"/>
      <c r="DU82" s="680"/>
      <c r="DV82" s="585"/>
      <c r="DW82" s="585"/>
    </row>
    <row r="83" spans="2:127" ht="14.5" customHeight="1" x14ac:dyDescent="0.45">
      <c r="B83" s="234"/>
      <c r="C83" s="234"/>
      <c r="N83" s="234"/>
      <c r="P83" s="234"/>
      <c r="R83" s="234"/>
      <c r="T83" s="234"/>
      <c r="V83" s="234"/>
      <c r="X83" s="234"/>
    </row>
    <row r="84" spans="2:127" ht="14.5" customHeight="1" x14ac:dyDescent="0.45">
      <c r="B84" s="234"/>
      <c r="C84" s="234"/>
      <c r="E84" s="521" t="s">
        <v>2342</v>
      </c>
      <c r="G84" s="315"/>
      <c r="H84" s="315"/>
      <c r="I84" s="315"/>
      <c r="J84" s="315"/>
      <c r="K84" s="315"/>
      <c r="L84" s="315"/>
      <c r="M84" s="584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  <c r="AA84" s="315"/>
      <c r="AB84" s="315"/>
      <c r="AC84" s="315"/>
      <c r="AD84" s="315"/>
      <c r="AE84" s="315"/>
      <c r="AF84" s="315"/>
      <c r="AG84" s="315"/>
      <c r="AH84" s="315"/>
      <c r="AI84" s="315"/>
      <c r="AJ84" s="584"/>
      <c r="AK84" s="315"/>
      <c r="AL84" s="315"/>
      <c r="AM84" s="315"/>
      <c r="AN84" s="315"/>
      <c r="AO84" s="315"/>
      <c r="AP84" s="315"/>
      <c r="AQ84" s="315"/>
      <c r="AR84" s="315"/>
      <c r="AS84" s="315"/>
      <c r="AT84" s="315"/>
      <c r="AU84" s="315"/>
      <c r="AV84" s="315"/>
      <c r="AW84" s="315"/>
      <c r="AX84" s="584"/>
      <c r="AY84" s="315"/>
      <c r="AZ84" s="315"/>
      <c r="BA84" s="315"/>
      <c r="BB84" s="315"/>
      <c r="BC84" s="315"/>
      <c r="BD84" s="315"/>
      <c r="BE84" s="315"/>
      <c r="BF84" s="315"/>
      <c r="BI84" s="315"/>
      <c r="BJ84" s="315"/>
      <c r="BK84" s="315"/>
      <c r="BL84" s="315"/>
      <c r="BM84" s="315"/>
      <c r="BN84" s="315"/>
      <c r="BO84" s="315"/>
      <c r="BP84" s="315"/>
      <c r="BQ84" s="315"/>
      <c r="BR84" s="315"/>
      <c r="BS84" s="315"/>
      <c r="BT84" s="315"/>
      <c r="BU84" s="315"/>
      <c r="BV84" s="315"/>
      <c r="BW84" s="315"/>
      <c r="BX84" s="315"/>
      <c r="BY84" s="315"/>
      <c r="BZ84" s="315"/>
      <c r="CA84" s="315"/>
      <c r="CB84" s="315"/>
      <c r="CC84" s="315"/>
      <c r="CD84" s="315"/>
      <c r="CE84" s="315"/>
      <c r="CF84" s="315"/>
      <c r="CG84" s="315"/>
      <c r="CH84" s="315"/>
      <c r="CI84" s="315"/>
      <c r="CJ84" s="315"/>
      <c r="CK84" s="315"/>
      <c r="CL84" s="315"/>
      <c r="CM84" s="315"/>
      <c r="CN84" s="315"/>
      <c r="CO84" s="315"/>
      <c r="CP84" s="315"/>
      <c r="CQ84" s="315"/>
      <c r="CR84" s="315"/>
      <c r="CS84" s="315"/>
      <c r="CT84" s="315"/>
      <c r="CU84" s="315"/>
      <c r="CV84" s="315"/>
      <c r="CW84" s="315"/>
      <c r="CX84" s="315"/>
      <c r="CY84" s="315"/>
      <c r="CZ84" s="315"/>
      <c r="DA84" s="315"/>
      <c r="DB84" s="315"/>
      <c r="DC84" s="315"/>
      <c r="DD84" s="315"/>
      <c r="DE84" s="315"/>
      <c r="DF84" s="315"/>
      <c r="DG84" s="315"/>
      <c r="DH84" s="315"/>
      <c r="DI84" s="315"/>
      <c r="DJ84" s="315"/>
      <c r="DK84" s="315"/>
      <c r="DL84" s="315"/>
      <c r="DM84" s="315"/>
      <c r="DN84" s="315"/>
      <c r="DO84" s="315"/>
      <c r="DP84" s="315"/>
      <c r="DQ84" s="584"/>
      <c r="DR84" s="315"/>
      <c r="DS84" s="315"/>
      <c r="DT84" s="315"/>
      <c r="DU84" s="315"/>
      <c r="DV84" s="315"/>
      <c r="DW84" s="315"/>
    </row>
    <row r="85" spans="2:127" ht="14.5" customHeight="1" x14ac:dyDescent="0.45">
      <c r="B85" s="234"/>
      <c r="C85" s="234"/>
      <c r="CA85" s="246"/>
      <c r="CB85" s="246"/>
      <c r="CC85" s="246"/>
      <c r="CD85" s="246"/>
      <c r="CE85" s="246"/>
      <c r="CF85" s="246"/>
      <c r="CG85" s="246"/>
      <c r="CH85" s="246"/>
      <c r="CI85" s="246"/>
      <c r="CJ85" s="246"/>
      <c r="CK85" s="246"/>
      <c r="CL85" s="246"/>
      <c r="CM85" s="246"/>
      <c r="CN85" s="246"/>
      <c r="CO85" s="246"/>
      <c r="CP85" s="246"/>
      <c r="CQ85" s="246"/>
      <c r="CR85" s="246"/>
      <c r="CS85" s="246"/>
      <c r="CT85" s="246"/>
      <c r="CU85" s="246"/>
      <c r="CV85" s="246"/>
      <c r="CW85" s="246"/>
      <c r="CX85" s="246"/>
      <c r="CY85" s="246"/>
      <c r="CZ85" s="246"/>
      <c r="DA85" s="246"/>
      <c r="DB85" s="246"/>
      <c r="DC85" s="246"/>
      <c r="DD85" s="246"/>
      <c r="DE85" s="246"/>
      <c r="DF85" s="246"/>
      <c r="DG85" s="246"/>
      <c r="DH85" s="246"/>
      <c r="DI85" s="246"/>
      <c r="DJ85" s="246"/>
      <c r="DK85" s="246"/>
      <c r="DL85" s="246"/>
      <c r="DM85" s="246"/>
      <c r="DN85" s="246"/>
      <c r="DO85" s="246"/>
      <c r="DP85" s="246"/>
      <c r="DQ85" s="246"/>
      <c r="DR85" s="246"/>
      <c r="DS85" s="246"/>
      <c r="DT85" s="246"/>
      <c r="DU85" s="246"/>
      <c r="DV85" s="246"/>
      <c r="DW85" s="246"/>
    </row>
    <row r="86" spans="2:127" ht="14.5" customHeight="1" x14ac:dyDescent="0.45">
      <c r="B86" s="234"/>
      <c r="C86" s="234"/>
      <c r="E86" s="521" t="s">
        <v>2343</v>
      </c>
      <c r="G86" s="317"/>
      <c r="H86" s="317"/>
      <c r="I86" s="317"/>
      <c r="J86" s="317"/>
      <c r="K86" s="317"/>
      <c r="L86" s="317"/>
      <c r="M86" s="317"/>
      <c r="N86" s="680"/>
      <c r="O86" s="680"/>
      <c r="P86" s="680"/>
      <c r="Q86" s="680"/>
      <c r="R86" s="585"/>
      <c r="S86" s="585"/>
      <c r="T86" s="585"/>
      <c r="U86" s="585"/>
      <c r="V86" s="585"/>
      <c r="W86" s="585"/>
      <c r="X86" s="585"/>
      <c r="Y86" s="585"/>
      <c r="Z86" s="585"/>
      <c r="AA86" s="585"/>
      <c r="AB86" s="585"/>
      <c r="AC86" s="585"/>
      <c r="AD86" s="585"/>
      <c r="AE86" s="585"/>
      <c r="AF86" s="585"/>
      <c r="AG86" s="585"/>
      <c r="AH86" s="585"/>
      <c r="AI86" s="585"/>
      <c r="AJ86" s="681"/>
      <c r="AK86" s="681"/>
      <c r="AL86" s="681"/>
      <c r="AM86" s="681"/>
      <c r="AN86" s="317"/>
      <c r="AO86" s="317"/>
      <c r="AP86" s="317"/>
      <c r="AQ86" s="317"/>
      <c r="AR86" s="317"/>
      <c r="AS86" s="317"/>
      <c r="AT86" s="317"/>
      <c r="AU86" s="317"/>
      <c r="AV86" s="317"/>
      <c r="AW86" s="317"/>
      <c r="AX86" s="680"/>
      <c r="AY86" s="680"/>
      <c r="AZ86" s="680"/>
      <c r="BA86" s="680"/>
      <c r="BB86" s="585"/>
      <c r="BC86" s="585"/>
      <c r="BD86" s="585"/>
      <c r="BE86" s="585"/>
      <c r="BF86" s="585"/>
      <c r="BI86" s="585"/>
      <c r="BJ86" s="585"/>
      <c r="BK86" s="585"/>
      <c r="BL86" s="585"/>
      <c r="BM86" s="585"/>
      <c r="BN86" s="585"/>
      <c r="BO86" s="585"/>
      <c r="BP86" s="585"/>
      <c r="BQ86" s="585"/>
      <c r="BR86" s="585"/>
      <c r="BS86" s="585"/>
      <c r="BT86" s="681"/>
      <c r="BU86" s="681"/>
      <c r="BV86" s="681"/>
      <c r="BW86" s="681"/>
      <c r="BX86" s="317"/>
      <c r="BY86" s="317"/>
      <c r="BZ86" s="317"/>
      <c r="CA86" s="317"/>
      <c r="CB86" s="317"/>
      <c r="CC86" s="317"/>
      <c r="CD86" s="317"/>
      <c r="CE86" s="317"/>
      <c r="CF86" s="317"/>
      <c r="CG86" s="317"/>
      <c r="CH86" s="680"/>
      <c r="CI86" s="680"/>
      <c r="CJ86" s="680"/>
      <c r="CK86" s="680"/>
      <c r="CL86" s="585"/>
      <c r="CM86" s="585"/>
      <c r="CN86" s="585"/>
      <c r="CO86" s="585"/>
      <c r="CP86" s="585"/>
      <c r="CQ86" s="585"/>
      <c r="CR86" s="585"/>
      <c r="CS86" s="585"/>
      <c r="CT86" s="585"/>
      <c r="CU86" s="585"/>
      <c r="CV86" s="585"/>
      <c r="CW86" s="585"/>
      <c r="CX86" s="585"/>
      <c r="CY86" s="585"/>
      <c r="CZ86" s="585"/>
      <c r="DA86" s="585"/>
      <c r="DB86" s="585"/>
      <c r="DC86" s="585"/>
      <c r="DD86" s="681"/>
      <c r="DE86" s="681"/>
      <c r="DF86" s="681"/>
      <c r="DG86" s="681"/>
      <c r="DH86" s="317"/>
      <c r="DI86" s="317"/>
      <c r="DJ86" s="317"/>
      <c r="DK86" s="317"/>
      <c r="DL86" s="317"/>
      <c r="DM86" s="317"/>
      <c r="DN86" s="317"/>
      <c r="DO86" s="317"/>
      <c r="DP86" s="317"/>
      <c r="DQ86" s="317"/>
      <c r="DR86" s="680"/>
      <c r="DS86" s="680"/>
      <c r="DT86" s="680"/>
      <c r="DU86" s="680"/>
      <c r="DV86" s="585"/>
      <c r="DW86" s="585"/>
    </row>
    <row r="87" spans="2:127" ht="14.5" customHeight="1" x14ac:dyDescent="0.45">
      <c r="B87" s="234"/>
      <c r="C87" s="234"/>
      <c r="N87" s="234"/>
      <c r="P87" s="234"/>
      <c r="R87" s="234"/>
      <c r="T87" s="234"/>
      <c r="V87" s="234"/>
      <c r="X87" s="234"/>
    </row>
    <row r="88" spans="2:127" ht="14.5" customHeight="1" x14ac:dyDescent="0.45">
      <c r="N88" s="234"/>
      <c r="P88" s="234"/>
      <c r="R88" s="234"/>
      <c r="T88" s="234"/>
      <c r="V88" s="234"/>
      <c r="X88" s="234"/>
    </row>
    <row r="89" spans="2:127" ht="14.5" customHeight="1" x14ac:dyDescent="0.45">
      <c r="E89" s="521" t="s">
        <v>2339</v>
      </c>
      <c r="F89" s="234"/>
      <c r="G89" s="517"/>
      <c r="H89" s="517"/>
      <c r="I89" s="517"/>
      <c r="J89" s="517"/>
      <c r="K89" s="517"/>
      <c r="L89" s="517"/>
      <c r="M89" s="849"/>
      <c r="N89" s="517"/>
      <c r="O89" s="517"/>
      <c r="P89" s="517"/>
      <c r="Q89" s="517"/>
      <c r="R89" s="517"/>
      <c r="S89" s="517"/>
      <c r="T89" s="517"/>
      <c r="U89" s="517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84"/>
      <c r="AK89" s="315"/>
      <c r="AL89" s="315"/>
      <c r="AM89" s="517"/>
      <c r="AN89" s="517"/>
      <c r="AO89" s="517"/>
      <c r="AP89" s="517"/>
      <c r="AQ89" s="517"/>
      <c r="AR89" s="517"/>
      <c r="AS89" s="517"/>
      <c r="AT89" s="517"/>
      <c r="AU89" s="517"/>
      <c r="AV89" s="517"/>
      <c r="AW89" s="517"/>
      <c r="AX89" s="584"/>
      <c r="AY89" s="315"/>
      <c r="AZ89" s="517"/>
      <c r="BA89" s="517"/>
      <c r="BB89" s="517"/>
      <c r="BC89" s="517"/>
      <c r="BD89" s="517"/>
      <c r="BE89" s="517"/>
      <c r="BF89" s="517"/>
      <c r="BI89" s="517"/>
      <c r="BJ89" s="517"/>
      <c r="BK89" s="517"/>
      <c r="BL89" s="517"/>
      <c r="BM89" s="517"/>
      <c r="BN89" s="517"/>
      <c r="BO89" s="517"/>
      <c r="BP89" s="517"/>
      <c r="BQ89" s="517"/>
      <c r="BR89" s="517"/>
      <c r="BS89" s="517"/>
      <c r="BT89" s="517"/>
      <c r="BU89" s="517"/>
      <c r="BV89" s="517"/>
      <c r="BW89" s="517"/>
      <c r="BX89" s="517"/>
      <c r="BY89" s="517"/>
      <c r="BZ89" s="517"/>
      <c r="CA89" s="517"/>
      <c r="CB89" s="517"/>
      <c r="CC89" s="517"/>
      <c r="CD89" s="517"/>
      <c r="CE89" s="517"/>
      <c r="CF89" s="517"/>
      <c r="CG89" s="517"/>
      <c r="CH89" s="517"/>
      <c r="CI89" s="517"/>
      <c r="CJ89" s="517"/>
      <c r="CK89" s="517"/>
      <c r="CL89" s="517"/>
      <c r="CM89" s="517"/>
      <c r="CN89" s="517"/>
      <c r="CO89" s="517"/>
      <c r="CP89" s="517"/>
      <c r="CQ89" s="517"/>
      <c r="CR89" s="517"/>
      <c r="CS89" s="517"/>
      <c r="CT89" s="517"/>
      <c r="CU89" s="517"/>
      <c r="CV89" s="517"/>
      <c r="CW89" s="517"/>
      <c r="CX89" s="517"/>
      <c r="CY89" s="517"/>
      <c r="CZ89" s="517"/>
      <c r="DA89" s="517"/>
      <c r="DB89" s="517"/>
      <c r="DC89" s="517"/>
      <c r="DD89" s="517"/>
      <c r="DE89" s="517"/>
      <c r="DF89" s="517"/>
      <c r="DG89" s="517"/>
      <c r="DH89" s="517"/>
      <c r="DI89" s="517"/>
      <c r="DJ89" s="517"/>
      <c r="DK89" s="517"/>
      <c r="DL89" s="517"/>
      <c r="DM89" s="517"/>
      <c r="DN89" s="517"/>
      <c r="DO89" s="517"/>
      <c r="DP89" s="517"/>
      <c r="DQ89" s="849"/>
      <c r="DR89" s="517"/>
      <c r="DS89" s="517"/>
      <c r="DT89" s="517"/>
      <c r="DU89" s="517"/>
      <c r="DV89" s="517"/>
      <c r="DW89" s="517"/>
    </row>
    <row r="90" spans="2:127" ht="14.5" customHeight="1" x14ac:dyDescent="0.45">
      <c r="CA90" s="246"/>
      <c r="CB90" s="246"/>
      <c r="CC90" s="246"/>
      <c r="CD90" s="246"/>
      <c r="CE90" s="246"/>
      <c r="CF90" s="246"/>
      <c r="CG90" s="246"/>
      <c r="CH90" s="246"/>
      <c r="CI90" s="246"/>
      <c r="CJ90" s="246"/>
      <c r="CK90" s="246"/>
      <c r="CL90" s="246"/>
      <c r="CM90" s="246"/>
      <c r="CN90" s="246"/>
      <c r="CO90" s="246"/>
      <c r="CP90" s="246"/>
      <c r="CQ90" s="246"/>
      <c r="CR90" s="246"/>
      <c r="CS90" s="246"/>
      <c r="CT90" s="246"/>
      <c r="CU90" s="246"/>
      <c r="CV90" s="246"/>
      <c r="CW90" s="246"/>
      <c r="CX90" s="246"/>
      <c r="CY90" s="246"/>
      <c r="CZ90" s="246"/>
      <c r="DA90" s="246"/>
      <c r="DB90" s="246"/>
      <c r="DC90" s="246"/>
      <c r="DD90" s="246"/>
      <c r="DE90" s="246"/>
      <c r="DF90" s="246"/>
      <c r="DG90" s="246"/>
      <c r="DH90" s="246"/>
      <c r="DI90" s="246"/>
      <c r="DJ90" s="246"/>
      <c r="DK90" s="246"/>
      <c r="DL90" s="246"/>
      <c r="DM90" s="246"/>
      <c r="DN90" s="246"/>
      <c r="DO90" s="246"/>
      <c r="DP90" s="246"/>
      <c r="DQ90" s="246"/>
      <c r="DR90" s="246"/>
      <c r="DS90" s="246"/>
      <c r="DT90" s="246"/>
      <c r="DU90" s="246"/>
      <c r="DV90" s="246"/>
      <c r="DW90" s="246"/>
    </row>
    <row r="91" spans="2:127" ht="14.5" customHeight="1" x14ac:dyDescent="0.45">
      <c r="E91" s="521" t="s">
        <v>2344</v>
      </c>
      <c r="G91" s="317"/>
      <c r="H91" s="317"/>
      <c r="I91" s="317"/>
      <c r="J91" s="317"/>
      <c r="K91" s="317"/>
      <c r="L91" s="317"/>
      <c r="M91" s="317"/>
      <c r="N91" s="680"/>
      <c r="O91" s="680"/>
      <c r="P91" s="680"/>
      <c r="Q91" s="680"/>
      <c r="R91" s="850"/>
      <c r="S91" s="850"/>
      <c r="T91" s="850"/>
      <c r="U91" s="850"/>
      <c r="V91" s="850"/>
      <c r="W91" s="850"/>
      <c r="X91" s="850"/>
      <c r="Y91" s="850"/>
      <c r="Z91" s="850"/>
      <c r="AA91" s="850"/>
      <c r="AB91" s="850"/>
      <c r="AC91" s="850"/>
      <c r="AD91" s="850"/>
      <c r="AE91" s="850"/>
      <c r="AF91" s="851"/>
      <c r="AG91" s="851"/>
      <c r="AH91" s="851"/>
      <c r="AI91" s="851"/>
      <c r="AJ91" s="681"/>
      <c r="AK91" s="681"/>
      <c r="AL91" s="681"/>
      <c r="AM91" s="681"/>
      <c r="AN91" s="317"/>
      <c r="AO91" s="317"/>
      <c r="AP91" s="317"/>
      <c r="AQ91" s="317"/>
      <c r="AR91" s="317"/>
      <c r="AS91" s="317"/>
      <c r="AT91" s="317"/>
      <c r="AU91" s="317"/>
      <c r="AV91" s="317"/>
      <c r="AW91" s="317"/>
      <c r="AX91" s="680"/>
      <c r="AY91" s="680"/>
      <c r="AZ91" s="680"/>
      <c r="BA91" s="680"/>
      <c r="BB91" s="850"/>
      <c r="BC91" s="850"/>
      <c r="BD91" s="850"/>
      <c r="BE91" s="850"/>
      <c r="BF91" s="850"/>
      <c r="BI91" s="850"/>
      <c r="BJ91" s="850"/>
      <c r="BK91" s="850"/>
      <c r="BL91" s="850"/>
      <c r="BM91" s="850"/>
      <c r="BN91" s="850"/>
      <c r="BO91" s="850"/>
      <c r="BP91" s="851"/>
      <c r="BQ91" s="851"/>
      <c r="BR91" s="851"/>
      <c r="BS91" s="851"/>
      <c r="BT91" s="681"/>
      <c r="BU91" s="681"/>
      <c r="BV91" s="681"/>
      <c r="BW91" s="681"/>
      <c r="BX91" s="317"/>
      <c r="BY91" s="317"/>
      <c r="BZ91" s="317"/>
      <c r="CA91" s="317"/>
      <c r="CB91" s="317"/>
      <c r="CC91" s="317"/>
      <c r="CD91" s="317"/>
      <c r="CE91" s="317"/>
      <c r="CF91" s="317"/>
      <c r="CG91" s="317"/>
      <c r="CH91" s="680"/>
      <c r="CI91" s="680"/>
      <c r="CJ91" s="680"/>
      <c r="CK91" s="680"/>
      <c r="CL91" s="850"/>
      <c r="CM91" s="850"/>
      <c r="CN91" s="850"/>
      <c r="CO91" s="850"/>
      <c r="CP91" s="850"/>
      <c r="CQ91" s="850"/>
      <c r="CR91" s="850"/>
      <c r="CS91" s="850"/>
      <c r="CT91" s="850"/>
      <c r="CU91" s="850"/>
      <c r="CV91" s="850"/>
      <c r="CW91" s="850"/>
      <c r="CX91" s="850"/>
      <c r="CY91" s="850"/>
      <c r="CZ91" s="851"/>
      <c r="DA91" s="851"/>
      <c r="DB91" s="851"/>
      <c r="DC91" s="851"/>
      <c r="DD91" s="681"/>
      <c r="DE91" s="681"/>
      <c r="DF91" s="681"/>
      <c r="DG91" s="681"/>
      <c r="DH91" s="317"/>
      <c r="DI91" s="317"/>
      <c r="DJ91" s="317"/>
      <c r="DK91" s="317"/>
      <c r="DL91" s="317"/>
      <c r="DM91" s="317"/>
      <c r="DN91" s="317"/>
      <c r="DO91" s="317"/>
      <c r="DP91" s="317"/>
      <c r="DQ91" s="317"/>
      <c r="DR91" s="680"/>
      <c r="DS91" s="680"/>
      <c r="DT91" s="680"/>
      <c r="DU91" s="680"/>
      <c r="DV91" s="850"/>
      <c r="DW91" s="850"/>
    </row>
    <row r="92" spans="2:127" ht="14.5" customHeight="1" x14ac:dyDescent="0.45">
      <c r="N92" s="234"/>
      <c r="P92" s="234"/>
      <c r="R92" s="234"/>
      <c r="T92" s="234"/>
      <c r="V92" s="234"/>
      <c r="X92" s="234"/>
    </row>
    <row r="93" spans="2:127" ht="14.5" customHeight="1" x14ac:dyDescent="0.45">
      <c r="E93" s="521" t="s">
        <v>1424</v>
      </c>
      <c r="G93" s="250"/>
      <c r="H93" s="250"/>
      <c r="I93" s="250"/>
      <c r="J93" s="250"/>
      <c r="K93" s="250"/>
      <c r="L93" s="250"/>
      <c r="M93" s="250"/>
      <c r="N93" s="314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589"/>
      <c r="AY93" s="341"/>
      <c r="AZ93" s="341"/>
      <c r="BA93" s="341"/>
      <c r="BB93" s="341"/>
      <c r="BC93" s="341"/>
      <c r="BD93" s="341"/>
      <c r="BE93" s="341"/>
      <c r="BF93" s="341"/>
      <c r="BG93" s="341"/>
      <c r="BH93" s="341"/>
      <c r="BI93" s="341"/>
      <c r="BJ93" s="341"/>
      <c r="BK93" s="341"/>
      <c r="BL93" s="341"/>
      <c r="BM93" s="341"/>
      <c r="BN93" s="341"/>
      <c r="BO93" s="341"/>
      <c r="BP93" s="341"/>
      <c r="BQ93" s="341"/>
      <c r="BR93" s="341"/>
      <c r="BS93" s="341"/>
      <c r="BT93" s="341"/>
      <c r="BU93" s="341"/>
      <c r="BV93" s="341"/>
      <c r="BW93" s="341"/>
      <c r="BX93" s="341"/>
      <c r="BY93" s="341"/>
      <c r="BZ93" s="341"/>
      <c r="CA93" s="341"/>
      <c r="CB93" s="341"/>
      <c r="CC93" s="341"/>
      <c r="CD93" s="341"/>
      <c r="CE93" s="341"/>
      <c r="CF93" s="341"/>
      <c r="CG93" s="588"/>
      <c r="CH93" s="589"/>
      <c r="CI93" s="341"/>
      <c r="CJ93" s="341"/>
      <c r="CK93" s="341"/>
      <c r="CL93" s="341"/>
      <c r="CM93" s="341"/>
      <c r="CN93" s="341"/>
      <c r="CO93" s="341"/>
      <c r="CP93" s="341"/>
      <c r="CQ93" s="341"/>
      <c r="CR93" s="341"/>
      <c r="CS93" s="341"/>
      <c r="CT93" s="341"/>
      <c r="CU93" s="341"/>
      <c r="CV93" s="341"/>
      <c r="CW93" s="341"/>
      <c r="CX93" s="341"/>
      <c r="CY93" s="341"/>
      <c r="CZ93" s="341"/>
      <c r="DA93" s="341"/>
      <c r="DB93" s="341"/>
      <c r="DC93" s="341"/>
      <c r="DD93" s="341"/>
      <c r="DE93" s="341"/>
      <c r="DF93" s="341"/>
      <c r="DG93" s="341"/>
      <c r="DH93" s="341"/>
      <c r="DI93" s="341"/>
      <c r="DJ93" s="341"/>
      <c r="DK93" s="341"/>
      <c r="DL93" s="341"/>
      <c r="DM93" s="341"/>
      <c r="DN93" s="341"/>
      <c r="DO93" s="341"/>
      <c r="DP93" s="341"/>
      <c r="DQ93" s="588"/>
      <c r="DR93" s="590"/>
      <c r="DS93" s="315"/>
      <c r="DT93" s="315"/>
      <c r="DU93" s="315"/>
      <c r="DV93" s="315"/>
      <c r="DW93" s="315"/>
    </row>
    <row r="94" spans="2:127" ht="14.5" customHeight="1" x14ac:dyDescent="0.45">
      <c r="N94" s="234"/>
      <c r="P94" s="234"/>
      <c r="R94" s="234"/>
      <c r="T94" s="234"/>
      <c r="V94" s="234"/>
      <c r="X94" s="234"/>
    </row>
    <row r="95" spans="2:127" ht="14.5" customHeight="1" x14ac:dyDescent="0.45">
      <c r="N95" s="234"/>
      <c r="P95" s="234"/>
      <c r="R95" s="234"/>
      <c r="T95" s="234"/>
      <c r="V95" s="234"/>
      <c r="X95" s="234"/>
    </row>
    <row r="96" spans="2:127" ht="14.5" customHeight="1" x14ac:dyDescent="0.45">
      <c r="E96" s="521" t="s">
        <v>1424</v>
      </c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339"/>
      <c r="S96" s="340"/>
      <c r="T96" s="340"/>
      <c r="U96" s="340"/>
      <c r="V96" s="340"/>
      <c r="W96" s="340"/>
      <c r="X96" s="340"/>
      <c r="Y96" s="343"/>
      <c r="Z96" s="343"/>
      <c r="AA96" s="343"/>
      <c r="AB96" s="343"/>
      <c r="AC96" s="343"/>
      <c r="AD96" s="343"/>
      <c r="AE96" s="343"/>
      <c r="AF96" s="343"/>
      <c r="AG96" s="343"/>
      <c r="AH96" s="343"/>
      <c r="AI96" s="344"/>
      <c r="AJ96" s="250"/>
      <c r="AK96" s="250"/>
      <c r="AL96" s="250"/>
      <c r="AM96" s="250"/>
      <c r="AN96" s="316"/>
      <c r="AO96" s="317"/>
      <c r="AP96" s="317"/>
      <c r="AQ96" s="317"/>
      <c r="AR96" s="345"/>
      <c r="AS96" s="345"/>
      <c r="AT96" s="345"/>
      <c r="AU96" s="345"/>
      <c r="AV96" s="345"/>
      <c r="AW96" s="346"/>
      <c r="AX96" s="250"/>
      <c r="AY96" s="250"/>
      <c r="AZ96" s="250"/>
      <c r="BA96" s="250"/>
      <c r="BB96" s="514"/>
      <c r="BC96" s="343"/>
      <c r="BD96" s="343"/>
      <c r="BE96" s="343"/>
      <c r="BF96" s="343"/>
      <c r="BG96" s="343"/>
      <c r="BH96" s="343"/>
      <c r="BI96" s="343"/>
      <c r="BJ96" s="343"/>
      <c r="BK96" s="343"/>
      <c r="BL96" s="343"/>
      <c r="BM96" s="343"/>
      <c r="BN96" s="343"/>
      <c r="BO96" s="343"/>
      <c r="BP96" s="343"/>
      <c r="BQ96" s="343"/>
      <c r="BR96" s="343"/>
      <c r="BS96" s="344"/>
      <c r="BT96" s="250"/>
      <c r="BU96" s="250"/>
      <c r="BV96" s="250"/>
      <c r="BW96" s="250"/>
      <c r="BX96" s="515"/>
      <c r="BY96" s="345"/>
      <c r="BZ96" s="345"/>
      <c r="CA96" s="345"/>
      <c r="CB96" s="345"/>
      <c r="CC96" s="345"/>
      <c r="CD96" s="345"/>
      <c r="CE96" s="345"/>
      <c r="CF96" s="345"/>
      <c r="CG96" s="346"/>
      <c r="CH96" s="250"/>
      <c r="CI96" s="250"/>
      <c r="CJ96" s="250"/>
      <c r="CK96" s="250"/>
      <c r="CL96" s="514"/>
      <c r="CM96" s="343"/>
      <c r="CN96" s="343"/>
      <c r="CO96" s="343"/>
      <c r="CP96" s="343"/>
      <c r="CQ96" s="343"/>
      <c r="CR96" s="343"/>
      <c r="CS96" s="343"/>
      <c r="CT96" s="343"/>
      <c r="CU96" s="343"/>
      <c r="CV96" s="343"/>
      <c r="CW96" s="343"/>
      <c r="CX96" s="343"/>
      <c r="CY96" s="343"/>
      <c r="CZ96" s="343"/>
      <c r="DA96" s="343"/>
      <c r="DB96" s="343"/>
      <c r="DC96" s="344"/>
      <c r="DD96" s="250"/>
      <c r="DE96" s="250"/>
      <c r="DF96" s="250"/>
      <c r="DG96" s="250"/>
      <c r="DH96" s="515"/>
      <c r="DI96" s="345"/>
      <c r="DJ96" s="345"/>
      <c r="DK96" s="345"/>
      <c r="DL96" s="345"/>
      <c r="DM96" s="345"/>
      <c r="DN96" s="345"/>
      <c r="DO96" s="345"/>
      <c r="DP96" s="345"/>
      <c r="DQ96" s="346"/>
      <c r="DR96" s="250"/>
      <c r="DS96" s="250"/>
      <c r="DT96" s="250"/>
      <c r="DU96" s="250"/>
      <c r="DV96" s="339"/>
      <c r="DW96" s="340"/>
    </row>
    <row r="97" spans="2:127" ht="14.5" customHeight="1" x14ac:dyDescent="0.45"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234"/>
      <c r="AN97" s="234"/>
      <c r="AO97" s="234"/>
      <c r="AP97" s="234"/>
      <c r="AQ97" s="234"/>
      <c r="AR97" s="234"/>
      <c r="AS97" s="234"/>
      <c r="AT97" s="234"/>
      <c r="AU97" s="234"/>
      <c r="AV97" s="234"/>
      <c r="AW97" s="234"/>
      <c r="AX97" s="234"/>
      <c r="AY97" s="234"/>
      <c r="AZ97" s="234"/>
      <c r="BA97" s="234"/>
      <c r="BB97" s="234"/>
      <c r="BC97" s="234"/>
      <c r="BD97" s="234"/>
      <c r="BE97" s="234"/>
      <c r="BF97" s="234"/>
      <c r="BG97" s="234"/>
      <c r="BH97" s="234"/>
      <c r="BI97" s="234"/>
      <c r="BJ97" s="234"/>
      <c r="BK97" s="234"/>
      <c r="BL97" s="234"/>
      <c r="BM97" s="234"/>
      <c r="BN97" s="234"/>
      <c r="BO97" s="234"/>
      <c r="BP97" s="234"/>
      <c r="BQ97" s="234"/>
      <c r="BR97" s="234"/>
      <c r="BS97" s="234"/>
      <c r="BT97" s="234"/>
      <c r="BU97" s="234"/>
      <c r="BV97" s="234"/>
      <c r="BW97" s="234"/>
      <c r="BX97" s="234"/>
      <c r="BY97" s="234"/>
      <c r="BZ97" s="234"/>
    </row>
    <row r="98" spans="2:127" ht="14.5" customHeight="1" thickBot="1" x14ac:dyDescent="0.5">
      <c r="N98" s="234"/>
      <c r="P98" s="234"/>
      <c r="R98" s="234"/>
      <c r="T98" s="234"/>
      <c r="V98" s="234"/>
      <c r="X98" s="234"/>
    </row>
    <row r="99" spans="2:127" ht="14.5" customHeight="1" thickTop="1" thickBot="1" x14ac:dyDescent="0.5">
      <c r="E99" s="521" t="s">
        <v>2036</v>
      </c>
      <c r="G99" s="250"/>
      <c r="H99" s="250"/>
      <c r="I99" s="250"/>
      <c r="J99" s="250"/>
      <c r="K99" s="250"/>
      <c r="L99" s="250"/>
      <c r="M99" s="250"/>
      <c r="N99" s="852"/>
      <c r="O99" s="280"/>
      <c r="P99" s="282"/>
      <c r="Q99" s="280"/>
      <c r="R99" s="282"/>
      <c r="S99" s="280"/>
      <c r="T99" s="282"/>
      <c r="U99" s="280"/>
      <c r="V99" s="282"/>
      <c r="W99" s="280"/>
      <c r="X99" s="282"/>
      <c r="Y99" s="280"/>
      <c r="Z99" s="810"/>
      <c r="AA99" s="277"/>
      <c r="AB99" s="277"/>
      <c r="AC99" s="277"/>
      <c r="AD99" s="277"/>
      <c r="AE99" s="277"/>
      <c r="AF99" s="277"/>
      <c r="AG99" s="277"/>
      <c r="AH99" s="277"/>
      <c r="AI99" s="277"/>
      <c r="AJ99" s="277"/>
      <c r="AK99" s="277"/>
      <c r="AL99" s="277"/>
      <c r="AM99" s="277"/>
      <c r="AN99" s="277"/>
      <c r="AO99" s="277"/>
      <c r="AP99" s="277"/>
      <c r="AQ99" s="277"/>
      <c r="AR99" s="277"/>
      <c r="AS99" s="277"/>
      <c r="AT99" s="277"/>
      <c r="AU99" s="277"/>
      <c r="AV99" s="277"/>
      <c r="AW99" s="277"/>
      <c r="AX99" s="854"/>
      <c r="AY99" s="277"/>
      <c r="AZ99" s="277"/>
      <c r="BA99" s="277"/>
      <c r="BB99" s="277"/>
      <c r="BC99" s="277"/>
      <c r="BD99" s="277"/>
      <c r="BE99" s="277"/>
      <c r="BF99" s="277"/>
      <c r="BI99" s="277"/>
      <c r="BJ99" s="277"/>
      <c r="BK99" s="277"/>
      <c r="BL99" s="277"/>
      <c r="BM99" s="277"/>
      <c r="BN99" s="277"/>
      <c r="BO99" s="277"/>
      <c r="BP99" s="277"/>
      <c r="BQ99" s="277"/>
      <c r="BR99" s="277"/>
      <c r="BS99" s="277"/>
      <c r="BT99" s="277"/>
      <c r="BU99" s="277"/>
      <c r="BV99" s="277"/>
      <c r="BW99" s="277"/>
      <c r="BX99" s="277"/>
      <c r="BY99" s="277"/>
      <c r="BZ99" s="277"/>
      <c r="CA99" s="277"/>
      <c r="CB99" s="277"/>
      <c r="CC99" s="277"/>
      <c r="CD99" s="277"/>
      <c r="CE99" s="277"/>
      <c r="CF99" s="277"/>
      <c r="CG99" s="855"/>
      <c r="CH99" s="277"/>
      <c r="CI99" s="277"/>
      <c r="CJ99" s="277"/>
      <c r="CK99" s="277"/>
      <c r="CL99" s="277"/>
      <c r="CM99" s="277"/>
      <c r="CN99" s="277"/>
      <c r="CO99" s="277"/>
      <c r="CP99" s="277"/>
      <c r="CQ99" s="277"/>
      <c r="CR99" s="277"/>
      <c r="CS99" s="277"/>
      <c r="CT99" s="277"/>
      <c r="CU99" s="277"/>
      <c r="CV99" s="277"/>
      <c r="CW99" s="277"/>
      <c r="CX99" s="277"/>
      <c r="CY99" s="277"/>
      <c r="CZ99" s="277"/>
      <c r="DA99" s="277"/>
      <c r="DB99" s="277"/>
      <c r="DC99" s="277"/>
      <c r="DD99" s="277"/>
      <c r="DE99" s="277"/>
      <c r="DF99" s="277"/>
      <c r="DG99" s="277"/>
      <c r="DH99" s="277"/>
      <c r="DI99" s="277"/>
      <c r="DJ99" s="277"/>
      <c r="DK99" s="277"/>
      <c r="DL99" s="277"/>
      <c r="DM99" s="277"/>
      <c r="DN99" s="277"/>
      <c r="DO99" s="277"/>
      <c r="DP99" s="277"/>
      <c r="DQ99" s="277"/>
      <c r="DR99" s="853"/>
      <c r="DS99" s="260"/>
      <c r="DT99" s="260"/>
      <c r="DU99" s="260"/>
      <c r="DV99" s="260"/>
      <c r="DW99" s="260"/>
    </row>
    <row r="100" spans="2:127" ht="14.5" customHeight="1" thickTop="1" thickBot="1" x14ac:dyDescent="0.5">
      <c r="N100" s="234"/>
      <c r="P100" s="234"/>
      <c r="R100" s="234"/>
      <c r="T100" s="234"/>
      <c r="V100" s="234"/>
      <c r="X100" s="234"/>
    </row>
    <row r="101" spans="2:127" ht="14.5" customHeight="1" thickTop="1" thickBot="1" x14ac:dyDescent="0.5">
      <c r="E101" s="521" t="s">
        <v>2037</v>
      </c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856"/>
      <c r="S101" s="845"/>
      <c r="T101" s="845"/>
      <c r="U101" s="845"/>
      <c r="V101" s="845"/>
      <c r="W101" s="845"/>
      <c r="X101" s="845"/>
      <c r="Y101" s="846"/>
      <c r="Z101" s="847"/>
      <c r="AA101" s="847"/>
      <c r="AB101" s="847"/>
      <c r="AC101" s="847"/>
      <c r="AD101" s="847"/>
      <c r="AE101" s="847"/>
      <c r="AF101" s="847"/>
      <c r="AG101" s="847"/>
      <c r="AH101" s="847"/>
      <c r="AI101" s="848"/>
      <c r="AJ101" s="250"/>
      <c r="AK101" s="250"/>
      <c r="AL101" s="250"/>
      <c r="AM101" s="250"/>
      <c r="AN101" s="250"/>
      <c r="AO101" s="250"/>
      <c r="AP101" s="250"/>
      <c r="AQ101" s="250"/>
      <c r="AR101" s="250"/>
      <c r="AS101" s="250"/>
      <c r="AT101" s="250"/>
      <c r="AU101" s="250"/>
      <c r="AV101" s="250"/>
      <c r="AW101" s="250"/>
      <c r="AX101" s="250"/>
      <c r="AY101" s="250"/>
      <c r="AZ101" s="250"/>
      <c r="BA101" s="250"/>
      <c r="BB101" s="846"/>
      <c r="BC101" s="847"/>
      <c r="BD101" s="847"/>
      <c r="BE101" s="847"/>
      <c r="BF101" s="847"/>
      <c r="BI101" s="847"/>
      <c r="BJ101" s="847"/>
      <c r="BK101" s="847"/>
      <c r="BL101" s="847"/>
      <c r="BM101" s="847"/>
      <c r="BN101" s="847"/>
      <c r="BO101" s="847"/>
      <c r="BP101" s="847"/>
      <c r="BQ101" s="847"/>
      <c r="BR101" s="847"/>
      <c r="BS101" s="848"/>
      <c r="BT101" s="250"/>
      <c r="BU101" s="250"/>
      <c r="BV101" s="250"/>
      <c r="BW101" s="250"/>
      <c r="BX101" s="250"/>
      <c r="BY101" s="250"/>
      <c r="BZ101" s="250"/>
      <c r="CA101" s="250"/>
      <c r="CB101" s="250"/>
      <c r="CC101" s="250"/>
      <c r="CD101" s="250"/>
      <c r="CE101" s="250"/>
      <c r="CF101" s="250"/>
      <c r="CG101" s="250"/>
      <c r="CH101" s="250"/>
      <c r="CI101" s="250"/>
      <c r="CJ101" s="250"/>
      <c r="CK101" s="250"/>
      <c r="CL101" s="846"/>
      <c r="CM101" s="847"/>
      <c r="CN101" s="847"/>
      <c r="CO101" s="847"/>
      <c r="CP101" s="847"/>
      <c r="CQ101" s="847"/>
      <c r="CR101" s="847"/>
      <c r="CS101" s="847"/>
      <c r="CT101" s="847"/>
      <c r="CU101" s="847"/>
      <c r="CV101" s="847"/>
      <c r="CW101" s="847"/>
      <c r="CX101" s="847"/>
      <c r="CY101" s="847"/>
      <c r="CZ101" s="847"/>
      <c r="DA101" s="847"/>
      <c r="DB101" s="847"/>
      <c r="DC101" s="848"/>
      <c r="DD101" s="250"/>
      <c r="DE101" s="250"/>
      <c r="DF101" s="250"/>
      <c r="DG101" s="250"/>
      <c r="DH101" s="250"/>
      <c r="DI101" s="250"/>
      <c r="DJ101" s="250"/>
      <c r="DK101" s="250"/>
      <c r="DL101" s="250"/>
      <c r="DM101" s="250"/>
      <c r="DN101" s="250"/>
      <c r="DO101" s="250"/>
      <c r="DP101" s="250"/>
      <c r="DQ101" s="250"/>
      <c r="DR101" s="250"/>
      <c r="DS101" s="250"/>
      <c r="DT101" s="250"/>
      <c r="DU101" s="250"/>
      <c r="DV101" s="856"/>
      <c r="DW101" s="845"/>
    </row>
    <row r="102" spans="2:127" ht="14.5" customHeight="1" thickTop="1" thickBot="1" x14ac:dyDescent="0.5">
      <c r="N102" s="234"/>
      <c r="P102" s="234"/>
      <c r="R102" s="234"/>
      <c r="T102" s="234"/>
      <c r="V102" s="234"/>
      <c r="X102" s="234"/>
    </row>
    <row r="103" spans="2:127" ht="14.5" customHeight="1" thickTop="1" thickBot="1" x14ac:dyDescent="0.5">
      <c r="E103" s="521" t="s">
        <v>2038</v>
      </c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  <c r="AA103" s="250"/>
      <c r="AB103" s="250"/>
      <c r="AC103" s="250"/>
      <c r="AD103" s="250"/>
      <c r="AE103" s="250"/>
      <c r="AF103" s="250"/>
      <c r="AG103" s="250"/>
      <c r="AH103" s="250"/>
      <c r="AI103" s="250"/>
      <c r="AJ103" s="250"/>
      <c r="AK103" s="250"/>
      <c r="AL103" s="250"/>
      <c r="AM103" s="250"/>
      <c r="AN103" s="857"/>
      <c r="AO103" s="290"/>
      <c r="AP103" s="290"/>
      <c r="AQ103" s="806"/>
      <c r="AR103" s="298"/>
      <c r="AS103" s="298"/>
      <c r="AT103" s="298"/>
      <c r="AU103" s="298"/>
      <c r="AV103" s="298"/>
      <c r="AW103" s="305"/>
      <c r="AX103" s="250"/>
      <c r="AY103" s="250"/>
      <c r="AZ103" s="250"/>
      <c r="BA103" s="250"/>
      <c r="BB103" s="250"/>
      <c r="BC103" s="250"/>
      <c r="BD103" s="250"/>
      <c r="BE103" s="250"/>
      <c r="BF103" s="250"/>
      <c r="BI103" s="250"/>
      <c r="BJ103" s="250"/>
      <c r="BK103" s="250"/>
      <c r="BL103" s="250"/>
      <c r="BM103" s="250"/>
      <c r="BN103" s="250"/>
      <c r="BO103" s="250"/>
      <c r="BP103" s="250"/>
      <c r="BQ103" s="250"/>
      <c r="BR103" s="250"/>
      <c r="BS103" s="250"/>
      <c r="BT103" s="250"/>
      <c r="BU103" s="250"/>
      <c r="BV103" s="250"/>
      <c r="BW103" s="250"/>
      <c r="BX103" s="304"/>
      <c r="BY103" s="298"/>
      <c r="BZ103" s="298"/>
      <c r="CA103" s="298"/>
      <c r="CB103" s="298"/>
      <c r="CC103" s="298"/>
      <c r="CD103" s="298"/>
      <c r="CE103" s="298"/>
      <c r="CF103" s="298"/>
      <c r="CG103" s="305"/>
      <c r="CH103" s="250"/>
      <c r="CI103" s="250"/>
      <c r="CJ103" s="250"/>
      <c r="CK103" s="250"/>
      <c r="CL103" s="250"/>
      <c r="CM103" s="250"/>
      <c r="CN103" s="250"/>
      <c r="CO103" s="250"/>
      <c r="CP103" s="250"/>
      <c r="CQ103" s="250"/>
      <c r="CR103" s="250"/>
      <c r="CS103" s="250"/>
      <c r="CT103" s="250"/>
      <c r="CU103" s="250"/>
      <c r="CV103" s="250"/>
      <c r="CW103" s="250"/>
      <c r="CX103" s="250"/>
      <c r="CY103" s="250"/>
      <c r="CZ103" s="250"/>
      <c r="DA103" s="250"/>
      <c r="DB103" s="250"/>
      <c r="DC103" s="250"/>
      <c r="DD103" s="250"/>
      <c r="DE103" s="250"/>
      <c r="DF103" s="250"/>
      <c r="DG103" s="250"/>
      <c r="DH103" s="304"/>
      <c r="DI103" s="298"/>
      <c r="DJ103" s="298"/>
      <c r="DK103" s="298"/>
      <c r="DL103" s="298"/>
      <c r="DM103" s="298"/>
      <c r="DN103" s="298"/>
      <c r="DO103" s="298"/>
      <c r="DP103" s="298"/>
      <c r="DQ103" s="305"/>
      <c r="DR103" s="250"/>
      <c r="DS103" s="250"/>
      <c r="DT103" s="250"/>
      <c r="DU103" s="250"/>
      <c r="DV103" s="250"/>
      <c r="DW103" s="250"/>
    </row>
    <row r="104" spans="2:127" ht="14.5" customHeight="1" thickTop="1" x14ac:dyDescent="0.45">
      <c r="N104" s="234"/>
      <c r="P104" s="234"/>
      <c r="R104" s="234"/>
      <c r="T104" s="234"/>
      <c r="V104" s="234"/>
      <c r="X104" s="234"/>
    </row>
    <row r="105" spans="2:127" ht="14.5" customHeight="1" x14ac:dyDescent="0.45">
      <c r="B105" s="521"/>
      <c r="C105" s="521"/>
      <c r="N105" s="234"/>
      <c r="P105" s="234"/>
      <c r="R105" s="234"/>
      <c r="T105" s="234"/>
      <c r="V105" s="234"/>
      <c r="X105" s="234"/>
    </row>
    <row r="106" spans="2:127" ht="14.5" customHeight="1" x14ac:dyDescent="0.45">
      <c r="B106" s="521"/>
      <c r="C106" s="521"/>
      <c r="E106" s="521" t="s">
        <v>2035</v>
      </c>
      <c r="G106" s="250"/>
      <c r="H106" s="250"/>
      <c r="I106" s="250"/>
      <c r="J106" s="250"/>
      <c r="K106" s="250"/>
      <c r="L106" s="250"/>
      <c r="M106" s="260"/>
      <c r="N106" s="858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  <c r="AA106" s="318"/>
      <c r="AB106" s="319"/>
      <c r="AC106" s="319"/>
      <c r="AD106" s="319"/>
      <c r="AE106" s="319"/>
      <c r="AF106" s="319"/>
      <c r="AG106" s="319"/>
      <c r="AH106" s="319"/>
      <c r="AI106" s="319"/>
      <c r="AJ106" s="319"/>
      <c r="AK106" s="319"/>
      <c r="AL106" s="319"/>
      <c r="AM106" s="319"/>
      <c r="AN106" s="319"/>
      <c r="AO106" s="319"/>
      <c r="AP106" s="319"/>
      <c r="AQ106" s="319"/>
      <c r="AR106" s="319"/>
      <c r="AS106" s="319"/>
      <c r="AT106" s="319"/>
      <c r="AU106" s="319"/>
      <c r="AV106" s="319"/>
      <c r="AW106" s="319"/>
      <c r="AX106" s="859"/>
      <c r="AY106" s="319"/>
      <c r="AZ106" s="319"/>
      <c r="BA106" s="319"/>
      <c r="BB106" s="319"/>
      <c r="BC106" s="319"/>
      <c r="BD106" s="319"/>
      <c r="BE106" s="319"/>
      <c r="BF106" s="319"/>
      <c r="BI106" s="319"/>
      <c r="BJ106" s="319"/>
      <c r="BK106" s="319"/>
      <c r="BL106" s="319"/>
      <c r="BM106" s="319"/>
      <c r="BN106" s="319"/>
      <c r="BO106" s="319"/>
      <c r="BP106" s="319"/>
      <c r="BQ106" s="319"/>
      <c r="BR106" s="319"/>
      <c r="BS106" s="319"/>
      <c r="BT106" s="319"/>
      <c r="BU106" s="319"/>
      <c r="BV106" s="319"/>
      <c r="BW106" s="319"/>
      <c r="BX106" s="319"/>
      <c r="BY106" s="319"/>
      <c r="BZ106" s="319"/>
      <c r="CA106" s="319"/>
      <c r="CB106" s="319"/>
      <c r="CC106" s="319"/>
      <c r="CD106" s="319"/>
      <c r="CE106" s="319"/>
      <c r="CF106" s="319"/>
      <c r="CG106" s="860"/>
      <c r="CH106" s="319"/>
      <c r="CI106" s="319"/>
      <c r="CJ106" s="319"/>
      <c r="CK106" s="319"/>
      <c r="CL106" s="319"/>
      <c r="CM106" s="319"/>
      <c r="CN106" s="319"/>
      <c r="CO106" s="319"/>
      <c r="CP106" s="319"/>
      <c r="CQ106" s="319"/>
      <c r="CR106" s="319"/>
      <c r="CS106" s="319"/>
      <c r="CT106" s="319"/>
      <c r="CU106" s="319"/>
      <c r="CV106" s="319"/>
      <c r="CW106" s="319"/>
      <c r="CX106" s="319"/>
      <c r="CY106" s="319"/>
      <c r="CZ106" s="319"/>
      <c r="DA106" s="319"/>
      <c r="DB106" s="319"/>
      <c r="DC106" s="319"/>
      <c r="DD106" s="319"/>
      <c r="DE106" s="319"/>
      <c r="DF106" s="319"/>
      <c r="DG106" s="319"/>
      <c r="DH106" s="319"/>
      <c r="DI106" s="319"/>
      <c r="DJ106" s="319"/>
      <c r="DK106" s="319"/>
      <c r="DL106" s="319"/>
      <c r="DM106" s="319"/>
      <c r="DN106" s="319"/>
      <c r="DO106" s="319"/>
      <c r="DP106" s="319"/>
      <c r="DQ106" s="320"/>
      <c r="DR106" s="260"/>
      <c r="DS106" s="260"/>
      <c r="DT106" s="260"/>
      <c r="DU106" s="260"/>
      <c r="DV106" s="260"/>
      <c r="DW106" s="260"/>
    </row>
    <row r="107" spans="2:127" ht="14.5" customHeight="1" x14ac:dyDescent="0.45">
      <c r="B107" s="521"/>
      <c r="C107" s="521"/>
      <c r="N107" s="234"/>
      <c r="P107" s="234"/>
      <c r="R107" s="234"/>
      <c r="T107" s="234"/>
      <c r="V107" s="234"/>
      <c r="X107" s="234"/>
    </row>
    <row r="108" spans="2:127" ht="14.5" customHeight="1" x14ac:dyDescent="0.45">
      <c r="B108" s="521"/>
      <c r="E108" s="521" t="s">
        <v>2044</v>
      </c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861"/>
      <c r="S108" s="862"/>
      <c r="T108" s="862"/>
      <c r="U108" s="862"/>
      <c r="V108" s="862"/>
      <c r="W108" s="862"/>
      <c r="X108" s="863"/>
      <c r="Y108" s="864"/>
      <c r="Z108" s="865"/>
      <c r="AA108" s="865"/>
      <c r="AB108" s="865"/>
      <c r="AC108" s="865"/>
      <c r="AD108" s="865"/>
      <c r="AE108" s="865"/>
      <c r="AF108" s="865"/>
      <c r="AG108" s="865"/>
      <c r="AH108" s="865"/>
      <c r="AI108" s="866"/>
      <c r="AJ108" s="250"/>
      <c r="AK108" s="250"/>
      <c r="AL108" s="250"/>
      <c r="AM108" s="250"/>
      <c r="AN108" s="858"/>
      <c r="AO108" s="250"/>
      <c r="AP108" s="250"/>
      <c r="AQ108" s="324"/>
      <c r="AR108" s="318"/>
      <c r="AS108" s="319"/>
      <c r="AT108" s="319"/>
      <c r="AU108" s="319"/>
      <c r="AV108" s="319"/>
      <c r="AW108" s="320"/>
      <c r="AX108" s="250"/>
      <c r="AY108" s="250"/>
      <c r="AZ108" s="250"/>
      <c r="BA108" s="250"/>
      <c r="BB108" s="864"/>
      <c r="BC108" s="865"/>
      <c r="BD108" s="865"/>
      <c r="BE108" s="865"/>
      <c r="BF108" s="865"/>
      <c r="BI108" s="865"/>
      <c r="BJ108" s="865"/>
      <c r="BK108" s="865"/>
      <c r="BL108" s="865"/>
      <c r="BM108" s="865"/>
      <c r="BN108" s="865"/>
      <c r="BO108" s="865"/>
      <c r="BP108" s="865"/>
      <c r="BQ108" s="865"/>
      <c r="BR108" s="865"/>
      <c r="BS108" s="866"/>
      <c r="BT108" s="250"/>
      <c r="BU108" s="250"/>
      <c r="BV108" s="250"/>
      <c r="BW108" s="250"/>
      <c r="BX108" s="318"/>
      <c r="BY108" s="319"/>
      <c r="BZ108" s="319"/>
      <c r="CA108" s="319"/>
      <c r="CB108" s="319"/>
      <c r="CC108" s="319"/>
      <c r="CD108" s="319"/>
      <c r="CE108" s="319"/>
      <c r="CF108" s="319"/>
      <c r="CG108" s="320"/>
      <c r="CH108" s="250"/>
      <c r="CI108" s="250"/>
      <c r="CJ108" s="250"/>
      <c r="CK108" s="250"/>
      <c r="CL108" s="864"/>
      <c r="CM108" s="865"/>
      <c r="CN108" s="865"/>
      <c r="CO108" s="865"/>
      <c r="CP108" s="865"/>
      <c r="CQ108" s="865"/>
      <c r="CR108" s="865"/>
      <c r="CS108" s="865"/>
      <c r="CT108" s="865"/>
      <c r="CU108" s="865"/>
      <c r="CV108" s="865"/>
      <c r="CW108" s="865"/>
      <c r="CX108" s="865"/>
      <c r="CY108" s="865"/>
      <c r="CZ108" s="865"/>
      <c r="DA108" s="865"/>
      <c r="DB108" s="865"/>
      <c r="DC108" s="866"/>
      <c r="DD108" s="250"/>
      <c r="DE108" s="250"/>
      <c r="DF108" s="250"/>
      <c r="DG108" s="250"/>
      <c r="DH108" s="318"/>
      <c r="DI108" s="319"/>
      <c r="DJ108" s="319"/>
      <c r="DK108" s="319"/>
      <c r="DL108" s="319"/>
      <c r="DM108" s="319"/>
      <c r="DN108" s="319"/>
      <c r="DO108" s="319"/>
      <c r="DP108" s="319"/>
      <c r="DQ108" s="320"/>
      <c r="DR108" s="250"/>
      <c r="DS108" s="250"/>
      <c r="DT108" s="250"/>
      <c r="DU108" s="250"/>
      <c r="DV108" s="867"/>
      <c r="DW108" s="862"/>
    </row>
    <row r="109" spans="2:127" ht="14.5" customHeight="1" x14ac:dyDescent="0.45">
      <c r="B109" s="521"/>
      <c r="C109" s="521"/>
      <c r="N109" s="234"/>
      <c r="P109" s="234"/>
      <c r="R109" s="234"/>
      <c r="T109" s="234"/>
      <c r="V109" s="234"/>
      <c r="X109" s="234"/>
    </row>
    <row r="110" spans="2:127" ht="14.5" customHeight="1" thickBot="1" x14ac:dyDescent="0.5">
      <c r="B110" s="521"/>
      <c r="C110" s="521"/>
      <c r="N110" s="234"/>
      <c r="P110" s="234"/>
      <c r="R110" s="234"/>
      <c r="T110" s="234"/>
      <c r="V110" s="234"/>
      <c r="X110" s="234"/>
    </row>
    <row r="111" spans="2:127" ht="14.5" customHeight="1" thickTop="1" thickBot="1" x14ac:dyDescent="0.5">
      <c r="B111" s="521"/>
      <c r="C111" s="521"/>
      <c r="E111" s="521" t="s">
        <v>2034</v>
      </c>
      <c r="G111" s="250"/>
      <c r="H111" s="250"/>
      <c r="I111" s="250"/>
      <c r="J111" s="250"/>
      <c r="K111" s="250"/>
      <c r="L111" s="250"/>
      <c r="M111" s="250"/>
      <c r="N111" s="852"/>
      <c r="O111" s="280"/>
      <c r="P111" s="282"/>
      <c r="Q111" s="280"/>
      <c r="R111" s="282"/>
      <c r="S111" s="280"/>
      <c r="T111" s="282"/>
      <c r="U111" s="280"/>
      <c r="V111" s="282"/>
      <c r="W111" s="280"/>
      <c r="X111" s="282"/>
      <c r="Y111" s="280"/>
      <c r="Z111" s="810"/>
      <c r="AA111" s="277"/>
      <c r="AB111" s="277"/>
      <c r="AC111" s="277"/>
      <c r="AD111" s="277"/>
      <c r="AE111" s="277"/>
      <c r="AF111" s="277"/>
      <c r="AG111" s="277"/>
      <c r="AH111" s="277"/>
      <c r="AI111" s="277"/>
      <c r="AJ111" s="277"/>
      <c r="AK111" s="277"/>
      <c r="AL111" s="277"/>
      <c r="AM111" s="277"/>
      <c r="AN111" s="277"/>
      <c r="AO111" s="277"/>
      <c r="AP111" s="277"/>
      <c r="AQ111" s="277"/>
      <c r="AR111" s="277"/>
      <c r="AS111" s="277"/>
      <c r="AT111" s="277"/>
      <c r="AU111" s="277"/>
      <c r="AV111" s="277"/>
      <c r="AW111" s="277"/>
      <c r="AX111" s="854"/>
      <c r="AY111" s="277"/>
      <c r="AZ111" s="277"/>
      <c r="BA111" s="277"/>
      <c r="BB111" s="277"/>
      <c r="BC111" s="277"/>
      <c r="BD111" s="277"/>
      <c r="BE111" s="277"/>
      <c r="BF111" s="277"/>
      <c r="BI111" s="277"/>
      <c r="BJ111" s="277"/>
      <c r="BK111" s="277"/>
      <c r="BL111" s="277"/>
      <c r="BM111" s="277"/>
      <c r="BN111" s="277"/>
      <c r="BO111" s="277"/>
      <c r="BP111" s="277"/>
      <c r="BQ111" s="277"/>
      <c r="BR111" s="277"/>
      <c r="BS111" s="277"/>
      <c r="BT111" s="277"/>
      <c r="BU111" s="277"/>
      <c r="BV111" s="277"/>
      <c r="BW111" s="277"/>
      <c r="BX111" s="277"/>
      <c r="BY111" s="277"/>
      <c r="BZ111" s="277"/>
      <c r="CA111" s="277"/>
      <c r="CB111" s="277"/>
      <c r="CC111" s="277"/>
      <c r="CD111" s="277"/>
      <c r="CE111" s="277"/>
      <c r="CF111" s="277"/>
      <c r="CG111" s="855"/>
      <c r="CH111" s="277"/>
      <c r="CI111" s="277"/>
      <c r="CJ111" s="277"/>
      <c r="CK111" s="277"/>
      <c r="CL111" s="277"/>
      <c r="CM111" s="277"/>
      <c r="CN111" s="277"/>
      <c r="CO111" s="277"/>
      <c r="CP111" s="277"/>
      <c r="CQ111" s="277"/>
      <c r="CR111" s="277"/>
      <c r="CS111" s="277"/>
      <c r="CT111" s="277"/>
      <c r="CU111" s="277"/>
      <c r="CV111" s="277"/>
      <c r="CW111" s="277"/>
      <c r="CX111" s="277"/>
      <c r="CY111" s="277"/>
      <c r="CZ111" s="277"/>
      <c r="DA111" s="277"/>
      <c r="DB111" s="277"/>
      <c r="DC111" s="277"/>
      <c r="DD111" s="277"/>
      <c r="DE111" s="277"/>
      <c r="DF111" s="277"/>
      <c r="DG111" s="277"/>
      <c r="DH111" s="277"/>
      <c r="DI111" s="277"/>
      <c r="DJ111" s="277"/>
      <c r="DK111" s="277"/>
      <c r="DL111" s="277"/>
      <c r="DM111" s="277"/>
      <c r="DN111" s="277"/>
      <c r="DO111" s="277"/>
      <c r="DP111" s="277"/>
      <c r="DQ111" s="277"/>
      <c r="DR111" s="853"/>
      <c r="DS111" s="260"/>
      <c r="DT111" s="260"/>
      <c r="DU111" s="260"/>
      <c r="DV111" s="260"/>
      <c r="DW111" s="260"/>
    </row>
    <row r="112" spans="2:127" ht="14.5" customHeight="1" thickTop="1" thickBot="1" x14ac:dyDescent="0.5">
      <c r="B112" s="521"/>
      <c r="C112" s="521"/>
      <c r="N112" s="234"/>
      <c r="P112" s="234"/>
      <c r="R112" s="234"/>
      <c r="T112" s="234"/>
      <c r="V112" s="234"/>
      <c r="X112" s="234"/>
    </row>
    <row r="113" spans="2:127" ht="14.5" customHeight="1" thickTop="1" thickBot="1" x14ac:dyDescent="0.5">
      <c r="B113" s="521"/>
      <c r="C113" s="521"/>
      <c r="E113" s="521" t="s">
        <v>2040</v>
      </c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856"/>
      <c r="S113" s="845"/>
      <c r="T113" s="845"/>
      <c r="U113" s="845"/>
      <c r="V113" s="845"/>
      <c r="W113" s="845"/>
      <c r="X113" s="845"/>
      <c r="Y113" s="846"/>
      <c r="Z113" s="847"/>
      <c r="AA113" s="847"/>
      <c r="AB113" s="847"/>
      <c r="AC113" s="847"/>
      <c r="AD113" s="847"/>
      <c r="AE113" s="847"/>
      <c r="AF113" s="847"/>
      <c r="AG113" s="847"/>
      <c r="AH113" s="847"/>
      <c r="AI113" s="848"/>
      <c r="AJ113" s="250"/>
      <c r="AK113" s="250"/>
      <c r="AL113" s="250"/>
      <c r="AM113" s="250"/>
      <c r="AN113" s="250"/>
      <c r="AO113" s="250"/>
      <c r="AP113" s="250"/>
      <c r="AQ113" s="250"/>
      <c r="AR113" s="250"/>
      <c r="AS113" s="250"/>
      <c r="AT113" s="250"/>
      <c r="AU113" s="250"/>
      <c r="AV113" s="250"/>
      <c r="AW113" s="250"/>
      <c r="AX113" s="250"/>
      <c r="AY113" s="250"/>
      <c r="AZ113" s="250"/>
      <c r="BA113" s="250"/>
      <c r="BB113" s="846"/>
      <c r="BC113" s="847"/>
      <c r="BD113" s="847"/>
      <c r="BE113" s="847"/>
      <c r="BF113" s="847"/>
      <c r="BI113" s="847"/>
      <c r="BJ113" s="847"/>
      <c r="BK113" s="847"/>
      <c r="BL113" s="847"/>
      <c r="BM113" s="847"/>
      <c r="BN113" s="847"/>
      <c r="BO113" s="847"/>
      <c r="BP113" s="847"/>
      <c r="BQ113" s="847"/>
      <c r="BR113" s="847"/>
      <c r="BS113" s="848"/>
      <c r="BT113" s="250"/>
      <c r="BU113" s="250"/>
      <c r="BV113" s="250"/>
      <c r="BW113" s="250"/>
      <c r="BX113" s="250"/>
      <c r="BY113" s="250"/>
      <c r="BZ113" s="250"/>
      <c r="CA113" s="250"/>
      <c r="CB113" s="250"/>
      <c r="CC113" s="250"/>
      <c r="CD113" s="250"/>
      <c r="CE113" s="250"/>
      <c r="CF113" s="250"/>
      <c r="CG113" s="250"/>
      <c r="CH113" s="250"/>
      <c r="CI113" s="250"/>
      <c r="CJ113" s="250"/>
      <c r="CK113" s="250"/>
      <c r="CL113" s="846"/>
      <c r="CM113" s="847"/>
      <c r="CN113" s="847"/>
      <c r="CO113" s="847"/>
      <c r="CP113" s="847"/>
      <c r="CQ113" s="847"/>
      <c r="CR113" s="847"/>
      <c r="CS113" s="847"/>
      <c r="CT113" s="847"/>
      <c r="CU113" s="847"/>
      <c r="CV113" s="847"/>
      <c r="CW113" s="847"/>
      <c r="CX113" s="847"/>
      <c r="CY113" s="847"/>
      <c r="CZ113" s="847"/>
      <c r="DA113" s="847"/>
      <c r="DB113" s="847"/>
      <c r="DC113" s="848"/>
      <c r="DD113" s="250"/>
      <c r="DE113" s="250"/>
      <c r="DF113" s="250"/>
      <c r="DG113" s="250"/>
      <c r="DH113" s="250"/>
      <c r="DI113" s="250"/>
      <c r="DJ113" s="250"/>
      <c r="DK113" s="250"/>
      <c r="DL113" s="250"/>
      <c r="DM113" s="250"/>
      <c r="DN113" s="250"/>
      <c r="DO113" s="250"/>
      <c r="DP113" s="250"/>
      <c r="DQ113" s="250"/>
      <c r="DR113" s="250"/>
      <c r="DS113" s="250"/>
      <c r="DT113" s="250"/>
      <c r="DU113" s="250"/>
      <c r="DV113" s="856"/>
      <c r="DW113" s="845"/>
    </row>
    <row r="114" spans="2:127" ht="14.5" customHeight="1" thickTop="1" thickBot="1" x14ac:dyDescent="0.5">
      <c r="B114" s="521"/>
      <c r="C114" s="521"/>
      <c r="N114" s="234"/>
      <c r="P114" s="234"/>
      <c r="R114" s="234"/>
      <c r="T114" s="234"/>
      <c r="V114" s="234"/>
      <c r="X114" s="234"/>
    </row>
    <row r="115" spans="2:127" ht="14.5" customHeight="1" thickTop="1" thickBot="1" x14ac:dyDescent="0.5">
      <c r="B115" s="521"/>
      <c r="C115" s="521"/>
      <c r="E115" s="521" t="s">
        <v>2041</v>
      </c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  <c r="AA115" s="250"/>
      <c r="AB115" s="250"/>
      <c r="AC115" s="250"/>
      <c r="AD115" s="250"/>
      <c r="AE115" s="250"/>
      <c r="AF115" s="250"/>
      <c r="AG115" s="250"/>
      <c r="AH115" s="250"/>
      <c r="AI115" s="250"/>
      <c r="AJ115" s="250"/>
      <c r="AK115" s="250"/>
      <c r="AL115" s="250"/>
      <c r="AM115" s="250"/>
      <c r="AN115" s="857"/>
      <c r="AO115" s="290"/>
      <c r="AP115" s="290"/>
      <c r="AQ115" s="806"/>
      <c r="AR115" s="298"/>
      <c r="AS115" s="298"/>
      <c r="AT115" s="298"/>
      <c r="AU115" s="298"/>
      <c r="AV115" s="298"/>
      <c r="AW115" s="305"/>
      <c r="AX115" s="250"/>
      <c r="AY115" s="250"/>
      <c r="AZ115" s="250"/>
      <c r="BA115" s="250"/>
      <c r="BB115" s="250"/>
      <c r="BC115" s="250"/>
      <c r="BD115" s="250"/>
      <c r="BE115" s="250"/>
      <c r="BF115" s="250"/>
      <c r="BI115" s="250"/>
      <c r="BJ115" s="250"/>
      <c r="BK115" s="250"/>
      <c r="BL115" s="250"/>
      <c r="BM115" s="250"/>
      <c r="BN115" s="250"/>
      <c r="BO115" s="250"/>
      <c r="BP115" s="250"/>
      <c r="BQ115" s="250"/>
      <c r="BR115" s="250"/>
      <c r="BS115" s="250"/>
      <c r="BT115" s="250"/>
      <c r="BU115" s="250"/>
      <c r="BV115" s="250"/>
      <c r="BW115" s="250"/>
      <c r="BX115" s="304"/>
      <c r="BY115" s="298"/>
      <c r="BZ115" s="298"/>
      <c r="CA115" s="298"/>
      <c r="CB115" s="298"/>
      <c r="CC115" s="298"/>
      <c r="CD115" s="298"/>
      <c r="CE115" s="298"/>
      <c r="CF115" s="298"/>
      <c r="CG115" s="305"/>
      <c r="CH115" s="250"/>
      <c r="CI115" s="250"/>
      <c r="CJ115" s="250"/>
      <c r="CK115" s="250"/>
      <c r="CL115" s="250"/>
      <c r="CM115" s="250"/>
      <c r="CN115" s="250"/>
      <c r="CO115" s="250"/>
      <c r="CP115" s="250"/>
      <c r="CQ115" s="250"/>
      <c r="CR115" s="250"/>
      <c r="CS115" s="250"/>
      <c r="CT115" s="250"/>
      <c r="CU115" s="250"/>
      <c r="CV115" s="250"/>
      <c r="CW115" s="250"/>
      <c r="CX115" s="250"/>
      <c r="CY115" s="250"/>
      <c r="CZ115" s="250"/>
      <c r="DA115" s="250"/>
      <c r="DB115" s="250"/>
      <c r="DC115" s="250"/>
      <c r="DD115" s="250"/>
      <c r="DE115" s="250"/>
      <c r="DF115" s="250"/>
      <c r="DG115" s="250"/>
      <c r="DH115" s="304"/>
      <c r="DI115" s="298"/>
      <c r="DJ115" s="298"/>
      <c r="DK115" s="298"/>
      <c r="DL115" s="298"/>
      <c r="DM115" s="298"/>
      <c r="DN115" s="298"/>
      <c r="DO115" s="298"/>
      <c r="DP115" s="298"/>
      <c r="DQ115" s="305"/>
      <c r="DR115" s="250"/>
      <c r="DS115" s="250"/>
      <c r="DT115" s="250"/>
      <c r="DU115" s="250"/>
      <c r="DV115" s="250"/>
      <c r="DW115" s="250"/>
    </row>
    <row r="116" spans="2:127" ht="14.5" customHeight="1" thickTop="1" x14ac:dyDescent="0.45">
      <c r="B116" s="521"/>
      <c r="C116" s="521"/>
      <c r="N116" s="234"/>
      <c r="P116" s="234"/>
      <c r="R116" s="234"/>
      <c r="T116" s="234"/>
      <c r="V116" s="234"/>
      <c r="X116" s="234"/>
    </row>
    <row r="117" spans="2:127" ht="14.5" customHeight="1" thickBot="1" x14ac:dyDescent="0.5">
      <c r="B117" s="521"/>
      <c r="C117" s="521"/>
      <c r="N117" s="234"/>
      <c r="P117" s="234"/>
      <c r="R117" s="234"/>
      <c r="T117" s="234"/>
      <c r="V117" s="234"/>
      <c r="X117" s="234"/>
    </row>
    <row r="118" spans="2:127" ht="14.5" customHeight="1" thickTop="1" thickBot="1" x14ac:dyDescent="0.5">
      <c r="B118" s="521"/>
      <c r="C118" s="521"/>
      <c r="E118" s="521" t="s">
        <v>2031</v>
      </c>
      <c r="G118" s="250"/>
      <c r="H118" s="250"/>
      <c r="I118" s="250"/>
      <c r="J118" s="250"/>
      <c r="K118" s="250"/>
      <c r="L118" s="250"/>
      <c r="M118" s="250"/>
      <c r="N118" s="852"/>
      <c r="O118" s="280"/>
      <c r="P118" s="282"/>
      <c r="Q118" s="280"/>
      <c r="R118" s="282"/>
      <c r="S118" s="280"/>
      <c r="T118" s="282"/>
      <c r="U118" s="280"/>
      <c r="V118" s="282"/>
      <c r="W118" s="280"/>
      <c r="X118" s="282"/>
      <c r="Y118" s="280"/>
      <c r="Z118" s="810"/>
      <c r="AA118" s="277"/>
      <c r="AB118" s="277"/>
      <c r="AC118" s="277"/>
      <c r="AD118" s="277"/>
      <c r="AE118" s="277"/>
      <c r="AF118" s="277"/>
      <c r="AG118" s="277"/>
      <c r="AH118" s="277"/>
      <c r="AI118" s="277"/>
      <c r="AJ118" s="277"/>
      <c r="AK118" s="277"/>
      <c r="AL118" s="277"/>
      <c r="AM118" s="277"/>
      <c r="AN118" s="277"/>
      <c r="AO118" s="277"/>
      <c r="AP118" s="277"/>
      <c r="AQ118" s="277"/>
      <c r="AR118" s="277"/>
      <c r="AS118" s="277"/>
      <c r="AT118" s="277"/>
      <c r="AU118" s="277"/>
      <c r="AV118" s="277"/>
      <c r="AW118" s="277"/>
      <c r="AX118" s="854"/>
      <c r="AY118" s="277"/>
      <c r="AZ118" s="277"/>
      <c r="BA118" s="277"/>
      <c r="BB118" s="277"/>
      <c r="BC118" s="277"/>
      <c r="BD118" s="277"/>
      <c r="BE118" s="277"/>
      <c r="BF118" s="277"/>
      <c r="BI118" s="277"/>
      <c r="BJ118" s="277"/>
      <c r="BK118" s="277"/>
      <c r="BL118" s="277"/>
      <c r="BM118" s="277"/>
      <c r="BN118" s="277"/>
      <c r="BO118" s="277"/>
      <c r="BP118" s="277"/>
      <c r="BQ118" s="277"/>
      <c r="BR118" s="277"/>
      <c r="BS118" s="277"/>
      <c r="BT118" s="277"/>
      <c r="BU118" s="277"/>
      <c r="BV118" s="277"/>
      <c r="BW118" s="277"/>
      <c r="BX118" s="277"/>
      <c r="BY118" s="277"/>
      <c r="BZ118" s="277"/>
      <c r="CA118" s="277"/>
      <c r="CB118" s="277"/>
      <c r="CC118" s="277"/>
      <c r="CD118" s="277"/>
      <c r="CE118" s="277"/>
      <c r="CF118" s="277"/>
      <c r="CG118" s="855"/>
      <c r="CH118" s="277"/>
      <c r="CI118" s="277"/>
      <c r="CJ118" s="277"/>
      <c r="CK118" s="277"/>
      <c r="CL118" s="277"/>
      <c r="CM118" s="277"/>
      <c r="CN118" s="277"/>
      <c r="CO118" s="277"/>
      <c r="CP118" s="277"/>
      <c r="CQ118" s="277"/>
      <c r="CR118" s="277"/>
      <c r="CS118" s="277"/>
      <c r="CT118" s="277"/>
      <c r="CU118" s="277"/>
      <c r="CV118" s="277"/>
      <c r="CW118" s="277"/>
      <c r="CX118" s="277"/>
      <c r="CY118" s="277"/>
      <c r="CZ118" s="277"/>
      <c r="DA118" s="277"/>
      <c r="DB118" s="277"/>
      <c r="DC118" s="277"/>
      <c r="DD118" s="277"/>
      <c r="DE118" s="277"/>
      <c r="DF118" s="277"/>
      <c r="DG118" s="277"/>
      <c r="DH118" s="277"/>
      <c r="DI118" s="277"/>
      <c r="DJ118" s="277"/>
      <c r="DK118" s="277"/>
      <c r="DL118" s="277"/>
      <c r="DM118" s="277"/>
      <c r="DN118" s="277"/>
      <c r="DO118" s="277"/>
      <c r="DP118" s="277"/>
      <c r="DQ118" s="277"/>
      <c r="DR118" s="853"/>
      <c r="DS118" s="260"/>
      <c r="DT118" s="260"/>
      <c r="DU118" s="260"/>
      <c r="DV118" s="260"/>
      <c r="DW118" s="260"/>
    </row>
    <row r="119" spans="2:127" ht="14.5" customHeight="1" thickTop="1" thickBot="1" x14ac:dyDescent="0.5">
      <c r="B119" s="521"/>
      <c r="C119" s="521"/>
      <c r="N119" s="234"/>
      <c r="P119" s="234"/>
      <c r="R119" s="234"/>
      <c r="T119" s="234"/>
      <c r="V119" s="234"/>
      <c r="X119" s="234"/>
    </row>
    <row r="120" spans="2:127" ht="14.5" customHeight="1" thickTop="1" thickBot="1" x14ac:dyDescent="0.5">
      <c r="B120" s="521"/>
      <c r="C120" s="521"/>
      <c r="E120" s="521" t="s">
        <v>2042</v>
      </c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856"/>
      <c r="S120" s="845"/>
      <c r="T120" s="845"/>
      <c r="U120" s="845"/>
      <c r="V120" s="845"/>
      <c r="W120" s="845"/>
      <c r="X120" s="845"/>
      <c r="Y120" s="846"/>
      <c r="Z120" s="847"/>
      <c r="AA120" s="847"/>
      <c r="AB120" s="847"/>
      <c r="AC120" s="847"/>
      <c r="AD120" s="847"/>
      <c r="AE120" s="847"/>
      <c r="AF120" s="847"/>
      <c r="AG120" s="847"/>
      <c r="AH120" s="847"/>
      <c r="AI120" s="848"/>
      <c r="AJ120" s="250"/>
      <c r="AK120" s="250"/>
      <c r="AL120" s="250"/>
      <c r="AM120" s="250"/>
      <c r="AN120" s="857"/>
      <c r="AO120" s="290"/>
      <c r="AP120" s="290"/>
      <c r="AQ120" s="806"/>
      <c r="AR120" s="298"/>
      <c r="AS120" s="298"/>
      <c r="AT120" s="298"/>
      <c r="AU120" s="298"/>
      <c r="AV120" s="298"/>
      <c r="AW120" s="305"/>
      <c r="AX120" s="250"/>
      <c r="AY120" s="250"/>
      <c r="AZ120" s="250"/>
      <c r="BA120" s="250"/>
      <c r="BB120" s="846"/>
      <c r="BC120" s="847"/>
      <c r="BD120" s="847"/>
      <c r="BE120" s="847"/>
      <c r="BF120" s="847"/>
      <c r="BI120" s="847"/>
      <c r="BJ120" s="847"/>
      <c r="BK120" s="847"/>
      <c r="BL120" s="847"/>
      <c r="BM120" s="847"/>
      <c r="BN120" s="847"/>
      <c r="BO120" s="847"/>
      <c r="BP120" s="847"/>
      <c r="BQ120" s="847"/>
      <c r="BR120" s="847"/>
      <c r="BS120" s="848"/>
      <c r="BT120" s="250"/>
      <c r="BU120" s="250"/>
      <c r="BV120" s="250"/>
      <c r="BW120" s="250"/>
      <c r="BX120" s="304"/>
      <c r="BY120" s="298"/>
      <c r="BZ120" s="298"/>
      <c r="CA120" s="298"/>
      <c r="CB120" s="298"/>
      <c r="CC120" s="298"/>
      <c r="CD120" s="298"/>
      <c r="CE120" s="298"/>
      <c r="CF120" s="298"/>
      <c r="CG120" s="305"/>
      <c r="CH120" s="250"/>
      <c r="CI120" s="250"/>
      <c r="CJ120" s="250"/>
      <c r="CK120" s="250"/>
      <c r="CL120" s="846"/>
      <c r="CM120" s="847"/>
      <c r="CN120" s="847"/>
      <c r="CO120" s="847"/>
      <c r="CP120" s="847"/>
      <c r="CQ120" s="847"/>
      <c r="CR120" s="847"/>
      <c r="CS120" s="847"/>
      <c r="CT120" s="847"/>
      <c r="CU120" s="847"/>
      <c r="CV120" s="847"/>
      <c r="CW120" s="847"/>
      <c r="CX120" s="847"/>
      <c r="CY120" s="847"/>
      <c r="CZ120" s="847"/>
      <c r="DA120" s="847"/>
      <c r="DB120" s="847"/>
      <c r="DC120" s="848"/>
      <c r="DD120" s="250"/>
      <c r="DE120" s="250"/>
      <c r="DF120" s="250"/>
      <c r="DG120" s="250"/>
      <c r="DH120" s="304"/>
      <c r="DI120" s="298"/>
      <c r="DJ120" s="298"/>
      <c r="DK120" s="298"/>
      <c r="DL120" s="298"/>
      <c r="DM120" s="298"/>
      <c r="DN120" s="298"/>
      <c r="DO120" s="298"/>
      <c r="DP120" s="298"/>
      <c r="DQ120" s="305"/>
      <c r="DR120" s="250"/>
      <c r="DS120" s="250"/>
      <c r="DT120" s="250"/>
      <c r="DU120" s="250"/>
      <c r="DV120" s="856"/>
      <c r="DW120" s="845"/>
    </row>
    <row r="121" spans="2:127" ht="14.5" customHeight="1" thickTop="1" x14ac:dyDescent="0.45">
      <c r="B121" s="521"/>
      <c r="C121" s="521"/>
      <c r="N121" s="234"/>
      <c r="P121" s="234"/>
      <c r="R121" s="234"/>
      <c r="T121" s="234"/>
      <c r="V121" s="234"/>
      <c r="X121" s="234"/>
    </row>
    <row r="122" spans="2:127" ht="14.5" customHeight="1" thickBot="1" x14ac:dyDescent="0.5">
      <c r="B122" s="521"/>
      <c r="C122" s="521"/>
      <c r="N122" s="234"/>
      <c r="P122" s="234"/>
      <c r="R122" s="234"/>
      <c r="T122" s="234"/>
      <c r="V122" s="234"/>
      <c r="X122" s="234"/>
      <c r="CA122" s="246"/>
      <c r="CB122" s="246"/>
      <c r="CC122" s="246"/>
      <c r="CD122" s="246"/>
      <c r="CE122" s="246"/>
      <c r="CF122" s="246"/>
      <c r="CG122" s="246"/>
      <c r="CH122" s="246"/>
      <c r="CI122" s="246"/>
      <c r="CJ122" s="246"/>
      <c r="CK122" s="246"/>
      <c r="CL122" s="246"/>
      <c r="CM122" s="246"/>
      <c r="CN122" s="246"/>
      <c r="CO122" s="246"/>
      <c r="CP122" s="246"/>
      <c r="CQ122" s="246"/>
      <c r="CR122" s="246"/>
      <c r="CS122" s="246"/>
      <c r="CT122" s="246"/>
      <c r="CU122" s="246"/>
      <c r="CV122" s="246"/>
      <c r="CW122" s="246"/>
      <c r="CX122" s="246"/>
      <c r="CY122" s="246"/>
      <c r="CZ122" s="246"/>
      <c r="DA122" s="246"/>
      <c r="DB122" s="246"/>
      <c r="DC122" s="246"/>
      <c r="DD122" s="246"/>
      <c r="DE122" s="246"/>
      <c r="DF122" s="246"/>
      <c r="DG122" s="246"/>
      <c r="DH122" s="246"/>
      <c r="DI122" s="246"/>
      <c r="DJ122" s="246"/>
      <c r="DK122" s="246"/>
      <c r="DL122" s="246"/>
      <c r="DM122" s="246"/>
      <c r="DN122" s="246"/>
      <c r="DO122" s="246"/>
      <c r="DP122" s="246"/>
      <c r="DQ122" s="246"/>
      <c r="DR122" s="246"/>
      <c r="DS122" s="246"/>
      <c r="DT122" s="246"/>
      <c r="DU122" s="246"/>
      <c r="DV122" s="246"/>
    </row>
    <row r="123" spans="2:127" ht="14.5" customHeight="1" thickBot="1" x14ac:dyDescent="0.5">
      <c r="B123" s="521"/>
      <c r="C123" s="521"/>
      <c r="E123" s="521" t="s">
        <v>2030</v>
      </c>
      <c r="G123" s="325"/>
      <c r="H123" s="325"/>
      <c r="I123" s="325"/>
      <c r="J123" s="325"/>
      <c r="K123" s="325"/>
      <c r="L123" s="325"/>
      <c r="M123" s="325"/>
      <c r="N123" s="591"/>
      <c r="O123" s="591"/>
      <c r="P123" s="591"/>
      <c r="Q123" s="591"/>
      <c r="R123" s="591"/>
      <c r="S123" s="591"/>
      <c r="T123" s="591"/>
      <c r="U123" s="591"/>
      <c r="V123" s="591"/>
      <c r="W123" s="591"/>
      <c r="X123" s="591"/>
      <c r="Y123" s="591"/>
      <c r="Z123" s="592"/>
      <c r="AA123" s="338"/>
      <c r="AB123" s="328"/>
      <c r="AC123" s="328"/>
      <c r="AD123" s="328"/>
      <c r="AE123" s="328"/>
      <c r="AF123" s="328"/>
      <c r="AG123" s="328"/>
      <c r="AH123" s="328"/>
      <c r="AI123" s="328"/>
      <c r="AJ123" s="328"/>
      <c r="AK123" s="328"/>
      <c r="AL123" s="328"/>
      <c r="AM123" s="328"/>
      <c r="AN123" s="328"/>
      <c r="AO123" s="328"/>
      <c r="AP123" s="328"/>
      <c r="AQ123" s="328"/>
      <c r="AR123" s="328"/>
      <c r="AS123" s="328"/>
      <c r="AT123" s="328"/>
      <c r="AU123" s="328"/>
      <c r="AV123" s="328"/>
      <c r="AW123" s="328"/>
      <c r="AX123" s="604"/>
      <c r="AY123" s="328"/>
      <c r="AZ123" s="337"/>
      <c r="BA123" s="328"/>
      <c r="BB123" s="337"/>
      <c r="BC123" s="328"/>
      <c r="BD123" s="337"/>
      <c r="BE123" s="328"/>
      <c r="BF123" s="337"/>
      <c r="BI123" s="328"/>
      <c r="BJ123" s="328"/>
      <c r="BK123" s="328"/>
      <c r="BL123" s="328"/>
      <c r="BM123" s="328"/>
      <c r="BN123" s="328"/>
      <c r="BO123" s="328"/>
      <c r="BP123" s="328"/>
      <c r="BQ123" s="328"/>
      <c r="BR123" s="328"/>
      <c r="BS123" s="328"/>
      <c r="BT123" s="328"/>
      <c r="BU123" s="328"/>
      <c r="BV123" s="328"/>
      <c r="BW123" s="328"/>
      <c r="BX123" s="328"/>
      <c r="BY123" s="328"/>
      <c r="BZ123" s="328"/>
      <c r="CA123" s="328"/>
      <c r="CB123" s="328"/>
      <c r="CC123" s="328"/>
      <c r="CD123" s="328"/>
      <c r="CE123" s="328"/>
      <c r="CF123" s="328"/>
      <c r="CG123" s="605"/>
      <c r="CH123" s="337"/>
      <c r="CI123" s="328"/>
      <c r="CJ123" s="337"/>
      <c r="CK123" s="328"/>
      <c r="CL123" s="337"/>
      <c r="CM123" s="328"/>
      <c r="CN123" s="337"/>
      <c r="CO123" s="328"/>
      <c r="CP123" s="337"/>
      <c r="CQ123" s="328"/>
      <c r="CR123" s="328"/>
      <c r="CS123" s="328"/>
      <c r="CT123" s="328"/>
      <c r="CU123" s="328"/>
      <c r="CV123" s="328"/>
      <c r="CW123" s="328"/>
      <c r="CX123" s="328"/>
      <c r="CY123" s="328"/>
      <c r="CZ123" s="328"/>
      <c r="DA123" s="328"/>
      <c r="DB123" s="328"/>
      <c r="DC123" s="328"/>
      <c r="DD123" s="328"/>
      <c r="DE123" s="328"/>
      <c r="DF123" s="328"/>
      <c r="DG123" s="328"/>
      <c r="DH123" s="328"/>
      <c r="DI123" s="328"/>
      <c r="DJ123" s="328"/>
      <c r="DK123" s="328"/>
      <c r="DL123" s="328"/>
      <c r="DM123" s="328"/>
      <c r="DN123" s="328"/>
      <c r="DO123" s="328"/>
      <c r="DP123" s="328"/>
      <c r="DQ123" s="329"/>
      <c r="DR123" s="331"/>
      <c r="DS123" s="331"/>
      <c r="DT123" s="331"/>
      <c r="DU123" s="331"/>
      <c r="DV123" s="331"/>
      <c r="DW123" s="331"/>
    </row>
    <row r="124" spans="2:127" ht="14.5" customHeight="1" thickBot="1" x14ac:dyDescent="0.5">
      <c r="B124" s="521"/>
      <c r="C124" s="521"/>
      <c r="N124" s="234"/>
      <c r="P124" s="234"/>
      <c r="R124" s="234"/>
      <c r="T124" s="234"/>
      <c r="V124" s="234"/>
      <c r="X124" s="234"/>
    </row>
    <row r="125" spans="2:127" ht="14.5" customHeight="1" thickBot="1" x14ac:dyDescent="0.5">
      <c r="B125" s="521"/>
      <c r="C125" s="521"/>
      <c r="E125" s="521" t="s">
        <v>2043</v>
      </c>
      <c r="G125" s="325"/>
      <c r="H125" s="325"/>
      <c r="I125" s="325"/>
      <c r="J125" s="325"/>
      <c r="K125" s="325"/>
      <c r="L125" s="325"/>
      <c r="M125" s="325"/>
      <c r="N125" s="326"/>
      <c r="O125" s="325"/>
      <c r="P125" s="326"/>
      <c r="Q125" s="325"/>
      <c r="R125" s="598"/>
      <c r="S125" s="598"/>
      <c r="T125" s="597"/>
      <c r="U125" s="598"/>
      <c r="V125" s="597"/>
      <c r="W125" s="598"/>
      <c r="X125" s="599"/>
      <c r="Y125" s="594"/>
      <c r="Z125" s="595"/>
      <c r="AA125" s="594"/>
      <c r="AB125" s="595"/>
      <c r="AC125" s="594"/>
      <c r="AD125" s="595"/>
      <c r="AE125" s="594"/>
      <c r="AF125" s="595"/>
      <c r="AG125" s="594"/>
      <c r="AH125" s="595"/>
      <c r="AI125" s="596"/>
      <c r="AJ125" s="326"/>
      <c r="AK125" s="325"/>
      <c r="AL125" s="326"/>
      <c r="AM125" s="325"/>
      <c r="AN125" s="597"/>
      <c r="AO125" s="598"/>
      <c r="AP125" s="597"/>
      <c r="AQ125" s="600"/>
      <c r="AR125" s="595"/>
      <c r="AS125" s="594"/>
      <c r="AT125" s="595"/>
      <c r="AU125" s="594"/>
      <c r="AV125" s="595"/>
      <c r="AW125" s="596"/>
      <c r="AX125" s="326"/>
      <c r="AY125" s="325"/>
      <c r="AZ125" s="326"/>
      <c r="BA125" s="325"/>
      <c r="BB125" s="593"/>
      <c r="BC125" s="594"/>
      <c r="BD125" s="595"/>
      <c r="BE125" s="594"/>
      <c r="BF125" s="595"/>
      <c r="BI125" s="594"/>
      <c r="BJ125" s="595"/>
      <c r="BK125" s="594"/>
      <c r="BL125" s="595"/>
      <c r="BM125" s="594"/>
      <c r="BN125" s="595"/>
      <c r="BO125" s="594"/>
      <c r="BP125" s="595"/>
      <c r="BQ125" s="594"/>
      <c r="BR125" s="595"/>
      <c r="BS125" s="596"/>
      <c r="BT125" s="326"/>
      <c r="BU125" s="325"/>
      <c r="BV125" s="326"/>
      <c r="BW125" s="325"/>
      <c r="BX125" s="593"/>
      <c r="BY125" s="594"/>
      <c r="BZ125" s="595"/>
      <c r="CA125" s="594"/>
      <c r="CB125" s="595"/>
      <c r="CC125" s="594"/>
      <c r="CD125" s="595"/>
      <c r="CE125" s="594"/>
      <c r="CF125" s="595"/>
      <c r="CG125" s="596"/>
      <c r="CH125" s="326"/>
      <c r="CI125" s="325"/>
      <c r="CJ125" s="326"/>
      <c r="CK125" s="325"/>
      <c r="CL125" s="593"/>
      <c r="CM125" s="594"/>
      <c r="CN125" s="595"/>
      <c r="CO125" s="594"/>
      <c r="CP125" s="595"/>
      <c r="CQ125" s="594"/>
      <c r="CR125" s="595"/>
      <c r="CS125" s="594"/>
      <c r="CT125" s="595"/>
      <c r="CU125" s="594"/>
      <c r="CV125" s="595"/>
      <c r="CW125" s="594"/>
      <c r="CX125" s="595"/>
      <c r="CY125" s="594"/>
      <c r="CZ125" s="595"/>
      <c r="DA125" s="594"/>
      <c r="DB125" s="595"/>
      <c r="DC125" s="596"/>
      <c r="DD125" s="326"/>
      <c r="DE125" s="325"/>
      <c r="DF125" s="326"/>
      <c r="DG125" s="325"/>
      <c r="DH125" s="593"/>
      <c r="DI125" s="594"/>
      <c r="DJ125" s="595"/>
      <c r="DK125" s="594"/>
      <c r="DL125" s="595"/>
      <c r="DM125" s="594"/>
      <c r="DN125" s="595"/>
      <c r="DO125" s="594"/>
      <c r="DP125" s="595"/>
      <c r="DQ125" s="596"/>
      <c r="DR125" s="326"/>
      <c r="DS125" s="325"/>
      <c r="DT125" s="326"/>
      <c r="DU125" s="326"/>
      <c r="DV125" s="597"/>
      <c r="DW125" s="597"/>
    </row>
    <row r="126" spans="2:127" ht="14.5" customHeight="1" x14ac:dyDescent="0.45">
      <c r="B126" s="521"/>
      <c r="C126" s="521"/>
    </row>
    <row r="127" spans="2:127" ht="14.5" customHeight="1" thickBot="1" x14ac:dyDescent="0.5">
      <c r="B127" s="521"/>
      <c r="C127" s="521"/>
    </row>
    <row r="128" spans="2:127" ht="14.5" customHeight="1" thickTop="1" thickBot="1" x14ac:dyDescent="0.5">
      <c r="B128" s="521"/>
      <c r="C128" s="521"/>
      <c r="E128" s="920" t="s">
        <v>2163</v>
      </c>
      <c r="F128" s="921"/>
      <c r="G128" s="922"/>
      <c r="H128" s="922"/>
      <c r="I128" s="922"/>
      <c r="J128" s="922"/>
      <c r="K128" s="922"/>
      <c r="L128" s="922"/>
      <c r="M128" s="922"/>
      <c r="N128" s="922"/>
      <c r="O128" s="922"/>
      <c r="P128" s="922"/>
      <c r="Q128" s="922"/>
      <c r="R128" s="922"/>
      <c r="S128" s="922"/>
      <c r="T128" s="922"/>
      <c r="U128" s="922"/>
      <c r="V128" s="922"/>
      <c r="W128" s="922"/>
      <c r="X128" s="922"/>
      <c r="Y128" s="922"/>
      <c r="Z128" s="922"/>
      <c r="AA128" s="922"/>
      <c r="AB128" s="922"/>
      <c r="AC128" s="922"/>
      <c r="AD128" s="922"/>
      <c r="AE128" s="922"/>
      <c r="AF128" s="922"/>
      <c r="AG128" s="922"/>
      <c r="AH128" s="922"/>
      <c r="AI128" s="922"/>
      <c r="AJ128" s="922"/>
      <c r="AK128" s="922"/>
      <c r="AL128" s="922"/>
      <c r="AM128" s="922"/>
      <c r="AN128" s="922"/>
      <c r="AO128" s="922"/>
      <c r="AP128" s="922"/>
      <c r="AQ128" s="922"/>
      <c r="AR128" s="922"/>
      <c r="AS128" s="922"/>
      <c r="AT128" s="922"/>
      <c r="AU128" s="922"/>
      <c r="AV128" s="922"/>
      <c r="AW128" s="922"/>
      <c r="AX128" s="922"/>
      <c r="AY128" s="922"/>
      <c r="AZ128" s="922"/>
      <c r="BA128" s="922"/>
      <c r="BB128" s="922"/>
      <c r="BC128" s="922"/>
      <c r="BD128" s="922"/>
      <c r="BE128" s="922"/>
      <c r="BF128" s="922"/>
      <c r="BG128" s="922"/>
      <c r="BH128" s="922"/>
      <c r="BI128" s="922"/>
      <c r="BJ128" s="922"/>
      <c r="BK128" s="922"/>
      <c r="BL128" s="922"/>
      <c r="BM128" s="922"/>
      <c r="BN128" s="922"/>
      <c r="BO128" s="922"/>
      <c r="BP128" s="922"/>
      <c r="BQ128" s="922"/>
      <c r="BR128" s="922"/>
      <c r="BS128" s="922"/>
      <c r="BT128" s="922"/>
      <c r="BU128" s="922"/>
      <c r="BV128" s="922"/>
      <c r="BW128" s="922"/>
      <c r="BX128" s="922"/>
      <c r="BY128" s="922"/>
      <c r="BZ128" s="922"/>
      <c r="CA128" s="923"/>
      <c r="CB128" s="923"/>
      <c r="CC128" s="923"/>
      <c r="CD128" s="923"/>
      <c r="CE128" s="923"/>
      <c r="CF128" s="923"/>
      <c r="CG128" s="923"/>
      <c r="CH128" s="923"/>
      <c r="CI128" s="923"/>
      <c r="CJ128" s="923"/>
      <c r="CK128" s="923"/>
      <c r="CL128" s="923"/>
      <c r="CM128" s="923"/>
      <c r="CN128" s="923"/>
      <c r="CO128" s="923"/>
      <c r="CP128" s="923"/>
      <c r="CQ128" s="923"/>
      <c r="CR128" s="923"/>
      <c r="CS128" s="923"/>
      <c r="CT128" s="923"/>
      <c r="CU128" s="923"/>
      <c r="CV128" s="923"/>
      <c r="CW128" s="923"/>
      <c r="CX128" s="923"/>
      <c r="CY128" s="923"/>
      <c r="CZ128" s="923"/>
      <c r="DA128" s="923"/>
      <c r="DB128" s="923"/>
      <c r="DC128" s="923"/>
      <c r="DD128" s="923"/>
      <c r="DE128" s="923"/>
      <c r="DF128" s="923"/>
      <c r="DG128" s="923"/>
      <c r="DH128" s="923"/>
      <c r="DI128" s="923"/>
      <c r="DJ128" s="923"/>
      <c r="DK128" s="923"/>
      <c r="DL128" s="923"/>
      <c r="DM128" s="923"/>
      <c r="DN128" s="923"/>
      <c r="DO128" s="923"/>
      <c r="DP128" s="923"/>
      <c r="DQ128" s="923"/>
      <c r="DR128" s="923"/>
      <c r="DS128" s="923"/>
      <c r="DT128" s="923"/>
      <c r="DU128" s="923"/>
      <c r="DV128" s="923"/>
      <c r="DW128" s="924"/>
    </row>
    <row r="129" spans="2:127" ht="14.5" customHeight="1" thickTop="1" x14ac:dyDescent="0.45">
      <c r="B129" s="521"/>
      <c r="C129" s="521"/>
      <c r="E129" s="521" t="s">
        <v>1431</v>
      </c>
      <c r="G129" s="247"/>
      <c r="H129" s="247"/>
      <c r="I129" s="919"/>
      <c r="J129" s="256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  <c r="AA129" s="256"/>
      <c r="AB129" s="256"/>
      <c r="AC129" s="256"/>
      <c r="AD129" s="256"/>
      <c r="AE129" s="256"/>
      <c r="AF129" s="256"/>
      <c r="AG129" s="256"/>
      <c r="AH129" s="256"/>
      <c r="AI129" s="256"/>
      <c r="AJ129" s="256"/>
      <c r="AK129" s="256"/>
      <c r="AL129" s="256"/>
      <c r="AM129" s="256"/>
      <c r="AN129" s="256"/>
      <c r="AO129" s="256"/>
      <c r="AP129" s="256"/>
      <c r="AQ129" s="256"/>
      <c r="AR129" s="256"/>
      <c r="AS129" s="256"/>
      <c r="AT129" s="256"/>
      <c r="AU129" s="256"/>
      <c r="AV129" s="256"/>
      <c r="AW129" s="256"/>
      <c r="AX129" s="256"/>
      <c r="AY129" s="256"/>
      <c r="AZ129" s="256"/>
      <c r="BA129" s="256"/>
      <c r="BB129" s="256"/>
      <c r="BC129" s="256"/>
      <c r="BD129" s="256"/>
      <c r="BE129" s="256"/>
      <c r="BF129" s="256"/>
      <c r="BG129" s="256"/>
      <c r="BH129" s="256"/>
      <c r="BI129" s="256"/>
      <c r="BJ129" s="256"/>
      <c r="BK129" s="256"/>
      <c r="BL129" s="256"/>
      <c r="BM129" s="256"/>
      <c r="BN129" s="256"/>
      <c r="BO129" s="256"/>
      <c r="BP129" s="256"/>
      <c r="BQ129" s="256"/>
      <c r="BR129" s="256"/>
      <c r="BS129" s="256"/>
      <c r="BT129" s="256"/>
      <c r="BU129" s="256"/>
      <c r="BV129" s="256"/>
      <c r="BW129" s="256"/>
      <c r="BX129" s="256"/>
      <c r="BY129" s="256"/>
      <c r="BZ129" s="256"/>
      <c r="CA129" s="256"/>
      <c r="CB129" s="256"/>
      <c r="CC129" s="256"/>
      <c r="CD129" s="256"/>
      <c r="CE129" s="256"/>
      <c r="CF129" s="256"/>
      <c r="CG129" s="256"/>
      <c r="CH129" s="256"/>
      <c r="CI129" s="256"/>
      <c r="CJ129" s="256"/>
      <c r="CK129" s="256"/>
      <c r="CL129" s="256"/>
      <c r="CM129" s="256"/>
      <c r="CN129" s="256"/>
      <c r="CO129" s="256"/>
      <c r="CP129" s="256"/>
      <c r="CQ129" s="256"/>
      <c r="CR129" s="256"/>
      <c r="CS129" s="256"/>
      <c r="CT129" s="256"/>
      <c r="CU129" s="256"/>
      <c r="CV129" s="256"/>
      <c r="CW129" s="256"/>
      <c r="CX129" s="256"/>
      <c r="CY129" s="256"/>
      <c r="CZ129" s="256"/>
      <c r="DA129" s="256"/>
      <c r="DB129" s="256"/>
      <c r="DC129" s="256"/>
      <c r="DD129" s="256"/>
      <c r="DE129" s="256"/>
      <c r="DF129" s="256"/>
      <c r="DG129" s="256"/>
      <c r="DH129" s="256"/>
      <c r="DI129" s="256"/>
      <c r="DJ129" s="256"/>
      <c r="DK129" s="256"/>
      <c r="DL129" s="256"/>
      <c r="DM129" s="919"/>
      <c r="DN129" s="256"/>
      <c r="DO129" s="256"/>
      <c r="DP129" s="256"/>
      <c r="DQ129" s="256"/>
      <c r="DR129" s="256"/>
      <c r="DS129" s="256"/>
      <c r="DT129" s="256"/>
      <c r="DU129" s="256"/>
      <c r="DV129" s="256"/>
      <c r="DW129" s="256"/>
    </row>
    <row r="130" spans="2:127" ht="14.5" customHeight="1" x14ac:dyDescent="0.45">
      <c r="B130" s="521"/>
      <c r="C130" s="521"/>
      <c r="W130" s="234"/>
      <c r="X130" s="234"/>
      <c r="DM130" s="246"/>
      <c r="DN130" s="246"/>
      <c r="DO130" s="246"/>
      <c r="DP130" s="246"/>
      <c r="DQ130" s="246"/>
    </row>
    <row r="131" spans="2:127" ht="14.5" customHeight="1" x14ac:dyDescent="0.45">
      <c r="B131" s="521"/>
      <c r="C131" s="521"/>
      <c r="E131" s="521" t="s">
        <v>2081</v>
      </c>
      <c r="G131" s="250"/>
      <c r="H131" s="250"/>
      <c r="I131" s="387"/>
      <c r="J131" s="387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60"/>
      <c r="X131" s="260"/>
      <c r="Y131" s="250"/>
      <c r="Z131" s="250"/>
      <c r="AA131" s="250"/>
      <c r="AB131" s="250"/>
      <c r="AC131" s="250"/>
      <c r="AD131" s="250"/>
      <c r="AE131" s="250"/>
      <c r="AF131" s="250"/>
      <c r="AG131" s="250"/>
      <c r="AH131" s="250"/>
      <c r="AI131" s="250"/>
      <c r="AJ131" s="250"/>
      <c r="AK131" s="250"/>
      <c r="AL131" s="250"/>
      <c r="AM131" s="250"/>
      <c r="AN131" s="250"/>
      <c r="AO131" s="250"/>
      <c r="AP131" s="250"/>
      <c r="AQ131" s="250"/>
      <c r="AR131" s="250"/>
      <c r="AS131" s="250"/>
      <c r="AT131" s="250"/>
      <c r="AU131" s="250"/>
      <c r="AV131" s="250"/>
      <c r="AW131" s="250"/>
      <c r="AX131" s="250"/>
      <c r="AY131" s="250"/>
      <c r="AZ131" s="250"/>
      <c r="BA131" s="250"/>
      <c r="BB131" s="250"/>
      <c r="BC131" s="250"/>
      <c r="BD131" s="250"/>
      <c r="BE131" s="250"/>
      <c r="BF131" s="250"/>
      <c r="BG131" s="250"/>
      <c r="BH131" s="250"/>
      <c r="BI131" s="250"/>
      <c r="BJ131" s="250"/>
      <c r="BK131" s="250"/>
      <c r="BL131" s="250"/>
      <c r="BM131" s="250"/>
      <c r="BN131" s="250"/>
      <c r="BO131" s="250"/>
      <c r="BP131" s="250"/>
      <c r="BQ131" s="250"/>
      <c r="BR131" s="250"/>
      <c r="BS131" s="250"/>
      <c r="BT131" s="250"/>
      <c r="BU131" s="250"/>
      <c r="BV131" s="250"/>
      <c r="BW131" s="250"/>
      <c r="BX131" s="250"/>
      <c r="BY131" s="250"/>
      <c r="BZ131" s="250"/>
      <c r="CA131" s="250"/>
      <c r="CB131" s="250"/>
      <c r="CC131" s="250"/>
      <c r="CD131" s="250"/>
      <c r="CE131" s="250"/>
      <c r="CF131" s="250"/>
      <c r="CG131" s="250"/>
      <c r="CH131" s="250"/>
      <c r="CI131" s="250"/>
      <c r="CJ131" s="250"/>
      <c r="CK131" s="250"/>
      <c r="CL131" s="250"/>
      <c r="CM131" s="260"/>
      <c r="CN131" s="260"/>
      <c r="CO131" s="260"/>
      <c r="CP131" s="260"/>
      <c r="CQ131" s="260"/>
      <c r="CR131" s="260"/>
      <c r="CS131" s="260"/>
      <c r="CT131" s="260"/>
      <c r="CU131" s="260"/>
      <c r="CV131" s="260"/>
      <c r="CW131" s="260"/>
      <c r="CX131" s="260"/>
      <c r="CY131" s="260"/>
      <c r="CZ131" s="260"/>
      <c r="DA131" s="260"/>
      <c r="DB131" s="260"/>
      <c r="DC131" s="260"/>
      <c r="DD131" s="260"/>
      <c r="DE131" s="260"/>
      <c r="DF131" s="260"/>
      <c r="DG131" s="260"/>
      <c r="DH131" s="260"/>
      <c r="DI131" s="260"/>
      <c r="DJ131" s="260"/>
      <c r="DK131" s="260"/>
      <c r="DL131" s="260"/>
      <c r="DM131" s="387"/>
      <c r="DN131" s="387"/>
      <c r="DO131" s="260"/>
      <c r="DP131" s="260"/>
      <c r="DQ131" s="260"/>
      <c r="DR131" s="260"/>
      <c r="DS131" s="260"/>
      <c r="DT131" s="260"/>
      <c r="DU131" s="260"/>
      <c r="DV131" s="260"/>
      <c r="DW131" s="260"/>
    </row>
    <row r="132" spans="2:127" ht="14.5" customHeight="1" x14ac:dyDescent="0.45">
      <c r="B132" s="521"/>
      <c r="C132" s="521"/>
      <c r="W132" s="234"/>
      <c r="X132" s="234"/>
      <c r="DM132" s="246"/>
      <c r="DN132" s="246"/>
      <c r="DO132" s="246"/>
      <c r="DP132" s="246"/>
      <c r="DQ132" s="246"/>
    </row>
    <row r="133" spans="2:127" ht="14.5" customHeight="1" x14ac:dyDescent="0.45">
      <c r="B133" s="521"/>
      <c r="C133" s="521"/>
      <c r="E133" s="521" t="s">
        <v>2088</v>
      </c>
      <c r="G133" s="250"/>
      <c r="H133" s="250"/>
      <c r="I133" s="250"/>
      <c r="J133" s="250"/>
      <c r="K133" s="250"/>
      <c r="L133" s="258"/>
      <c r="M133" s="250"/>
      <c r="N133" s="250"/>
      <c r="O133" s="250"/>
      <c r="P133" s="250"/>
      <c r="Q133" s="250"/>
      <c r="R133" s="250"/>
      <c r="S133" s="250"/>
      <c r="T133" s="250"/>
      <c r="U133" s="250"/>
      <c r="V133" s="260"/>
      <c r="W133" s="260"/>
      <c r="X133" s="250"/>
      <c r="Y133" s="250"/>
      <c r="Z133" s="250"/>
      <c r="AA133" s="250"/>
      <c r="AB133" s="250"/>
      <c r="AC133" s="250"/>
      <c r="AD133" s="250"/>
      <c r="AE133" s="250"/>
      <c r="AF133" s="250"/>
      <c r="AG133" s="250"/>
      <c r="AH133" s="250"/>
      <c r="AI133" s="250"/>
      <c r="AJ133" s="250"/>
      <c r="AK133" s="250"/>
      <c r="AL133" s="250"/>
      <c r="AM133" s="250"/>
      <c r="AN133" s="250"/>
      <c r="AO133" s="250"/>
      <c r="AP133" s="250"/>
      <c r="AQ133" s="250"/>
      <c r="AR133" s="250"/>
      <c r="AS133" s="250"/>
      <c r="AT133" s="250"/>
      <c r="AU133" s="250"/>
      <c r="AV133" s="250"/>
      <c r="AW133" s="250"/>
      <c r="AX133" s="250"/>
      <c r="AY133" s="250"/>
      <c r="AZ133" s="250"/>
      <c r="BA133" s="250"/>
      <c r="BB133" s="250"/>
      <c r="BC133" s="250"/>
      <c r="BD133" s="250"/>
      <c r="BE133" s="250"/>
      <c r="BF133" s="250"/>
      <c r="BG133" s="250"/>
      <c r="BH133" s="250"/>
      <c r="BI133" s="250"/>
      <c r="BJ133" s="250"/>
      <c r="BK133" s="250"/>
      <c r="BL133" s="250"/>
      <c r="BM133" s="250"/>
      <c r="BN133" s="250"/>
      <c r="BO133" s="250"/>
      <c r="BP133" s="250"/>
      <c r="BQ133" s="250"/>
      <c r="BR133" s="250"/>
      <c r="BS133" s="250"/>
      <c r="BT133" s="250"/>
      <c r="BU133" s="250"/>
      <c r="BV133" s="250"/>
      <c r="BW133" s="250"/>
      <c r="BX133" s="250"/>
      <c r="BY133" s="250"/>
      <c r="BZ133" s="250"/>
      <c r="CA133" s="250"/>
      <c r="CB133" s="250"/>
      <c r="CC133" s="250"/>
      <c r="CD133" s="250"/>
      <c r="CE133" s="250"/>
      <c r="CF133" s="250"/>
      <c r="CG133" s="250"/>
      <c r="CH133" s="250"/>
      <c r="CI133" s="250"/>
      <c r="CJ133" s="250"/>
      <c r="CK133" s="250"/>
      <c r="CL133" s="260"/>
      <c r="CM133" s="260"/>
      <c r="CN133" s="260"/>
      <c r="CO133" s="260"/>
      <c r="CP133" s="260"/>
      <c r="CQ133" s="260"/>
      <c r="CR133" s="260"/>
      <c r="CS133" s="260"/>
      <c r="CT133" s="260"/>
      <c r="CU133" s="260"/>
      <c r="CV133" s="260"/>
      <c r="CW133" s="260"/>
      <c r="CX133" s="260"/>
      <c r="CY133" s="260"/>
      <c r="CZ133" s="260"/>
      <c r="DA133" s="260"/>
      <c r="DB133" s="260"/>
      <c r="DC133" s="260"/>
      <c r="DD133" s="260"/>
      <c r="DE133" s="260"/>
      <c r="DF133" s="260"/>
      <c r="DG133" s="260"/>
      <c r="DH133" s="260"/>
      <c r="DI133" s="260"/>
      <c r="DJ133" s="260"/>
      <c r="DK133" s="260"/>
      <c r="DL133" s="250"/>
      <c r="DM133" s="250"/>
      <c r="DN133" s="250"/>
      <c r="DO133" s="250"/>
      <c r="DP133" s="258"/>
      <c r="DQ133" s="260"/>
      <c r="DR133" s="260"/>
      <c r="DS133" s="260"/>
      <c r="DT133" s="260"/>
      <c r="DU133" s="260"/>
      <c r="DV133" s="260"/>
    </row>
    <row r="134" spans="2:127" ht="14.5" customHeight="1" x14ac:dyDescent="0.45">
      <c r="B134" s="521"/>
      <c r="C134" s="521"/>
      <c r="L134" s="257"/>
      <c r="V134" s="234"/>
      <c r="W134" s="234"/>
      <c r="CA134" s="246"/>
      <c r="CB134" s="246"/>
      <c r="CC134" s="246"/>
      <c r="CD134" s="246"/>
      <c r="CE134" s="246"/>
      <c r="CF134" s="246"/>
      <c r="CG134" s="246"/>
      <c r="CH134" s="246"/>
      <c r="CI134" s="246"/>
      <c r="CJ134" s="246"/>
      <c r="CK134" s="246"/>
      <c r="DL134" s="246"/>
      <c r="DM134" s="246"/>
      <c r="DN134" s="246"/>
      <c r="DO134" s="246"/>
      <c r="DP134" s="257"/>
    </row>
    <row r="135" spans="2:127" ht="14.5" customHeight="1" x14ac:dyDescent="0.45">
      <c r="B135" s="521"/>
      <c r="C135" s="521"/>
      <c r="V135" s="234"/>
      <c r="W135" s="234"/>
      <c r="BZ135" s="234"/>
      <c r="DL135" s="246"/>
      <c r="DM135" s="246"/>
      <c r="DN135" s="246"/>
      <c r="DO135" s="246"/>
      <c r="DP135" s="246"/>
    </row>
    <row r="136" spans="2:127" ht="14.5" customHeight="1" x14ac:dyDescent="0.45">
      <c r="B136" s="521"/>
      <c r="C136" s="521"/>
      <c r="E136" s="521" t="s">
        <v>2057</v>
      </c>
      <c r="G136" s="671"/>
      <c r="H136" s="671"/>
      <c r="I136" s="671"/>
      <c r="J136" s="671"/>
      <c r="K136" s="671"/>
      <c r="L136" s="671"/>
      <c r="M136" s="899" t="s">
        <v>1292</v>
      </c>
      <c r="N136" s="900"/>
      <c r="O136" s="900"/>
      <c r="P136" s="901"/>
      <c r="Q136" s="902"/>
      <c r="R136" s="902"/>
      <c r="S136" s="902"/>
      <c r="T136" s="902"/>
      <c r="U136" s="902"/>
      <c r="V136" s="902"/>
      <c r="W136" s="902"/>
      <c r="X136" s="902"/>
      <c r="Y136" s="902"/>
      <c r="Z136" s="902"/>
      <c r="AA136" s="902"/>
      <c r="AB136" s="902"/>
      <c r="AC136" s="902"/>
      <c r="AD136" s="902"/>
      <c r="AE136" s="902"/>
      <c r="AF136" s="902"/>
      <c r="AG136" s="902"/>
      <c r="AH136" s="902"/>
      <c r="AI136" s="899" t="s">
        <v>2075</v>
      </c>
      <c r="AJ136" s="900"/>
      <c r="AK136" s="900"/>
      <c r="AL136" s="901"/>
      <c r="AM136" s="902"/>
      <c r="AN136" s="902"/>
      <c r="AO136" s="902"/>
      <c r="AP136" s="902"/>
      <c r="AQ136" s="902"/>
      <c r="AR136" s="902"/>
      <c r="AS136" s="902"/>
      <c r="AT136" s="902"/>
      <c r="AU136" s="902"/>
      <c r="AV136" s="902"/>
      <c r="AW136" s="899" t="s">
        <v>2060</v>
      </c>
      <c r="AX136" s="900"/>
      <c r="AY136" s="900"/>
      <c r="AZ136" s="901"/>
      <c r="BA136" s="902"/>
      <c r="BB136" s="902"/>
      <c r="BC136" s="902"/>
      <c r="BD136" s="902"/>
      <c r="BE136" s="902"/>
      <c r="BF136" s="903"/>
      <c r="BG136" s="903"/>
      <c r="BH136" s="902"/>
      <c r="BI136" s="902"/>
      <c r="BJ136" s="902"/>
      <c r="BK136" s="902"/>
      <c r="BL136" s="902"/>
      <c r="BM136" s="902"/>
      <c r="BN136" s="902"/>
      <c r="BO136" s="902"/>
      <c r="BP136" s="902"/>
      <c r="BQ136" s="902"/>
      <c r="BR136" s="902"/>
      <c r="BS136" s="899"/>
      <c r="BT136" s="900"/>
      <c r="BU136" s="900"/>
      <c r="BV136" s="901"/>
      <c r="BW136" s="902"/>
      <c r="BX136" s="902"/>
      <c r="BY136" s="902"/>
      <c r="BZ136" s="902"/>
      <c r="CA136" s="902"/>
      <c r="CB136" s="902"/>
      <c r="CC136" s="902"/>
      <c r="CD136" s="902"/>
      <c r="CE136" s="902"/>
      <c r="CF136" s="902"/>
      <c r="CG136" s="899" t="s">
        <v>2065</v>
      </c>
      <c r="CH136" s="900"/>
      <c r="CI136" s="900"/>
      <c r="CJ136" s="901"/>
      <c r="CK136" s="902"/>
      <c r="CL136" s="902"/>
      <c r="CM136" s="902"/>
      <c r="CN136" s="902"/>
      <c r="CO136" s="902"/>
      <c r="CP136" s="902"/>
      <c r="CQ136" s="902"/>
      <c r="CR136" s="902"/>
      <c r="CS136" s="902"/>
      <c r="CT136" s="902"/>
      <c r="CU136" s="902"/>
      <c r="CV136" s="902"/>
      <c r="CW136" s="902"/>
      <c r="CX136" s="902"/>
      <c r="CY136" s="902"/>
      <c r="CZ136" s="902"/>
      <c r="DA136" s="902"/>
      <c r="DB136" s="902"/>
      <c r="DC136" s="899" t="s">
        <v>2064</v>
      </c>
      <c r="DD136" s="900"/>
      <c r="DE136" s="900"/>
      <c r="DF136" s="901"/>
      <c r="DG136" s="902"/>
      <c r="DH136" s="902"/>
      <c r="DI136" s="902"/>
      <c r="DJ136" s="902"/>
      <c r="DK136" s="902"/>
      <c r="DL136" s="902"/>
      <c r="DM136" s="902"/>
      <c r="DN136" s="902"/>
      <c r="DO136" s="902"/>
      <c r="DP136" s="902"/>
      <c r="DQ136" s="899" t="s">
        <v>1292</v>
      </c>
      <c r="DR136" s="900"/>
      <c r="DS136" s="900"/>
      <c r="DT136" s="901"/>
      <c r="DU136" s="671"/>
      <c r="DV136" s="671"/>
      <c r="DW136" s="671"/>
    </row>
    <row r="137" spans="2:127" ht="14.5" customHeight="1" x14ac:dyDescent="0.45">
      <c r="B137" s="521"/>
      <c r="C137" s="521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601"/>
      <c r="X137" s="601"/>
      <c r="Y137" s="248"/>
      <c r="Z137" s="248"/>
      <c r="AA137" s="248"/>
      <c r="AB137" s="248"/>
      <c r="AC137" s="248"/>
      <c r="AD137" s="248"/>
      <c r="AE137" s="248"/>
      <c r="AF137" s="248"/>
      <c r="AG137" s="248"/>
      <c r="AH137" s="248"/>
      <c r="AI137" s="248"/>
      <c r="AJ137" s="248"/>
      <c r="AK137" s="248"/>
      <c r="AL137" s="248"/>
      <c r="AM137" s="248"/>
      <c r="AN137" s="248"/>
      <c r="AO137" s="248"/>
      <c r="AP137" s="248"/>
      <c r="AQ137" s="248"/>
      <c r="AR137" s="248"/>
      <c r="AS137" s="248"/>
      <c r="AT137" s="248"/>
      <c r="AU137" s="248"/>
      <c r="AV137" s="248"/>
      <c r="AW137" s="248"/>
      <c r="AX137" s="248"/>
      <c r="AY137" s="248"/>
      <c r="AZ137" s="248"/>
      <c r="BA137" s="248"/>
      <c r="BB137" s="248"/>
      <c r="BC137" s="248"/>
      <c r="BD137" s="248"/>
      <c r="BE137" s="248"/>
      <c r="BF137" s="248"/>
      <c r="BG137" s="248"/>
      <c r="BH137" s="248"/>
      <c r="BI137" s="248"/>
      <c r="BJ137" s="248"/>
      <c r="BK137" s="248"/>
      <c r="BL137" s="248"/>
      <c r="BM137" s="248"/>
      <c r="BO137" s="248"/>
      <c r="BP137" s="248"/>
      <c r="BQ137" s="248"/>
      <c r="BR137" s="248"/>
      <c r="BS137" s="248"/>
      <c r="BT137" s="248"/>
      <c r="BU137" s="248"/>
      <c r="BV137" s="248"/>
      <c r="BW137" s="248"/>
      <c r="BX137" s="248"/>
      <c r="BY137" s="248"/>
      <c r="BZ137" s="248"/>
      <c r="CA137" s="248"/>
      <c r="CB137" s="248"/>
      <c r="CC137" s="248"/>
      <c r="CD137" s="248"/>
      <c r="CE137" s="248"/>
      <c r="CF137" s="248"/>
      <c r="CG137" s="248"/>
      <c r="CH137" s="248"/>
      <c r="CI137" s="248"/>
      <c r="CJ137" s="248"/>
      <c r="CK137" s="248"/>
      <c r="CL137" s="248"/>
      <c r="CM137" s="248"/>
      <c r="CN137" s="248"/>
      <c r="CO137" s="248"/>
      <c r="CP137" s="248"/>
      <c r="CQ137" s="601"/>
      <c r="CR137" s="601"/>
      <c r="CS137" s="248"/>
      <c r="CT137" s="248"/>
      <c r="CU137" s="248"/>
      <c r="CV137" s="248"/>
      <c r="CW137" s="248"/>
      <c r="CX137" s="248"/>
      <c r="CY137" s="248"/>
      <c r="CZ137" s="248"/>
      <c r="DA137" s="248"/>
      <c r="DB137" s="248"/>
      <c r="DC137" s="248"/>
      <c r="DD137" s="248"/>
      <c r="DE137" s="248"/>
      <c r="DF137" s="248"/>
      <c r="DG137" s="248"/>
      <c r="DH137" s="248"/>
      <c r="DI137" s="248"/>
      <c r="DJ137" s="248"/>
      <c r="DK137" s="248"/>
      <c r="DL137" s="248"/>
      <c r="DM137" s="248"/>
      <c r="DN137" s="248"/>
      <c r="DO137" s="248"/>
      <c r="DP137" s="248"/>
      <c r="DQ137" s="248"/>
      <c r="DR137" s="248"/>
      <c r="DS137" s="248"/>
      <c r="DT137" s="601"/>
    </row>
    <row r="138" spans="2:127" ht="14.5" customHeight="1" x14ac:dyDescent="0.45">
      <c r="B138" s="521"/>
      <c r="C138" s="521"/>
      <c r="E138" s="521" t="s">
        <v>2099</v>
      </c>
      <c r="G138" s="250"/>
      <c r="H138" s="250"/>
      <c r="I138" s="250"/>
      <c r="J138" s="250"/>
      <c r="K138" s="250"/>
      <c r="L138" s="250"/>
      <c r="M138" s="313"/>
      <c r="N138" s="250"/>
      <c r="O138" s="250"/>
      <c r="P138" s="250"/>
      <c r="Q138" s="250"/>
      <c r="R138" s="250"/>
      <c r="S138" s="250"/>
      <c r="T138" s="250"/>
      <c r="U138" s="250"/>
      <c r="V138" s="260"/>
      <c r="W138" s="260"/>
      <c r="X138" s="250"/>
      <c r="Y138" s="250"/>
      <c r="Z138" s="250"/>
      <c r="AA138" s="250"/>
      <c r="AB138" s="250"/>
      <c r="AC138" s="250"/>
      <c r="AD138" s="250"/>
      <c r="AE138" s="250"/>
      <c r="AF138" s="250"/>
      <c r="AG138" s="250"/>
      <c r="AH138" s="250"/>
      <c r="AI138" s="313"/>
      <c r="AJ138" s="250"/>
      <c r="AK138" s="250"/>
      <c r="AL138" s="250"/>
      <c r="AM138" s="250"/>
      <c r="AN138" s="250"/>
      <c r="AO138" s="250"/>
      <c r="AP138" s="250"/>
      <c r="AQ138" s="250"/>
      <c r="AR138" s="250"/>
      <c r="AS138" s="250"/>
      <c r="AT138" s="250"/>
      <c r="AU138" s="250"/>
      <c r="AV138" s="250"/>
      <c r="AW138" s="313"/>
      <c r="AX138" s="250"/>
      <c r="AY138" s="250"/>
      <c r="AZ138" s="250"/>
      <c r="BA138" s="250"/>
      <c r="BB138" s="250"/>
      <c r="BC138" s="250"/>
      <c r="BD138" s="250"/>
      <c r="BE138" s="250"/>
      <c r="BF138" s="248"/>
      <c r="BG138" s="248"/>
      <c r="BH138" s="250"/>
      <c r="BI138" s="250"/>
      <c r="BJ138" s="250"/>
      <c r="BK138" s="250"/>
      <c r="BL138" s="250"/>
      <c r="BM138" s="250"/>
      <c r="BN138" s="250"/>
      <c r="BO138" s="250"/>
      <c r="BP138" s="250"/>
      <c r="BQ138" s="250"/>
      <c r="BR138" s="250"/>
      <c r="BS138" s="313"/>
      <c r="BT138" s="250"/>
      <c r="BU138" s="250"/>
      <c r="BV138" s="250"/>
      <c r="BW138" s="250"/>
      <c r="BX138" s="250"/>
      <c r="BY138" s="250"/>
      <c r="BZ138" s="250"/>
      <c r="CA138" s="250"/>
      <c r="CB138" s="250"/>
      <c r="CC138" s="250"/>
      <c r="CD138" s="250"/>
      <c r="CE138" s="250"/>
      <c r="CF138" s="250"/>
      <c r="CG138" s="313"/>
      <c r="CH138" s="250"/>
      <c r="CI138" s="250"/>
      <c r="CJ138" s="250"/>
      <c r="CK138" s="260"/>
      <c r="CL138" s="260"/>
      <c r="CM138" s="260"/>
      <c r="CN138" s="260"/>
      <c r="CO138" s="260"/>
      <c r="CP138" s="260"/>
      <c r="CQ138" s="260"/>
      <c r="CR138" s="260"/>
      <c r="CS138" s="260"/>
      <c r="CT138" s="260"/>
      <c r="CU138" s="260"/>
      <c r="CV138" s="260"/>
      <c r="CW138" s="260"/>
      <c r="CX138" s="260"/>
      <c r="CY138" s="260"/>
      <c r="CZ138" s="260"/>
      <c r="DA138" s="260"/>
      <c r="DB138" s="260"/>
      <c r="DC138" s="313"/>
      <c r="DD138" s="250"/>
      <c r="DE138" s="250"/>
      <c r="DF138" s="250"/>
      <c r="DG138" s="260"/>
      <c r="DH138" s="260"/>
      <c r="DI138" s="260"/>
      <c r="DJ138" s="260"/>
      <c r="DK138" s="260"/>
      <c r="DL138" s="260"/>
      <c r="DM138" s="260"/>
      <c r="DN138" s="260"/>
      <c r="DO138" s="260"/>
      <c r="DP138" s="260"/>
      <c r="DQ138" s="313"/>
      <c r="DR138" s="250"/>
      <c r="DS138" s="250"/>
      <c r="DT138" s="250"/>
      <c r="DU138" s="250"/>
      <c r="DV138" s="250"/>
      <c r="DW138" s="260"/>
    </row>
    <row r="139" spans="2:127" ht="14.5" customHeight="1" x14ac:dyDescent="0.45">
      <c r="B139" s="521"/>
      <c r="C139" s="521"/>
      <c r="V139" s="234"/>
      <c r="W139" s="234"/>
      <c r="BF139" s="248"/>
      <c r="BG139" s="248"/>
      <c r="CA139" s="246"/>
      <c r="CB139" s="246"/>
      <c r="CC139" s="246"/>
      <c r="CD139" s="246"/>
      <c r="CE139" s="246"/>
      <c r="CF139" s="246"/>
      <c r="CG139" s="246"/>
      <c r="CH139" s="246"/>
      <c r="CI139" s="246"/>
      <c r="CJ139" s="246"/>
      <c r="DC139" s="246"/>
      <c r="DD139" s="246"/>
      <c r="DE139" s="246"/>
      <c r="DF139" s="246"/>
      <c r="DQ139" s="246"/>
      <c r="DR139" s="246"/>
      <c r="DS139" s="246"/>
      <c r="DT139" s="246"/>
      <c r="DU139" s="246"/>
      <c r="DV139" s="246"/>
    </row>
    <row r="140" spans="2:127" ht="14.5" customHeight="1" x14ac:dyDescent="0.45">
      <c r="B140" s="521"/>
      <c r="C140" s="521"/>
      <c r="E140" s="521" t="s">
        <v>2100</v>
      </c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313"/>
      <c r="R140" s="250"/>
      <c r="S140" s="250"/>
      <c r="T140" s="250"/>
      <c r="U140" s="250"/>
      <c r="V140" s="260"/>
      <c r="W140" s="260"/>
      <c r="X140" s="250"/>
      <c r="Y140" s="250"/>
      <c r="Z140" s="250"/>
      <c r="AA140" s="250"/>
      <c r="AB140" s="250"/>
      <c r="AC140" s="250"/>
      <c r="AD140" s="250"/>
      <c r="AE140" s="250"/>
      <c r="AF140" s="250"/>
      <c r="AG140" s="250"/>
      <c r="AH140" s="250"/>
      <c r="AI140" s="250"/>
      <c r="AJ140" s="250"/>
      <c r="AK140" s="250"/>
      <c r="AL140" s="250"/>
      <c r="AM140" s="313"/>
      <c r="AN140" s="250"/>
      <c r="AO140" s="250"/>
      <c r="AP140" s="250"/>
      <c r="AQ140" s="250"/>
      <c r="AR140" s="250"/>
      <c r="AS140" s="250"/>
      <c r="AT140" s="250"/>
      <c r="AU140" s="250"/>
      <c r="AV140" s="250"/>
      <c r="AW140" s="250"/>
      <c r="AX140" s="250"/>
      <c r="AY140" s="250"/>
      <c r="AZ140" s="250"/>
      <c r="BA140" s="313"/>
      <c r="BB140" s="250"/>
      <c r="BC140" s="250"/>
      <c r="BD140" s="250"/>
      <c r="BE140" s="250"/>
      <c r="BF140" s="248"/>
      <c r="BG140" s="248"/>
      <c r="BH140" s="250"/>
      <c r="BI140" s="250"/>
      <c r="BJ140" s="313"/>
      <c r="BK140" s="250"/>
      <c r="BL140" s="250"/>
      <c r="BM140" s="250"/>
      <c r="BN140" s="250"/>
      <c r="BO140" s="250"/>
      <c r="BP140" s="250"/>
      <c r="BQ140" s="250"/>
      <c r="BR140" s="250"/>
      <c r="BS140" s="250"/>
      <c r="BT140" s="250"/>
      <c r="BU140" s="250"/>
      <c r="BV140" s="250"/>
      <c r="BW140" s="313"/>
      <c r="BX140" s="250"/>
      <c r="BY140" s="250"/>
      <c r="BZ140" s="250"/>
      <c r="CA140" s="250"/>
      <c r="CB140" s="250"/>
      <c r="CC140" s="250"/>
      <c r="CD140" s="250"/>
      <c r="CE140" s="250"/>
      <c r="CF140" s="250"/>
      <c r="CG140" s="250"/>
      <c r="CH140" s="250"/>
      <c r="CI140" s="250"/>
      <c r="CJ140" s="250"/>
      <c r="CK140" s="313"/>
      <c r="CL140" s="260"/>
      <c r="CM140" s="260"/>
      <c r="CN140" s="260"/>
      <c r="CO140" s="260"/>
      <c r="CP140" s="260"/>
      <c r="CQ140" s="260"/>
      <c r="CR140" s="260"/>
      <c r="CS140" s="260"/>
      <c r="CT140" s="260"/>
      <c r="CU140" s="260"/>
      <c r="CV140" s="260"/>
      <c r="CW140" s="260"/>
      <c r="CX140" s="260"/>
      <c r="CY140" s="260"/>
      <c r="CZ140" s="260"/>
      <c r="DA140" s="260"/>
      <c r="DB140" s="260"/>
      <c r="DC140" s="260"/>
      <c r="DD140" s="250"/>
      <c r="DE140" s="250"/>
      <c r="DF140" s="250"/>
      <c r="DG140" s="313"/>
      <c r="DH140" s="260"/>
      <c r="DI140" s="260"/>
      <c r="DJ140" s="260"/>
      <c r="DK140" s="260"/>
      <c r="DL140" s="260"/>
      <c r="DM140" s="260"/>
      <c r="DN140" s="260"/>
      <c r="DO140" s="260"/>
      <c r="DP140" s="260"/>
      <c r="DQ140" s="260"/>
      <c r="DR140" s="250"/>
      <c r="DS140" s="250"/>
      <c r="DT140" s="250"/>
      <c r="DU140" s="313"/>
      <c r="DV140" s="250"/>
      <c r="DW140" s="260"/>
    </row>
    <row r="141" spans="2:127" ht="14.5" customHeight="1" thickBot="1" x14ac:dyDescent="0.5">
      <c r="B141" s="521"/>
      <c r="C141" s="521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601"/>
      <c r="X141" s="601"/>
      <c r="Y141" s="248"/>
      <c r="Z141" s="248"/>
      <c r="AA141" s="248"/>
      <c r="AB141" s="248"/>
      <c r="AC141" s="248"/>
      <c r="AD141" s="248"/>
      <c r="AE141" s="248"/>
      <c r="AF141" s="248"/>
      <c r="AG141" s="248"/>
      <c r="AH141" s="248"/>
      <c r="AI141" s="248"/>
      <c r="AJ141" s="248"/>
      <c r="AK141" s="248"/>
      <c r="AL141" s="248"/>
      <c r="AM141" s="248"/>
      <c r="AN141" s="248"/>
      <c r="AO141" s="248"/>
      <c r="AP141" s="248"/>
      <c r="AQ141" s="248"/>
      <c r="AR141" s="248"/>
      <c r="AS141" s="248"/>
      <c r="AT141" s="248"/>
      <c r="AU141" s="248"/>
      <c r="AV141" s="248"/>
      <c r="AW141" s="248"/>
      <c r="AX141" s="248"/>
      <c r="AY141" s="248"/>
      <c r="AZ141" s="248"/>
      <c r="BA141" s="248"/>
      <c r="BB141" s="248"/>
      <c r="BC141" s="248"/>
      <c r="BD141" s="248"/>
      <c r="BE141" s="248"/>
      <c r="BF141" s="248"/>
      <c r="BG141" s="248"/>
      <c r="BH141" s="248"/>
      <c r="BI141" s="248"/>
      <c r="BJ141" s="248"/>
      <c r="BK141" s="248"/>
      <c r="BL141" s="248"/>
      <c r="BM141" s="248"/>
      <c r="BO141" s="248"/>
      <c r="BP141" s="248"/>
      <c r="BQ141" s="248"/>
      <c r="BR141" s="248"/>
      <c r="BS141" s="248"/>
      <c r="BT141" s="248"/>
      <c r="BU141" s="248"/>
      <c r="BV141" s="248"/>
      <c r="BW141" s="248"/>
      <c r="BX141" s="248"/>
      <c r="BY141" s="248"/>
      <c r="BZ141" s="248"/>
      <c r="CA141" s="248"/>
      <c r="CB141" s="248"/>
      <c r="CC141" s="248"/>
      <c r="CD141" s="248"/>
      <c r="CE141" s="248"/>
      <c r="CF141" s="248"/>
      <c r="CG141" s="248"/>
      <c r="CH141" s="248"/>
      <c r="CI141" s="248"/>
      <c r="CJ141" s="248"/>
      <c r="CK141" s="248"/>
      <c r="CL141" s="248"/>
      <c r="CM141" s="248"/>
      <c r="CN141" s="248"/>
      <c r="CO141" s="248"/>
      <c r="CP141" s="248"/>
      <c r="CQ141" s="601"/>
      <c r="CR141" s="601"/>
      <c r="CS141" s="248"/>
      <c r="CT141" s="248"/>
      <c r="CU141" s="248"/>
      <c r="CV141" s="248"/>
      <c r="CW141" s="248"/>
      <c r="CX141" s="248"/>
      <c r="CY141" s="248"/>
      <c r="CZ141" s="248"/>
      <c r="DA141" s="248"/>
      <c r="DB141" s="248"/>
      <c r="DC141" s="248"/>
      <c r="DD141" s="248"/>
      <c r="DE141" s="248"/>
      <c r="DF141" s="248"/>
      <c r="DG141" s="248"/>
      <c r="DH141" s="248"/>
      <c r="DI141" s="248"/>
      <c r="DJ141" s="248"/>
      <c r="DK141" s="248"/>
      <c r="DL141" s="248"/>
      <c r="DM141" s="248"/>
      <c r="DN141" s="248"/>
      <c r="DO141" s="248"/>
      <c r="DP141" s="248"/>
      <c r="DQ141" s="248"/>
      <c r="DR141" s="248"/>
      <c r="DS141" s="248"/>
      <c r="DT141" s="601"/>
    </row>
    <row r="142" spans="2:127" ht="14.5" customHeight="1" x14ac:dyDescent="0.45">
      <c r="B142" s="521"/>
      <c r="C142" s="521"/>
      <c r="E142" s="521" t="s">
        <v>1437</v>
      </c>
      <c r="G142" s="500"/>
      <c r="H142" s="500"/>
      <c r="I142" s="500"/>
      <c r="J142" s="500"/>
      <c r="K142" s="500"/>
      <c r="L142" s="500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3"/>
      <c r="X142" s="603"/>
      <c r="Y142" s="602"/>
      <c r="Z142" s="602"/>
      <c r="AA142" s="602"/>
      <c r="AB142" s="602"/>
      <c r="AC142" s="602"/>
      <c r="AD142" s="602"/>
      <c r="AE142" s="602"/>
      <c r="AF142" s="602"/>
      <c r="AG142" s="602"/>
      <c r="AH142" s="602"/>
      <c r="AI142" s="602"/>
      <c r="AJ142" s="602"/>
      <c r="AK142" s="602"/>
      <c r="AL142" s="602"/>
      <c r="AM142" s="602"/>
      <c r="AN142" s="602"/>
      <c r="AO142" s="602"/>
      <c r="AP142" s="602"/>
      <c r="AQ142" s="602"/>
      <c r="AR142" s="602"/>
      <c r="AS142" s="602"/>
      <c r="AT142" s="602"/>
      <c r="AU142" s="602"/>
      <c r="AV142" s="602"/>
      <c r="AW142" s="602"/>
      <c r="AX142" s="602"/>
      <c r="AY142" s="602"/>
      <c r="AZ142" s="602"/>
      <c r="BA142" s="602"/>
      <c r="BB142" s="602"/>
      <c r="BC142" s="602"/>
      <c r="BD142" s="602"/>
      <c r="BE142" s="602"/>
      <c r="BF142" s="602"/>
      <c r="BG142" s="602"/>
      <c r="BH142" s="602"/>
      <c r="BI142" s="602"/>
      <c r="BJ142" s="602"/>
      <c r="BK142" s="602"/>
      <c r="BL142" s="602"/>
      <c r="BM142" s="602"/>
      <c r="BN142" s="500"/>
      <c r="BO142" s="602"/>
      <c r="BP142" s="602"/>
      <c r="BQ142" s="602"/>
      <c r="BR142" s="602"/>
      <c r="BS142" s="602"/>
      <c r="BT142" s="602"/>
      <c r="BU142" s="602"/>
      <c r="BV142" s="602"/>
      <c r="BW142" s="602"/>
      <c r="BX142" s="602"/>
      <c r="BY142" s="602"/>
      <c r="BZ142" s="602"/>
      <c r="CA142" s="602"/>
      <c r="CB142" s="602"/>
      <c r="CC142" s="602"/>
      <c r="CD142" s="602"/>
      <c r="CE142" s="602"/>
      <c r="CF142" s="602"/>
      <c r="CG142" s="602"/>
      <c r="CH142" s="602"/>
      <c r="CI142" s="602"/>
      <c r="CJ142" s="602"/>
      <c r="CK142" s="602"/>
      <c r="CL142" s="602"/>
      <c r="CM142" s="602"/>
      <c r="CN142" s="602"/>
      <c r="CO142" s="602"/>
      <c r="CP142" s="602"/>
      <c r="CQ142" s="603"/>
      <c r="CR142" s="603"/>
      <c r="CS142" s="602"/>
      <c r="CT142" s="602"/>
      <c r="CU142" s="602"/>
      <c r="CV142" s="602"/>
      <c r="CW142" s="602"/>
      <c r="CX142" s="602"/>
      <c r="CY142" s="602"/>
      <c r="CZ142" s="602"/>
      <c r="DA142" s="602"/>
      <c r="DB142" s="602"/>
      <c r="DC142" s="602"/>
      <c r="DD142" s="602"/>
      <c r="DE142" s="602"/>
      <c r="DF142" s="602"/>
      <c r="DG142" s="602"/>
      <c r="DH142" s="602"/>
      <c r="DI142" s="602"/>
      <c r="DJ142" s="602"/>
      <c r="DK142" s="602"/>
      <c r="DL142" s="602"/>
      <c r="DM142" s="602"/>
      <c r="DN142" s="602"/>
      <c r="DO142" s="602"/>
      <c r="DP142" s="602"/>
      <c r="DQ142" s="602"/>
      <c r="DR142" s="602"/>
      <c r="DS142" s="602"/>
      <c r="DT142" s="602"/>
      <c r="DU142" s="602"/>
      <c r="DV142" s="602"/>
      <c r="DW142" s="602"/>
    </row>
    <row r="143" spans="2:127" ht="14.5" customHeight="1" thickBot="1" x14ac:dyDescent="0.5">
      <c r="B143" s="521"/>
      <c r="C143" s="521"/>
      <c r="E143" s="554"/>
      <c r="F143" s="234"/>
      <c r="AA143" s="234"/>
      <c r="AB143" s="234"/>
      <c r="CA143" s="246"/>
      <c r="CB143" s="246"/>
      <c r="CC143" s="246"/>
      <c r="CD143" s="246"/>
      <c r="CE143" s="246"/>
      <c r="CF143" s="246"/>
      <c r="CG143" s="246"/>
      <c r="CH143" s="246"/>
      <c r="CI143" s="246"/>
      <c r="CJ143" s="246"/>
      <c r="CK143" s="246"/>
      <c r="CL143" s="246"/>
      <c r="CM143" s="246"/>
      <c r="CN143" s="246"/>
      <c r="CO143" s="246"/>
      <c r="CP143" s="246"/>
      <c r="CQ143" s="246"/>
      <c r="CR143" s="246"/>
      <c r="CS143" s="246"/>
      <c r="CT143" s="246"/>
      <c r="CW143" s="246"/>
      <c r="CX143" s="246"/>
      <c r="CY143" s="246"/>
      <c r="CZ143" s="246"/>
      <c r="DA143" s="246"/>
      <c r="DB143" s="246"/>
      <c r="DC143" s="246"/>
      <c r="DD143" s="246"/>
      <c r="DE143" s="246"/>
      <c r="DF143" s="246"/>
      <c r="DG143" s="246"/>
      <c r="DH143" s="246"/>
      <c r="DI143" s="246"/>
      <c r="DJ143" s="246"/>
      <c r="DK143" s="246"/>
      <c r="DL143" s="246"/>
      <c r="DM143" s="246"/>
      <c r="DN143" s="246"/>
      <c r="DO143" s="246"/>
      <c r="DP143" s="246"/>
    </row>
    <row r="144" spans="2:127" ht="14.5" customHeight="1" thickBot="1" x14ac:dyDescent="0.5">
      <c r="B144" s="521"/>
      <c r="C144" s="521"/>
      <c r="E144" s="521" t="s">
        <v>1420</v>
      </c>
      <c r="G144" s="511"/>
      <c r="H144" s="511"/>
      <c r="I144" s="511"/>
      <c r="J144" s="511"/>
      <c r="K144" s="511"/>
      <c r="L144" s="511"/>
      <c r="M144" s="504"/>
      <c r="N144" s="505"/>
      <c r="O144" s="505"/>
      <c r="P144" s="505"/>
      <c r="Q144" s="505"/>
      <c r="R144" s="505"/>
      <c r="S144" s="505"/>
      <c r="T144" s="505"/>
      <c r="U144" s="505"/>
      <c r="V144" s="505"/>
      <c r="W144" s="505"/>
      <c r="X144" s="505"/>
      <c r="Y144" s="505"/>
      <c r="Z144" s="505"/>
      <c r="AA144" s="505"/>
      <c r="AB144" s="505"/>
      <c r="AC144" s="505"/>
      <c r="AD144" s="505"/>
      <c r="AE144" s="505"/>
      <c r="AF144" s="505"/>
      <c r="AG144" s="505"/>
      <c r="AH144" s="506"/>
      <c r="AI144" s="511"/>
      <c r="AJ144" s="511"/>
      <c r="AK144" s="511"/>
      <c r="AL144" s="511"/>
      <c r="AM144" s="511"/>
      <c r="AN144" s="511"/>
      <c r="AO144" s="511"/>
      <c r="AP144" s="511"/>
      <c r="AQ144" s="511"/>
      <c r="AR144" s="511"/>
      <c r="AS144" s="511"/>
      <c r="AT144" s="511"/>
      <c r="AU144" s="511"/>
      <c r="AV144" s="511"/>
      <c r="AW144" s="504"/>
      <c r="AX144" s="505"/>
      <c r="AY144" s="505"/>
      <c r="AZ144" s="505"/>
      <c r="BA144" s="505"/>
      <c r="BB144" s="505"/>
      <c r="BC144" s="505"/>
      <c r="BD144" s="505"/>
      <c r="BE144" s="505"/>
      <c r="BH144" s="505"/>
      <c r="BI144" s="505"/>
      <c r="BJ144" s="505"/>
      <c r="BK144" s="505"/>
      <c r="BL144" s="505"/>
      <c r="BM144" s="505"/>
      <c r="BN144" s="505"/>
      <c r="BO144" s="505"/>
      <c r="BP144" s="505"/>
      <c r="BQ144" s="505"/>
      <c r="BR144" s="506"/>
      <c r="BS144" s="511"/>
      <c r="BT144" s="511"/>
      <c r="BU144" s="511"/>
      <c r="BV144" s="511"/>
      <c r="BW144" s="511"/>
      <c r="BX144" s="511"/>
      <c r="BY144" s="511"/>
      <c r="BZ144" s="511"/>
      <c r="CA144" s="511"/>
      <c r="CB144" s="511"/>
      <c r="CC144" s="511"/>
      <c r="CD144" s="511"/>
      <c r="CE144" s="511"/>
      <c r="CF144" s="511"/>
      <c r="CG144" s="504"/>
      <c r="CH144" s="505"/>
      <c r="CI144" s="505"/>
      <c r="CJ144" s="505"/>
      <c r="CK144" s="505"/>
      <c r="CL144" s="505"/>
      <c r="CM144" s="505"/>
      <c r="CN144" s="505"/>
      <c r="CO144" s="505"/>
      <c r="CP144" s="505"/>
      <c r="CQ144" s="505"/>
      <c r="CR144" s="505"/>
      <c r="CS144" s="505"/>
      <c r="CT144" s="505"/>
      <c r="CU144" s="505"/>
      <c r="CV144" s="505"/>
      <c r="CW144" s="505"/>
      <c r="CX144" s="505"/>
      <c r="CY144" s="505"/>
      <c r="CZ144" s="505"/>
      <c r="DA144" s="505"/>
      <c r="DB144" s="506"/>
      <c r="DC144" s="511"/>
      <c r="DD144" s="511"/>
      <c r="DE144" s="511"/>
      <c r="DF144" s="511"/>
      <c r="DG144" s="511"/>
      <c r="DH144" s="511"/>
      <c r="DI144" s="511"/>
      <c r="DJ144" s="511"/>
      <c r="DK144" s="511"/>
      <c r="DL144" s="511"/>
      <c r="DM144" s="511"/>
      <c r="DN144" s="511"/>
      <c r="DO144" s="511"/>
      <c r="DP144" s="511"/>
      <c r="DQ144" s="504"/>
      <c r="DR144" s="505"/>
      <c r="DS144" s="505"/>
      <c r="DT144" s="505"/>
      <c r="DU144" s="505"/>
      <c r="DV144" s="505"/>
      <c r="DW144" s="505"/>
    </row>
    <row r="145" spans="2:127" ht="14.5" customHeight="1" thickBot="1" x14ac:dyDescent="0.5">
      <c r="B145" s="521"/>
      <c r="C145" s="521"/>
      <c r="AA145" s="234"/>
      <c r="AB145" s="234"/>
      <c r="CA145" s="246"/>
      <c r="CB145" s="246"/>
      <c r="CC145" s="246"/>
      <c r="CD145" s="246"/>
      <c r="CE145" s="246"/>
      <c r="CF145" s="246"/>
      <c r="CG145" s="246"/>
      <c r="CH145" s="246"/>
      <c r="CI145" s="246"/>
      <c r="CJ145" s="246"/>
      <c r="CK145" s="246"/>
      <c r="CL145" s="246"/>
      <c r="CM145" s="246"/>
      <c r="CN145" s="246"/>
      <c r="CO145" s="246"/>
      <c r="CP145" s="246"/>
      <c r="CQ145" s="246"/>
      <c r="CR145" s="246"/>
      <c r="CS145" s="246"/>
      <c r="CT145" s="246"/>
      <c r="CW145" s="246"/>
      <c r="CX145" s="246"/>
      <c r="CY145" s="246"/>
      <c r="CZ145" s="246"/>
      <c r="DA145" s="246"/>
      <c r="DB145" s="246"/>
      <c r="DC145" s="246"/>
      <c r="DD145" s="246"/>
      <c r="DE145" s="246"/>
      <c r="DF145" s="246"/>
      <c r="DG145" s="246"/>
      <c r="DH145" s="246"/>
      <c r="DI145" s="246"/>
      <c r="DJ145" s="246"/>
      <c r="DK145" s="246"/>
      <c r="DL145" s="246"/>
      <c r="DM145" s="246"/>
      <c r="DN145" s="246"/>
      <c r="DO145" s="246"/>
      <c r="DP145" s="246"/>
    </row>
    <row r="146" spans="2:127" ht="14.5" customHeight="1" thickBot="1" x14ac:dyDescent="0.5">
      <c r="B146" s="521"/>
      <c r="C146" s="521"/>
      <c r="E146" s="521" t="s">
        <v>1421</v>
      </c>
      <c r="G146" s="509"/>
      <c r="H146" s="509"/>
      <c r="I146" s="509"/>
      <c r="J146" s="509"/>
      <c r="K146" s="509"/>
      <c r="L146" s="510"/>
      <c r="M146" s="507"/>
      <c r="N146" s="507"/>
      <c r="O146" s="507"/>
      <c r="P146" s="507"/>
      <c r="Q146" s="507"/>
      <c r="R146" s="507"/>
      <c r="S146" s="507"/>
      <c r="T146" s="507"/>
      <c r="U146" s="507"/>
      <c r="V146" s="507"/>
      <c r="W146" s="507"/>
      <c r="X146" s="507"/>
      <c r="Y146" s="507"/>
      <c r="Z146" s="507"/>
      <c r="AA146" s="507"/>
      <c r="AB146" s="507"/>
      <c r="AC146" s="507"/>
      <c r="AD146" s="507"/>
      <c r="AE146" s="507"/>
      <c r="AF146" s="507"/>
      <c r="AG146" s="507"/>
      <c r="AH146" s="507"/>
      <c r="AI146" s="508"/>
      <c r="AJ146" s="509"/>
      <c r="AK146" s="509"/>
      <c r="AL146" s="509"/>
      <c r="AM146" s="509"/>
      <c r="AN146" s="509"/>
      <c r="AO146" s="509"/>
      <c r="AP146" s="509"/>
      <c r="AQ146" s="509"/>
      <c r="AR146" s="509"/>
      <c r="AS146" s="509"/>
      <c r="AT146" s="509"/>
      <c r="AU146" s="509"/>
      <c r="AV146" s="510"/>
      <c r="AW146" s="507"/>
      <c r="AX146" s="507"/>
      <c r="AY146" s="507"/>
      <c r="AZ146" s="507"/>
      <c r="BA146" s="507"/>
      <c r="BB146" s="507"/>
      <c r="BC146" s="507"/>
      <c r="BD146" s="507"/>
      <c r="BE146" s="507"/>
      <c r="BH146" s="507"/>
      <c r="BI146" s="507"/>
      <c r="BJ146" s="507"/>
      <c r="BK146" s="507"/>
      <c r="BL146" s="507"/>
      <c r="BM146" s="507"/>
      <c r="BN146" s="507"/>
      <c r="BO146" s="507"/>
      <c r="BP146" s="507"/>
      <c r="BQ146" s="507"/>
      <c r="BR146" s="507"/>
      <c r="BS146" s="508"/>
      <c r="BT146" s="509"/>
      <c r="BU146" s="509"/>
      <c r="BV146" s="509"/>
      <c r="BW146" s="509"/>
      <c r="BX146" s="509"/>
      <c r="BY146" s="509"/>
      <c r="BZ146" s="509"/>
      <c r="CA146" s="509"/>
      <c r="CB146" s="509"/>
      <c r="CC146" s="509"/>
      <c r="CD146" s="509"/>
      <c r="CE146" s="509"/>
      <c r="CF146" s="510"/>
      <c r="CG146" s="507"/>
      <c r="CH146" s="507"/>
      <c r="CI146" s="507"/>
      <c r="CJ146" s="507"/>
      <c r="CK146" s="507"/>
      <c r="CL146" s="507"/>
      <c r="CM146" s="507"/>
      <c r="CN146" s="507"/>
      <c r="CO146" s="507"/>
      <c r="CP146" s="507"/>
      <c r="CQ146" s="507"/>
      <c r="CR146" s="507"/>
      <c r="CS146" s="507"/>
      <c r="CT146" s="507"/>
      <c r="CU146" s="507"/>
      <c r="CV146" s="507"/>
      <c r="CW146" s="507"/>
      <c r="CX146" s="507"/>
      <c r="CY146" s="507"/>
      <c r="CZ146" s="507"/>
      <c r="DA146" s="507"/>
      <c r="DB146" s="507"/>
      <c r="DC146" s="508"/>
      <c r="DD146" s="509"/>
      <c r="DE146" s="509"/>
      <c r="DF146" s="509"/>
      <c r="DG146" s="509"/>
      <c r="DH146" s="509"/>
      <c r="DI146" s="509"/>
      <c r="DJ146" s="509"/>
      <c r="DK146" s="509"/>
      <c r="DL146" s="509"/>
      <c r="DM146" s="509"/>
      <c r="DN146" s="509"/>
      <c r="DO146" s="509"/>
      <c r="DP146" s="510"/>
      <c r="DQ146" s="507"/>
      <c r="DR146" s="507"/>
      <c r="DS146" s="507"/>
      <c r="DT146" s="507"/>
      <c r="DU146" s="507"/>
      <c r="DV146" s="507"/>
      <c r="DW146" s="507"/>
    </row>
    <row r="147" spans="2:127" ht="14.5" customHeight="1" x14ac:dyDescent="0.45">
      <c r="B147" s="521"/>
      <c r="C147" s="521"/>
      <c r="CA147" s="246"/>
      <c r="CB147" s="246"/>
      <c r="CC147" s="246"/>
      <c r="CD147" s="246"/>
      <c r="CE147" s="246"/>
      <c r="CF147" s="246"/>
      <c r="CG147" s="246"/>
      <c r="CH147" s="246"/>
      <c r="CI147" s="246"/>
      <c r="CJ147" s="246"/>
      <c r="CK147" s="246"/>
      <c r="CL147" s="246"/>
      <c r="CM147" s="246"/>
      <c r="CN147" s="246"/>
      <c r="CO147" s="246"/>
      <c r="CP147" s="246"/>
      <c r="CQ147" s="246"/>
      <c r="CR147" s="246"/>
      <c r="CS147" s="246"/>
      <c r="CT147" s="246"/>
      <c r="CU147" s="246"/>
      <c r="CV147" s="246"/>
      <c r="CW147" s="246"/>
      <c r="CX147" s="246"/>
      <c r="CY147" s="246"/>
      <c r="CZ147" s="246"/>
      <c r="DA147" s="246"/>
      <c r="DB147" s="246"/>
      <c r="DC147" s="246"/>
      <c r="DD147" s="246"/>
      <c r="DE147" s="246"/>
      <c r="DF147" s="246"/>
      <c r="DG147" s="246"/>
      <c r="DH147" s="246"/>
      <c r="DI147" s="246"/>
      <c r="DJ147" s="246"/>
      <c r="DK147" s="246"/>
      <c r="DL147" s="246"/>
      <c r="DM147" s="246"/>
      <c r="DN147" s="246"/>
      <c r="DO147" s="246"/>
      <c r="DP147" s="246"/>
      <c r="DQ147" s="246"/>
      <c r="DR147" s="246"/>
      <c r="DS147" s="246"/>
      <c r="DT147" s="246"/>
      <c r="DU147" s="246"/>
      <c r="DV147" s="246"/>
      <c r="DW147" s="246"/>
    </row>
    <row r="148" spans="2:127" ht="14.5" customHeight="1" x14ac:dyDescent="0.45">
      <c r="B148" s="521"/>
      <c r="C148" s="521"/>
      <c r="E148" s="521" t="s">
        <v>2103</v>
      </c>
      <c r="G148" s="315"/>
      <c r="H148" s="315"/>
      <c r="I148" s="315"/>
      <c r="J148" s="315"/>
      <c r="K148" s="315"/>
      <c r="L148" s="315"/>
      <c r="M148" s="584"/>
      <c r="N148" s="315"/>
      <c r="O148" s="315"/>
      <c r="P148" s="315"/>
      <c r="Q148" s="315"/>
      <c r="R148" s="315"/>
      <c r="S148" s="315"/>
      <c r="T148" s="315"/>
      <c r="U148" s="315"/>
      <c r="V148" s="315"/>
      <c r="W148" s="315"/>
      <c r="X148" s="315"/>
      <c r="Y148" s="315"/>
      <c r="Z148" s="315"/>
      <c r="AA148" s="315"/>
      <c r="AB148" s="315"/>
      <c r="AC148" s="315"/>
      <c r="AD148" s="315"/>
      <c r="AE148" s="315"/>
      <c r="AF148" s="315"/>
      <c r="AG148" s="315"/>
      <c r="AH148" s="315"/>
      <c r="AI148" s="315"/>
      <c r="AJ148" s="315"/>
      <c r="AK148" s="315"/>
      <c r="AL148" s="315"/>
      <c r="AM148" s="315"/>
      <c r="AN148" s="315"/>
      <c r="AO148" s="315"/>
      <c r="AP148" s="315"/>
      <c r="AQ148" s="315"/>
      <c r="AR148" s="315"/>
      <c r="AS148" s="315"/>
      <c r="AT148" s="315"/>
      <c r="AU148" s="315"/>
      <c r="AV148" s="315"/>
      <c r="AW148" s="315"/>
      <c r="AX148" s="315"/>
      <c r="AY148" s="315"/>
      <c r="AZ148" s="315"/>
      <c r="BA148" s="315"/>
      <c r="BB148" s="315"/>
      <c r="BC148" s="315"/>
      <c r="BD148" s="315"/>
      <c r="BE148" s="315"/>
      <c r="BF148" s="315"/>
      <c r="BI148" s="315"/>
      <c r="BJ148" s="315"/>
      <c r="BK148" s="315"/>
      <c r="BL148" s="315"/>
      <c r="BM148" s="315"/>
      <c r="BN148" s="315"/>
      <c r="BO148" s="315"/>
      <c r="BP148" s="315"/>
      <c r="BQ148" s="315"/>
      <c r="BR148" s="315"/>
      <c r="BS148" s="315"/>
      <c r="BT148" s="315"/>
      <c r="BU148" s="315"/>
      <c r="BV148" s="315"/>
      <c r="BW148" s="315"/>
      <c r="BX148" s="315"/>
      <c r="BY148" s="315"/>
      <c r="BZ148" s="315"/>
      <c r="CA148" s="315"/>
      <c r="CB148" s="315"/>
      <c r="CC148" s="315"/>
      <c r="CD148" s="315"/>
      <c r="CE148" s="315"/>
      <c r="CF148" s="315"/>
      <c r="CG148" s="315"/>
      <c r="CH148" s="315"/>
      <c r="CI148" s="315"/>
      <c r="CJ148" s="315"/>
      <c r="CK148" s="315"/>
      <c r="CL148" s="315"/>
      <c r="CM148" s="315"/>
      <c r="CN148" s="315"/>
      <c r="CO148" s="315"/>
      <c r="CP148" s="315"/>
      <c r="CQ148" s="315"/>
      <c r="CR148" s="315"/>
      <c r="CS148" s="315"/>
      <c r="CT148" s="315"/>
      <c r="CU148" s="315"/>
      <c r="CV148" s="315"/>
      <c r="CW148" s="315"/>
      <c r="CX148" s="315"/>
      <c r="CY148" s="315"/>
      <c r="CZ148" s="315"/>
      <c r="DA148" s="315"/>
      <c r="DB148" s="315"/>
      <c r="DC148" s="315"/>
      <c r="DD148" s="315"/>
      <c r="DE148" s="315"/>
      <c r="DF148" s="315"/>
      <c r="DG148" s="315"/>
      <c r="DH148" s="315"/>
      <c r="DI148" s="315"/>
      <c r="DJ148" s="315"/>
      <c r="DK148" s="315"/>
      <c r="DL148" s="315"/>
      <c r="DM148" s="315"/>
      <c r="DN148" s="315"/>
      <c r="DO148" s="315"/>
      <c r="DP148" s="315"/>
      <c r="DQ148" s="584"/>
      <c r="DR148" s="315"/>
      <c r="DS148" s="315"/>
      <c r="DT148" s="315"/>
      <c r="DU148" s="315"/>
      <c r="DV148" s="315"/>
      <c r="DW148" s="315"/>
    </row>
    <row r="149" spans="2:127" ht="14.5" customHeight="1" x14ac:dyDescent="0.45">
      <c r="B149" s="521"/>
      <c r="C149" s="521"/>
      <c r="CA149" s="246"/>
      <c r="CB149" s="246"/>
      <c r="CC149" s="246"/>
      <c r="CD149" s="246"/>
      <c r="CE149" s="246"/>
      <c r="CF149" s="246"/>
      <c r="CG149" s="246"/>
      <c r="CH149" s="246"/>
      <c r="CI149" s="246"/>
      <c r="CJ149" s="246"/>
      <c r="CK149" s="246"/>
      <c r="CL149" s="246"/>
      <c r="CM149" s="246"/>
      <c r="CN149" s="246"/>
      <c r="CO149" s="246"/>
      <c r="CP149" s="246"/>
      <c r="CQ149" s="246"/>
      <c r="CR149" s="246"/>
      <c r="CS149" s="246"/>
      <c r="CT149" s="246"/>
      <c r="CU149" s="246"/>
      <c r="CV149" s="246"/>
      <c r="CW149" s="246"/>
      <c r="CX149" s="246"/>
      <c r="CY149" s="246"/>
      <c r="CZ149" s="246"/>
      <c r="DA149" s="246"/>
      <c r="DB149" s="246"/>
      <c r="DC149" s="246"/>
      <c r="DD149" s="246"/>
      <c r="DE149" s="246"/>
      <c r="DF149" s="246"/>
      <c r="DG149" s="246"/>
      <c r="DH149" s="246"/>
      <c r="DI149" s="246"/>
      <c r="DJ149" s="246"/>
      <c r="DK149" s="246"/>
      <c r="DL149" s="246"/>
      <c r="DM149" s="246"/>
      <c r="DN149" s="246"/>
      <c r="DO149" s="246"/>
      <c r="DP149" s="246"/>
      <c r="DQ149" s="246"/>
      <c r="DR149" s="246"/>
      <c r="DS149" s="246"/>
      <c r="DT149" s="246"/>
      <c r="DU149" s="246"/>
      <c r="DV149" s="246"/>
      <c r="DW149" s="246"/>
    </row>
    <row r="150" spans="2:127" ht="14.5" customHeight="1" x14ac:dyDescent="0.45">
      <c r="B150" s="521"/>
      <c r="C150" s="521"/>
      <c r="E150" s="521" t="s">
        <v>2104</v>
      </c>
      <c r="G150" s="317"/>
      <c r="H150" s="317"/>
      <c r="I150" s="317"/>
      <c r="J150" s="317"/>
      <c r="K150" s="317"/>
      <c r="L150" s="317"/>
      <c r="M150" s="317"/>
      <c r="N150" s="680"/>
      <c r="O150" s="680"/>
      <c r="P150" s="680"/>
      <c r="Q150" s="680"/>
      <c r="R150" s="585"/>
      <c r="S150" s="585"/>
      <c r="T150" s="585"/>
      <c r="U150" s="585"/>
      <c r="V150" s="585"/>
      <c r="W150" s="585"/>
      <c r="X150" s="585"/>
      <c r="Y150" s="585"/>
      <c r="Z150" s="585"/>
      <c r="AA150" s="585"/>
      <c r="AB150" s="585"/>
      <c r="AC150" s="585"/>
      <c r="AD150" s="585"/>
      <c r="AE150" s="585"/>
      <c r="AF150" s="585"/>
      <c r="AG150" s="585"/>
      <c r="AH150" s="585"/>
      <c r="AI150" s="585"/>
      <c r="AJ150" s="681"/>
      <c r="AK150" s="681"/>
      <c r="AL150" s="681"/>
      <c r="AM150" s="681"/>
      <c r="AN150" s="317"/>
      <c r="AO150" s="317"/>
      <c r="AP150" s="317"/>
      <c r="AQ150" s="317"/>
      <c r="AR150" s="317"/>
      <c r="AS150" s="317"/>
      <c r="AT150" s="317"/>
      <c r="AU150" s="317"/>
      <c r="AV150" s="317"/>
      <c r="AW150" s="317"/>
      <c r="AX150" s="680"/>
      <c r="AY150" s="680"/>
      <c r="AZ150" s="680"/>
      <c r="BA150" s="680"/>
      <c r="BB150" s="585"/>
      <c r="BC150" s="585"/>
      <c r="BD150" s="585"/>
      <c r="BE150" s="585"/>
      <c r="BF150" s="585"/>
      <c r="BI150" s="585"/>
      <c r="BJ150" s="585"/>
      <c r="BK150" s="585"/>
      <c r="BL150" s="585"/>
      <c r="BM150" s="585"/>
      <c r="BN150" s="585"/>
      <c r="BO150" s="585"/>
      <c r="BP150" s="585"/>
      <c r="BQ150" s="585"/>
      <c r="BR150" s="585"/>
      <c r="BS150" s="585"/>
      <c r="BT150" s="681"/>
      <c r="BU150" s="681"/>
      <c r="BV150" s="681"/>
      <c r="BW150" s="681"/>
      <c r="BX150" s="317"/>
      <c r="BY150" s="317"/>
      <c r="BZ150" s="317"/>
      <c r="CA150" s="317"/>
      <c r="CB150" s="317"/>
      <c r="CC150" s="317"/>
      <c r="CD150" s="317"/>
      <c r="CE150" s="317"/>
      <c r="CF150" s="317"/>
      <c r="CG150" s="317"/>
      <c r="CH150" s="680"/>
      <c r="CI150" s="680"/>
      <c r="CJ150" s="680"/>
      <c r="CK150" s="680"/>
      <c r="CL150" s="585"/>
      <c r="CM150" s="585"/>
      <c r="CN150" s="585"/>
      <c r="CO150" s="585"/>
      <c r="CP150" s="585"/>
      <c r="CQ150" s="585"/>
      <c r="CR150" s="585"/>
      <c r="CS150" s="585"/>
      <c r="CT150" s="585"/>
      <c r="CU150" s="585"/>
      <c r="CV150" s="585"/>
      <c r="CW150" s="585"/>
      <c r="CX150" s="585"/>
      <c r="CY150" s="585"/>
      <c r="CZ150" s="585"/>
      <c r="DA150" s="585"/>
      <c r="DB150" s="585"/>
      <c r="DC150" s="585"/>
      <c r="DD150" s="681"/>
      <c r="DE150" s="681"/>
      <c r="DF150" s="681"/>
      <c r="DG150" s="681"/>
      <c r="DH150" s="317"/>
      <c r="DI150" s="317"/>
      <c r="DJ150" s="317"/>
      <c r="DK150" s="317"/>
      <c r="DL150" s="317"/>
      <c r="DM150" s="317"/>
      <c r="DN150" s="317"/>
      <c r="DO150" s="317"/>
      <c r="DP150" s="317"/>
      <c r="DQ150" s="317"/>
      <c r="DR150" s="680"/>
      <c r="DS150" s="680"/>
      <c r="DT150" s="680"/>
      <c r="DU150" s="680"/>
      <c r="DV150" s="585"/>
      <c r="DW150" s="585"/>
    </row>
    <row r="151" spans="2:127" ht="14.5" customHeight="1" x14ac:dyDescent="0.45">
      <c r="B151" s="521"/>
      <c r="C151" s="521"/>
      <c r="N151" s="234"/>
      <c r="P151" s="234"/>
      <c r="R151" s="234"/>
      <c r="T151" s="234"/>
      <c r="V151" s="234"/>
      <c r="X151" s="234"/>
    </row>
    <row r="152" spans="2:127" ht="14.5" customHeight="1" x14ac:dyDescent="0.45">
      <c r="B152" s="521"/>
      <c r="C152" s="521"/>
      <c r="N152" s="234"/>
      <c r="P152" s="234"/>
      <c r="R152" s="234"/>
      <c r="T152" s="234"/>
      <c r="V152" s="234"/>
      <c r="X152" s="234"/>
    </row>
    <row r="153" spans="2:127" ht="14.5" customHeight="1" x14ac:dyDescent="0.45">
      <c r="B153" s="234"/>
      <c r="C153" s="234"/>
      <c r="E153" s="521" t="s">
        <v>2342</v>
      </c>
      <c r="G153" s="315"/>
      <c r="H153" s="315"/>
      <c r="I153" s="315"/>
      <c r="J153" s="315"/>
      <c r="K153" s="315"/>
      <c r="L153" s="315"/>
      <c r="M153" s="584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  <c r="Z153" s="315"/>
      <c r="AA153" s="315"/>
      <c r="AB153" s="315"/>
      <c r="AC153" s="315"/>
      <c r="AD153" s="315"/>
      <c r="AE153" s="315"/>
      <c r="AF153" s="315"/>
      <c r="AG153" s="315"/>
      <c r="AH153" s="315"/>
      <c r="AI153" s="315"/>
      <c r="AJ153" s="584"/>
      <c r="AK153" s="315"/>
      <c r="AL153" s="315"/>
      <c r="AM153" s="315"/>
      <c r="AN153" s="315"/>
      <c r="AO153" s="315"/>
      <c r="AP153" s="315"/>
      <c r="AQ153" s="315"/>
      <c r="AR153" s="315"/>
      <c r="AS153" s="315"/>
      <c r="AT153" s="315"/>
      <c r="AU153" s="315"/>
      <c r="AV153" s="315"/>
      <c r="AW153" s="315"/>
      <c r="AX153" s="584"/>
      <c r="AY153" s="315"/>
      <c r="AZ153" s="315"/>
      <c r="BA153" s="315"/>
      <c r="BB153" s="315"/>
      <c r="BC153" s="315"/>
      <c r="BD153" s="315"/>
      <c r="BE153" s="315"/>
      <c r="BF153" s="315"/>
      <c r="BI153" s="315"/>
      <c r="BJ153" s="315"/>
      <c r="BK153" s="315"/>
      <c r="BL153" s="315"/>
      <c r="BM153" s="315"/>
      <c r="BN153" s="315"/>
      <c r="BO153" s="315"/>
      <c r="BP153" s="315"/>
      <c r="BQ153" s="315"/>
      <c r="BR153" s="315"/>
      <c r="BS153" s="315"/>
      <c r="BT153" s="315"/>
      <c r="BU153" s="315"/>
      <c r="BV153" s="315"/>
      <c r="BW153" s="315"/>
      <c r="BX153" s="315"/>
      <c r="BY153" s="315"/>
      <c r="BZ153" s="315"/>
      <c r="CA153" s="315"/>
      <c r="CB153" s="315"/>
      <c r="CC153" s="315"/>
      <c r="CD153" s="315"/>
      <c r="CE153" s="315"/>
      <c r="CF153" s="315"/>
      <c r="CG153" s="315"/>
      <c r="CH153" s="315"/>
      <c r="CI153" s="315"/>
      <c r="CJ153" s="315"/>
      <c r="CK153" s="315"/>
      <c r="CL153" s="315"/>
      <c r="CM153" s="315"/>
      <c r="CN153" s="315"/>
      <c r="CO153" s="315"/>
      <c r="CP153" s="315"/>
      <c r="CQ153" s="315"/>
      <c r="CR153" s="315"/>
      <c r="CS153" s="315"/>
      <c r="CT153" s="315"/>
      <c r="CU153" s="315"/>
      <c r="CV153" s="315"/>
      <c r="CW153" s="315"/>
      <c r="CX153" s="315"/>
      <c r="CY153" s="315"/>
      <c r="CZ153" s="315"/>
      <c r="DA153" s="315"/>
      <c r="DB153" s="315"/>
      <c r="DC153" s="315"/>
      <c r="DD153" s="315"/>
      <c r="DE153" s="315"/>
      <c r="DF153" s="315"/>
      <c r="DG153" s="315"/>
      <c r="DH153" s="315"/>
      <c r="DI153" s="315"/>
      <c r="DJ153" s="315"/>
      <c r="DK153" s="315"/>
      <c r="DL153" s="315"/>
      <c r="DM153" s="315"/>
      <c r="DN153" s="315"/>
      <c r="DO153" s="315"/>
      <c r="DP153" s="315"/>
      <c r="DQ153" s="584"/>
      <c r="DR153" s="315"/>
      <c r="DS153" s="315"/>
      <c r="DT153" s="315"/>
      <c r="DU153" s="315"/>
      <c r="DV153" s="315"/>
      <c r="DW153" s="315"/>
    </row>
    <row r="154" spans="2:127" ht="14.5" customHeight="1" x14ac:dyDescent="0.45">
      <c r="B154" s="234"/>
      <c r="C154" s="234"/>
      <c r="CA154" s="246"/>
      <c r="CB154" s="246"/>
      <c r="CC154" s="246"/>
      <c r="CD154" s="246"/>
      <c r="CE154" s="246"/>
      <c r="CF154" s="246"/>
      <c r="CG154" s="246"/>
      <c r="CH154" s="246"/>
      <c r="CI154" s="246"/>
      <c r="CJ154" s="246"/>
      <c r="CK154" s="246"/>
      <c r="CL154" s="246"/>
      <c r="CM154" s="246"/>
      <c r="CN154" s="246"/>
      <c r="CO154" s="246"/>
      <c r="CP154" s="246"/>
      <c r="CQ154" s="246"/>
      <c r="CR154" s="246"/>
      <c r="CS154" s="246"/>
      <c r="CT154" s="246"/>
      <c r="CU154" s="246"/>
      <c r="CV154" s="246"/>
      <c r="CW154" s="246"/>
      <c r="CX154" s="246"/>
      <c r="CY154" s="246"/>
      <c r="CZ154" s="246"/>
      <c r="DA154" s="246"/>
      <c r="DB154" s="246"/>
      <c r="DC154" s="246"/>
      <c r="DD154" s="246"/>
      <c r="DE154" s="246"/>
      <c r="DF154" s="246"/>
      <c r="DG154" s="246"/>
      <c r="DH154" s="246"/>
      <c r="DI154" s="246"/>
      <c r="DJ154" s="246"/>
      <c r="DK154" s="246"/>
      <c r="DL154" s="246"/>
      <c r="DM154" s="246"/>
      <c r="DN154" s="246"/>
      <c r="DO154" s="246"/>
      <c r="DP154" s="246"/>
      <c r="DQ154" s="246"/>
      <c r="DR154" s="246"/>
      <c r="DS154" s="246"/>
      <c r="DT154" s="246"/>
      <c r="DU154" s="246"/>
      <c r="DV154" s="246"/>
      <c r="DW154" s="246"/>
    </row>
    <row r="155" spans="2:127" ht="14.5" customHeight="1" x14ac:dyDescent="0.45">
      <c r="B155" s="234"/>
      <c r="C155" s="234"/>
      <c r="E155" s="521" t="s">
        <v>2343</v>
      </c>
      <c r="G155" s="317"/>
      <c r="H155" s="317"/>
      <c r="I155" s="317"/>
      <c r="J155" s="317"/>
      <c r="K155" s="317"/>
      <c r="L155" s="317"/>
      <c r="M155" s="317"/>
      <c r="N155" s="680"/>
      <c r="O155" s="680"/>
      <c r="P155" s="680"/>
      <c r="Q155" s="680"/>
      <c r="R155" s="585"/>
      <c r="S155" s="585"/>
      <c r="T155" s="585"/>
      <c r="U155" s="585"/>
      <c r="V155" s="585"/>
      <c r="W155" s="585"/>
      <c r="X155" s="585"/>
      <c r="Y155" s="585"/>
      <c r="Z155" s="585"/>
      <c r="AA155" s="585"/>
      <c r="AB155" s="585"/>
      <c r="AC155" s="585"/>
      <c r="AD155" s="585"/>
      <c r="AE155" s="585"/>
      <c r="AF155" s="585"/>
      <c r="AG155" s="585"/>
      <c r="AH155" s="585"/>
      <c r="AI155" s="585"/>
      <c r="AJ155" s="681"/>
      <c r="AK155" s="681"/>
      <c r="AL155" s="681"/>
      <c r="AM155" s="681"/>
      <c r="AN155" s="317"/>
      <c r="AO155" s="317"/>
      <c r="AP155" s="317"/>
      <c r="AQ155" s="317"/>
      <c r="AR155" s="317"/>
      <c r="AS155" s="317"/>
      <c r="AT155" s="317"/>
      <c r="AU155" s="317"/>
      <c r="AV155" s="317"/>
      <c r="AW155" s="317"/>
      <c r="AX155" s="680"/>
      <c r="AY155" s="680"/>
      <c r="AZ155" s="680"/>
      <c r="BA155" s="680"/>
      <c r="BB155" s="585"/>
      <c r="BC155" s="585"/>
      <c r="BD155" s="585"/>
      <c r="BE155" s="585"/>
      <c r="BF155" s="585"/>
      <c r="BI155" s="585"/>
      <c r="BJ155" s="585"/>
      <c r="BK155" s="585"/>
      <c r="BL155" s="585"/>
      <c r="BM155" s="585"/>
      <c r="BN155" s="585"/>
      <c r="BO155" s="585"/>
      <c r="BP155" s="585"/>
      <c r="BQ155" s="585"/>
      <c r="BR155" s="585"/>
      <c r="BS155" s="585"/>
      <c r="BT155" s="681"/>
      <c r="BU155" s="681"/>
      <c r="BV155" s="681"/>
      <c r="BW155" s="681"/>
      <c r="BX155" s="317"/>
      <c r="BY155" s="317"/>
      <c r="BZ155" s="317"/>
      <c r="CA155" s="317"/>
      <c r="CB155" s="317"/>
      <c r="CC155" s="317"/>
      <c r="CD155" s="317"/>
      <c r="CE155" s="317"/>
      <c r="CF155" s="317"/>
      <c r="CG155" s="317"/>
      <c r="CH155" s="680"/>
      <c r="CI155" s="680"/>
      <c r="CJ155" s="680"/>
      <c r="CK155" s="680"/>
      <c r="CL155" s="585"/>
      <c r="CM155" s="585"/>
      <c r="CN155" s="585"/>
      <c r="CO155" s="585"/>
      <c r="CP155" s="585"/>
      <c r="CQ155" s="585"/>
      <c r="CR155" s="585"/>
      <c r="CS155" s="585"/>
      <c r="CT155" s="585"/>
      <c r="CU155" s="585"/>
      <c r="CV155" s="585"/>
      <c r="CW155" s="585"/>
      <c r="CX155" s="585"/>
      <c r="CY155" s="585"/>
      <c r="CZ155" s="585"/>
      <c r="DA155" s="585"/>
      <c r="DB155" s="585"/>
      <c r="DC155" s="585"/>
      <c r="DD155" s="681"/>
      <c r="DE155" s="681"/>
      <c r="DF155" s="681"/>
      <c r="DG155" s="681"/>
      <c r="DH155" s="317"/>
      <c r="DI155" s="317"/>
      <c r="DJ155" s="317"/>
      <c r="DK155" s="317"/>
      <c r="DL155" s="317"/>
      <c r="DM155" s="317"/>
      <c r="DN155" s="317"/>
      <c r="DO155" s="317"/>
      <c r="DP155" s="317"/>
      <c r="DQ155" s="317"/>
      <c r="DR155" s="680"/>
      <c r="DS155" s="680"/>
      <c r="DT155" s="680"/>
      <c r="DU155" s="680"/>
      <c r="DV155" s="585"/>
      <c r="DW155" s="585"/>
    </row>
    <row r="156" spans="2:127" ht="14.5" customHeight="1" x14ac:dyDescent="0.45">
      <c r="B156" s="234"/>
      <c r="C156" s="234"/>
      <c r="N156" s="234"/>
      <c r="P156" s="234"/>
      <c r="R156" s="234"/>
      <c r="T156" s="234"/>
      <c r="V156" s="234"/>
      <c r="X156" s="234"/>
    </row>
    <row r="157" spans="2:127" ht="14.5" customHeight="1" x14ac:dyDescent="0.45">
      <c r="B157" s="521"/>
      <c r="C157" s="521"/>
      <c r="E157" s="521" t="s">
        <v>2339</v>
      </c>
      <c r="F157" s="234"/>
      <c r="G157" s="517"/>
      <c r="H157" s="517"/>
      <c r="I157" s="517"/>
      <c r="J157" s="517"/>
      <c r="K157" s="517"/>
      <c r="L157" s="517"/>
      <c r="M157" s="849"/>
      <c r="N157" s="517"/>
      <c r="O157" s="517"/>
      <c r="P157" s="517"/>
      <c r="Q157" s="517"/>
      <c r="R157" s="517"/>
      <c r="S157" s="517"/>
      <c r="T157" s="517"/>
      <c r="U157" s="517"/>
      <c r="V157" s="517"/>
      <c r="W157" s="517"/>
      <c r="X157" s="517"/>
      <c r="Y157" s="517"/>
      <c r="Z157" s="517"/>
      <c r="AA157" s="517"/>
      <c r="AB157" s="517"/>
      <c r="AC157" s="517"/>
      <c r="AD157" s="517"/>
      <c r="AE157" s="517"/>
      <c r="AF157" s="517"/>
      <c r="AG157" s="517"/>
      <c r="AH157" s="517"/>
      <c r="AI157" s="517"/>
      <c r="AJ157" s="849"/>
      <c r="AK157" s="517"/>
      <c r="AL157" s="517"/>
      <c r="AM157" s="517"/>
      <c r="AN157" s="517"/>
      <c r="AO157" s="517"/>
      <c r="AP157" s="517"/>
      <c r="AQ157" s="517"/>
      <c r="AR157" s="517"/>
      <c r="AS157" s="517"/>
      <c r="AT157" s="517"/>
      <c r="AU157" s="517"/>
      <c r="AV157" s="517"/>
      <c r="AW157" s="517"/>
      <c r="AX157" s="849"/>
      <c r="AY157" s="517"/>
      <c r="AZ157" s="517"/>
      <c r="BA157" s="517"/>
      <c r="BB157" s="517"/>
      <c r="BC157" s="517"/>
      <c r="BD157" s="517"/>
      <c r="BE157" s="517"/>
      <c r="BF157" s="517"/>
      <c r="BI157" s="517"/>
      <c r="BJ157" s="517"/>
      <c r="BK157" s="517"/>
      <c r="BL157" s="517"/>
      <c r="BM157" s="517"/>
      <c r="BN157" s="517"/>
      <c r="BO157" s="517"/>
      <c r="BP157" s="517"/>
      <c r="BQ157" s="517"/>
      <c r="BR157" s="517"/>
      <c r="BS157" s="517"/>
      <c r="BT157" s="517"/>
      <c r="BU157" s="517"/>
      <c r="BV157" s="517"/>
      <c r="BW157" s="517"/>
      <c r="BX157" s="517"/>
      <c r="BY157" s="517"/>
      <c r="BZ157" s="517"/>
      <c r="CA157" s="517"/>
      <c r="CB157" s="517"/>
      <c r="CC157" s="517"/>
      <c r="CD157" s="517"/>
      <c r="CE157" s="517"/>
      <c r="CF157" s="517"/>
      <c r="CG157" s="517"/>
      <c r="CH157" s="517"/>
      <c r="CI157" s="517"/>
      <c r="CJ157" s="517"/>
      <c r="CK157" s="517"/>
      <c r="CL157" s="517"/>
      <c r="CM157" s="517"/>
      <c r="CN157" s="517"/>
      <c r="CO157" s="517"/>
      <c r="CP157" s="517"/>
      <c r="CQ157" s="517"/>
      <c r="CR157" s="517"/>
      <c r="CS157" s="517"/>
      <c r="CT157" s="517"/>
      <c r="CU157" s="517"/>
      <c r="CV157" s="517"/>
      <c r="CW157" s="517"/>
      <c r="CX157" s="517"/>
      <c r="CY157" s="517"/>
      <c r="CZ157" s="517"/>
      <c r="DA157" s="517"/>
      <c r="DB157" s="517"/>
      <c r="DC157" s="517"/>
      <c r="DD157" s="517"/>
      <c r="DE157" s="517"/>
      <c r="DF157" s="517"/>
      <c r="DG157" s="517"/>
      <c r="DH157" s="517"/>
      <c r="DI157" s="517"/>
      <c r="DJ157" s="517"/>
      <c r="DK157" s="517"/>
      <c r="DL157" s="517"/>
      <c r="DM157" s="517"/>
      <c r="DN157" s="517"/>
      <c r="DO157" s="517"/>
      <c r="DP157" s="517"/>
      <c r="DQ157" s="849"/>
      <c r="DR157" s="517"/>
      <c r="DS157" s="517"/>
      <c r="DT157" s="517"/>
      <c r="DU157" s="517"/>
      <c r="DV157" s="517"/>
      <c r="DW157" s="517"/>
    </row>
    <row r="158" spans="2:127" ht="14.5" customHeight="1" x14ac:dyDescent="0.45">
      <c r="B158" s="521"/>
      <c r="C158" s="521"/>
      <c r="CA158" s="246"/>
      <c r="CB158" s="246"/>
      <c r="CC158" s="246"/>
      <c r="CD158" s="246"/>
      <c r="CE158" s="246"/>
      <c r="CF158" s="246"/>
      <c r="CG158" s="246"/>
      <c r="CH158" s="246"/>
      <c r="CI158" s="246"/>
      <c r="CJ158" s="246"/>
      <c r="CK158" s="246"/>
      <c r="CL158" s="246"/>
      <c r="CM158" s="246"/>
      <c r="CN158" s="246"/>
      <c r="CO158" s="246"/>
      <c r="CP158" s="246"/>
      <c r="CQ158" s="246"/>
      <c r="CR158" s="246"/>
      <c r="CS158" s="246"/>
      <c r="CT158" s="246"/>
      <c r="CU158" s="246"/>
      <c r="CV158" s="246"/>
      <c r="CW158" s="246"/>
      <c r="CX158" s="246"/>
      <c r="CY158" s="246"/>
      <c r="CZ158" s="246"/>
      <c r="DA158" s="246"/>
      <c r="DB158" s="246"/>
      <c r="DC158" s="246"/>
      <c r="DD158" s="246"/>
      <c r="DE158" s="246"/>
      <c r="DF158" s="246"/>
      <c r="DG158" s="246"/>
      <c r="DH158" s="246"/>
      <c r="DI158" s="246"/>
      <c r="DJ158" s="246"/>
      <c r="DK158" s="246"/>
      <c r="DL158" s="246"/>
      <c r="DM158" s="246"/>
      <c r="DN158" s="246"/>
      <c r="DO158" s="246"/>
      <c r="DP158" s="246"/>
      <c r="DQ158" s="246"/>
      <c r="DR158" s="246"/>
      <c r="DS158" s="246"/>
      <c r="DT158" s="246"/>
      <c r="DU158" s="246"/>
      <c r="DV158" s="246"/>
      <c r="DW158" s="246"/>
    </row>
    <row r="159" spans="2:127" ht="14.5" customHeight="1" x14ac:dyDescent="0.45">
      <c r="B159" s="521"/>
      <c r="C159" s="521"/>
      <c r="E159" s="521" t="s">
        <v>2344</v>
      </c>
      <c r="G159" s="317"/>
      <c r="H159" s="317"/>
      <c r="I159" s="317"/>
      <c r="J159" s="317"/>
      <c r="K159" s="317"/>
      <c r="L159" s="317"/>
      <c r="M159" s="317"/>
      <c r="N159" s="680"/>
      <c r="O159" s="680"/>
      <c r="P159" s="680"/>
      <c r="Q159" s="680"/>
      <c r="R159" s="850"/>
      <c r="S159" s="850"/>
      <c r="T159" s="850"/>
      <c r="U159" s="850"/>
      <c r="V159" s="850"/>
      <c r="W159" s="850"/>
      <c r="X159" s="850"/>
      <c r="Y159" s="850"/>
      <c r="Z159" s="850"/>
      <c r="AA159" s="850"/>
      <c r="AB159" s="850"/>
      <c r="AC159" s="850"/>
      <c r="AD159" s="850"/>
      <c r="AE159" s="850"/>
      <c r="AF159" s="851"/>
      <c r="AG159" s="851"/>
      <c r="AH159" s="851"/>
      <c r="AI159" s="851"/>
      <c r="AJ159" s="681"/>
      <c r="AK159" s="681"/>
      <c r="AL159" s="681"/>
      <c r="AM159" s="681"/>
      <c r="AN159" s="317"/>
      <c r="AO159" s="317"/>
      <c r="AP159" s="317"/>
      <c r="AQ159" s="317"/>
      <c r="AR159" s="317"/>
      <c r="AS159" s="317"/>
      <c r="AT159" s="317"/>
      <c r="AU159" s="317"/>
      <c r="AV159" s="317"/>
      <c r="AW159" s="317"/>
      <c r="AX159" s="680"/>
      <c r="AY159" s="680"/>
      <c r="AZ159" s="680"/>
      <c r="BA159" s="680"/>
      <c r="BB159" s="850"/>
      <c r="BC159" s="850"/>
      <c r="BD159" s="850"/>
      <c r="BE159" s="850"/>
      <c r="BF159" s="850"/>
      <c r="BI159" s="850"/>
      <c r="BJ159" s="850"/>
      <c r="BK159" s="850"/>
      <c r="BL159" s="850"/>
      <c r="BM159" s="850"/>
      <c r="BN159" s="850"/>
      <c r="BO159" s="850"/>
      <c r="BP159" s="851"/>
      <c r="BQ159" s="851"/>
      <c r="BR159" s="851"/>
      <c r="BS159" s="851"/>
      <c r="BT159" s="681"/>
      <c r="BU159" s="681"/>
      <c r="BV159" s="681"/>
      <c r="BW159" s="681"/>
      <c r="BX159" s="317"/>
      <c r="BY159" s="317"/>
      <c r="BZ159" s="317"/>
      <c r="CA159" s="317"/>
      <c r="CB159" s="317"/>
      <c r="CC159" s="317"/>
      <c r="CD159" s="317"/>
      <c r="CE159" s="317"/>
      <c r="CF159" s="317"/>
      <c r="CG159" s="317"/>
      <c r="CH159" s="680"/>
      <c r="CI159" s="680"/>
      <c r="CJ159" s="680"/>
      <c r="CK159" s="680"/>
      <c r="CL159" s="850"/>
      <c r="CM159" s="850"/>
      <c r="CN159" s="850"/>
      <c r="CO159" s="850"/>
      <c r="CP159" s="850"/>
      <c r="CQ159" s="850"/>
      <c r="CR159" s="850"/>
      <c r="CS159" s="850"/>
      <c r="CT159" s="850"/>
      <c r="CU159" s="850"/>
      <c r="CV159" s="850"/>
      <c r="CW159" s="850"/>
      <c r="CX159" s="850"/>
      <c r="CY159" s="850"/>
      <c r="CZ159" s="851"/>
      <c r="DA159" s="851"/>
      <c r="DB159" s="851"/>
      <c r="DC159" s="851"/>
      <c r="DD159" s="681"/>
      <c r="DE159" s="681"/>
      <c r="DF159" s="681"/>
      <c r="DG159" s="681"/>
      <c r="DH159" s="317"/>
      <c r="DI159" s="317"/>
      <c r="DJ159" s="317"/>
      <c r="DK159" s="317"/>
      <c r="DL159" s="317"/>
      <c r="DM159" s="317"/>
      <c r="DN159" s="317"/>
      <c r="DO159" s="317"/>
      <c r="DP159" s="317"/>
      <c r="DQ159" s="317"/>
      <c r="DR159" s="680"/>
      <c r="DS159" s="680"/>
      <c r="DT159" s="680"/>
      <c r="DU159" s="680"/>
      <c r="DV159" s="850"/>
      <c r="DW159" s="850"/>
    </row>
    <row r="160" spans="2:127" ht="14.5" customHeight="1" x14ac:dyDescent="0.45">
      <c r="B160" s="521"/>
      <c r="C160" s="521"/>
      <c r="N160" s="234"/>
      <c r="P160" s="234"/>
      <c r="R160" s="234"/>
      <c r="T160" s="234"/>
      <c r="V160" s="234"/>
      <c r="X160" s="234"/>
    </row>
    <row r="161" spans="2:127" ht="14.5" customHeight="1" x14ac:dyDescent="0.45">
      <c r="B161" s="521"/>
      <c r="C161" s="521"/>
      <c r="E161" s="521" t="s">
        <v>1424</v>
      </c>
      <c r="G161" s="250"/>
      <c r="H161" s="250"/>
      <c r="I161" s="250"/>
      <c r="J161" s="250"/>
      <c r="K161" s="250"/>
      <c r="L161" s="250"/>
      <c r="M161" s="250"/>
      <c r="N161" s="314"/>
      <c r="O161" s="315"/>
      <c r="P161" s="315"/>
      <c r="Q161" s="315"/>
      <c r="R161" s="315"/>
      <c r="S161" s="315"/>
      <c r="T161" s="315"/>
      <c r="U161" s="315"/>
      <c r="V161" s="315"/>
      <c r="W161" s="315"/>
      <c r="X161" s="315"/>
      <c r="Y161" s="315"/>
      <c r="Z161" s="315"/>
      <c r="AA161" s="341"/>
      <c r="AB161" s="341"/>
      <c r="AC161" s="341"/>
      <c r="AD161" s="341"/>
      <c r="AE161" s="341"/>
      <c r="AF161" s="341"/>
      <c r="AG161" s="341"/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14"/>
      <c r="AY161" s="315"/>
      <c r="AZ161" s="315"/>
      <c r="BA161" s="315"/>
      <c r="BB161" s="315"/>
      <c r="BC161" s="315"/>
      <c r="BD161" s="315"/>
      <c r="BE161" s="315"/>
      <c r="BF161" s="315"/>
      <c r="BH161" s="315"/>
      <c r="BI161" s="315"/>
      <c r="BJ161" s="315"/>
      <c r="BK161" s="341"/>
      <c r="BL161" s="341"/>
      <c r="BM161" s="341"/>
      <c r="BN161" s="341"/>
      <c r="BO161" s="341"/>
      <c r="BP161" s="341"/>
      <c r="BQ161" s="341"/>
      <c r="BR161" s="341"/>
      <c r="BS161" s="341"/>
      <c r="BT161" s="341"/>
      <c r="BU161" s="341"/>
      <c r="BV161" s="341"/>
      <c r="BW161" s="341"/>
      <c r="BX161" s="341"/>
      <c r="BY161" s="341"/>
      <c r="BZ161" s="341"/>
      <c r="CA161" s="341"/>
      <c r="CB161" s="341"/>
      <c r="CC161" s="341"/>
      <c r="CD161" s="341"/>
      <c r="CE161" s="341"/>
      <c r="CF161" s="341"/>
      <c r="CG161" s="341"/>
      <c r="CH161" s="314"/>
      <c r="CI161" s="315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5"/>
      <c r="CU161" s="341"/>
      <c r="CV161" s="341"/>
      <c r="CW161" s="341"/>
      <c r="CX161" s="341"/>
      <c r="CY161" s="341"/>
      <c r="CZ161" s="341"/>
      <c r="DA161" s="341"/>
      <c r="DB161" s="341"/>
      <c r="DC161" s="341"/>
      <c r="DD161" s="341"/>
      <c r="DE161" s="341"/>
      <c r="DF161" s="341"/>
      <c r="DG161" s="341"/>
      <c r="DH161" s="341"/>
      <c r="DI161" s="341"/>
      <c r="DJ161" s="341"/>
      <c r="DK161" s="341"/>
      <c r="DL161" s="341"/>
      <c r="DM161" s="341"/>
      <c r="DN161" s="341"/>
      <c r="DO161" s="341"/>
      <c r="DP161" s="341"/>
      <c r="DQ161" s="341"/>
      <c r="DR161" s="590"/>
      <c r="DS161" s="315"/>
      <c r="DT161" s="315"/>
      <c r="DU161" s="315"/>
      <c r="DV161" s="315"/>
      <c r="DW161" s="315"/>
    </row>
    <row r="162" spans="2:127" ht="14.5" customHeight="1" x14ac:dyDescent="0.45">
      <c r="B162" s="521"/>
      <c r="C162" s="521"/>
      <c r="N162" s="234"/>
      <c r="P162" s="234"/>
      <c r="R162" s="234"/>
      <c r="T162" s="234"/>
      <c r="V162" s="234"/>
      <c r="X162" s="234"/>
    </row>
    <row r="163" spans="2:127" ht="14.5" customHeight="1" x14ac:dyDescent="0.45">
      <c r="B163" s="521"/>
      <c r="C163" s="521"/>
      <c r="N163" s="234"/>
      <c r="P163" s="234"/>
      <c r="R163" s="234"/>
      <c r="T163" s="234"/>
      <c r="V163" s="234"/>
      <c r="X163" s="234"/>
    </row>
    <row r="164" spans="2:127" ht="14.5" customHeight="1" x14ac:dyDescent="0.45">
      <c r="B164" s="521"/>
      <c r="C164" s="521"/>
      <c r="E164" s="521" t="s">
        <v>1424</v>
      </c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339"/>
      <c r="S164" s="340"/>
      <c r="T164" s="340"/>
      <c r="U164" s="340"/>
      <c r="V164" s="340"/>
      <c r="W164" s="340"/>
      <c r="X164" s="340"/>
      <c r="Y164" s="343"/>
      <c r="Z164" s="343"/>
      <c r="AA164" s="343"/>
      <c r="AB164" s="343"/>
      <c r="AC164" s="343"/>
      <c r="AD164" s="343"/>
      <c r="AE164" s="343"/>
      <c r="AF164" s="343"/>
      <c r="AG164" s="343"/>
      <c r="AH164" s="343"/>
      <c r="AI164" s="344"/>
      <c r="AJ164" s="250"/>
      <c r="AK164" s="250"/>
      <c r="AL164" s="250"/>
      <c r="AM164" s="250"/>
      <c r="AN164" s="316"/>
      <c r="AO164" s="317"/>
      <c r="AP164" s="317"/>
      <c r="AQ164" s="317"/>
      <c r="AR164" s="345"/>
      <c r="AS164" s="345"/>
      <c r="AT164" s="345"/>
      <c r="AU164" s="345"/>
      <c r="AV164" s="345"/>
      <c r="AW164" s="346"/>
      <c r="AX164" s="250"/>
      <c r="AY164" s="250"/>
      <c r="AZ164" s="250"/>
      <c r="BA164" s="250"/>
      <c r="BB164" s="339"/>
      <c r="BC164" s="340"/>
      <c r="BD164" s="340"/>
      <c r="BE164" s="340"/>
      <c r="BF164" s="340"/>
      <c r="BH164" s="340"/>
      <c r="BI164" s="343"/>
      <c r="BJ164" s="343"/>
      <c r="BK164" s="343"/>
      <c r="BL164" s="343"/>
      <c r="BM164" s="343"/>
      <c r="BN164" s="343"/>
      <c r="BO164" s="343"/>
      <c r="BP164" s="343"/>
      <c r="BQ164" s="343"/>
      <c r="BR164" s="343"/>
      <c r="BS164" s="344"/>
      <c r="BT164" s="250"/>
      <c r="BU164" s="250"/>
      <c r="BV164" s="250"/>
      <c r="BW164" s="250"/>
      <c r="BX164" s="316"/>
      <c r="BY164" s="317"/>
      <c r="BZ164" s="317"/>
      <c r="CA164" s="317"/>
      <c r="CB164" s="345"/>
      <c r="CC164" s="345"/>
      <c r="CD164" s="345"/>
      <c r="CE164" s="345"/>
      <c r="CF164" s="345"/>
      <c r="CG164" s="346"/>
      <c r="CH164" s="250"/>
      <c r="CI164" s="250"/>
      <c r="CJ164" s="250"/>
      <c r="CK164" s="250"/>
      <c r="CL164" s="339"/>
      <c r="CM164" s="340"/>
      <c r="CN164" s="340"/>
      <c r="CO164" s="340"/>
      <c r="CP164" s="340"/>
      <c r="CQ164" s="340"/>
      <c r="CR164" s="340"/>
      <c r="CS164" s="343"/>
      <c r="CT164" s="343"/>
      <c r="CU164" s="343"/>
      <c r="CV164" s="343"/>
      <c r="CW164" s="343"/>
      <c r="CX164" s="343"/>
      <c r="CY164" s="343"/>
      <c r="CZ164" s="343"/>
      <c r="DA164" s="343"/>
      <c r="DB164" s="343"/>
      <c r="DC164" s="344"/>
      <c r="DD164" s="250"/>
      <c r="DE164" s="250"/>
      <c r="DF164" s="250"/>
      <c r="DG164" s="250"/>
      <c r="DH164" s="316"/>
      <c r="DI164" s="317"/>
      <c r="DJ164" s="317"/>
      <c r="DK164" s="317"/>
      <c r="DL164" s="345"/>
      <c r="DM164" s="345"/>
      <c r="DN164" s="345"/>
      <c r="DO164" s="345"/>
      <c r="DP164" s="345"/>
      <c r="DQ164" s="346"/>
      <c r="DR164" s="250"/>
      <c r="DS164" s="250"/>
      <c r="DT164" s="250"/>
      <c r="DU164" s="250"/>
      <c r="DV164" s="339"/>
      <c r="DW164" s="340"/>
    </row>
    <row r="165" spans="2:127" ht="14.5" customHeight="1" x14ac:dyDescent="0.45">
      <c r="B165" s="521"/>
      <c r="C165" s="521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4"/>
      <c r="AB165" s="234"/>
      <c r="AC165" s="234"/>
      <c r="AD165" s="234"/>
      <c r="AE165" s="234"/>
      <c r="AF165" s="234"/>
      <c r="AG165" s="234"/>
      <c r="AH165" s="234"/>
      <c r="AI165" s="234"/>
      <c r="AJ165" s="234"/>
      <c r="AK165" s="234"/>
      <c r="AL165" s="234"/>
      <c r="AM165" s="234"/>
      <c r="AN165" s="234"/>
      <c r="AO165" s="234"/>
      <c r="AP165" s="234"/>
      <c r="AQ165" s="234"/>
      <c r="AR165" s="234"/>
      <c r="AS165" s="234"/>
      <c r="AT165" s="234"/>
      <c r="AU165" s="234"/>
      <c r="AV165" s="234"/>
      <c r="AW165" s="234"/>
      <c r="AX165" s="234"/>
      <c r="AY165" s="234"/>
      <c r="AZ165" s="234"/>
      <c r="BA165" s="234"/>
      <c r="BB165" s="234"/>
      <c r="BC165" s="234"/>
      <c r="BD165" s="234"/>
      <c r="BE165" s="234"/>
      <c r="BF165" s="234"/>
      <c r="BH165" s="234"/>
      <c r="BI165" s="234"/>
      <c r="BJ165" s="234"/>
      <c r="BK165" s="234"/>
      <c r="BL165" s="234"/>
      <c r="BM165" s="234"/>
      <c r="BN165" s="234"/>
      <c r="BO165" s="234"/>
      <c r="BP165" s="234"/>
      <c r="BQ165" s="234"/>
      <c r="BR165" s="234"/>
      <c r="BS165" s="234"/>
      <c r="BT165" s="234"/>
      <c r="BU165" s="234"/>
      <c r="BV165" s="234"/>
      <c r="BW165" s="234"/>
      <c r="BX165" s="234"/>
      <c r="BY165" s="234"/>
      <c r="BZ165" s="234"/>
    </row>
    <row r="166" spans="2:127" ht="14.5" customHeight="1" thickBot="1" x14ac:dyDescent="0.5">
      <c r="B166" s="521"/>
      <c r="C166" s="521"/>
      <c r="N166" s="234"/>
      <c r="P166" s="234"/>
      <c r="R166" s="234"/>
      <c r="T166" s="234"/>
      <c r="V166" s="234"/>
      <c r="X166" s="234"/>
    </row>
    <row r="167" spans="2:127" ht="14.5" customHeight="1" thickTop="1" thickBot="1" x14ac:dyDescent="0.5">
      <c r="B167" s="521"/>
      <c r="C167" s="521"/>
      <c r="E167" s="521" t="s">
        <v>2036</v>
      </c>
      <c r="G167" s="250"/>
      <c r="H167" s="250"/>
      <c r="I167" s="250"/>
      <c r="J167" s="250"/>
      <c r="K167" s="250"/>
      <c r="L167" s="250"/>
      <c r="M167" s="250"/>
      <c r="N167" s="852"/>
      <c r="O167" s="280"/>
      <c r="P167" s="282"/>
      <c r="Q167" s="280"/>
      <c r="R167" s="282"/>
      <c r="S167" s="280"/>
      <c r="T167" s="282"/>
      <c r="U167" s="280"/>
      <c r="V167" s="282"/>
      <c r="W167" s="280"/>
      <c r="X167" s="282"/>
      <c r="Y167" s="280"/>
      <c r="Z167" s="810"/>
      <c r="AA167" s="277"/>
      <c r="AB167" s="277"/>
      <c r="AC167" s="277"/>
      <c r="AD167" s="277"/>
      <c r="AE167" s="277"/>
      <c r="AF167" s="277"/>
      <c r="AG167" s="277"/>
      <c r="AH167" s="277"/>
      <c r="AI167" s="277"/>
      <c r="AJ167" s="277"/>
      <c r="AK167" s="277"/>
      <c r="AL167" s="277"/>
      <c r="AM167" s="277"/>
      <c r="AN167" s="277"/>
      <c r="AO167" s="277"/>
      <c r="AP167" s="277"/>
      <c r="AQ167" s="277"/>
      <c r="AR167" s="277"/>
      <c r="AS167" s="277"/>
      <c r="AT167" s="277"/>
      <c r="AU167" s="277"/>
      <c r="AV167" s="277"/>
      <c r="AW167" s="844"/>
      <c r="AX167" s="280"/>
      <c r="AY167" s="280"/>
      <c r="AZ167" s="280"/>
      <c r="BA167" s="280"/>
      <c r="BB167" s="280"/>
      <c r="BC167" s="280"/>
      <c r="BD167" s="280"/>
      <c r="BE167" s="280"/>
      <c r="BF167" s="280"/>
      <c r="BH167" s="280"/>
      <c r="BI167" s="280"/>
      <c r="BJ167" s="810"/>
      <c r="BK167" s="277"/>
      <c r="BL167" s="277"/>
      <c r="BM167" s="277"/>
      <c r="BN167" s="277"/>
      <c r="BO167" s="277"/>
      <c r="BP167" s="277"/>
      <c r="BQ167" s="277"/>
      <c r="BR167" s="277"/>
      <c r="BS167" s="277"/>
      <c r="BT167" s="277"/>
      <c r="BU167" s="277"/>
      <c r="BV167" s="277"/>
      <c r="BW167" s="277"/>
      <c r="BX167" s="277"/>
      <c r="BY167" s="277"/>
      <c r="BZ167" s="277"/>
      <c r="CA167" s="277"/>
      <c r="CB167" s="277"/>
      <c r="CC167" s="277"/>
      <c r="CD167" s="277"/>
      <c r="CE167" s="277"/>
      <c r="CF167" s="277"/>
      <c r="CG167" s="844"/>
      <c r="CH167" s="925"/>
      <c r="CI167" s="280"/>
      <c r="CJ167" s="280"/>
      <c r="CK167" s="280"/>
      <c r="CL167" s="280"/>
      <c r="CM167" s="280"/>
      <c r="CN167" s="280"/>
      <c r="CO167" s="280"/>
      <c r="CP167" s="280"/>
      <c r="CQ167" s="280"/>
      <c r="CR167" s="280"/>
      <c r="CS167" s="280"/>
      <c r="CT167" s="810"/>
      <c r="CU167" s="277"/>
      <c r="CV167" s="277"/>
      <c r="CW167" s="277"/>
      <c r="CX167" s="277"/>
      <c r="CY167" s="277"/>
      <c r="CZ167" s="277"/>
      <c r="DA167" s="277"/>
      <c r="DB167" s="277"/>
      <c r="DC167" s="277"/>
      <c r="DD167" s="277"/>
      <c r="DE167" s="277"/>
      <c r="DF167" s="277"/>
      <c r="DG167" s="277"/>
      <c r="DH167" s="277"/>
      <c r="DI167" s="277"/>
      <c r="DJ167" s="277"/>
      <c r="DK167" s="277"/>
      <c r="DL167" s="277"/>
      <c r="DM167" s="277"/>
      <c r="DN167" s="277"/>
      <c r="DO167" s="277"/>
      <c r="DP167" s="277"/>
      <c r="DQ167" s="277"/>
      <c r="DR167" s="853"/>
      <c r="DS167" s="260"/>
      <c r="DT167" s="260"/>
      <c r="DU167" s="260"/>
      <c r="DV167" s="260"/>
      <c r="DW167" s="260"/>
    </row>
    <row r="168" spans="2:127" ht="14.5" customHeight="1" thickTop="1" thickBot="1" x14ac:dyDescent="0.5">
      <c r="B168" s="521"/>
      <c r="C168" s="521"/>
      <c r="N168" s="234"/>
      <c r="P168" s="234"/>
      <c r="R168" s="234"/>
      <c r="T168" s="234"/>
      <c r="V168" s="234"/>
      <c r="X168" s="234"/>
    </row>
    <row r="169" spans="2:127" ht="14.5" customHeight="1" thickTop="1" thickBot="1" x14ac:dyDescent="0.5">
      <c r="B169" s="521"/>
      <c r="C169" s="521"/>
      <c r="E169" s="521" t="s">
        <v>2037</v>
      </c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856"/>
      <c r="S169" s="845"/>
      <c r="T169" s="845"/>
      <c r="U169" s="845"/>
      <c r="V169" s="845"/>
      <c r="W169" s="845"/>
      <c r="X169" s="845"/>
      <c r="Y169" s="846"/>
      <c r="Z169" s="847"/>
      <c r="AA169" s="847"/>
      <c r="AB169" s="847"/>
      <c r="AC169" s="847"/>
      <c r="AD169" s="847"/>
      <c r="AE169" s="847"/>
      <c r="AF169" s="847"/>
      <c r="AG169" s="847"/>
      <c r="AH169" s="847"/>
      <c r="AI169" s="848"/>
      <c r="AJ169" s="250"/>
      <c r="AK169" s="250"/>
      <c r="AL169" s="250"/>
      <c r="AM169" s="250"/>
      <c r="AN169" s="250"/>
      <c r="AO169" s="250"/>
      <c r="AP169" s="250"/>
      <c r="AQ169" s="250"/>
      <c r="AR169" s="250"/>
      <c r="AS169" s="250"/>
      <c r="AT169" s="250"/>
      <c r="AU169" s="250"/>
      <c r="AV169" s="250"/>
      <c r="AW169" s="250"/>
      <c r="AX169" s="250"/>
      <c r="AY169" s="250"/>
      <c r="AZ169" s="250"/>
      <c r="BA169" s="250"/>
      <c r="BB169" s="856"/>
      <c r="BC169" s="845"/>
      <c r="BD169" s="845"/>
      <c r="BE169" s="845"/>
      <c r="BF169" s="845"/>
      <c r="BI169" s="847"/>
      <c r="BJ169" s="847"/>
      <c r="BK169" s="847"/>
      <c r="BL169" s="847"/>
      <c r="BM169" s="847"/>
      <c r="BN169" s="847"/>
      <c r="BO169" s="847"/>
      <c r="BP169" s="847"/>
      <c r="BQ169" s="847"/>
      <c r="BR169" s="847"/>
      <c r="BS169" s="848"/>
      <c r="BT169" s="250"/>
      <c r="BU169" s="250"/>
      <c r="BV169" s="250"/>
      <c r="BW169" s="250"/>
      <c r="BX169" s="250"/>
      <c r="BY169" s="250"/>
      <c r="BZ169" s="250"/>
      <c r="CA169" s="250"/>
      <c r="CB169" s="250"/>
      <c r="CC169" s="250"/>
      <c r="CD169" s="250"/>
      <c r="CE169" s="250"/>
      <c r="CF169" s="250"/>
      <c r="CG169" s="250"/>
      <c r="CH169" s="250"/>
      <c r="CI169" s="250"/>
      <c r="CJ169" s="250"/>
      <c r="CK169" s="250"/>
      <c r="CL169" s="856"/>
      <c r="CM169" s="845"/>
      <c r="CN169" s="845"/>
      <c r="CO169" s="845"/>
      <c r="CP169" s="845"/>
      <c r="CQ169" s="845"/>
      <c r="CR169" s="845"/>
      <c r="CS169" s="846"/>
      <c r="CT169" s="847"/>
      <c r="CU169" s="847"/>
      <c r="CV169" s="847"/>
      <c r="CW169" s="847"/>
      <c r="CX169" s="847"/>
      <c r="CY169" s="847"/>
      <c r="CZ169" s="847"/>
      <c r="DA169" s="847"/>
      <c r="DB169" s="847"/>
      <c r="DC169" s="848"/>
      <c r="DD169" s="250"/>
      <c r="DE169" s="250"/>
      <c r="DF169" s="250"/>
      <c r="DG169" s="250"/>
      <c r="DH169" s="250"/>
      <c r="DI169" s="250"/>
      <c r="DJ169" s="250"/>
      <c r="DK169" s="250"/>
      <c r="DL169" s="250"/>
      <c r="DM169" s="250"/>
      <c r="DN169" s="250"/>
      <c r="DO169" s="250"/>
      <c r="DP169" s="250"/>
      <c r="DQ169" s="250"/>
      <c r="DR169" s="250"/>
      <c r="DS169" s="250"/>
      <c r="DT169" s="250"/>
      <c r="DU169" s="250"/>
      <c r="DV169" s="856"/>
      <c r="DW169" s="845"/>
    </row>
    <row r="170" spans="2:127" ht="14.5" customHeight="1" thickTop="1" thickBot="1" x14ac:dyDescent="0.5">
      <c r="B170" s="521"/>
      <c r="C170" s="521"/>
      <c r="N170" s="234"/>
      <c r="P170" s="234"/>
      <c r="R170" s="234"/>
      <c r="T170" s="234"/>
      <c r="V170" s="234"/>
      <c r="X170" s="234"/>
    </row>
    <row r="171" spans="2:127" ht="14.5" customHeight="1" thickTop="1" thickBot="1" x14ac:dyDescent="0.5">
      <c r="B171" s="521"/>
      <c r="C171" s="521"/>
      <c r="E171" s="521" t="s">
        <v>2038</v>
      </c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  <c r="Y171" s="250"/>
      <c r="Z171" s="250"/>
      <c r="AA171" s="250"/>
      <c r="AB171" s="250"/>
      <c r="AC171" s="250"/>
      <c r="AD171" s="250"/>
      <c r="AE171" s="250"/>
      <c r="AF171" s="250"/>
      <c r="AG171" s="250"/>
      <c r="AH171" s="250"/>
      <c r="AI171" s="250"/>
      <c r="AJ171" s="250"/>
      <c r="AK171" s="250"/>
      <c r="AL171" s="250"/>
      <c r="AM171" s="250"/>
      <c r="AN171" s="857"/>
      <c r="AO171" s="290"/>
      <c r="AP171" s="290"/>
      <c r="AQ171" s="806"/>
      <c r="AR171" s="298"/>
      <c r="AS171" s="298"/>
      <c r="AT171" s="298"/>
      <c r="AU171" s="298"/>
      <c r="AV171" s="298"/>
      <c r="AW171" s="305"/>
      <c r="AX171" s="250"/>
      <c r="AY171" s="250"/>
      <c r="AZ171" s="250"/>
      <c r="BA171" s="250"/>
      <c r="BB171" s="250"/>
      <c r="BC171" s="250"/>
      <c r="BD171" s="250"/>
      <c r="BE171" s="250"/>
      <c r="BF171" s="250"/>
      <c r="BI171" s="250"/>
      <c r="BJ171" s="250"/>
      <c r="BK171" s="250"/>
      <c r="BL171" s="250"/>
      <c r="BM171" s="250"/>
      <c r="BN171" s="250"/>
      <c r="BO171" s="250"/>
      <c r="BP171" s="250"/>
      <c r="BQ171" s="250"/>
      <c r="BR171" s="250"/>
      <c r="BS171" s="250"/>
      <c r="BT171" s="250"/>
      <c r="BU171" s="250"/>
      <c r="BV171" s="250"/>
      <c r="BW171" s="250"/>
      <c r="BX171" s="857"/>
      <c r="BY171" s="290"/>
      <c r="BZ171" s="290"/>
      <c r="CA171" s="806"/>
      <c r="CB171" s="298"/>
      <c r="CC171" s="298"/>
      <c r="CD171" s="298"/>
      <c r="CE171" s="298"/>
      <c r="CF171" s="298"/>
      <c r="CG171" s="305"/>
      <c r="CH171" s="250"/>
      <c r="CI171" s="250"/>
      <c r="CJ171" s="250"/>
      <c r="CK171" s="250"/>
      <c r="CL171" s="250"/>
      <c r="CM171" s="250"/>
      <c r="CN171" s="250"/>
      <c r="CO171" s="250"/>
      <c r="CP171" s="250"/>
      <c r="CQ171" s="250"/>
      <c r="CR171" s="250"/>
      <c r="CS171" s="250"/>
      <c r="CT171" s="250"/>
      <c r="CU171" s="250"/>
      <c r="CV171" s="250"/>
      <c r="CW171" s="250"/>
      <c r="CX171" s="250"/>
      <c r="CY171" s="250"/>
      <c r="CZ171" s="250"/>
      <c r="DA171" s="250"/>
      <c r="DB171" s="250"/>
      <c r="DC171" s="250"/>
      <c r="DD171" s="250"/>
      <c r="DE171" s="250"/>
      <c r="DF171" s="250"/>
      <c r="DG171" s="250"/>
      <c r="DH171" s="857"/>
      <c r="DI171" s="290"/>
      <c r="DJ171" s="290"/>
      <c r="DK171" s="806"/>
      <c r="DL171" s="298"/>
      <c r="DM171" s="298"/>
      <c r="DN171" s="298"/>
      <c r="DO171" s="298"/>
      <c r="DP171" s="298"/>
      <c r="DQ171" s="305"/>
      <c r="DR171" s="250"/>
      <c r="DS171" s="250"/>
      <c r="DT171" s="250"/>
      <c r="DU171" s="250"/>
      <c r="DV171" s="250"/>
      <c r="DW171" s="250"/>
    </row>
    <row r="172" spans="2:127" ht="14.5" customHeight="1" thickTop="1" x14ac:dyDescent="0.45">
      <c r="B172" s="521"/>
      <c r="C172" s="521"/>
      <c r="N172" s="234"/>
      <c r="P172" s="234"/>
      <c r="R172" s="234"/>
      <c r="T172" s="234"/>
      <c r="V172" s="234"/>
      <c r="X172" s="234"/>
    </row>
    <row r="173" spans="2:127" ht="14.5" customHeight="1" x14ac:dyDescent="0.45">
      <c r="B173" s="521"/>
      <c r="C173" s="521"/>
      <c r="N173" s="234"/>
      <c r="P173" s="234"/>
      <c r="R173" s="234"/>
      <c r="T173" s="234"/>
      <c r="V173" s="234"/>
      <c r="X173" s="234"/>
    </row>
    <row r="174" spans="2:127" ht="14.5" customHeight="1" x14ac:dyDescent="0.45">
      <c r="B174" s="521"/>
      <c r="C174" s="521"/>
      <c r="E174" s="521" t="s">
        <v>2035</v>
      </c>
      <c r="G174" s="250"/>
      <c r="H174" s="250"/>
      <c r="I174" s="250"/>
      <c r="J174" s="250"/>
      <c r="K174" s="250"/>
      <c r="L174" s="250"/>
      <c r="M174" s="260"/>
      <c r="N174" s="858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  <c r="Y174" s="250"/>
      <c r="Z174" s="250"/>
      <c r="AA174" s="318"/>
      <c r="AB174" s="319"/>
      <c r="AC174" s="319"/>
      <c r="AD174" s="319"/>
      <c r="AE174" s="319"/>
      <c r="AF174" s="319"/>
      <c r="AG174" s="319"/>
      <c r="AH174" s="319"/>
      <c r="AI174" s="319"/>
      <c r="AJ174" s="319"/>
      <c r="AK174" s="319"/>
      <c r="AL174" s="319"/>
      <c r="AM174" s="319"/>
      <c r="AN174" s="319"/>
      <c r="AO174" s="319"/>
      <c r="AP174" s="319"/>
      <c r="AQ174" s="319"/>
      <c r="AR174" s="319"/>
      <c r="AS174" s="319"/>
      <c r="AT174" s="319"/>
      <c r="AU174" s="319"/>
      <c r="AV174" s="319"/>
      <c r="AW174" s="320"/>
      <c r="AX174" s="250"/>
      <c r="AY174" s="250"/>
      <c r="AZ174" s="250"/>
      <c r="BA174" s="250"/>
      <c r="BB174" s="250"/>
      <c r="BC174" s="250"/>
      <c r="BD174" s="250"/>
      <c r="BE174" s="250"/>
      <c r="BF174" s="250"/>
      <c r="BI174" s="250"/>
      <c r="BJ174" s="324"/>
      <c r="BK174" s="318"/>
      <c r="BL174" s="319"/>
      <c r="BM174" s="319"/>
      <c r="BN174" s="319"/>
      <c r="BO174" s="319"/>
      <c r="BP174" s="319"/>
      <c r="BQ174" s="319"/>
      <c r="BR174" s="319"/>
      <c r="BS174" s="319"/>
      <c r="BT174" s="319"/>
      <c r="BU174" s="319"/>
      <c r="BV174" s="319"/>
      <c r="BW174" s="319"/>
      <c r="BX174" s="319"/>
      <c r="BY174" s="319"/>
      <c r="BZ174" s="319"/>
      <c r="CA174" s="319"/>
      <c r="CB174" s="319"/>
      <c r="CC174" s="319"/>
      <c r="CD174" s="319"/>
      <c r="CE174" s="319"/>
      <c r="CF174" s="319"/>
      <c r="CG174" s="320"/>
      <c r="CH174" s="858"/>
      <c r="CI174" s="250"/>
      <c r="CJ174" s="250"/>
      <c r="CK174" s="250"/>
      <c r="CL174" s="250"/>
      <c r="CM174" s="250"/>
      <c r="CN174" s="250"/>
      <c r="CO174" s="250"/>
      <c r="CP174" s="250"/>
      <c r="CQ174" s="250"/>
      <c r="CR174" s="250"/>
      <c r="CS174" s="250"/>
      <c r="CT174" s="250"/>
      <c r="CU174" s="318"/>
      <c r="CV174" s="319"/>
      <c r="CW174" s="319"/>
      <c r="CX174" s="319"/>
      <c r="CY174" s="319"/>
      <c r="CZ174" s="319"/>
      <c r="DA174" s="319"/>
      <c r="DB174" s="319"/>
      <c r="DC174" s="319"/>
      <c r="DD174" s="319"/>
      <c r="DE174" s="319"/>
      <c r="DF174" s="319"/>
      <c r="DG174" s="319"/>
      <c r="DH174" s="319"/>
      <c r="DI174" s="319"/>
      <c r="DJ174" s="319"/>
      <c r="DK174" s="319"/>
      <c r="DL174" s="319"/>
      <c r="DM174" s="319"/>
      <c r="DN174" s="319"/>
      <c r="DO174" s="319"/>
      <c r="DP174" s="319"/>
      <c r="DQ174" s="320"/>
      <c r="DR174" s="260"/>
      <c r="DS174" s="260"/>
      <c r="DT174" s="260"/>
      <c r="DU174" s="260"/>
      <c r="DV174" s="260"/>
      <c r="DW174" s="260"/>
    </row>
    <row r="175" spans="2:127" ht="14.5" customHeight="1" x14ac:dyDescent="0.45">
      <c r="B175" s="521"/>
      <c r="C175" s="521"/>
      <c r="N175" s="234"/>
      <c r="P175" s="234"/>
      <c r="R175" s="234"/>
      <c r="T175" s="234"/>
      <c r="V175" s="234"/>
      <c r="X175" s="234"/>
    </row>
    <row r="176" spans="2:127" ht="14.5" customHeight="1" x14ac:dyDescent="0.45">
      <c r="B176" s="521"/>
      <c r="C176" s="521"/>
      <c r="E176" s="521" t="s">
        <v>2044</v>
      </c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861"/>
      <c r="S176" s="862"/>
      <c r="T176" s="862"/>
      <c r="U176" s="862"/>
      <c r="V176" s="862"/>
      <c r="W176" s="862"/>
      <c r="X176" s="863"/>
      <c r="Y176" s="864"/>
      <c r="Z176" s="865"/>
      <c r="AA176" s="865"/>
      <c r="AB176" s="865"/>
      <c r="AC176" s="865"/>
      <c r="AD176" s="865"/>
      <c r="AE176" s="865"/>
      <c r="AF176" s="865"/>
      <c r="AG176" s="865"/>
      <c r="AH176" s="865"/>
      <c r="AI176" s="866"/>
      <c r="AJ176" s="250"/>
      <c r="AK176" s="250"/>
      <c r="AL176" s="250"/>
      <c r="AM176" s="250"/>
      <c r="AN176" s="858"/>
      <c r="AO176" s="250"/>
      <c r="AP176" s="250"/>
      <c r="AQ176" s="324"/>
      <c r="AR176" s="318"/>
      <c r="AS176" s="319"/>
      <c r="AT176" s="319"/>
      <c r="AU176" s="319"/>
      <c r="AV176" s="319"/>
      <c r="AW176" s="320"/>
      <c r="AX176" s="250"/>
      <c r="AY176" s="250"/>
      <c r="AZ176" s="250"/>
      <c r="BA176" s="250"/>
      <c r="BB176" s="250"/>
      <c r="BC176" s="250"/>
      <c r="BD176" s="250"/>
      <c r="BE176" s="250"/>
      <c r="BF176" s="250"/>
      <c r="BI176" s="865"/>
      <c r="BJ176" s="865"/>
      <c r="BK176" s="865"/>
      <c r="BL176" s="865"/>
      <c r="BM176" s="865"/>
      <c r="BN176" s="865"/>
      <c r="BO176" s="865"/>
      <c r="BP176" s="865"/>
      <c r="BQ176" s="865"/>
      <c r="BR176" s="865"/>
      <c r="BS176" s="866"/>
      <c r="BT176" s="250"/>
      <c r="BU176" s="250"/>
      <c r="BV176" s="250"/>
      <c r="BW176" s="250"/>
      <c r="BX176" s="250"/>
      <c r="BY176" s="250"/>
      <c r="BZ176" s="250"/>
      <c r="CA176" s="250"/>
      <c r="CB176" s="318"/>
      <c r="CC176" s="319"/>
      <c r="CD176" s="319"/>
      <c r="CE176" s="319"/>
      <c r="CF176" s="319"/>
      <c r="CG176" s="320"/>
      <c r="CH176" s="250"/>
      <c r="CI176" s="250"/>
      <c r="CJ176" s="250"/>
      <c r="CK176" s="250"/>
      <c r="CL176" s="862"/>
      <c r="CM176" s="862"/>
      <c r="CN176" s="862"/>
      <c r="CO176" s="862"/>
      <c r="CP176" s="862"/>
      <c r="CQ176" s="862"/>
      <c r="CR176" s="863"/>
      <c r="CS176" s="864"/>
      <c r="CT176" s="865"/>
      <c r="CU176" s="865"/>
      <c r="CV176" s="865"/>
      <c r="CW176" s="865"/>
      <c r="CX176" s="865"/>
      <c r="CY176" s="865"/>
      <c r="CZ176" s="865"/>
      <c r="DA176" s="865"/>
      <c r="DB176" s="865"/>
      <c r="DC176" s="866"/>
      <c r="DD176" s="250"/>
      <c r="DE176" s="250"/>
      <c r="DF176" s="250"/>
      <c r="DG176" s="250"/>
      <c r="DH176" s="250"/>
      <c r="DI176" s="250"/>
      <c r="DJ176" s="250"/>
      <c r="DK176" s="324"/>
      <c r="DL176" s="318"/>
      <c r="DM176" s="319"/>
      <c r="DN176" s="319"/>
      <c r="DO176" s="319"/>
      <c r="DP176" s="319"/>
      <c r="DQ176" s="320"/>
      <c r="DR176" s="250"/>
      <c r="DS176" s="250"/>
      <c r="DT176" s="250"/>
      <c r="DU176" s="250"/>
      <c r="DV176" s="250"/>
      <c r="DW176" s="862"/>
    </row>
    <row r="177" spans="2:127" ht="14.5" customHeight="1" x14ac:dyDescent="0.45">
      <c r="B177" s="521"/>
      <c r="C177" s="521"/>
      <c r="N177" s="234"/>
      <c r="P177" s="234"/>
      <c r="R177" s="234"/>
      <c r="T177" s="234"/>
      <c r="V177" s="234"/>
      <c r="X177" s="234"/>
      <c r="CB177" s="246"/>
      <c r="CC177" s="246"/>
      <c r="CD177" s="246"/>
      <c r="CE177" s="246"/>
      <c r="CF177" s="246"/>
      <c r="CG177" s="246"/>
    </row>
    <row r="178" spans="2:127" ht="14.5" customHeight="1" thickBot="1" x14ac:dyDescent="0.5">
      <c r="B178" s="521"/>
      <c r="C178" s="521"/>
      <c r="N178" s="234"/>
      <c r="P178" s="234"/>
      <c r="R178" s="234"/>
      <c r="T178" s="234"/>
      <c r="V178" s="234"/>
      <c r="X178" s="234"/>
    </row>
    <row r="179" spans="2:127" ht="14.5" customHeight="1" thickTop="1" thickBot="1" x14ac:dyDescent="0.5">
      <c r="B179" s="521"/>
      <c r="C179" s="521"/>
      <c r="E179" s="521" t="s">
        <v>2034</v>
      </c>
      <c r="G179" s="250"/>
      <c r="H179" s="250"/>
      <c r="I179" s="250"/>
      <c r="J179" s="250"/>
      <c r="K179" s="250"/>
      <c r="L179" s="250"/>
      <c r="M179" s="250"/>
      <c r="N179" s="852"/>
      <c r="O179" s="280"/>
      <c r="P179" s="282"/>
      <c r="Q179" s="280"/>
      <c r="R179" s="282"/>
      <c r="S179" s="280"/>
      <c r="T179" s="282"/>
      <c r="U179" s="280"/>
      <c r="V179" s="282"/>
      <c r="W179" s="280"/>
      <c r="X179" s="282"/>
      <c r="Y179" s="280"/>
      <c r="Z179" s="810"/>
      <c r="AA179" s="277"/>
      <c r="AB179" s="277"/>
      <c r="AC179" s="277"/>
      <c r="AD179" s="277"/>
      <c r="AE179" s="277"/>
      <c r="AF179" s="277"/>
      <c r="AG179" s="277"/>
      <c r="AH179" s="277"/>
      <c r="AI179" s="277"/>
      <c r="AJ179" s="277"/>
      <c r="AK179" s="277"/>
      <c r="AL179" s="277"/>
      <c r="AM179" s="277"/>
      <c r="AN179" s="277"/>
      <c r="AO179" s="277"/>
      <c r="AP179" s="277"/>
      <c r="AQ179" s="277"/>
      <c r="AR179" s="277"/>
      <c r="AS179" s="277"/>
      <c r="AT179" s="277"/>
      <c r="AU179" s="277"/>
      <c r="AV179" s="277"/>
      <c r="AW179" s="844"/>
      <c r="AX179" s="280"/>
      <c r="AY179" s="280"/>
      <c r="AZ179" s="280"/>
      <c r="BA179" s="280"/>
      <c r="BB179" s="280"/>
      <c r="BC179" s="280"/>
      <c r="BD179" s="280"/>
      <c r="BE179" s="280"/>
      <c r="BF179" s="280"/>
      <c r="BH179" s="280"/>
      <c r="BI179" s="280"/>
      <c r="BJ179" s="810"/>
      <c r="BK179" s="277"/>
      <c r="BL179" s="277"/>
      <c r="BM179" s="277"/>
      <c r="BN179" s="277"/>
      <c r="BO179" s="277"/>
      <c r="BP179" s="277"/>
      <c r="BQ179" s="277"/>
      <c r="BR179" s="277"/>
      <c r="BS179" s="277"/>
      <c r="BT179" s="277"/>
      <c r="BU179" s="277"/>
      <c r="BV179" s="277"/>
      <c r="BW179" s="277"/>
      <c r="BX179" s="277"/>
      <c r="BY179" s="277"/>
      <c r="BZ179" s="277"/>
      <c r="CA179" s="277"/>
      <c r="CB179" s="277"/>
      <c r="CC179" s="277"/>
      <c r="CD179" s="277"/>
      <c r="CE179" s="277"/>
      <c r="CF179" s="277"/>
      <c r="CG179" s="844"/>
      <c r="CH179" s="925"/>
      <c r="CI179" s="280"/>
      <c r="CJ179" s="280"/>
      <c r="CK179" s="280"/>
      <c r="CL179" s="280"/>
      <c r="CM179" s="280"/>
      <c r="CN179" s="280"/>
      <c r="CO179" s="280"/>
      <c r="CP179" s="280"/>
      <c r="CQ179" s="280"/>
      <c r="CR179" s="280"/>
      <c r="CS179" s="280"/>
      <c r="CT179" s="810"/>
      <c r="CU179" s="277"/>
      <c r="CV179" s="277"/>
      <c r="CW179" s="277"/>
      <c r="CX179" s="277"/>
      <c r="CY179" s="277"/>
      <c r="CZ179" s="277"/>
      <c r="DA179" s="277"/>
      <c r="DB179" s="277"/>
      <c r="DC179" s="277"/>
      <c r="DD179" s="277"/>
      <c r="DE179" s="277"/>
      <c r="DF179" s="277"/>
      <c r="DG179" s="277"/>
      <c r="DH179" s="277"/>
      <c r="DI179" s="277"/>
      <c r="DJ179" s="277"/>
      <c r="DK179" s="277"/>
      <c r="DL179" s="277"/>
      <c r="DM179" s="277"/>
      <c r="DN179" s="277"/>
      <c r="DO179" s="277"/>
      <c r="DP179" s="277"/>
      <c r="DQ179" s="277"/>
      <c r="DR179" s="853"/>
      <c r="DS179" s="260"/>
      <c r="DT179" s="260"/>
      <c r="DU179" s="260"/>
      <c r="DV179" s="260"/>
      <c r="DW179" s="260"/>
    </row>
    <row r="180" spans="2:127" ht="14.5" customHeight="1" thickTop="1" thickBot="1" x14ac:dyDescent="0.5">
      <c r="B180" s="521"/>
      <c r="C180" s="521"/>
      <c r="N180" s="234"/>
      <c r="P180" s="234"/>
      <c r="R180" s="234"/>
      <c r="T180" s="234"/>
      <c r="V180" s="234"/>
      <c r="X180" s="234"/>
    </row>
    <row r="181" spans="2:127" ht="14.5" customHeight="1" thickTop="1" thickBot="1" x14ac:dyDescent="0.5">
      <c r="B181" s="521"/>
      <c r="C181" s="521"/>
      <c r="E181" s="521" t="s">
        <v>2040</v>
      </c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856"/>
      <c r="S181" s="845"/>
      <c r="T181" s="845"/>
      <c r="U181" s="845"/>
      <c r="V181" s="845"/>
      <c r="W181" s="845"/>
      <c r="X181" s="845"/>
      <c r="Y181" s="846"/>
      <c r="Z181" s="847"/>
      <c r="AA181" s="847"/>
      <c r="AB181" s="847"/>
      <c r="AC181" s="847"/>
      <c r="AD181" s="847"/>
      <c r="AE181" s="847"/>
      <c r="AF181" s="847"/>
      <c r="AG181" s="847"/>
      <c r="AH181" s="847"/>
      <c r="AI181" s="848"/>
      <c r="AJ181" s="250"/>
      <c r="AK181" s="250"/>
      <c r="AL181" s="250"/>
      <c r="AM181" s="250"/>
      <c r="AN181" s="250"/>
      <c r="AO181" s="250"/>
      <c r="AP181" s="250"/>
      <c r="AQ181" s="250"/>
      <c r="AR181" s="250"/>
      <c r="AS181" s="250"/>
      <c r="AT181" s="250"/>
      <c r="AU181" s="250"/>
      <c r="AV181" s="250"/>
      <c r="AW181" s="250"/>
      <c r="AX181" s="250"/>
      <c r="AY181" s="250"/>
      <c r="AZ181" s="250"/>
      <c r="BA181" s="250"/>
      <c r="BB181" s="856"/>
      <c r="BC181" s="845"/>
      <c r="BD181" s="845"/>
      <c r="BE181" s="845"/>
      <c r="BF181" s="845"/>
      <c r="BI181" s="847"/>
      <c r="BJ181" s="847"/>
      <c r="BK181" s="847"/>
      <c r="BL181" s="847"/>
      <c r="BM181" s="847"/>
      <c r="BN181" s="847"/>
      <c r="BO181" s="847"/>
      <c r="BP181" s="847"/>
      <c r="BQ181" s="847"/>
      <c r="BR181" s="847"/>
      <c r="BS181" s="848"/>
      <c r="BT181" s="250"/>
      <c r="BU181" s="250"/>
      <c r="BV181" s="250"/>
      <c r="BW181" s="250"/>
      <c r="BX181" s="250"/>
      <c r="BY181" s="250"/>
      <c r="BZ181" s="250"/>
      <c r="CA181" s="250"/>
      <c r="CB181" s="250"/>
      <c r="CC181" s="250"/>
      <c r="CD181" s="250"/>
      <c r="CE181" s="250"/>
      <c r="CF181" s="250"/>
      <c r="CG181" s="250"/>
      <c r="CH181" s="250"/>
      <c r="CI181" s="250"/>
      <c r="CJ181" s="250"/>
      <c r="CK181" s="250"/>
      <c r="CL181" s="856"/>
      <c r="CM181" s="845"/>
      <c r="CN181" s="845"/>
      <c r="CO181" s="845"/>
      <c r="CP181" s="845"/>
      <c r="CQ181" s="845"/>
      <c r="CR181" s="845"/>
      <c r="CS181" s="846"/>
      <c r="CT181" s="847"/>
      <c r="CU181" s="847"/>
      <c r="CV181" s="847"/>
      <c r="CW181" s="847"/>
      <c r="CX181" s="847"/>
      <c r="CY181" s="847"/>
      <c r="CZ181" s="847"/>
      <c r="DA181" s="847"/>
      <c r="DB181" s="847"/>
      <c r="DC181" s="848"/>
      <c r="DD181" s="250"/>
      <c r="DE181" s="250"/>
      <c r="DF181" s="250"/>
      <c r="DG181" s="250"/>
      <c r="DH181" s="250"/>
      <c r="DI181" s="250"/>
      <c r="DJ181" s="250"/>
      <c r="DK181" s="250"/>
      <c r="DL181" s="250"/>
      <c r="DM181" s="250"/>
      <c r="DN181" s="250"/>
      <c r="DO181" s="250"/>
      <c r="DP181" s="250"/>
      <c r="DQ181" s="250"/>
      <c r="DR181" s="250"/>
      <c r="DS181" s="250"/>
      <c r="DT181" s="250"/>
      <c r="DU181" s="250"/>
      <c r="DV181" s="856"/>
      <c r="DW181" s="845"/>
    </row>
    <row r="182" spans="2:127" ht="14.5" customHeight="1" thickTop="1" thickBot="1" x14ac:dyDescent="0.5">
      <c r="B182" s="521"/>
      <c r="C182" s="521"/>
      <c r="N182" s="234"/>
      <c r="P182" s="234"/>
      <c r="R182" s="234"/>
      <c r="T182" s="234"/>
      <c r="V182" s="234"/>
      <c r="X182" s="234"/>
    </row>
    <row r="183" spans="2:127" ht="14.5" customHeight="1" thickTop="1" thickBot="1" x14ac:dyDescent="0.5">
      <c r="B183" s="521"/>
      <c r="C183" s="521"/>
      <c r="E183" s="521" t="s">
        <v>2041</v>
      </c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  <c r="Y183" s="250"/>
      <c r="Z183" s="250"/>
      <c r="AA183" s="250"/>
      <c r="AB183" s="250"/>
      <c r="AC183" s="250"/>
      <c r="AD183" s="250"/>
      <c r="AE183" s="250"/>
      <c r="AF183" s="250"/>
      <c r="AG183" s="250"/>
      <c r="AH183" s="250"/>
      <c r="AI183" s="250"/>
      <c r="AJ183" s="250"/>
      <c r="AK183" s="250"/>
      <c r="AL183" s="250"/>
      <c r="AM183" s="250"/>
      <c r="AN183" s="857"/>
      <c r="AO183" s="290"/>
      <c r="AP183" s="290"/>
      <c r="AQ183" s="806"/>
      <c r="AR183" s="298"/>
      <c r="AS183" s="298"/>
      <c r="AT183" s="298"/>
      <c r="AU183" s="298"/>
      <c r="AV183" s="298"/>
      <c r="AW183" s="305"/>
      <c r="AX183" s="250"/>
      <c r="AY183" s="250"/>
      <c r="AZ183" s="250"/>
      <c r="BA183" s="250"/>
      <c r="BB183" s="250"/>
      <c r="BC183" s="250"/>
      <c r="BD183" s="250"/>
      <c r="BE183" s="250"/>
      <c r="BF183" s="250"/>
      <c r="BI183" s="250"/>
      <c r="BJ183" s="250"/>
      <c r="BK183" s="250"/>
      <c r="BL183" s="250"/>
      <c r="BM183" s="250"/>
      <c r="BN183" s="250"/>
      <c r="BO183" s="250"/>
      <c r="BP183" s="250"/>
      <c r="BQ183" s="250"/>
      <c r="BR183" s="250"/>
      <c r="BS183" s="250"/>
      <c r="BT183" s="250"/>
      <c r="BU183" s="250"/>
      <c r="BV183" s="250"/>
      <c r="BW183" s="250"/>
      <c r="BX183" s="857"/>
      <c r="BY183" s="290"/>
      <c r="BZ183" s="290"/>
      <c r="CA183" s="806"/>
      <c r="CB183" s="298"/>
      <c r="CC183" s="298"/>
      <c r="CD183" s="298"/>
      <c r="CE183" s="298"/>
      <c r="CF183" s="298"/>
      <c r="CG183" s="305"/>
      <c r="CH183" s="250"/>
      <c r="CI183" s="250"/>
      <c r="CJ183" s="250"/>
      <c r="CK183" s="250"/>
      <c r="CL183" s="250"/>
      <c r="CM183" s="250"/>
      <c r="CN183" s="250"/>
      <c r="CO183" s="250"/>
      <c r="CP183" s="250"/>
      <c r="CQ183" s="250"/>
      <c r="CR183" s="250"/>
      <c r="CS183" s="250"/>
      <c r="CT183" s="250"/>
      <c r="CU183" s="250"/>
      <c r="CV183" s="250"/>
      <c r="CW183" s="250"/>
      <c r="CX183" s="250"/>
      <c r="CY183" s="250"/>
      <c r="CZ183" s="250"/>
      <c r="DA183" s="250"/>
      <c r="DB183" s="250"/>
      <c r="DC183" s="250"/>
      <c r="DD183" s="250"/>
      <c r="DE183" s="250"/>
      <c r="DF183" s="250"/>
      <c r="DG183" s="250"/>
      <c r="DH183" s="857"/>
      <c r="DI183" s="290"/>
      <c r="DJ183" s="290"/>
      <c r="DK183" s="806"/>
      <c r="DL183" s="298"/>
      <c r="DM183" s="298"/>
      <c r="DN183" s="298"/>
      <c r="DO183" s="298"/>
      <c r="DP183" s="298"/>
      <c r="DQ183" s="305"/>
      <c r="DR183" s="250"/>
      <c r="DS183" s="250"/>
      <c r="DT183" s="250"/>
      <c r="DU183" s="250"/>
      <c r="DV183" s="250"/>
      <c r="DW183" s="250"/>
    </row>
    <row r="184" spans="2:127" ht="14.5" customHeight="1" thickTop="1" x14ac:dyDescent="0.45">
      <c r="B184" s="521"/>
      <c r="C184" s="521"/>
      <c r="N184" s="234"/>
      <c r="P184" s="234"/>
      <c r="R184" s="234"/>
      <c r="T184" s="234"/>
      <c r="V184" s="234"/>
      <c r="X184" s="234"/>
    </row>
    <row r="185" spans="2:127" ht="14.5" customHeight="1" thickBot="1" x14ac:dyDescent="0.5">
      <c r="B185" s="521"/>
      <c r="C185" s="521"/>
      <c r="N185" s="234"/>
      <c r="P185" s="234"/>
      <c r="R185" s="234"/>
      <c r="T185" s="234"/>
      <c r="V185" s="234"/>
      <c r="X185" s="234"/>
    </row>
    <row r="186" spans="2:127" ht="14.5" customHeight="1" thickTop="1" thickBot="1" x14ac:dyDescent="0.5">
      <c r="B186" s="521"/>
      <c r="C186" s="521"/>
      <c r="E186" s="521" t="s">
        <v>2031</v>
      </c>
      <c r="G186" s="250"/>
      <c r="H186" s="250"/>
      <c r="I186" s="250"/>
      <c r="J186" s="250"/>
      <c r="K186" s="250"/>
      <c r="L186" s="250"/>
      <c r="M186" s="250"/>
      <c r="N186" s="852"/>
      <c r="O186" s="280"/>
      <c r="P186" s="282"/>
      <c r="Q186" s="280"/>
      <c r="R186" s="282"/>
      <c r="S186" s="280"/>
      <c r="T186" s="282"/>
      <c r="U186" s="280"/>
      <c r="V186" s="282"/>
      <c r="W186" s="280"/>
      <c r="X186" s="282"/>
      <c r="Y186" s="280"/>
      <c r="Z186" s="810"/>
      <c r="AA186" s="277"/>
      <c r="AB186" s="277"/>
      <c r="AC186" s="277"/>
      <c r="AD186" s="277"/>
      <c r="AE186" s="277"/>
      <c r="AF186" s="277"/>
      <c r="AG186" s="277"/>
      <c r="AH186" s="277"/>
      <c r="AI186" s="277"/>
      <c r="AJ186" s="277"/>
      <c r="AK186" s="277"/>
      <c r="AL186" s="277"/>
      <c r="AM186" s="277"/>
      <c r="AN186" s="277"/>
      <c r="AO186" s="277"/>
      <c r="AP186" s="277"/>
      <c r="AQ186" s="277"/>
      <c r="AR186" s="277"/>
      <c r="AS186" s="277"/>
      <c r="AT186" s="277"/>
      <c r="AU186" s="277"/>
      <c r="AV186" s="277"/>
      <c r="AW186" s="844"/>
      <c r="AX186" s="280"/>
      <c r="AY186" s="280"/>
      <c r="AZ186" s="280"/>
      <c r="BA186" s="280"/>
      <c r="BB186" s="280"/>
      <c r="BC186" s="280"/>
      <c r="BD186" s="280"/>
      <c r="BE186" s="280"/>
      <c r="BF186" s="280"/>
      <c r="BH186" s="280"/>
      <c r="BI186" s="280"/>
      <c r="BJ186" s="810"/>
      <c r="BK186" s="277"/>
      <c r="BL186" s="277"/>
      <c r="BM186" s="277"/>
      <c r="BN186" s="277"/>
      <c r="BO186" s="277"/>
      <c r="BP186" s="277"/>
      <c r="BQ186" s="277"/>
      <c r="BR186" s="277"/>
      <c r="BS186" s="277"/>
      <c r="BT186" s="277"/>
      <c r="BU186" s="277"/>
      <c r="BV186" s="277"/>
      <c r="BW186" s="277"/>
      <c r="BX186" s="277"/>
      <c r="BY186" s="277"/>
      <c r="BZ186" s="277"/>
      <c r="CA186" s="277"/>
      <c r="CB186" s="277"/>
      <c r="CC186" s="277"/>
      <c r="CD186" s="277"/>
      <c r="CE186" s="277"/>
      <c r="CF186" s="277"/>
      <c r="CG186" s="844"/>
      <c r="CH186" s="925"/>
      <c r="CI186" s="280"/>
      <c r="CJ186" s="280"/>
      <c r="CK186" s="280"/>
      <c r="CL186" s="280"/>
      <c r="CM186" s="280"/>
      <c r="CN186" s="280"/>
      <c r="CO186" s="280"/>
      <c r="CP186" s="280"/>
      <c r="CQ186" s="280"/>
      <c r="CR186" s="280"/>
      <c r="CS186" s="280"/>
      <c r="CT186" s="810"/>
      <c r="CU186" s="277"/>
      <c r="CV186" s="277"/>
      <c r="CW186" s="277"/>
      <c r="CX186" s="277"/>
      <c r="CY186" s="277"/>
      <c r="CZ186" s="277"/>
      <c r="DA186" s="277"/>
      <c r="DB186" s="277"/>
      <c r="DC186" s="277"/>
      <c r="DD186" s="277"/>
      <c r="DE186" s="277"/>
      <c r="DF186" s="277"/>
      <c r="DG186" s="277"/>
      <c r="DH186" s="277"/>
      <c r="DI186" s="277"/>
      <c r="DJ186" s="277"/>
      <c r="DK186" s="277"/>
      <c r="DL186" s="277"/>
      <c r="DM186" s="277"/>
      <c r="DN186" s="277"/>
      <c r="DO186" s="277"/>
      <c r="DP186" s="277"/>
      <c r="DQ186" s="277"/>
      <c r="DR186" s="853"/>
      <c r="DS186" s="260"/>
      <c r="DT186" s="260"/>
      <c r="DU186" s="260"/>
      <c r="DV186" s="260"/>
      <c r="DW186" s="260"/>
    </row>
    <row r="187" spans="2:127" ht="14.5" customHeight="1" thickTop="1" thickBot="1" x14ac:dyDescent="0.5">
      <c r="B187" s="521"/>
      <c r="C187" s="521"/>
      <c r="N187" s="234"/>
      <c r="P187" s="234"/>
      <c r="R187" s="234"/>
      <c r="T187" s="234"/>
      <c r="V187" s="234"/>
      <c r="X187" s="234"/>
    </row>
    <row r="188" spans="2:127" ht="14.5" customHeight="1" thickTop="1" thickBot="1" x14ac:dyDescent="0.5">
      <c r="B188" s="521"/>
      <c r="C188" s="521"/>
      <c r="E188" s="521" t="s">
        <v>2042</v>
      </c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856"/>
      <c r="S188" s="845"/>
      <c r="T188" s="845"/>
      <c r="U188" s="845"/>
      <c r="V188" s="845"/>
      <c r="W188" s="845"/>
      <c r="X188" s="845"/>
      <c r="Y188" s="846"/>
      <c r="Z188" s="847"/>
      <c r="AA188" s="847"/>
      <c r="AB188" s="847"/>
      <c r="AC188" s="847"/>
      <c r="AD188" s="847"/>
      <c r="AE188" s="847"/>
      <c r="AF188" s="847"/>
      <c r="AG188" s="847"/>
      <c r="AH188" s="847"/>
      <c r="AI188" s="848"/>
      <c r="AJ188" s="250"/>
      <c r="AK188" s="250"/>
      <c r="AL188" s="250"/>
      <c r="AM188" s="250"/>
      <c r="AN188" s="857"/>
      <c r="AO188" s="290"/>
      <c r="AP188" s="290"/>
      <c r="AQ188" s="806"/>
      <c r="AR188" s="298"/>
      <c r="AS188" s="298"/>
      <c r="AT188" s="298"/>
      <c r="AU188" s="298"/>
      <c r="AV188" s="298"/>
      <c r="AW188" s="305"/>
      <c r="AX188" s="250"/>
      <c r="AY188" s="250"/>
      <c r="AZ188" s="250"/>
      <c r="BA188" s="250"/>
      <c r="BB188" s="856"/>
      <c r="BC188" s="845"/>
      <c r="BD188" s="845"/>
      <c r="BE188" s="845"/>
      <c r="BF188" s="845"/>
      <c r="BI188" s="847"/>
      <c r="BJ188" s="847"/>
      <c r="BK188" s="847"/>
      <c r="BL188" s="847"/>
      <c r="BM188" s="847"/>
      <c r="BN188" s="847"/>
      <c r="BO188" s="847"/>
      <c r="BP188" s="847"/>
      <c r="BQ188" s="847"/>
      <c r="BR188" s="847"/>
      <c r="BS188" s="848"/>
      <c r="BT188" s="250"/>
      <c r="BU188" s="250"/>
      <c r="BV188" s="250"/>
      <c r="BW188" s="250"/>
      <c r="BX188" s="857"/>
      <c r="BY188" s="290"/>
      <c r="BZ188" s="290"/>
      <c r="CA188" s="806"/>
      <c r="CB188" s="298"/>
      <c r="CC188" s="298"/>
      <c r="CD188" s="298"/>
      <c r="CE188" s="298"/>
      <c r="CF188" s="298"/>
      <c r="CG188" s="305"/>
      <c r="CH188" s="250"/>
      <c r="CI188" s="250"/>
      <c r="CJ188" s="250"/>
      <c r="CK188" s="250"/>
      <c r="CL188" s="856"/>
      <c r="CM188" s="845"/>
      <c r="CN188" s="845"/>
      <c r="CO188" s="845"/>
      <c r="CP188" s="845"/>
      <c r="CQ188" s="845"/>
      <c r="CR188" s="845"/>
      <c r="CS188" s="846"/>
      <c r="CT188" s="847"/>
      <c r="CU188" s="847"/>
      <c r="CV188" s="847"/>
      <c r="CW188" s="847"/>
      <c r="CX188" s="847"/>
      <c r="CY188" s="847"/>
      <c r="CZ188" s="847"/>
      <c r="DA188" s="847"/>
      <c r="DB188" s="847"/>
      <c r="DC188" s="848"/>
      <c r="DD188" s="250"/>
      <c r="DE188" s="250"/>
      <c r="DF188" s="250"/>
      <c r="DG188" s="250"/>
      <c r="DH188" s="857"/>
      <c r="DI188" s="290"/>
      <c r="DJ188" s="290"/>
      <c r="DK188" s="806"/>
      <c r="DL188" s="298"/>
      <c r="DM188" s="298"/>
      <c r="DN188" s="298"/>
      <c r="DO188" s="298"/>
      <c r="DP188" s="298"/>
      <c r="DQ188" s="305"/>
      <c r="DR188" s="250"/>
      <c r="DS188" s="250"/>
      <c r="DT188" s="250"/>
      <c r="DU188" s="250"/>
      <c r="DV188" s="856"/>
      <c r="DW188" s="845"/>
    </row>
    <row r="189" spans="2:127" ht="14.5" customHeight="1" thickTop="1" x14ac:dyDescent="0.45">
      <c r="B189" s="521"/>
      <c r="C189" s="521"/>
      <c r="N189" s="234"/>
      <c r="P189" s="234"/>
      <c r="R189" s="234"/>
      <c r="T189" s="234"/>
      <c r="V189" s="234"/>
      <c r="X189" s="234"/>
    </row>
    <row r="190" spans="2:127" ht="14.5" customHeight="1" thickBot="1" x14ac:dyDescent="0.5">
      <c r="B190" s="521"/>
      <c r="C190" s="521"/>
      <c r="N190" s="234"/>
      <c r="P190" s="234"/>
      <c r="R190" s="234"/>
      <c r="T190" s="234"/>
      <c r="V190" s="234"/>
      <c r="X190" s="234"/>
      <c r="CA190" s="246"/>
      <c r="CB190" s="246"/>
      <c r="CC190" s="246"/>
      <c r="CD190" s="246"/>
      <c r="CE190" s="246"/>
      <c r="CF190" s="246"/>
      <c r="CG190" s="246"/>
      <c r="CH190" s="246"/>
      <c r="CI190" s="246"/>
      <c r="CJ190" s="246"/>
      <c r="CK190" s="246"/>
      <c r="CL190" s="246"/>
      <c r="CM190" s="246"/>
      <c r="CN190" s="246"/>
      <c r="CO190" s="246"/>
      <c r="CP190" s="246"/>
      <c r="CQ190" s="246"/>
      <c r="CR190" s="246"/>
      <c r="CS190" s="246"/>
      <c r="CT190" s="246"/>
      <c r="CU190" s="246"/>
      <c r="CV190" s="246"/>
      <c r="CW190" s="246"/>
      <c r="CX190" s="246"/>
      <c r="CY190" s="246"/>
      <c r="CZ190" s="246"/>
      <c r="DA190" s="246"/>
      <c r="DB190" s="246"/>
      <c r="DC190" s="246"/>
      <c r="DD190" s="246"/>
      <c r="DE190" s="246"/>
      <c r="DF190" s="246"/>
      <c r="DG190" s="246"/>
      <c r="DH190" s="246"/>
      <c r="DI190" s="246"/>
      <c r="DJ190" s="246"/>
      <c r="DK190" s="246"/>
      <c r="DL190" s="246"/>
      <c r="DM190" s="246"/>
      <c r="DN190" s="246"/>
      <c r="DO190" s="246"/>
      <c r="DP190" s="246"/>
      <c r="DQ190" s="246"/>
      <c r="DR190" s="246"/>
      <c r="DS190" s="246"/>
      <c r="DT190" s="246"/>
      <c r="DU190" s="246"/>
      <c r="DV190" s="246"/>
    </row>
    <row r="191" spans="2:127" ht="14.5" customHeight="1" thickBot="1" x14ac:dyDescent="0.5">
      <c r="B191" s="521"/>
      <c r="C191" s="521"/>
      <c r="E191" s="521" t="s">
        <v>2030</v>
      </c>
      <c r="G191" s="325"/>
      <c r="H191" s="325"/>
      <c r="I191" s="325"/>
      <c r="J191" s="325"/>
      <c r="K191" s="325"/>
      <c r="L191" s="325"/>
      <c r="M191" s="325"/>
      <c r="N191" s="591"/>
      <c r="O191" s="591"/>
      <c r="P191" s="591"/>
      <c r="Q191" s="591"/>
      <c r="R191" s="591"/>
      <c r="S191" s="591"/>
      <c r="T191" s="591"/>
      <c r="U191" s="591"/>
      <c r="V191" s="591"/>
      <c r="W191" s="591"/>
      <c r="X191" s="591"/>
      <c r="Y191" s="591"/>
      <c r="Z191" s="592"/>
      <c r="AA191" s="338"/>
      <c r="AB191" s="328"/>
      <c r="AC191" s="328"/>
      <c r="AD191" s="328"/>
      <c r="AE191" s="328"/>
      <c r="AF191" s="328"/>
      <c r="AG191" s="328"/>
      <c r="AH191" s="328"/>
      <c r="AI191" s="328"/>
      <c r="AJ191" s="328"/>
      <c r="AK191" s="328"/>
      <c r="AL191" s="328"/>
      <c r="AM191" s="328"/>
      <c r="AN191" s="328"/>
      <c r="AO191" s="328"/>
      <c r="AP191" s="328"/>
      <c r="AQ191" s="328"/>
      <c r="AR191" s="328"/>
      <c r="AS191" s="328"/>
      <c r="AT191" s="328"/>
      <c r="AU191" s="328"/>
      <c r="AV191" s="328"/>
      <c r="AW191" s="328"/>
      <c r="AX191" s="333"/>
      <c r="AY191" s="331"/>
      <c r="AZ191" s="334"/>
      <c r="BA191" s="331"/>
      <c r="BB191" s="334"/>
      <c r="BC191" s="331"/>
      <c r="BD191" s="334"/>
      <c r="BE191" s="331"/>
      <c r="BF191" s="334"/>
      <c r="BI191" s="331"/>
      <c r="BJ191" s="335"/>
      <c r="BK191" s="328"/>
      <c r="BL191" s="328"/>
      <c r="BM191" s="328"/>
      <c r="BN191" s="328"/>
      <c r="BO191" s="328"/>
      <c r="BP191" s="328"/>
      <c r="BQ191" s="328"/>
      <c r="BR191" s="328"/>
      <c r="BS191" s="328"/>
      <c r="BT191" s="328"/>
      <c r="BU191" s="328"/>
      <c r="BV191" s="328"/>
      <c r="BW191" s="328"/>
      <c r="BX191" s="328"/>
      <c r="BY191" s="328"/>
      <c r="BZ191" s="328"/>
      <c r="CA191" s="328"/>
      <c r="CB191" s="328"/>
      <c r="CC191" s="328"/>
      <c r="CD191" s="328"/>
      <c r="CE191" s="328"/>
      <c r="CF191" s="328"/>
      <c r="CG191" s="328"/>
      <c r="CH191" s="333"/>
      <c r="CI191" s="331"/>
      <c r="CJ191" s="334"/>
      <c r="CK191" s="331"/>
      <c r="CL191" s="334"/>
      <c r="CM191" s="331"/>
      <c r="CN191" s="334"/>
      <c r="CO191" s="331"/>
      <c r="CP191" s="334"/>
      <c r="CQ191" s="331"/>
      <c r="CR191" s="331"/>
      <c r="CS191" s="331"/>
      <c r="CT191" s="335"/>
      <c r="CU191" s="328"/>
      <c r="CV191" s="328"/>
      <c r="CW191" s="328"/>
      <c r="CX191" s="328"/>
      <c r="CY191" s="328"/>
      <c r="CZ191" s="328"/>
      <c r="DA191" s="328"/>
      <c r="DB191" s="328"/>
      <c r="DC191" s="328"/>
      <c r="DD191" s="328"/>
      <c r="DE191" s="328"/>
      <c r="DF191" s="328"/>
      <c r="DG191" s="328"/>
      <c r="DH191" s="328"/>
      <c r="DI191" s="328"/>
      <c r="DJ191" s="328"/>
      <c r="DK191" s="328"/>
      <c r="DL191" s="328"/>
      <c r="DM191" s="328"/>
      <c r="DN191" s="328"/>
      <c r="DO191" s="328"/>
      <c r="DP191" s="328"/>
      <c r="DQ191" s="329"/>
      <c r="DR191" s="331"/>
      <c r="DS191" s="331"/>
      <c r="DT191" s="331"/>
      <c r="DU191" s="331"/>
      <c r="DV191" s="331"/>
      <c r="DW191" s="331"/>
    </row>
    <row r="192" spans="2:127" ht="14.5" customHeight="1" thickBot="1" x14ac:dyDescent="0.5">
      <c r="B192" s="521"/>
      <c r="C192" s="521"/>
      <c r="N192" s="234"/>
      <c r="P192" s="234"/>
      <c r="R192" s="234"/>
      <c r="T192" s="234"/>
      <c r="V192" s="234"/>
      <c r="X192" s="234"/>
    </row>
    <row r="193" spans="2:127" ht="14.5" customHeight="1" thickBot="1" x14ac:dyDescent="0.5">
      <c r="B193" s="521"/>
      <c r="C193" s="521"/>
      <c r="E193" s="521" t="s">
        <v>2043</v>
      </c>
      <c r="G193" s="325"/>
      <c r="H193" s="325"/>
      <c r="I193" s="325"/>
      <c r="J193" s="325"/>
      <c r="K193" s="325"/>
      <c r="L193" s="325"/>
      <c r="M193" s="325"/>
      <c r="N193" s="326"/>
      <c r="O193" s="325"/>
      <c r="P193" s="326"/>
      <c r="Q193" s="325"/>
      <c r="R193" s="598"/>
      <c r="S193" s="598"/>
      <c r="T193" s="597"/>
      <c r="U193" s="598"/>
      <c r="V193" s="597"/>
      <c r="W193" s="598"/>
      <c r="X193" s="599"/>
      <c r="Y193" s="594"/>
      <c r="Z193" s="595"/>
      <c r="AA193" s="594"/>
      <c r="AB193" s="595"/>
      <c r="AC193" s="594"/>
      <c r="AD193" s="595"/>
      <c r="AE193" s="594"/>
      <c r="AF193" s="595"/>
      <c r="AG193" s="594"/>
      <c r="AH193" s="595"/>
      <c r="AI193" s="596"/>
      <c r="AJ193" s="326"/>
      <c r="AK193" s="325"/>
      <c r="AL193" s="326"/>
      <c r="AM193" s="325"/>
      <c r="AN193" s="597"/>
      <c r="AO193" s="598"/>
      <c r="AP193" s="597"/>
      <c r="AQ193" s="600"/>
      <c r="AR193" s="595"/>
      <c r="AS193" s="594"/>
      <c r="AT193" s="595"/>
      <c r="AU193" s="594"/>
      <c r="AV193" s="595"/>
      <c r="AW193" s="596"/>
      <c r="AX193" s="326"/>
      <c r="AY193" s="325"/>
      <c r="AZ193" s="325"/>
      <c r="BA193" s="325"/>
      <c r="BB193" s="325"/>
      <c r="BC193" s="325"/>
      <c r="BD193" s="325"/>
      <c r="BE193" s="325"/>
      <c r="BF193" s="325"/>
      <c r="BI193" s="595"/>
      <c r="BJ193" s="595"/>
      <c r="BK193" s="595"/>
      <c r="BL193" s="595"/>
      <c r="BM193" s="595"/>
      <c r="BN193" s="595"/>
      <c r="BO193" s="595"/>
      <c r="BP193" s="595"/>
      <c r="BQ193" s="595"/>
      <c r="BR193" s="595"/>
      <c r="BS193" s="595"/>
      <c r="BT193" s="927"/>
      <c r="BU193" s="326"/>
      <c r="BV193" s="326"/>
      <c r="BW193" s="326"/>
      <c r="BX193" s="326"/>
      <c r="BY193" s="326"/>
      <c r="BZ193" s="326"/>
      <c r="CA193" s="928"/>
      <c r="CB193" s="595"/>
      <c r="CC193" s="595"/>
      <c r="CD193" s="595"/>
      <c r="CE193" s="595"/>
      <c r="CF193" s="595"/>
      <c r="CG193" s="595"/>
      <c r="CH193" s="927"/>
      <c r="CI193" s="326"/>
      <c r="CJ193" s="326"/>
      <c r="CK193" s="326"/>
      <c r="CL193" s="326"/>
      <c r="CM193" s="326"/>
      <c r="CN193" s="326"/>
      <c r="CO193" s="326"/>
      <c r="CP193" s="326"/>
      <c r="CQ193" s="326"/>
      <c r="CR193" s="326"/>
      <c r="CS193" s="928"/>
      <c r="CT193" s="595"/>
      <c r="CU193" s="595"/>
      <c r="CV193" s="595"/>
      <c r="CW193" s="595"/>
      <c r="CX193" s="595"/>
      <c r="CY193" s="595"/>
      <c r="CZ193" s="595"/>
      <c r="DA193" s="595"/>
      <c r="DB193" s="595"/>
      <c r="DC193" s="595"/>
      <c r="DD193" s="927"/>
      <c r="DE193" s="326"/>
      <c r="DF193" s="326"/>
      <c r="DG193" s="326"/>
      <c r="DH193" s="326"/>
      <c r="DI193" s="326"/>
      <c r="DJ193" s="326"/>
      <c r="DK193" s="926"/>
      <c r="DL193" s="595"/>
      <c r="DM193" s="594"/>
      <c r="DN193" s="595"/>
      <c r="DO193" s="594"/>
      <c r="DP193" s="595"/>
      <c r="DQ193" s="596"/>
      <c r="DR193" s="326"/>
      <c r="DS193" s="325"/>
      <c r="DT193" s="326"/>
      <c r="DU193" s="326"/>
      <c r="DV193" s="597"/>
      <c r="DW193" s="597"/>
    </row>
    <row r="194" spans="2:127" ht="14.5" customHeight="1" x14ac:dyDescent="0.45">
      <c r="B194" s="521"/>
      <c r="C194" s="521"/>
    </row>
    <row r="195" spans="2:127" ht="14.5" customHeight="1" x14ac:dyDescent="0.45">
      <c r="B195" s="521"/>
      <c r="C195" s="521"/>
    </row>
    <row r="196" spans="2:127" ht="14.5" customHeight="1" x14ac:dyDescent="0.45">
      <c r="B196" s="521"/>
      <c r="C196" s="521"/>
    </row>
    <row r="197" spans="2:127" ht="14.5" customHeight="1" x14ac:dyDescent="0.45">
      <c r="B197" s="521"/>
      <c r="C197" s="521"/>
    </row>
    <row r="198" spans="2:127" ht="14.5" customHeight="1" x14ac:dyDescent="0.45">
      <c r="B198" s="521"/>
      <c r="C198" s="521"/>
    </row>
    <row r="199" spans="2:127" ht="14.5" customHeight="1" thickBot="1" x14ac:dyDescent="0.5">
      <c r="B199" s="828" t="s">
        <v>1945</v>
      </c>
      <c r="C199" s="838"/>
      <c r="E199" s="608" t="s">
        <v>2028</v>
      </c>
      <c r="F199" s="615"/>
      <c r="G199" s="616"/>
      <c r="H199" s="616"/>
      <c r="I199" s="616"/>
      <c r="J199" s="616"/>
      <c r="K199" s="616"/>
      <c r="L199" s="616"/>
      <c r="M199" s="616"/>
      <c r="N199" s="616"/>
      <c r="O199" s="616"/>
      <c r="P199" s="616"/>
      <c r="Q199" s="616"/>
      <c r="R199" s="616"/>
      <c r="S199" s="616"/>
      <c r="T199" s="616"/>
      <c r="U199" s="616"/>
      <c r="V199" s="616"/>
      <c r="W199" s="616"/>
      <c r="X199" s="616"/>
      <c r="Y199" s="616"/>
      <c r="Z199" s="616"/>
      <c r="AA199" s="616"/>
      <c r="AB199" s="616"/>
      <c r="AC199" s="616"/>
      <c r="AD199" s="616"/>
      <c r="AE199" s="616"/>
      <c r="AF199" s="616"/>
      <c r="AG199" s="616"/>
      <c r="AH199" s="616"/>
      <c r="AI199" s="616"/>
      <c r="AJ199" s="616"/>
      <c r="AK199" s="616"/>
      <c r="AL199" s="616"/>
      <c r="AM199" s="616"/>
      <c r="AN199" s="616"/>
      <c r="AO199" s="616"/>
      <c r="AP199" s="616"/>
      <c r="AQ199" s="616"/>
      <c r="AR199" s="616"/>
      <c r="AS199" s="616"/>
      <c r="AT199" s="616"/>
      <c r="AU199" s="616"/>
      <c r="AV199" s="616"/>
      <c r="AW199" s="616"/>
      <c r="AX199" s="616"/>
      <c r="AY199" s="616"/>
      <c r="AZ199" s="616"/>
      <c r="BA199" s="616"/>
      <c r="BB199" s="616"/>
      <c r="BC199" s="616"/>
      <c r="BD199" s="616"/>
      <c r="BE199" s="616"/>
      <c r="BF199" s="616"/>
      <c r="BG199" s="616"/>
      <c r="BH199" s="616"/>
      <c r="BI199" s="616"/>
      <c r="BJ199" s="616"/>
      <c r="BK199" s="616"/>
      <c r="BL199" s="616"/>
      <c r="BM199" s="616"/>
      <c r="BN199" s="616"/>
      <c r="BO199" s="616"/>
      <c r="BP199" s="616"/>
      <c r="BQ199" s="616"/>
      <c r="BR199" s="616"/>
      <c r="BS199" s="616"/>
      <c r="BT199" s="616"/>
      <c r="BU199" s="616"/>
      <c r="BV199" s="616"/>
      <c r="BW199" s="616"/>
      <c r="BX199" s="616"/>
      <c r="BY199" s="616"/>
      <c r="BZ199" s="616"/>
      <c r="CA199" s="614"/>
      <c r="CB199" s="614"/>
      <c r="CC199" s="614"/>
      <c r="CD199" s="614"/>
      <c r="CE199" s="614"/>
      <c r="CF199" s="614"/>
      <c r="CG199" s="614"/>
      <c r="CH199" s="614"/>
      <c r="CI199" s="614"/>
      <c r="CJ199" s="614"/>
      <c r="CK199" s="614"/>
      <c r="CL199" s="614"/>
      <c r="CM199" s="614"/>
      <c r="CN199" s="614"/>
      <c r="CO199" s="614"/>
      <c r="CP199" s="614"/>
      <c r="CQ199" s="614"/>
      <c r="CR199" s="614"/>
      <c r="CS199" s="614"/>
      <c r="CT199" s="614"/>
      <c r="CU199" s="614"/>
      <c r="CV199" s="614"/>
      <c r="CW199" s="614"/>
      <c r="CX199" s="614"/>
      <c r="CY199" s="614"/>
      <c r="CZ199" s="614"/>
      <c r="DA199" s="614"/>
      <c r="DB199" s="614"/>
      <c r="DC199" s="614"/>
      <c r="DD199" s="614"/>
      <c r="DE199" s="614"/>
      <c r="DF199" s="614"/>
      <c r="DG199" s="614"/>
      <c r="DH199" s="614"/>
      <c r="DI199" s="614"/>
      <c r="DJ199" s="614"/>
      <c r="DK199" s="614"/>
      <c r="DL199" s="614"/>
      <c r="DM199" s="614"/>
      <c r="DN199" s="614"/>
      <c r="DO199" s="614"/>
      <c r="DP199" s="614"/>
      <c r="DQ199" s="614"/>
      <c r="DR199" s="614"/>
      <c r="DS199" s="614"/>
      <c r="DT199" s="614"/>
      <c r="DU199" s="614"/>
      <c r="DV199" s="614"/>
      <c r="DW199" s="614"/>
    </row>
    <row r="200" spans="2:127" ht="14.5" customHeight="1" x14ac:dyDescent="0.45">
      <c r="B200" s="821" t="s">
        <v>1275</v>
      </c>
      <c r="C200" s="822" t="s">
        <v>1538</v>
      </c>
      <c r="E200" s="521" t="s">
        <v>1431</v>
      </c>
      <c r="G200" s="247"/>
      <c r="H200" s="247"/>
      <c r="I200" s="258"/>
      <c r="J200" s="256"/>
      <c r="K200" s="256"/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  <c r="AA200" s="256"/>
      <c r="AB200" s="256"/>
      <c r="AC200" s="256"/>
      <c r="AD200" s="256"/>
      <c r="AE200" s="256"/>
      <c r="AF200" s="256"/>
      <c r="AG200" s="256"/>
      <c r="AH200" s="256"/>
      <c r="AI200" s="256"/>
      <c r="AJ200" s="256"/>
      <c r="AK200" s="256"/>
      <c r="AL200" s="256"/>
      <c r="AM200" s="256"/>
      <c r="AN200" s="256"/>
      <c r="AO200" s="256"/>
      <c r="AP200" s="256"/>
      <c r="AQ200" s="256"/>
      <c r="AR200" s="256"/>
      <c r="AS200" s="256"/>
      <c r="AT200" s="256"/>
      <c r="AU200" s="256"/>
      <c r="AV200" s="256"/>
      <c r="AW200" s="256"/>
      <c r="AX200" s="256"/>
      <c r="AY200" s="256"/>
      <c r="AZ200" s="256"/>
      <c r="BA200" s="256"/>
      <c r="BB200" s="256"/>
      <c r="BC200" s="256"/>
      <c r="BD200" s="256"/>
      <c r="BE200" s="256"/>
      <c r="BF200" s="256"/>
      <c r="BG200" s="256"/>
      <c r="BH200" s="256"/>
      <c r="BI200" s="256"/>
      <c r="BJ200" s="256"/>
      <c r="BK200" s="256"/>
      <c r="BL200" s="256"/>
      <c r="BM200" s="256"/>
      <c r="BN200" s="256"/>
      <c r="BO200" s="256"/>
      <c r="BP200" s="256"/>
      <c r="BQ200" s="256"/>
      <c r="BR200" s="256"/>
      <c r="BS200" s="256"/>
      <c r="BT200" s="256"/>
      <c r="BU200" s="256"/>
      <c r="BV200" s="256"/>
      <c r="BW200" s="256"/>
      <c r="BX200" s="256"/>
      <c r="BY200" s="256"/>
      <c r="BZ200" s="256"/>
      <c r="CA200" s="256"/>
      <c r="CB200" s="256"/>
      <c r="CC200" s="256"/>
      <c r="CD200" s="256"/>
      <c r="CE200" s="256"/>
      <c r="CF200" s="256"/>
      <c r="CG200" s="256"/>
      <c r="CH200" s="256"/>
      <c r="CI200" s="256"/>
      <c r="CJ200" s="256"/>
      <c r="CK200" s="256"/>
      <c r="CL200" s="256"/>
      <c r="CM200" s="256"/>
      <c r="CN200" s="256"/>
      <c r="CO200" s="256"/>
      <c r="CP200" s="256"/>
      <c r="CQ200" s="256"/>
      <c r="CR200" s="256"/>
      <c r="CS200" s="256"/>
      <c r="CT200" s="256"/>
      <c r="CU200" s="256"/>
      <c r="CV200" s="256"/>
      <c r="CW200" s="256"/>
      <c r="CX200" s="256"/>
      <c r="CY200" s="256"/>
      <c r="CZ200" s="256"/>
      <c r="DA200" s="256"/>
      <c r="DB200" s="256"/>
      <c r="DC200" s="256"/>
      <c r="DD200" s="256"/>
      <c r="DE200" s="256"/>
      <c r="DF200" s="256"/>
      <c r="DG200" s="256"/>
      <c r="DH200" s="256"/>
      <c r="DI200" s="256"/>
      <c r="DJ200" s="256"/>
      <c r="DK200" s="256"/>
      <c r="DL200" s="256"/>
      <c r="DM200" s="258"/>
      <c r="DN200" s="256"/>
      <c r="DO200" s="256"/>
      <c r="DP200" s="256"/>
      <c r="DQ200" s="256"/>
      <c r="DR200" s="256"/>
      <c r="DS200" s="256"/>
      <c r="DT200" s="256"/>
      <c r="DU200" s="256"/>
      <c r="DV200" s="256"/>
      <c r="DW200" s="256"/>
    </row>
    <row r="201" spans="2:127" ht="14.5" customHeight="1" x14ac:dyDescent="0.45">
      <c r="B201" s="823"/>
      <c r="C201" s="824" t="s">
        <v>1550</v>
      </c>
      <c r="W201" s="234"/>
      <c r="X201" s="234"/>
      <c r="DM201" s="246"/>
      <c r="DN201" s="246"/>
      <c r="DO201" s="246"/>
      <c r="DP201" s="246"/>
      <c r="DQ201" s="246"/>
    </row>
    <row r="202" spans="2:127" ht="14.5" customHeight="1" x14ac:dyDescent="0.45">
      <c r="B202" s="823"/>
      <c r="C202" s="825" t="s">
        <v>1539</v>
      </c>
      <c r="E202" s="521" t="s">
        <v>2081</v>
      </c>
      <c r="G202" s="250"/>
      <c r="H202" s="250"/>
      <c r="I202" s="387"/>
      <c r="J202" s="387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60"/>
      <c r="X202" s="260"/>
      <c r="Y202" s="250"/>
      <c r="Z202" s="250"/>
      <c r="AA202" s="250"/>
      <c r="AB202" s="250"/>
      <c r="AC202" s="250"/>
      <c r="AD202" s="250"/>
      <c r="AE202" s="250"/>
      <c r="AF202" s="250"/>
      <c r="AG202" s="250"/>
      <c r="AH202" s="250"/>
      <c r="AI202" s="250"/>
      <c r="AJ202" s="250"/>
      <c r="AK202" s="250"/>
      <c r="AL202" s="250"/>
      <c r="AM202" s="250"/>
      <c r="AN202" s="250"/>
      <c r="AO202" s="250"/>
      <c r="AP202" s="250"/>
      <c r="AQ202" s="250"/>
      <c r="AR202" s="250"/>
      <c r="AS202" s="250"/>
      <c r="AT202" s="250"/>
      <c r="AU202" s="250"/>
      <c r="AV202" s="250"/>
      <c r="AW202" s="250"/>
      <c r="AX202" s="250"/>
      <c r="AY202" s="250"/>
      <c r="AZ202" s="250"/>
      <c r="BA202" s="250"/>
      <c r="BB202" s="250"/>
      <c r="BC202" s="250"/>
      <c r="BD202" s="250"/>
      <c r="BE202" s="250"/>
      <c r="BF202" s="250"/>
      <c r="BG202" s="250"/>
      <c r="BH202" s="250"/>
      <c r="BI202" s="250"/>
      <c r="BJ202" s="250"/>
      <c r="BK202" s="250"/>
      <c r="BL202" s="250"/>
      <c r="BM202" s="250"/>
      <c r="BN202" s="250"/>
      <c r="BO202" s="250"/>
      <c r="BP202" s="250"/>
      <c r="BQ202" s="250"/>
      <c r="BR202" s="250"/>
      <c r="BS202" s="250"/>
      <c r="BT202" s="250"/>
      <c r="BU202" s="250"/>
      <c r="BV202" s="250"/>
      <c r="BW202" s="250"/>
      <c r="BX202" s="250"/>
      <c r="BY202" s="250"/>
      <c r="BZ202" s="250"/>
      <c r="CA202" s="250"/>
      <c r="CB202" s="250"/>
      <c r="CC202" s="250"/>
      <c r="CD202" s="250"/>
      <c r="CE202" s="250"/>
      <c r="CF202" s="250"/>
      <c r="CG202" s="250"/>
      <c r="CH202" s="250"/>
      <c r="CI202" s="250"/>
      <c r="CJ202" s="250"/>
      <c r="CK202" s="250"/>
      <c r="CL202" s="250"/>
      <c r="CM202" s="260"/>
      <c r="CN202" s="260"/>
      <c r="CO202" s="260"/>
      <c r="CP202" s="260"/>
      <c r="CQ202" s="260"/>
      <c r="CR202" s="260"/>
      <c r="CS202" s="260"/>
      <c r="CT202" s="260"/>
      <c r="CU202" s="260"/>
      <c r="CV202" s="260"/>
      <c r="CW202" s="260"/>
      <c r="CX202" s="260"/>
      <c r="CY202" s="260"/>
      <c r="CZ202" s="260"/>
      <c r="DA202" s="260"/>
      <c r="DB202" s="260"/>
      <c r="DC202" s="260"/>
      <c r="DD202" s="260"/>
      <c r="DE202" s="260"/>
      <c r="DF202" s="260"/>
      <c r="DG202" s="260"/>
      <c r="DH202" s="260"/>
      <c r="DI202" s="260"/>
      <c r="DJ202" s="260"/>
      <c r="DK202" s="260"/>
      <c r="DL202" s="260"/>
      <c r="DM202" s="387"/>
      <c r="DN202" s="387"/>
      <c r="DO202" s="260"/>
      <c r="DP202" s="260"/>
      <c r="DQ202" s="260"/>
      <c r="DR202" s="260"/>
      <c r="DS202" s="260"/>
      <c r="DT202" s="260"/>
      <c r="DU202" s="260"/>
      <c r="DV202" s="260"/>
      <c r="DW202" s="260"/>
    </row>
    <row r="203" spans="2:127" ht="14.5" customHeight="1" thickBot="1" x14ac:dyDescent="0.5">
      <c r="B203" s="823"/>
      <c r="C203" s="824" t="s">
        <v>1551</v>
      </c>
      <c r="W203" s="234"/>
      <c r="X203" s="234"/>
      <c r="DM203" s="246"/>
      <c r="DN203" s="246"/>
      <c r="DO203" s="246"/>
      <c r="DP203" s="246"/>
      <c r="DQ203" s="246"/>
    </row>
    <row r="204" spans="2:127" ht="14.5" customHeight="1" x14ac:dyDescent="0.45">
      <c r="B204" s="821" t="s">
        <v>1559</v>
      </c>
      <c r="C204" s="822" t="s">
        <v>1541</v>
      </c>
      <c r="E204" s="521" t="s">
        <v>2088</v>
      </c>
      <c r="G204" s="250"/>
      <c r="H204" s="250"/>
      <c r="I204" s="250"/>
      <c r="J204" s="250"/>
      <c r="K204" s="250"/>
      <c r="L204" s="258"/>
      <c r="M204" s="250"/>
      <c r="N204" s="250"/>
      <c r="O204" s="250"/>
      <c r="P204" s="250"/>
      <c r="Q204" s="250"/>
      <c r="R204" s="250"/>
      <c r="S204" s="250"/>
      <c r="T204" s="250"/>
      <c r="U204" s="250"/>
      <c r="V204" s="260"/>
      <c r="W204" s="260"/>
      <c r="X204" s="250"/>
      <c r="Y204" s="250"/>
      <c r="Z204" s="250"/>
      <c r="AA204" s="250"/>
      <c r="AB204" s="250"/>
      <c r="AC204" s="250"/>
      <c r="AD204" s="250"/>
      <c r="AE204" s="250"/>
      <c r="AF204" s="250"/>
      <c r="AG204" s="250"/>
      <c r="AH204" s="250"/>
      <c r="AI204" s="250"/>
      <c r="AJ204" s="250"/>
      <c r="AK204" s="250"/>
      <c r="AL204" s="250"/>
      <c r="AM204" s="250"/>
      <c r="AN204" s="250"/>
      <c r="AO204" s="250"/>
      <c r="AP204" s="250"/>
      <c r="AQ204" s="250"/>
      <c r="AR204" s="250"/>
      <c r="AS204" s="250"/>
      <c r="AT204" s="250"/>
      <c r="AU204" s="250"/>
      <c r="AV204" s="250"/>
      <c r="AW204" s="250"/>
      <c r="AX204" s="250"/>
      <c r="AY204" s="250"/>
      <c r="AZ204" s="250"/>
      <c r="BA204" s="250"/>
      <c r="BB204" s="250"/>
      <c r="BC204" s="250"/>
      <c r="BD204" s="250"/>
      <c r="BE204" s="250"/>
      <c r="BF204" s="250"/>
      <c r="BG204" s="250"/>
      <c r="BH204" s="250"/>
      <c r="BI204" s="250"/>
      <c r="BJ204" s="250"/>
      <c r="BK204" s="250"/>
      <c r="BL204" s="250"/>
      <c r="BM204" s="250"/>
      <c r="BN204" s="250"/>
      <c r="BO204" s="250"/>
      <c r="BP204" s="250"/>
      <c r="BQ204" s="250"/>
      <c r="BR204" s="250"/>
      <c r="BS204" s="250"/>
      <c r="BT204" s="250"/>
      <c r="BU204" s="250"/>
      <c r="BV204" s="250"/>
      <c r="BW204" s="250"/>
      <c r="BX204" s="250"/>
      <c r="BY204" s="250"/>
      <c r="BZ204" s="250"/>
      <c r="CA204" s="250"/>
      <c r="CB204" s="250"/>
      <c r="CC204" s="250"/>
      <c r="CD204" s="250"/>
      <c r="CE204" s="250"/>
      <c r="CF204" s="250"/>
      <c r="CG204" s="250"/>
      <c r="CH204" s="250"/>
      <c r="CI204" s="250"/>
      <c r="CJ204" s="250"/>
      <c r="CK204" s="250"/>
      <c r="CL204" s="260"/>
      <c r="CM204" s="260"/>
      <c r="CN204" s="260"/>
      <c r="CO204" s="260"/>
      <c r="CP204" s="260"/>
      <c r="CQ204" s="260"/>
      <c r="CR204" s="260"/>
      <c r="CS204" s="260"/>
      <c r="CT204" s="260"/>
      <c r="CU204" s="260"/>
      <c r="CV204" s="260"/>
      <c r="CW204" s="260"/>
      <c r="CX204" s="260"/>
      <c r="CY204" s="260"/>
      <c r="CZ204" s="260"/>
      <c r="DA204" s="260"/>
      <c r="DB204" s="260"/>
      <c r="DC204" s="260"/>
      <c r="DD204" s="260"/>
      <c r="DE204" s="260"/>
      <c r="DF204" s="260"/>
      <c r="DG204" s="260"/>
      <c r="DH204" s="260"/>
      <c r="DI204" s="260"/>
      <c r="DJ204" s="260"/>
      <c r="DK204" s="260"/>
      <c r="DL204" s="250"/>
      <c r="DM204" s="250"/>
      <c r="DN204" s="250"/>
      <c r="DO204" s="250"/>
      <c r="DP204" s="258"/>
      <c r="DQ204" s="260"/>
      <c r="DR204" s="260"/>
      <c r="DS204" s="260"/>
      <c r="DT204" s="260"/>
      <c r="DU204" s="260"/>
      <c r="DV204" s="260"/>
    </row>
    <row r="205" spans="2:127" ht="14.5" customHeight="1" x14ac:dyDescent="0.45">
      <c r="B205" s="823"/>
      <c r="C205" s="824" t="s">
        <v>1553</v>
      </c>
      <c r="L205" s="257"/>
      <c r="V205" s="234"/>
      <c r="W205" s="234"/>
      <c r="CA205" s="246"/>
      <c r="CB205" s="246"/>
      <c r="CC205" s="246"/>
      <c r="CD205" s="246"/>
      <c r="CE205" s="246"/>
      <c r="CF205" s="246"/>
      <c r="CG205" s="246"/>
      <c r="CH205" s="246"/>
      <c r="CI205" s="246"/>
      <c r="CJ205" s="246"/>
      <c r="CK205" s="246"/>
      <c r="DL205" s="246"/>
      <c r="DM205" s="246"/>
      <c r="DN205" s="246"/>
      <c r="DO205" s="246"/>
      <c r="DP205" s="257"/>
    </row>
    <row r="206" spans="2:127" ht="14.5" customHeight="1" x14ac:dyDescent="0.45">
      <c r="B206" s="823"/>
      <c r="C206" s="825" t="s">
        <v>1542</v>
      </c>
      <c r="V206" s="234"/>
      <c r="W206" s="234"/>
      <c r="BZ206" s="234"/>
      <c r="DL206" s="246"/>
      <c r="DM206" s="246"/>
      <c r="DN206" s="246"/>
      <c r="DO206" s="246"/>
      <c r="DP206" s="246"/>
    </row>
    <row r="207" spans="2:127" ht="14.5" customHeight="1" thickBot="1" x14ac:dyDescent="0.5">
      <c r="B207" s="826"/>
      <c r="C207" s="827" t="s">
        <v>1554</v>
      </c>
      <c r="E207" s="521" t="s">
        <v>2057</v>
      </c>
      <c r="G207" s="671"/>
      <c r="H207" s="671"/>
      <c r="I207" s="671"/>
      <c r="J207" s="671"/>
      <c r="K207" s="671"/>
      <c r="L207" s="671"/>
      <c r="M207" s="899" t="s">
        <v>1292</v>
      </c>
      <c r="N207" s="900"/>
      <c r="O207" s="900"/>
      <c r="P207" s="901"/>
      <c r="Q207" s="902"/>
      <c r="R207" s="902"/>
      <c r="S207" s="902"/>
      <c r="T207" s="902"/>
      <c r="U207" s="902"/>
      <c r="V207" s="902"/>
      <c r="W207" s="902"/>
      <c r="X207" s="902"/>
      <c r="Y207" s="902"/>
      <c r="Z207" s="902"/>
      <c r="AA207" s="902"/>
      <c r="AB207" s="902"/>
      <c r="AC207" s="902"/>
      <c r="AD207" s="902"/>
      <c r="AE207" s="902"/>
      <c r="AF207" s="902"/>
      <c r="AG207" s="902"/>
      <c r="AH207" s="902"/>
      <c r="AI207" s="899" t="s">
        <v>2075</v>
      </c>
      <c r="AJ207" s="900"/>
      <c r="AK207" s="900"/>
      <c r="AL207" s="901"/>
      <c r="AM207" s="902"/>
      <c r="AN207" s="902"/>
      <c r="AO207" s="902"/>
      <c r="AP207" s="902"/>
      <c r="AQ207" s="902"/>
      <c r="AR207" s="902"/>
      <c r="AS207" s="902"/>
      <c r="AT207" s="902"/>
      <c r="AU207" s="902"/>
      <c r="AV207" s="902"/>
      <c r="AW207" s="899" t="s">
        <v>2060</v>
      </c>
      <c r="AX207" s="900"/>
      <c r="AY207" s="900"/>
      <c r="AZ207" s="901"/>
      <c r="BA207" s="902"/>
      <c r="BB207" s="902"/>
      <c r="BC207" s="902"/>
      <c r="BD207" s="902"/>
      <c r="BE207" s="902"/>
      <c r="BF207" s="903"/>
      <c r="BG207" s="903"/>
      <c r="BH207" s="902"/>
      <c r="BI207" s="902"/>
      <c r="BJ207" s="902"/>
      <c r="BK207" s="902"/>
      <c r="BL207" s="902"/>
      <c r="BM207" s="902"/>
      <c r="BN207" s="902"/>
      <c r="BO207" s="902"/>
      <c r="BP207" s="902"/>
      <c r="BQ207" s="902"/>
      <c r="BR207" s="902"/>
      <c r="BS207" s="899"/>
      <c r="BT207" s="900"/>
      <c r="BU207" s="900"/>
      <c r="BV207" s="901"/>
      <c r="BW207" s="902"/>
      <c r="BX207" s="902"/>
      <c r="BY207" s="902"/>
      <c r="BZ207" s="902"/>
      <c r="CA207" s="902"/>
      <c r="CB207" s="902"/>
      <c r="CC207" s="902"/>
      <c r="CD207" s="902"/>
      <c r="CE207" s="902"/>
      <c r="CF207" s="902"/>
      <c r="CG207" s="899" t="s">
        <v>2065</v>
      </c>
      <c r="CH207" s="900"/>
      <c r="CI207" s="900"/>
      <c r="CJ207" s="901"/>
      <c r="CK207" s="902"/>
      <c r="CL207" s="902"/>
      <c r="CM207" s="902"/>
      <c r="CN207" s="902"/>
      <c r="CO207" s="902"/>
      <c r="CP207" s="902"/>
      <c r="CQ207" s="902"/>
      <c r="CR207" s="902"/>
      <c r="CS207" s="902"/>
      <c r="CT207" s="902"/>
      <c r="CU207" s="902"/>
      <c r="CV207" s="902"/>
      <c r="CW207" s="902"/>
      <c r="CX207" s="902"/>
      <c r="CY207" s="902"/>
      <c r="CZ207" s="902"/>
      <c r="DA207" s="902"/>
      <c r="DB207" s="902"/>
      <c r="DC207" s="899" t="s">
        <v>2064</v>
      </c>
      <c r="DD207" s="900"/>
      <c r="DE207" s="900"/>
      <c r="DF207" s="901"/>
      <c r="DG207" s="902"/>
      <c r="DH207" s="902"/>
      <c r="DI207" s="902"/>
      <c r="DJ207" s="902"/>
      <c r="DK207" s="902"/>
      <c r="DL207" s="902"/>
      <c r="DM207" s="902"/>
      <c r="DN207" s="902"/>
      <c r="DO207" s="902"/>
      <c r="DP207" s="902"/>
      <c r="DQ207" s="899" t="s">
        <v>1292</v>
      </c>
      <c r="DR207" s="900"/>
      <c r="DS207" s="900"/>
      <c r="DT207" s="901"/>
      <c r="DU207" s="671"/>
      <c r="DV207" s="671"/>
      <c r="DW207" s="671"/>
    </row>
    <row r="208" spans="2:127" ht="14.5" customHeight="1" thickBot="1" x14ac:dyDescent="0.5">
      <c r="B208" s="818" t="s">
        <v>1402</v>
      </c>
      <c r="C208" s="818" t="s">
        <v>1402</v>
      </c>
      <c r="M208" s="248"/>
      <c r="N208" s="248"/>
      <c r="O208" s="248"/>
      <c r="P208" s="248"/>
      <c r="Q208" s="248"/>
      <c r="R208" s="248"/>
      <c r="S208" s="248"/>
      <c r="T208" s="248"/>
      <c r="U208" s="248"/>
      <c r="V208" s="248"/>
      <c r="W208" s="601"/>
      <c r="X208" s="601"/>
      <c r="Y208" s="248"/>
      <c r="Z208" s="248"/>
      <c r="AA208" s="248"/>
      <c r="AB208" s="248"/>
      <c r="AC208" s="248"/>
      <c r="AD208" s="248"/>
      <c r="AE208" s="248"/>
      <c r="AF208" s="248"/>
      <c r="AG208" s="248"/>
      <c r="AH208" s="248"/>
      <c r="AI208" s="248"/>
      <c r="AJ208" s="248"/>
      <c r="AK208" s="248"/>
      <c r="AL208" s="248"/>
      <c r="AM208" s="248"/>
      <c r="AN208" s="248"/>
      <c r="AO208" s="248"/>
      <c r="AP208" s="248"/>
      <c r="AQ208" s="248"/>
      <c r="AR208" s="248"/>
      <c r="AS208" s="248"/>
      <c r="AT208" s="248"/>
      <c r="AU208" s="248"/>
      <c r="AV208" s="248"/>
      <c r="AW208" s="248"/>
      <c r="AX208" s="248"/>
      <c r="AY208" s="248"/>
      <c r="AZ208" s="248"/>
      <c r="BA208" s="248"/>
      <c r="BB208" s="248"/>
      <c r="BC208" s="248"/>
      <c r="BD208" s="248"/>
      <c r="BE208" s="248"/>
      <c r="BF208" s="248"/>
      <c r="BG208" s="248"/>
      <c r="BH208" s="248"/>
      <c r="BI208" s="248"/>
      <c r="BJ208" s="248"/>
      <c r="BK208" s="248"/>
      <c r="BL208" s="248"/>
      <c r="BM208" s="248"/>
      <c r="BO208" s="248"/>
      <c r="BP208" s="248"/>
      <c r="BQ208" s="248"/>
      <c r="BR208" s="248"/>
      <c r="BS208" s="248"/>
      <c r="BT208" s="248"/>
      <c r="BU208" s="248"/>
      <c r="BV208" s="248"/>
      <c r="BW208" s="248"/>
      <c r="BX208" s="248"/>
      <c r="BY208" s="248"/>
      <c r="BZ208" s="248"/>
      <c r="CA208" s="248"/>
      <c r="CB208" s="248"/>
      <c r="CC208" s="248"/>
      <c r="CD208" s="248"/>
      <c r="CE208" s="248"/>
      <c r="CF208" s="248"/>
      <c r="CG208" s="248"/>
      <c r="CH208" s="248"/>
      <c r="CI208" s="248"/>
      <c r="CJ208" s="248"/>
      <c r="CK208" s="248"/>
      <c r="CL208" s="248"/>
      <c r="CM208" s="248"/>
      <c r="CN208" s="248"/>
      <c r="CO208" s="248"/>
      <c r="CP208" s="248"/>
      <c r="CQ208" s="601"/>
      <c r="CR208" s="601"/>
      <c r="CS208" s="248"/>
      <c r="CT208" s="248"/>
      <c r="CU208" s="248"/>
      <c r="CV208" s="248"/>
      <c r="CW208" s="248"/>
      <c r="CX208" s="248"/>
      <c r="CY208" s="248"/>
      <c r="CZ208" s="248"/>
      <c r="DA208" s="248"/>
      <c r="DB208" s="248"/>
      <c r="DC208" s="248"/>
      <c r="DD208" s="248"/>
      <c r="DE208" s="248"/>
      <c r="DF208" s="248"/>
      <c r="DG208" s="248"/>
      <c r="DH208" s="248"/>
      <c r="DI208" s="248"/>
      <c r="DJ208" s="248"/>
      <c r="DK208" s="248"/>
      <c r="DL208" s="248"/>
      <c r="DM208" s="248"/>
      <c r="DN208" s="248"/>
      <c r="DO208" s="248"/>
      <c r="DP208" s="248"/>
      <c r="DQ208" s="248"/>
      <c r="DR208" s="248"/>
      <c r="DS208" s="248"/>
      <c r="DT208" s="601"/>
    </row>
    <row r="209" spans="2:127" ht="14.5" customHeight="1" x14ac:dyDescent="0.45">
      <c r="B209" s="821" t="s">
        <v>1544</v>
      </c>
      <c r="C209" s="822" t="s">
        <v>1545</v>
      </c>
      <c r="E209" s="521" t="s">
        <v>2099</v>
      </c>
      <c r="G209" s="250"/>
      <c r="H209" s="250"/>
      <c r="I209" s="250"/>
      <c r="J209" s="250"/>
      <c r="K209" s="250"/>
      <c r="L209" s="250"/>
      <c r="M209" s="313"/>
      <c r="N209" s="250"/>
      <c r="O209" s="250"/>
      <c r="P209" s="250"/>
      <c r="Q209" s="250"/>
      <c r="R209" s="250"/>
      <c r="S209" s="250"/>
      <c r="T209" s="250"/>
      <c r="U209" s="250"/>
      <c r="V209" s="260"/>
      <c r="W209" s="260"/>
      <c r="X209" s="250"/>
      <c r="Y209" s="250"/>
      <c r="Z209" s="250"/>
      <c r="AA209" s="250"/>
      <c r="AB209" s="250"/>
      <c r="AC209" s="250"/>
      <c r="AD209" s="250"/>
      <c r="AE209" s="250"/>
      <c r="AF209" s="250"/>
      <c r="AG209" s="250"/>
      <c r="AH209" s="250"/>
      <c r="AI209" s="313"/>
      <c r="AJ209" s="250"/>
      <c r="AK209" s="250"/>
      <c r="AL209" s="250"/>
      <c r="AM209" s="250"/>
      <c r="AN209" s="250"/>
      <c r="AO209" s="250"/>
      <c r="AP209" s="250"/>
      <c r="AQ209" s="250"/>
      <c r="AR209" s="250"/>
      <c r="AS209" s="250"/>
      <c r="AT209" s="250"/>
      <c r="AU209" s="250"/>
      <c r="AV209" s="250"/>
      <c r="AW209" s="313"/>
      <c r="AX209" s="250"/>
      <c r="AY209" s="250"/>
      <c r="AZ209" s="250"/>
      <c r="BA209" s="250"/>
      <c r="BB209" s="250"/>
      <c r="BC209" s="250"/>
      <c r="BD209" s="250"/>
      <c r="BE209" s="250"/>
      <c r="BF209" s="248"/>
      <c r="BG209" s="248"/>
      <c r="BH209" s="250"/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0"/>
      <c r="BS209" s="313"/>
      <c r="BT209" s="250"/>
      <c r="BU209" s="250"/>
      <c r="BV209" s="250"/>
      <c r="BW209" s="250"/>
      <c r="BX209" s="250"/>
      <c r="BY209" s="250"/>
      <c r="BZ209" s="250"/>
      <c r="CA209" s="250"/>
      <c r="CB209" s="250"/>
      <c r="CC209" s="250"/>
      <c r="CD209" s="250"/>
      <c r="CE209" s="250"/>
      <c r="CF209" s="250"/>
      <c r="CG209" s="313"/>
      <c r="CH209" s="250"/>
      <c r="CI209" s="250"/>
      <c r="CJ209" s="250"/>
      <c r="CK209" s="260"/>
      <c r="CL209" s="260"/>
      <c r="CM209" s="260"/>
      <c r="CN209" s="260"/>
      <c r="CO209" s="260"/>
      <c r="CP209" s="260"/>
      <c r="CQ209" s="260"/>
      <c r="CR209" s="260"/>
      <c r="CS209" s="260"/>
      <c r="CT209" s="260"/>
      <c r="CU209" s="260"/>
      <c r="CV209" s="260"/>
      <c r="CW209" s="260"/>
      <c r="CX209" s="260"/>
      <c r="CY209" s="260"/>
      <c r="CZ209" s="260"/>
      <c r="DA209" s="260"/>
      <c r="DB209" s="260"/>
      <c r="DC209" s="313"/>
      <c r="DD209" s="250"/>
      <c r="DE209" s="250"/>
      <c r="DF209" s="250"/>
      <c r="DG209" s="260"/>
      <c r="DH209" s="260"/>
      <c r="DI209" s="260"/>
      <c r="DJ209" s="260"/>
      <c r="DK209" s="260"/>
      <c r="DL209" s="260"/>
      <c r="DM209" s="260"/>
      <c r="DN209" s="260"/>
      <c r="DO209" s="260"/>
      <c r="DP209" s="260"/>
      <c r="DQ209" s="313"/>
      <c r="DR209" s="250"/>
      <c r="DS209" s="250"/>
      <c r="DT209" s="250"/>
      <c r="DU209" s="250"/>
      <c r="DV209" s="250"/>
      <c r="DW209" s="260"/>
    </row>
    <row r="210" spans="2:127" ht="14.5" customHeight="1" x14ac:dyDescent="0.45">
      <c r="B210" s="823"/>
      <c r="C210" s="824" t="s">
        <v>1555</v>
      </c>
      <c r="V210" s="234"/>
      <c r="W210" s="234"/>
      <c r="BF210" s="248"/>
      <c r="BG210" s="248"/>
      <c r="CA210" s="246"/>
      <c r="CB210" s="246"/>
      <c r="CC210" s="246"/>
      <c r="CD210" s="246"/>
      <c r="CE210" s="246"/>
      <c r="CF210" s="246"/>
      <c r="CG210" s="246"/>
      <c r="CH210" s="246"/>
      <c r="CI210" s="246"/>
      <c r="CJ210" s="246"/>
      <c r="DC210" s="246"/>
      <c r="DD210" s="246"/>
      <c r="DE210" s="246"/>
      <c r="DF210" s="246"/>
      <c r="DQ210" s="246"/>
      <c r="DR210" s="246"/>
      <c r="DS210" s="246"/>
      <c r="DT210" s="246"/>
      <c r="DU210" s="246"/>
      <c r="DV210" s="246"/>
    </row>
    <row r="211" spans="2:127" ht="14.5" customHeight="1" x14ac:dyDescent="0.45">
      <c r="B211" s="823"/>
      <c r="C211" s="825" t="s">
        <v>1946</v>
      </c>
      <c r="E211" s="521" t="s">
        <v>2100</v>
      </c>
      <c r="G211" s="250"/>
      <c r="H211" s="250"/>
      <c r="I211" s="250"/>
      <c r="J211" s="250"/>
      <c r="K211" s="250"/>
      <c r="L211" s="250"/>
      <c r="M211" s="250"/>
      <c r="N211" s="250"/>
      <c r="O211" s="250"/>
      <c r="P211" s="250"/>
      <c r="Q211" s="313"/>
      <c r="R211" s="250"/>
      <c r="S211" s="250"/>
      <c r="T211" s="250"/>
      <c r="U211" s="250"/>
      <c r="V211" s="260"/>
      <c r="W211" s="260"/>
      <c r="X211" s="250"/>
      <c r="Y211" s="250"/>
      <c r="Z211" s="250"/>
      <c r="AA211" s="250"/>
      <c r="AB211" s="250"/>
      <c r="AC211" s="250"/>
      <c r="AD211" s="250"/>
      <c r="AE211" s="250"/>
      <c r="AF211" s="250"/>
      <c r="AG211" s="250"/>
      <c r="AH211" s="250"/>
      <c r="AI211" s="250"/>
      <c r="AJ211" s="250"/>
      <c r="AK211" s="250"/>
      <c r="AL211" s="250"/>
      <c r="AM211" s="313"/>
      <c r="AN211" s="250"/>
      <c r="AO211" s="250"/>
      <c r="AP211" s="250"/>
      <c r="AQ211" s="250"/>
      <c r="AR211" s="250"/>
      <c r="AS211" s="250"/>
      <c r="AT211" s="250"/>
      <c r="AU211" s="250"/>
      <c r="AV211" s="250"/>
      <c r="AW211" s="250"/>
      <c r="AX211" s="250"/>
      <c r="AY211" s="250"/>
      <c r="AZ211" s="250"/>
      <c r="BA211" s="313"/>
      <c r="BB211" s="250"/>
      <c r="BC211" s="250"/>
      <c r="BD211" s="250"/>
      <c r="BE211" s="250"/>
      <c r="BF211" s="248"/>
      <c r="BG211" s="248"/>
      <c r="BH211" s="250"/>
      <c r="BI211" s="250"/>
      <c r="BJ211" s="313"/>
      <c r="BK211" s="250"/>
      <c r="BL211" s="250"/>
      <c r="BM211" s="250"/>
      <c r="BN211" s="250"/>
      <c r="BO211" s="250"/>
      <c r="BP211" s="250"/>
      <c r="BQ211" s="250"/>
      <c r="BR211" s="250"/>
      <c r="BS211" s="250"/>
      <c r="BT211" s="250"/>
      <c r="BU211" s="250"/>
      <c r="BV211" s="250"/>
      <c r="BW211" s="313"/>
      <c r="BX211" s="250"/>
      <c r="BY211" s="250"/>
      <c r="BZ211" s="250"/>
      <c r="CA211" s="250"/>
      <c r="CB211" s="250"/>
      <c r="CC211" s="250"/>
      <c r="CD211" s="250"/>
      <c r="CE211" s="250"/>
      <c r="CF211" s="250"/>
      <c r="CG211" s="250"/>
      <c r="CH211" s="250"/>
      <c r="CI211" s="250"/>
      <c r="CJ211" s="250"/>
      <c r="CK211" s="313"/>
      <c r="CL211" s="260"/>
      <c r="CM211" s="260"/>
      <c r="CN211" s="260"/>
      <c r="CO211" s="260"/>
      <c r="CP211" s="260"/>
      <c r="CQ211" s="260"/>
      <c r="CR211" s="260"/>
      <c r="CS211" s="260"/>
      <c r="CT211" s="260"/>
      <c r="CU211" s="260"/>
      <c r="CV211" s="260"/>
      <c r="CW211" s="260"/>
      <c r="CX211" s="260"/>
      <c r="CY211" s="260"/>
      <c r="CZ211" s="260"/>
      <c r="DA211" s="260"/>
      <c r="DB211" s="260"/>
      <c r="DC211" s="260"/>
      <c r="DD211" s="250"/>
      <c r="DE211" s="250"/>
      <c r="DF211" s="250"/>
      <c r="DG211" s="313"/>
      <c r="DH211" s="260"/>
      <c r="DI211" s="260"/>
      <c r="DJ211" s="260"/>
      <c r="DK211" s="260"/>
      <c r="DL211" s="260"/>
      <c r="DM211" s="260"/>
      <c r="DN211" s="260"/>
      <c r="DO211" s="260"/>
      <c r="DP211" s="260"/>
      <c r="DQ211" s="260"/>
      <c r="DR211" s="250"/>
      <c r="DS211" s="250"/>
      <c r="DT211" s="250"/>
      <c r="DU211" s="313"/>
      <c r="DV211" s="250"/>
      <c r="DW211" s="260"/>
    </row>
    <row r="212" spans="2:127" ht="14.5" customHeight="1" thickBot="1" x14ac:dyDescent="0.5">
      <c r="B212" s="826"/>
      <c r="C212" s="827" t="s">
        <v>1556</v>
      </c>
      <c r="N212" s="248"/>
      <c r="O212" s="248"/>
      <c r="P212" s="248"/>
      <c r="Q212" s="248"/>
      <c r="R212" s="248"/>
      <c r="S212" s="248"/>
      <c r="T212" s="248"/>
      <c r="U212" s="248"/>
      <c r="V212" s="248"/>
      <c r="W212" s="248"/>
      <c r="X212" s="601"/>
      <c r="Y212" s="601"/>
      <c r="Z212" s="248"/>
      <c r="AA212" s="248"/>
      <c r="AB212" s="248"/>
      <c r="AC212" s="248"/>
      <c r="AD212" s="248"/>
      <c r="AE212" s="248"/>
      <c r="AF212" s="248"/>
      <c r="AG212" s="248"/>
      <c r="AH212" s="248"/>
      <c r="AI212" s="248"/>
      <c r="AJ212" s="248"/>
      <c r="AK212" s="248"/>
      <c r="AL212" s="248"/>
      <c r="AM212" s="248"/>
      <c r="AN212" s="248"/>
      <c r="AO212" s="248"/>
      <c r="AP212" s="248"/>
      <c r="AQ212" s="248"/>
      <c r="AR212" s="248"/>
      <c r="AS212" s="248"/>
      <c r="AT212" s="248"/>
      <c r="AU212" s="248"/>
      <c r="AV212" s="248"/>
      <c r="AW212" s="248"/>
      <c r="AX212" s="248"/>
      <c r="AY212" s="248"/>
      <c r="AZ212" s="248"/>
      <c r="BA212" s="248"/>
      <c r="BB212" s="248"/>
      <c r="BC212" s="248"/>
      <c r="BD212" s="248"/>
      <c r="BE212" s="248"/>
      <c r="BH212" s="248"/>
      <c r="BI212" s="248"/>
      <c r="BJ212" s="248"/>
      <c r="BK212" s="248"/>
      <c r="BL212" s="248"/>
      <c r="BM212" s="248"/>
      <c r="BN212" s="248"/>
      <c r="BQ212" s="248"/>
      <c r="BR212" s="248"/>
      <c r="BS212" s="248"/>
      <c r="BT212" s="248"/>
      <c r="BU212" s="248"/>
      <c r="BV212" s="248"/>
      <c r="BW212" s="248"/>
      <c r="BX212" s="248"/>
      <c r="BY212" s="248"/>
      <c r="BZ212" s="248"/>
      <c r="CA212" s="248"/>
      <c r="CB212" s="248"/>
      <c r="CC212" s="248"/>
      <c r="CD212" s="248"/>
      <c r="CE212" s="248"/>
      <c r="CF212" s="248"/>
      <c r="CG212" s="248"/>
      <c r="CH212" s="248"/>
      <c r="CI212" s="248"/>
      <c r="CJ212" s="248"/>
      <c r="CK212" s="248"/>
      <c r="CL212" s="248"/>
      <c r="CM212" s="248"/>
      <c r="CN212" s="248"/>
      <c r="CO212" s="248"/>
      <c r="CP212" s="248"/>
      <c r="CQ212" s="248"/>
      <c r="CR212" s="601"/>
      <c r="CS212" s="601"/>
      <c r="CT212" s="248"/>
      <c r="CU212" s="248"/>
      <c r="CV212" s="248"/>
      <c r="CW212" s="248"/>
      <c r="CX212" s="248"/>
      <c r="CY212" s="248"/>
      <c r="CZ212" s="248"/>
      <c r="DA212" s="248"/>
      <c r="DB212" s="248"/>
      <c r="DC212" s="248"/>
      <c r="DD212" s="248"/>
      <c r="DE212" s="248"/>
      <c r="DF212" s="248"/>
      <c r="DG212" s="248"/>
      <c r="DH212" s="248"/>
      <c r="DI212" s="248"/>
      <c r="DJ212" s="248"/>
      <c r="DK212" s="248"/>
      <c r="DL212" s="248"/>
      <c r="DM212" s="248"/>
      <c r="DN212" s="248"/>
      <c r="DO212" s="248"/>
      <c r="DP212" s="248"/>
      <c r="DQ212" s="248"/>
      <c r="DR212" s="248"/>
      <c r="DS212" s="248"/>
      <c r="DT212" s="248"/>
      <c r="DU212" s="601"/>
    </row>
    <row r="213" spans="2:127" ht="14.5" customHeight="1" thickBot="1" x14ac:dyDescent="0.5">
      <c r="B213" s="234"/>
      <c r="C213" s="234"/>
      <c r="E213" s="521" t="s">
        <v>1420</v>
      </c>
      <c r="G213" s="511"/>
      <c r="H213" s="511"/>
      <c r="I213" s="511"/>
      <c r="J213" s="511"/>
      <c r="K213" s="511"/>
      <c r="L213" s="511"/>
      <c r="M213" s="504"/>
      <c r="N213" s="505"/>
      <c r="O213" s="505"/>
      <c r="P213" s="505"/>
      <c r="Q213" s="505"/>
      <c r="R213" s="505"/>
      <c r="S213" s="505"/>
      <c r="T213" s="505"/>
      <c r="U213" s="505"/>
      <c r="V213" s="505"/>
      <c r="W213" s="505"/>
      <c r="X213" s="505"/>
      <c r="Y213" s="505"/>
      <c r="Z213" s="505"/>
      <c r="AA213" s="505"/>
      <c r="AB213" s="505"/>
      <c r="AC213" s="505"/>
      <c r="AD213" s="505"/>
      <c r="AE213" s="505"/>
      <c r="AF213" s="505"/>
      <c r="AG213" s="505"/>
      <c r="AH213" s="506"/>
      <c r="AI213" s="511"/>
      <c r="AJ213" s="511"/>
      <c r="AK213" s="511"/>
      <c r="AL213" s="511"/>
      <c r="AM213" s="511"/>
      <c r="AN213" s="511"/>
      <c r="AO213" s="511"/>
      <c r="AP213" s="511"/>
      <c r="AQ213" s="511"/>
      <c r="AR213" s="511"/>
      <c r="AS213" s="511"/>
      <c r="AT213" s="511"/>
      <c r="AU213" s="511"/>
      <c r="AV213" s="511"/>
      <c r="AW213" s="504"/>
      <c r="AX213" s="505"/>
      <c r="AY213" s="505"/>
      <c r="AZ213" s="505"/>
      <c r="BA213" s="505"/>
      <c r="BB213" s="505"/>
      <c r="BC213" s="505"/>
      <c r="BD213" s="505"/>
      <c r="BE213" s="505"/>
      <c r="BH213" s="505"/>
      <c r="BI213" s="505"/>
      <c r="BJ213" s="505"/>
      <c r="BK213" s="505"/>
      <c r="BL213" s="505"/>
      <c r="BM213" s="505"/>
      <c r="BN213" s="505"/>
      <c r="BO213" s="505"/>
      <c r="BP213" s="505"/>
      <c r="BQ213" s="505"/>
      <c r="BR213" s="506"/>
      <c r="BS213" s="511"/>
      <c r="BT213" s="511"/>
      <c r="BU213" s="511"/>
      <c r="BV213" s="511"/>
      <c r="BW213" s="511"/>
      <c r="BX213" s="511"/>
      <c r="BY213" s="511"/>
      <c r="BZ213" s="511"/>
      <c r="CA213" s="511"/>
      <c r="CB213" s="511"/>
      <c r="CC213" s="511"/>
      <c r="CD213" s="511"/>
      <c r="CE213" s="511"/>
      <c r="CF213" s="511"/>
      <c r="CG213" s="504"/>
      <c r="CH213" s="505"/>
      <c r="CI213" s="505"/>
      <c r="CJ213" s="505"/>
      <c r="CK213" s="505"/>
      <c r="CL213" s="505"/>
      <c r="CM213" s="505"/>
      <c r="CN213" s="505"/>
      <c r="CO213" s="505"/>
      <c r="CP213" s="505"/>
      <c r="CQ213" s="505"/>
      <c r="CR213" s="505"/>
      <c r="CS213" s="505"/>
      <c r="CT213" s="505"/>
      <c r="CU213" s="505"/>
      <c r="CV213" s="505"/>
      <c r="CW213" s="505"/>
      <c r="CX213" s="505"/>
      <c r="CY213" s="505"/>
      <c r="CZ213" s="505"/>
      <c r="DA213" s="505"/>
      <c r="DB213" s="506"/>
      <c r="DC213" s="511"/>
      <c r="DD213" s="511"/>
      <c r="DE213" s="511"/>
      <c r="DF213" s="511"/>
      <c r="DG213" s="511"/>
      <c r="DH213" s="511"/>
      <c r="DI213" s="511"/>
      <c r="DJ213" s="511"/>
      <c r="DK213" s="511"/>
      <c r="DL213" s="511"/>
      <c r="DM213" s="511"/>
      <c r="DN213" s="511"/>
      <c r="DO213" s="511"/>
      <c r="DP213" s="511"/>
      <c r="DQ213" s="504"/>
      <c r="DR213" s="505"/>
      <c r="DS213" s="505"/>
      <c r="DT213" s="505"/>
      <c r="DU213" s="505"/>
      <c r="DV213" s="505"/>
      <c r="DW213" s="505"/>
    </row>
    <row r="214" spans="2:127" ht="14.5" customHeight="1" thickBot="1" x14ac:dyDescent="0.5">
      <c r="B214" s="234"/>
      <c r="C214" s="234"/>
      <c r="AA214" s="234"/>
      <c r="AB214" s="234"/>
      <c r="CA214" s="246"/>
      <c r="CB214" s="246"/>
      <c r="CC214" s="246"/>
      <c r="CD214" s="246"/>
      <c r="CE214" s="246"/>
      <c r="CF214" s="246"/>
      <c r="CG214" s="246"/>
      <c r="CH214" s="246"/>
      <c r="CI214" s="246"/>
      <c r="CJ214" s="246"/>
      <c r="CK214" s="246"/>
      <c r="CL214" s="246"/>
      <c r="CM214" s="246"/>
      <c r="CN214" s="246"/>
      <c r="CO214" s="246"/>
      <c r="CP214" s="246"/>
      <c r="CQ214" s="246"/>
      <c r="CR214" s="246"/>
      <c r="CS214" s="246"/>
      <c r="CT214" s="246"/>
      <c r="CW214" s="246"/>
      <c r="CX214" s="246"/>
      <c r="CY214" s="246"/>
      <c r="CZ214" s="246"/>
      <c r="DA214" s="246"/>
      <c r="DB214" s="246"/>
      <c r="DC214" s="246"/>
      <c r="DD214" s="246"/>
      <c r="DE214" s="246"/>
      <c r="DF214" s="246"/>
      <c r="DG214" s="246"/>
      <c r="DH214" s="246"/>
      <c r="DI214" s="246"/>
      <c r="DJ214" s="246"/>
      <c r="DK214" s="246"/>
      <c r="DL214" s="246"/>
      <c r="DM214" s="246"/>
      <c r="DN214" s="246"/>
      <c r="DO214" s="246"/>
      <c r="DP214" s="246"/>
    </row>
    <row r="215" spans="2:127" ht="14.5" customHeight="1" thickBot="1" x14ac:dyDescent="0.5">
      <c r="B215" s="234"/>
      <c r="C215" s="234"/>
      <c r="E215" s="521" t="s">
        <v>1421</v>
      </c>
      <c r="G215" s="509"/>
      <c r="H215" s="509"/>
      <c r="I215" s="509"/>
      <c r="J215" s="509"/>
      <c r="K215" s="509"/>
      <c r="L215" s="509"/>
      <c r="M215" s="886"/>
      <c r="N215" s="507"/>
      <c r="O215" s="507"/>
      <c r="P215" s="507"/>
      <c r="Q215" s="507"/>
      <c r="R215" s="507"/>
      <c r="S215" s="507"/>
      <c r="T215" s="507"/>
      <c r="U215" s="507"/>
      <c r="V215" s="507"/>
      <c r="W215" s="507"/>
      <c r="X215" s="507"/>
      <c r="Y215" s="507"/>
      <c r="Z215" s="507"/>
      <c r="AA215" s="507"/>
      <c r="AB215" s="507"/>
      <c r="AC215" s="507"/>
      <c r="AD215" s="507"/>
      <c r="AE215" s="507"/>
      <c r="AF215" s="507"/>
      <c r="AG215" s="507"/>
      <c r="AH215" s="904"/>
      <c r="AI215" s="508"/>
      <c r="AJ215" s="509"/>
      <c r="AK215" s="509"/>
      <c r="AL215" s="509"/>
      <c r="AM215" s="509"/>
      <c r="AN215" s="509"/>
      <c r="AO215" s="509"/>
      <c r="AP215" s="509"/>
      <c r="AQ215" s="509"/>
      <c r="AR215" s="509"/>
      <c r="AS215" s="509"/>
      <c r="AT215" s="509"/>
      <c r="AU215" s="509"/>
      <c r="AV215" s="510"/>
      <c r="AW215" s="507"/>
      <c r="AX215" s="507"/>
      <c r="AY215" s="507"/>
      <c r="AZ215" s="507"/>
      <c r="BA215" s="507"/>
      <c r="BB215" s="507"/>
      <c r="BC215" s="507"/>
      <c r="BD215" s="507"/>
      <c r="BE215" s="507"/>
      <c r="BH215" s="507"/>
      <c r="BI215" s="507"/>
      <c r="BJ215" s="507"/>
      <c r="BK215" s="507"/>
      <c r="BL215" s="507"/>
      <c r="BM215" s="507"/>
      <c r="BN215" s="507"/>
      <c r="BO215" s="507"/>
      <c r="BP215" s="507"/>
      <c r="BQ215" s="507"/>
      <c r="BR215" s="507"/>
      <c r="BS215" s="508"/>
      <c r="BT215" s="509"/>
      <c r="BU215" s="509"/>
      <c r="BV215" s="509"/>
      <c r="BW215" s="509"/>
      <c r="BX215" s="509"/>
      <c r="BY215" s="509"/>
      <c r="BZ215" s="509"/>
      <c r="CA215" s="509"/>
      <c r="CB215" s="509"/>
      <c r="CC215" s="509"/>
      <c r="CD215" s="509"/>
      <c r="CE215" s="509"/>
      <c r="CF215" s="510"/>
      <c r="CG215" s="507"/>
      <c r="CH215" s="507"/>
      <c r="CI215" s="507"/>
      <c r="CJ215" s="507"/>
      <c r="CK215" s="507"/>
      <c r="CL215" s="507"/>
      <c r="CM215" s="507"/>
      <c r="CN215" s="507"/>
      <c r="CO215" s="507"/>
      <c r="CP215" s="507"/>
      <c r="CQ215" s="507"/>
      <c r="CR215" s="507"/>
      <c r="CS215" s="507"/>
      <c r="CT215" s="507"/>
      <c r="CU215" s="507"/>
      <c r="CV215" s="507"/>
      <c r="CW215" s="507"/>
      <c r="CX215" s="507"/>
      <c r="CY215" s="507"/>
      <c r="CZ215" s="507"/>
      <c r="DA215" s="507"/>
      <c r="DB215" s="507"/>
      <c r="DC215" s="508"/>
      <c r="DD215" s="509"/>
      <c r="DE215" s="509"/>
      <c r="DF215" s="509"/>
      <c r="DG215" s="509"/>
      <c r="DH215" s="509"/>
      <c r="DI215" s="509"/>
      <c r="DJ215" s="509"/>
      <c r="DK215" s="509"/>
      <c r="DL215" s="509"/>
      <c r="DM215" s="509"/>
      <c r="DN215" s="509"/>
      <c r="DO215" s="509"/>
      <c r="DP215" s="510"/>
      <c r="DQ215" s="507"/>
      <c r="DR215" s="507"/>
      <c r="DS215" s="507"/>
      <c r="DT215" s="507"/>
      <c r="DU215" s="507"/>
      <c r="DV215" s="507"/>
      <c r="DW215" s="507"/>
    </row>
    <row r="216" spans="2:127" ht="14.5" customHeight="1" x14ac:dyDescent="0.45">
      <c r="B216" s="234"/>
      <c r="C216" s="234"/>
      <c r="CA216" s="246"/>
      <c r="CB216" s="246"/>
      <c r="CC216" s="246"/>
      <c r="CD216" s="246"/>
      <c r="CE216" s="246"/>
      <c r="CF216" s="246"/>
      <c r="CG216" s="246"/>
      <c r="CH216" s="246"/>
      <c r="CI216" s="246"/>
      <c r="CJ216" s="246"/>
      <c r="CK216" s="246"/>
      <c r="CL216" s="246"/>
      <c r="CM216" s="246"/>
      <c r="CN216" s="246"/>
      <c r="CO216" s="246"/>
      <c r="CP216" s="246"/>
      <c r="CQ216" s="246"/>
      <c r="CR216" s="246"/>
      <c r="CS216" s="246"/>
      <c r="CT216" s="246"/>
      <c r="CU216" s="246"/>
      <c r="CV216" s="246"/>
      <c r="CW216" s="246"/>
      <c r="CX216" s="246"/>
      <c r="CY216" s="246"/>
      <c r="CZ216" s="246"/>
      <c r="DA216" s="246"/>
      <c r="DB216" s="246"/>
      <c r="DC216" s="246"/>
      <c r="DD216" s="246"/>
      <c r="DE216" s="246"/>
      <c r="DF216" s="246"/>
      <c r="DG216" s="246"/>
      <c r="DH216" s="246"/>
      <c r="DI216" s="246"/>
      <c r="DJ216" s="246"/>
      <c r="DK216" s="246"/>
      <c r="DL216" s="246"/>
      <c r="DM216" s="246"/>
      <c r="DN216" s="246"/>
      <c r="DO216" s="246"/>
      <c r="DP216" s="246"/>
      <c r="DQ216" s="246"/>
      <c r="DR216" s="246"/>
      <c r="DS216" s="246"/>
      <c r="DT216" s="246"/>
      <c r="DU216" s="246"/>
      <c r="DV216" s="246"/>
      <c r="DW216" s="246"/>
    </row>
    <row r="217" spans="2:127" ht="14.5" customHeight="1" x14ac:dyDescent="0.45">
      <c r="B217" s="521"/>
      <c r="C217" s="521"/>
      <c r="E217" s="521" t="s">
        <v>2029</v>
      </c>
      <c r="G217" s="796"/>
      <c r="H217" s="796"/>
      <c r="I217" s="796"/>
      <c r="J217" s="796"/>
      <c r="K217" s="796"/>
      <c r="L217" s="796"/>
      <c r="M217" s="796"/>
      <c r="N217" s="797"/>
      <c r="O217" s="796"/>
      <c r="P217" s="796"/>
      <c r="Q217" s="796"/>
      <c r="R217" s="796"/>
      <c r="S217" s="796"/>
      <c r="T217" s="796"/>
      <c r="U217" s="796"/>
      <c r="V217" s="796"/>
      <c r="W217" s="796"/>
      <c r="X217" s="796"/>
      <c r="Y217" s="796"/>
      <c r="Z217" s="796"/>
      <c r="AA217" s="796"/>
      <c r="AB217" s="796"/>
      <c r="AC217" s="796"/>
      <c r="AD217" s="796"/>
      <c r="AE217" s="796"/>
      <c r="AF217" s="796"/>
      <c r="AG217" s="796"/>
      <c r="AH217" s="796"/>
      <c r="AI217" s="796"/>
      <c r="AJ217" s="797"/>
      <c r="AK217" s="796"/>
      <c r="AL217" s="796"/>
      <c r="AM217" s="796"/>
      <c r="AN217" s="796"/>
      <c r="AO217" s="796"/>
      <c r="AP217" s="796"/>
      <c r="AQ217" s="796"/>
      <c r="AR217" s="796"/>
      <c r="AS217" s="796"/>
      <c r="AT217" s="796"/>
      <c r="AU217" s="796"/>
      <c r="AV217" s="796"/>
      <c r="AW217" s="796"/>
      <c r="AX217" s="797"/>
      <c r="AY217" s="796"/>
      <c r="AZ217" s="796"/>
      <c r="BA217" s="796"/>
      <c r="BB217" s="796"/>
      <c r="BC217" s="796"/>
      <c r="BD217" s="796"/>
      <c r="BE217" s="796"/>
      <c r="BH217" s="796"/>
      <c r="BI217" s="796"/>
      <c r="BJ217" s="796"/>
      <c r="BK217" s="796"/>
      <c r="BL217" s="796"/>
      <c r="BM217" s="796"/>
      <c r="BN217" s="796"/>
      <c r="BO217" s="796"/>
      <c r="BP217" s="796"/>
      <c r="BQ217" s="796"/>
      <c r="BR217" s="796"/>
      <c r="BS217" s="796"/>
      <c r="BT217" s="797"/>
      <c r="BU217" s="796"/>
      <c r="BV217" s="796"/>
      <c r="BW217" s="796"/>
      <c r="BX217" s="796"/>
      <c r="BY217" s="796"/>
      <c r="BZ217" s="796"/>
      <c r="CA217" s="796"/>
      <c r="CB217" s="796"/>
      <c r="CC217" s="796"/>
      <c r="CD217" s="796"/>
      <c r="CE217" s="796"/>
      <c r="CF217" s="796"/>
      <c r="CG217" s="796"/>
      <c r="CH217" s="797"/>
      <c r="CI217" s="796"/>
      <c r="CJ217" s="796"/>
      <c r="CK217" s="796"/>
      <c r="CL217" s="796"/>
      <c r="CM217" s="796"/>
      <c r="CN217" s="796"/>
      <c r="CO217" s="796"/>
      <c r="CP217" s="796"/>
      <c r="CQ217" s="796"/>
      <c r="CR217" s="796"/>
      <c r="CS217" s="796"/>
      <c r="CT217" s="796"/>
      <c r="CU217" s="796"/>
      <c r="CV217" s="796"/>
      <c r="CW217" s="796"/>
      <c r="CX217" s="796"/>
      <c r="CY217" s="796"/>
      <c r="CZ217" s="796"/>
      <c r="DA217" s="796"/>
      <c r="DB217" s="796"/>
      <c r="DC217" s="796"/>
      <c r="DD217" s="797"/>
      <c r="DE217" s="796"/>
      <c r="DF217" s="796"/>
      <c r="DG217" s="796"/>
      <c r="DH217" s="796"/>
      <c r="DI217" s="796"/>
      <c r="DJ217" s="796"/>
      <c r="DK217" s="796"/>
      <c r="DL217" s="796"/>
      <c r="DM217" s="796"/>
      <c r="DN217" s="796"/>
      <c r="DO217" s="796"/>
      <c r="DP217" s="796"/>
      <c r="DQ217" s="796"/>
      <c r="DR217" s="797"/>
      <c r="DS217" s="796"/>
      <c r="DT217" s="796"/>
      <c r="DU217" s="796"/>
      <c r="DV217" s="796"/>
      <c r="DW217" s="796"/>
    </row>
    <row r="218" spans="2:127" ht="14.5" customHeight="1" x14ac:dyDescent="0.45">
      <c r="B218" s="521"/>
      <c r="C218" s="521"/>
      <c r="N218" s="234"/>
      <c r="P218" s="234"/>
      <c r="T218" s="234"/>
      <c r="V218" s="234"/>
      <c r="X218" s="234"/>
    </row>
    <row r="219" spans="2:127" ht="14.5" customHeight="1" x14ac:dyDescent="0.45">
      <c r="B219" s="521"/>
      <c r="C219" s="521"/>
      <c r="E219" s="521" t="s">
        <v>2029</v>
      </c>
      <c r="G219" s="796"/>
      <c r="H219" s="796"/>
      <c r="I219" s="796"/>
      <c r="J219" s="796"/>
      <c r="K219" s="796"/>
      <c r="L219" s="796"/>
      <c r="M219" s="796"/>
      <c r="N219" s="797"/>
      <c r="O219" s="796"/>
      <c r="P219" s="796"/>
      <c r="Q219" s="796"/>
      <c r="R219" s="796"/>
      <c r="S219" s="796"/>
      <c r="T219" s="796"/>
      <c r="U219" s="796"/>
      <c r="V219" s="796"/>
      <c r="W219" s="796"/>
      <c r="X219" s="796"/>
      <c r="Y219" s="796"/>
      <c r="Z219" s="796"/>
      <c r="AA219" s="796"/>
      <c r="AB219" s="796"/>
      <c r="AC219" s="796"/>
      <c r="AD219" s="796"/>
      <c r="AE219" s="796"/>
      <c r="AF219" s="796"/>
      <c r="AG219" s="796"/>
      <c r="AH219" s="796"/>
      <c r="AI219" s="796"/>
      <c r="AJ219" s="797"/>
      <c r="AK219" s="796"/>
      <c r="AL219" s="796"/>
      <c r="AM219" s="796"/>
      <c r="AN219" s="796"/>
      <c r="AO219" s="796"/>
      <c r="AP219" s="796"/>
      <c r="AQ219" s="796"/>
      <c r="AR219" s="796"/>
      <c r="AS219" s="796"/>
      <c r="AT219" s="796"/>
      <c r="AU219" s="796"/>
      <c r="AV219" s="796"/>
      <c r="AW219" s="796"/>
      <c r="AX219" s="797"/>
      <c r="AY219" s="796"/>
      <c r="AZ219" s="796"/>
      <c r="BA219" s="796"/>
      <c r="BB219" s="796"/>
      <c r="BC219" s="796"/>
      <c r="BD219" s="796"/>
      <c r="BE219" s="796"/>
      <c r="BH219" s="796"/>
      <c r="BI219" s="796"/>
      <c r="BJ219" s="796"/>
      <c r="BK219" s="796"/>
      <c r="BL219" s="796"/>
      <c r="BM219" s="796"/>
      <c r="BN219" s="796"/>
      <c r="BO219" s="796"/>
      <c r="BP219" s="796"/>
      <c r="BQ219" s="796"/>
      <c r="BR219" s="796"/>
      <c r="BS219" s="796"/>
      <c r="BT219" s="797"/>
      <c r="BU219" s="796"/>
      <c r="BV219" s="796"/>
      <c r="BW219" s="796"/>
      <c r="BX219" s="796"/>
      <c r="BY219" s="796"/>
      <c r="BZ219" s="796"/>
      <c r="CA219" s="796"/>
      <c r="CB219" s="796"/>
      <c r="CC219" s="796"/>
      <c r="CD219" s="796"/>
      <c r="CE219" s="796"/>
      <c r="CF219" s="796"/>
      <c r="CG219" s="796"/>
      <c r="CH219" s="797"/>
      <c r="CI219" s="796"/>
      <c r="CJ219" s="796"/>
      <c r="CK219" s="796"/>
      <c r="CL219" s="796"/>
      <c r="CM219" s="796"/>
      <c r="CN219" s="796"/>
      <c r="CO219" s="796"/>
      <c r="CP219" s="796"/>
      <c r="CQ219" s="796"/>
      <c r="CR219" s="796"/>
      <c r="CS219" s="796"/>
      <c r="CT219" s="796"/>
      <c r="CU219" s="796"/>
      <c r="CV219" s="796"/>
      <c r="CW219" s="796"/>
      <c r="CX219" s="796"/>
      <c r="CY219" s="796"/>
      <c r="CZ219" s="796"/>
      <c r="DA219" s="796"/>
      <c r="DB219" s="796"/>
      <c r="DC219" s="796"/>
      <c r="DD219" s="797"/>
      <c r="DE219" s="796"/>
      <c r="DF219" s="796"/>
      <c r="DG219" s="796"/>
      <c r="DH219" s="796"/>
      <c r="DI219" s="796"/>
      <c r="DJ219" s="796"/>
      <c r="DK219" s="796"/>
      <c r="DL219" s="796"/>
      <c r="DM219" s="796"/>
      <c r="DN219" s="796"/>
      <c r="DO219" s="796"/>
      <c r="DP219" s="796"/>
      <c r="DQ219" s="796"/>
      <c r="DR219" s="797"/>
      <c r="DS219" s="796"/>
      <c r="DT219" s="796"/>
      <c r="DU219" s="796"/>
      <c r="DV219" s="796"/>
      <c r="DW219" s="796"/>
    </row>
    <row r="220" spans="2:127" ht="14.5" customHeight="1" x14ac:dyDescent="0.45">
      <c r="B220" s="521"/>
      <c r="C220" s="521"/>
      <c r="N220" s="234"/>
      <c r="P220" s="234"/>
      <c r="T220" s="234"/>
      <c r="V220" s="234"/>
      <c r="X220" s="234"/>
    </row>
    <row r="221" spans="2:127" ht="14.5" customHeight="1" x14ac:dyDescent="0.45">
      <c r="B221" s="521"/>
      <c r="C221" s="521"/>
      <c r="N221" s="234"/>
      <c r="P221" s="234"/>
      <c r="R221" s="234"/>
      <c r="T221" s="234"/>
      <c r="V221" s="234"/>
      <c r="X221" s="234"/>
    </row>
    <row r="222" spans="2:127" ht="14.5" customHeight="1" x14ac:dyDescent="0.45">
      <c r="B222" s="521"/>
      <c r="C222" s="521"/>
      <c r="E222" s="521" t="s">
        <v>2339</v>
      </c>
      <c r="F222" s="234"/>
      <c r="G222" s="961"/>
      <c r="H222" s="961"/>
      <c r="I222" s="961"/>
      <c r="J222" s="961"/>
      <c r="K222" s="961"/>
      <c r="L222" s="961"/>
      <c r="M222" s="961"/>
      <c r="N222" s="962"/>
      <c r="O222" s="961"/>
      <c r="P222" s="961"/>
      <c r="Q222" s="961"/>
      <c r="R222" s="961"/>
      <c r="S222" s="961"/>
      <c r="T222" s="961"/>
      <c r="U222" s="961"/>
      <c r="V222" s="961"/>
      <c r="W222" s="961"/>
      <c r="X222" s="961"/>
      <c r="Y222" s="961"/>
      <c r="Z222" s="961"/>
      <c r="AA222" s="961"/>
      <c r="AB222" s="961"/>
      <c r="AC222" s="961"/>
      <c r="AD222" s="961"/>
      <c r="AE222" s="961"/>
      <c r="AF222" s="961"/>
      <c r="AG222" s="961"/>
      <c r="AH222" s="961"/>
      <c r="AI222" s="961"/>
      <c r="AJ222" s="962"/>
      <c r="AK222" s="961"/>
      <c r="AL222" s="961"/>
      <c r="AM222" s="961"/>
      <c r="AN222" s="961"/>
      <c r="AO222" s="961"/>
      <c r="AP222" s="961"/>
      <c r="AQ222" s="960"/>
      <c r="AR222" s="960"/>
      <c r="AS222" s="960"/>
      <c r="AT222" s="960"/>
      <c r="AU222" s="960"/>
      <c r="AV222" s="960"/>
      <c r="AW222" s="960"/>
      <c r="AX222" s="962"/>
      <c r="AY222" s="960"/>
      <c r="AZ222" s="960"/>
      <c r="BA222" s="960"/>
      <c r="BB222" s="960"/>
      <c r="BC222" s="960"/>
      <c r="BD222" s="960"/>
      <c r="BE222" s="960"/>
      <c r="BF222" s="796"/>
      <c r="BG222" s="796"/>
      <c r="BH222" s="960"/>
      <c r="BI222" s="960"/>
      <c r="BJ222" s="960"/>
      <c r="BK222" s="960"/>
      <c r="BL222" s="960"/>
      <c r="BM222" s="960"/>
      <c r="BN222" s="960"/>
      <c r="BO222" s="960"/>
      <c r="BP222" s="960"/>
      <c r="BQ222" s="960"/>
      <c r="BR222" s="960"/>
      <c r="BS222" s="960"/>
      <c r="BT222" s="962"/>
      <c r="BU222" s="960"/>
      <c r="BV222" s="960"/>
      <c r="BW222" s="960"/>
      <c r="BX222" s="960"/>
      <c r="BY222" s="960"/>
      <c r="BZ222" s="960"/>
      <c r="CA222" s="960"/>
      <c r="CB222" s="960"/>
      <c r="CC222" s="960"/>
      <c r="CD222" s="960"/>
      <c r="CE222" s="960"/>
      <c r="CF222" s="960"/>
      <c r="CG222" s="960"/>
      <c r="CH222" s="962"/>
      <c r="CI222" s="960"/>
      <c r="CJ222" s="960"/>
      <c r="CK222" s="960"/>
      <c r="CL222" s="960"/>
      <c r="CM222" s="960"/>
      <c r="CN222" s="960"/>
      <c r="CO222" s="960"/>
      <c r="CP222" s="960"/>
      <c r="CQ222" s="960"/>
      <c r="CR222" s="960"/>
      <c r="CS222" s="960"/>
      <c r="CT222" s="960"/>
      <c r="CU222" s="960"/>
      <c r="CV222" s="960"/>
      <c r="CW222" s="960"/>
      <c r="CX222" s="960"/>
      <c r="CY222" s="960"/>
      <c r="CZ222" s="960"/>
      <c r="DA222" s="960"/>
      <c r="DB222" s="960"/>
      <c r="DC222" s="960"/>
      <c r="DD222" s="962"/>
      <c r="DE222" s="960"/>
      <c r="DF222" s="960"/>
      <c r="DG222" s="960"/>
      <c r="DH222" s="960"/>
      <c r="DI222" s="960"/>
      <c r="DJ222" s="960"/>
      <c r="DK222" s="960"/>
      <c r="DL222" s="960"/>
      <c r="DM222" s="960"/>
      <c r="DN222" s="960"/>
      <c r="DO222" s="960"/>
      <c r="DP222" s="960"/>
      <c r="DQ222" s="960"/>
      <c r="DR222" s="962"/>
      <c r="DS222" s="960"/>
      <c r="DT222" s="960"/>
      <c r="DU222" s="960"/>
      <c r="DV222" s="960"/>
      <c r="DW222" s="960"/>
    </row>
    <row r="223" spans="2:127" ht="14.5" customHeight="1" x14ac:dyDescent="0.45">
      <c r="B223" s="521"/>
      <c r="C223" s="521"/>
      <c r="CA223" s="246"/>
      <c r="CB223" s="246"/>
      <c r="CC223" s="246"/>
      <c r="CD223" s="246"/>
      <c r="CE223" s="246"/>
      <c r="CF223" s="246"/>
      <c r="CG223" s="246"/>
      <c r="CH223" s="246"/>
      <c r="CI223" s="246"/>
      <c r="CJ223" s="246"/>
      <c r="CK223" s="246"/>
      <c r="CL223" s="246"/>
      <c r="CM223" s="246"/>
      <c r="CN223" s="246"/>
      <c r="CO223" s="246"/>
      <c r="CP223" s="246"/>
      <c r="CQ223" s="246"/>
      <c r="CR223" s="246"/>
      <c r="CS223" s="246"/>
      <c r="CT223" s="246"/>
      <c r="CU223" s="246"/>
      <c r="CV223" s="246"/>
      <c r="CW223" s="246"/>
      <c r="CX223" s="246"/>
      <c r="CY223" s="246"/>
      <c r="CZ223" s="246"/>
      <c r="DA223" s="246"/>
      <c r="DB223" s="246"/>
      <c r="DC223" s="246"/>
      <c r="DD223" s="246"/>
      <c r="DE223" s="246"/>
      <c r="DF223" s="246"/>
      <c r="DG223" s="246"/>
      <c r="DH223" s="246"/>
      <c r="DI223" s="246"/>
      <c r="DJ223" s="246"/>
      <c r="DK223" s="246"/>
      <c r="DL223" s="246"/>
      <c r="DM223" s="246"/>
      <c r="DN223" s="246"/>
      <c r="DO223" s="246"/>
      <c r="DP223" s="246"/>
      <c r="DQ223" s="246"/>
      <c r="DR223" s="246"/>
      <c r="DS223" s="246"/>
      <c r="DT223" s="246"/>
      <c r="DU223" s="246"/>
      <c r="DV223" s="246"/>
      <c r="DW223" s="246"/>
    </row>
    <row r="224" spans="2:127" ht="14.5" customHeight="1" x14ac:dyDescent="0.45">
      <c r="B224" s="521"/>
      <c r="C224" s="521"/>
      <c r="E224" s="521" t="s">
        <v>2345</v>
      </c>
      <c r="F224" s="234"/>
      <c r="G224" s="961"/>
      <c r="H224" s="961"/>
      <c r="I224" s="961"/>
      <c r="J224" s="961"/>
      <c r="K224" s="961"/>
      <c r="L224" s="961"/>
      <c r="M224" s="961"/>
      <c r="N224" s="962"/>
      <c r="O224" s="961"/>
      <c r="P224" s="961"/>
      <c r="Q224" s="961"/>
      <c r="R224" s="961"/>
      <c r="S224" s="961"/>
      <c r="T224" s="961"/>
      <c r="U224" s="961"/>
      <c r="V224" s="961"/>
      <c r="W224" s="961"/>
      <c r="X224" s="961"/>
      <c r="Y224" s="961"/>
      <c r="Z224" s="961"/>
      <c r="AA224" s="961"/>
      <c r="AB224" s="961"/>
      <c r="AC224" s="961"/>
      <c r="AD224" s="961"/>
      <c r="AE224" s="961"/>
      <c r="AF224" s="961"/>
      <c r="AG224" s="961"/>
      <c r="AH224" s="961"/>
      <c r="AI224" s="961"/>
      <c r="AJ224" s="962"/>
      <c r="AK224" s="961"/>
      <c r="AL224" s="961"/>
      <c r="AM224" s="961"/>
      <c r="AN224" s="961"/>
      <c r="AO224" s="961"/>
      <c r="AP224" s="961"/>
      <c r="AQ224" s="960"/>
      <c r="AR224" s="960"/>
      <c r="AS224" s="960"/>
      <c r="AT224" s="960"/>
      <c r="AU224" s="960"/>
      <c r="AV224" s="960"/>
      <c r="AW224" s="960"/>
      <c r="AX224" s="962"/>
      <c r="AY224" s="960"/>
      <c r="AZ224" s="960"/>
      <c r="BA224" s="960"/>
      <c r="BB224" s="960"/>
      <c r="BC224" s="960"/>
      <c r="BD224" s="960"/>
      <c r="BE224" s="960"/>
      <c r="BF224" s="796"/>
      <c r="BG224" s="796"/>
      <c r="BH224" s="960"/>
      <c r="BI224" s="960"/>
      <c r="BJ224" s="960"/>
      <c r="BK224" s="960"/>
      <c r="BL224" s="960"/>
      <c r="BM224" s="960"/>
      <c r="BN224" s="960"/>
      <c r="BO224" s="960"/>
      <c r="BP224" s="960"/>
      <c r="BQ224" s="960"/>
      <c r="BR224" s="960"/>
      <c r="BS224" s="960"/>
      <c r="BT224" s="962"/>
      <c r="BU224" s="960"/>
      <c r="BV224" s="960"/>
      <c r="BW224" s="960"/>
      <c r="BX224" s="960"/>
      <c r="BY224" s="960"/>
      <c r="BZ224" s="960"/>
      <c r="CA224" s="960"/>
      <c r="CB224" s="960"/>
      <c r="CC224" s="960"/>
      <c r="CD224" s="960"/>
      <c r="CE224" s="960"/>
      <c r="CF224" s="960"/>
      <c r="CG224" s="960"/>
      <c r="CH224" s="962"/>
      <c r="CI224" s="960"/>
      <c r="CJ224" s="960"/>
      <c r="CK224" s="960"/>
      <c r="CL224" s="960"/>
      <c r="CM224" s="960"/>
      <c r="CN224" s="960"/>
      <c r="CO224" s="960"/>
      <c r="CP224" s="960"/>
      <c r="CQ224" s="960"/>
      <c r="CR224" s="960"/>
      <c r="CS224" s="960"/>
      <c r="CT224" s="960"/>
      <c r="CU224" s="960"/>
      <c r="CV224" s="960"/>
      <c r="CW224" s="960"/>
      <c r="CX224" s="960"/>
      <c r="CY224" s="960"/>
      <c r="CZ224" s="960"/>
      <c r="DA224" s="960"/>
      <c r="DB224" s="960"/>
      <c r="DC224" s="960"/>
      <c r="DD224" s="962"/>
      <c r="DE224" s="960"/>
      <c r="DF224" s="960"/>
      <c r="DG224" s="960"/>
      <c r="DH224" s="960"/>
      <c r="DI224" s="960"/>
      <c r="DJ224" s="960"/>
      <c r="DK224" s="960"/>
      <c r="DL224" s="960"/>
      <c r="DM224" s="960"/>
      <c r="DN224" s="960"/>
      <c r="DO224" s="960"/>
      <c r="DP224" s="960"/>
      <c r="DQ224" s="960"/>
      <c r="DR224" s="962"/>
      <c r="DS224" s="960"/>
      <c r="DT224" s="960"/>
      <c r="DU224" s="960"/>
      <c r="DV224" s="960"/>
      <c r="DW224" s="960"/>
    </row>
    <row r="225" spans="2:127" ht="14.5" customHeight="1" x14ac:dyDescent="0.45">
      <c r="B225" s="521"/>
      <c r="C225" s="521"/>
      <c r="CA225" s="246"/>
      <c r="CB225" s="246"/>
      <c r="CC225" s="246"/>
      <c r="CD225" s="246"/>
      <c r="CE225" s="246"/>
      <c r="CF225" s="246"/>
      <c r="CG225" s="246"/>
      <c r="CH225" s="246"/>
      <c r="CI225" s="246"/>
      <c r="CJ225" s="246"/>
      <c r="CK225" s="246"/>
      <c r="CL225" s="246"/>
      <c r="CM225" s="246"/>
      <c r="CN225" s="246"/>
      <c r="CO225" s="246"/>
      <c r="CP225" s="246"/>
      <c r="CQ225" s="246"/>
      <c r="CR225" s="246"/>
      <c r="CS225" s="246"/>
      <c r="CT225" s="246"/>
      <c r="CU225" s="246"/>
      <c r="CV225" s="246"/>
      <c r="CW225" s="246"/>
      <c r="CX225" s="246"/>
      <c r="CY225" s="246"/>
      <c r="CZ225" s="246"/>
      <c r="DA225" s="246"/>
      <c r="DB225" s="246"/>
      <c r="DC225" s="246"/>
      <c r="DD225" s="246"/>
      <c r="DE225" s="246"/>
      <c r="DF225" s="246"/>
      <c r="DG225" s="246"/>
      <c r="DH225" s="246"/>
      <c r="DI225" s="246"/>
      <c r="DJ225" s="246"/>
      <c r="DK225" s="246"/>
      <c r="DL225" s="246"/>
      <c r="DM225" s="246"/>
      <c r="DN225" s="246"/>
      <c r="DO225" s="246"/>
      <c r="DP225" s="246"/>
      <c r="DQ225" s="246"/>
      <c r="DR225" s="246"/>
      <c r="DS225" s="246"/>
      <c r="DT225" s="246"/>
      <c r="DU225" s="246"/>
      <c r="DV225" s="246"/>
      <c r="DW225" s="246"/>
    </row>
    <row r="226" spans="2:127" ht="14.5" customHeight="1" x14ac:dyDescent="0.45">
      <c r="E226" s="521" t="s">
        <v>1424</v>
      </c>
      <c r="G226" s="250"/>
      <c r="H226" s="250"/>
      <c r="I226" s="250"/>
      <c r="J226" s="250"/>
      <c r="K226" s="250"/>
      <c r="L226" s="250"/>
      <c r="M226" s="250"/>
      <c r="N226" s="250"/>
      <c r="O226" s="250"/>
      <c r="P226" s="250"/>
      <c r="Q226" s="250"/>
      <c r="R226" s="339"/>
      <c r="S226" s="340"/>
      <c r="T226" s="340"/>
      <c r="U226" s="340"/>
      <c r="V226" s="340"/>
      <c r="W226" s="340"/>
      <c r="X226" s="340"/>
      <c r="Y226" s="343"/>
      <c r="Z226" s="343"/>
      <c r="AA226" s="343"/>
      <c r="AB226" s="343"/>
      <c r="AC226" s="343"/>
      <c r="AD226" s="343"/>
      <c r="AE226" s="343"/>
      <c r="AF226" s="343"/>
      <c r="AG226" s="343"/>
      <c r="AH226" s="343"/>
      <c r="AI226" s="344"/>
      <c r="AJ226" s="250"/>
      <c r="AK226" s="250"/>
      <c r="AL226" s="250"/>
      <c r="AM226" s="250"/>
      <c r="AN226" s="316"/>
      <c r="AO226" s="317"/>
      <c r="AP226" s="317"/>
      <c r="AQ226" s="317"/>
      <c r="AR226" s="345"/>
      <c r="AS226" s="345"/>
      <c r="AT226" s="345"/>
      <c r="AU226" s="345"/>
      <c r="AV226" s="345"/>
      <c r="AW226" s="346"/>
      <c r="AX226" s="250"/>
      <c r="AY226" s="250"/>
      <c r="AZ226" s="250"/>
      <c r="BA226" s="250"/>
      <c r="BB226" s="514"/>
      <c r="BC226" s="343"/>
      <c r="BD226" s="343"/>
      <c r="BE226" s="343"/>
      <c r="BF226" s="343"/>
      <c r="BG226" s="343"/>
      <c r="BH226" s="343"/>
      <c r="BI226" s="343"/>
      <c r="BJ226" s="343"/>
      <c r="BK226" s="343"/>
      <c r="BL226" s="343"/>
      <c r="BM226" s="343"/>
      <c r="BN226" s="343"/>
      <c r="BO226" s="343"/>
      <c r="BP226" s="343"/>
      <c r="BQ226" s="343"/>
      <c r="BR226" s="343"/>
      <c r="BS226" s="344"/>
      <c r="BT226" s="250"/>
      <c r="BU226" s="250"/>
      <c r="BV226" s="250"/>
      <c r="BW226" s="250"/>
      <c r="BX226" s="515"/>
      <c r="BY226" s="345"/>
      <c r="BZ226" s="345"/>
      <c r="CA226" s="345"/>
      <c r="CB226" s="345"/>
      <c r="CC226" s="345"/>
      <c r="CD226" s="345"/>
      <c r="CE226" s="345"/>
      <c r="CF226" s="345"/>
      <c r="CG226" s="346"/>
      <c r="CH226" s="250"/>
      <c r="CI226" s="250"/>
      <c r="CJ226" s="250"/>
      <c r="CK226" s="250"/>
      <c r="CL226" s="514"/>
      <c r="CM226" s="343"/>
      <c r="CN226" s="343"/>
      <c r="CO226" s="343"/>
      <c r="CP226" s="343"/>
      <c r="CQ226" s="343"/>
      <c r="CR226" s="343"/>
      <c r="CS226" s="343"/>
      <c r="CT226" s="343"/>
      <c r="CU226" s="343"/>
      <c r="CV226" s="343"/>
      <c r="CW226" s="343"/>
      <c r="CX226" s="343"/>
      <c r="CY226" s="343"/>
      <c r="CZ226" s="343"/>
      <c r="DA226" s="343"/>
      <c r="DB226" s="343"/>
      <c r="DC226" s="344"/>
      <c r="DD226" s="250"/>
      <c r="DE226" s="250"/>
      <c r="DF226" s="250"/>
      <c r="DG226" s="250"/>
      <c r="DH226" s="515"/>
      <c r="DI226" s="345"/>
      <c r="DJ226" s="345"/>
      <c r="DK226" s="345"/>
      <c r="DL226" s="345"/>
      <c r="DM226" s="345"/>
      <c r="DN226" s="345"/>
      <c r="DO226" s="345"/>
      <c r="DP226" s="345"/>
      <c r="DQ226" s="346"/>
      <c r="DR226" s="250"/>
      <c r="DS226" s="250"/>
      <c r="DT226" s="250"/>
      <c r="DU226" s="250"/>
      <c r="DV226" s="314"/>
      <c r="DW226" s="315"/>
    </row>
    <row r="227" spans="2:127" ht="14.5" customHeight="1" thickBot="1" x14ac:dyDescent="0.5"/>
    <row r="228" spans="2:127" ht="14.5" customHeight="1" thickTop="1" thickBot="1" x14ac:dyDescent="0.5">
      <c r="E228" s="521" t="s">
        <v>2037</v>
      </c>
      <c r="G228" s="250"/>
      <c r="H228" s="250"/>
      <c r="I228" s="250"/>
      <c r="J228" s="250"/>
      <c r="K228" s="250"/>
      <c r="L228" s="250"/>
      <c r="M228" s="250"/>
      <c r="N228" s="250"/>
      <c r="O228" s="250"/>
      <c r="P228" s="250"/>
      <c r="Q228" s="250"/>
      <c r="R228" s="963"/>
      <c r="S228" s="294"/>
      <c r="T228" s="286"/>
      <c r="U228" s="294"/>
      <c r="V228" s="286"/>
      <c r="W228" s="294"/>
      <c r="X228" s="964"/>
      <c r="Y228" s="302"/>
      <c r="Z228" s="296"/>
      <c r="AA228" s="296"/>
      <c r="AB228" s="296"/>
      <c r="AC228" s="965"/>
      <c r="AD228" s="965"/>
      <c r="AE228" s="296"/>
      <c r="AF228" s="296"/>
      <c r="AG228" s="296"/>
      <c r="AH228" s="296"/>
      <c r="AI228" s="303"/>
      <c r="AJ228" s="862"/>
      <c r="AK228" s="862"/>
      <c r="AL228" s="862"/>
      <c r="AM228" s="260"/>
      <c r="AN228" s="260"/>
      <c r="AO228" s="260"/>
      <c r="AP228" s="260"/>
      <c r="AQ228" s="260"/>
      <c r="AR228" s="260"/>
      <c r="AS228" s="260"/>
      <c r="AT228" s="260"/>
      <c r="AU228" s="260"/>
      <c r="AV228" s="260"/>
      <c r="AW228" s="260"/>
      <c r="AX228" s="260"/>
      <c r="AY228" s="260"/>
      <c r="AZ228" s="260"/>
      <c r="BA228" s="260"/>
      <c r="BB228" s="966"/>
      <c r="BC228" s="965"/>
      <c r="BD228" s="965"/>
      <c r="BE228" s="965"/>
      <c r="BH228" s="965"/>
      <c r="BI228" s="965"/>
      <c r="BJ228" s="965"/>
      <c r="BK228" s="965"/>
      <c r="BL228" s="965"/>
      <c r="BM228" s="965"/>
      <c r="BN228" s="965"/>
      <c r="BO228" s="965"/>
      <c r="BP228" s="965"/>
      <c r="BQ228" s="965"/>
      <c r="BR228" s="965"/>
      <c r="BS228" s="967"/>
      <c r="BT228" s="260"/>
      <c r="BU228" s="260"/>
      <c r="BV228" s="260"/>
      <c r="BW228" s="260"/>
      <c r="BX228" s="260"/>
      <c r="BY228" s="260"/>
      <c r="BZ228" s="260"/>
      <c r="CA228" s="260"/>
      <c r="CB228" s="260"/>
      <c r="CC228" s="260"/>
      <c r="CD228" s="260"/>
      <c r="CE228" s="260"/>
      <c r="CF228" s="260"/>
      <c r="CG228" s="260"/>
      <c r="CH228" s="260"/>
      <c r="CI228" s="260"/>
      <c r="CJ228" s="260"/>
      <c r="CK228" s="260"/>
      <c r="CL228" s="966"/>
      <c r="CM228" s="965"/>
      <c r="CN228" s="965"/>
      <c r="CO228" s="965"/>
      <c r="CP228" s="965"/>
      <c r="CQ228" s="965"/>
      <c r="CR228" s="965"/>
      <c r="CS228" s="965"/>
      <c r="CT228" s="965"/>
      <c r="CU228" s="965"/>
      <c r="CV228" s="965"/>
      <c r="CW228" s="965"/>
      <c r="CX228" s="965"/>
      <c r="CY228" s="965"/>
      <c r="CZ228" s="965"/>
      <c r="DA228" s="965"/>
      <c r="DB228" s="965"/>
      <c r="DC228" s="967"/>
      <c r="DD228" s="260"/>
      <c r="DE228" s="260"/>
      <c r="DF228" s="260"/>
      <c r="DG228" s="260"/>
      <c r="DH228" s="260"/>
      <c r="DI228" s="260"/>
      <c r="DJ228" s="260"/>
      <c r="DK228" s="260"/>
      <c r="DL228" s="260"/>
      <c r="DM228" s="260"/>
      <c r="DN228" s="260"/>
      <c r="DO228" s="260"/>
      <c r="DP228" s="260"/>
      <c r="DQ228" s="260"/>
      <c r="DR228" s="260"/>
      <c r="DS228" s="260"/>
      <c r="DT228" s="260"/>
      <c r="DU228" s="260"/>
      <c r="DV228" s="852"/>
      <c r="DW228" s="282"/>
    </row>
    <row r="229" spans="2:127" ht="14.5" customHeight="1" thickTop="1" thickBot="1" x14ac:dyDescent="0.5">
      <c r="N229" s="234"/>
      <c r="P229" s="234"/>
      <c r="R229" s="234"/>
      <c r="T229" s="234"/>
      <c r="V229" s="234"/>
      <c r="X229" s="234"/>
    </row>
    <row r="230" spans="2:127" ht="14.5" customHeight="1" thickTop="1" thickBot="1" x14ac:dyDescent="0.5">
      <c r="E230" s="521" t="s">
        <v>2038</v>
      </c>
      <c r="G230" s="250"/>
      <c r="H230" s="250"/>
      <c r="I230" s="250"/>
      <c r="J230" s="250"/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  <c r="Y230" s="250"/>
      <c r="Z230" s="250"/>
      <c r="AA230" s="250"/>
      <c r="AB230" s="250"/>
      <c r="AC230" s="250"/>
      <c r="AD230" s="250"/>
      <c r="AE230" s="250"/>
      <c r="AF230" s="250"/>
      <c r="AG230" s="250"/>
      <c r="AH230" s="250"/>
      <c r="AI230" s="250"/>
      <c r="AJ230" s="250"/>
      <c r="AK230" s="250"/>
      <c r="AL230" s="250"/>
      <c r="AM230" s="250"/>
      <c r="AN230" s="857"/>
      <c r="AO230" s="290"/>
      <c r="AP230" s="290"/>
      <c r="AQ230" s="806"/>
      <c r="AR230" s="298"/>
      <c r="AS230" s="298"/>
      <c r="AT230" s="298"/>
      <c r="AU230" s="298"/>
      <c r="AV230" s="298"/>
      <c r="AW230" s="305"/>
      <c r="AX230" s="250"/>
      <c r="AY230" s="250"/>
      <c r="AZ230" s="250"/>
      <c r="BA230" s="250"/>
      <c r="BB230" s="250"/>
      <c r="BC230" s="250"/>
      <c r="BD230" s="250"/>
      <c r="BE230" s="250"/>
      <c r="BH230" s="250"/>
      <c r="BI230" s="250"/>
      <c r="BJ230" s="250"/>
      <c r="BK230" s="250"/>
      <c r="BL230" s="250"/>
      <c r="BM230" s="250"/>
      <c r="BN230" s="250"/>
      <c r="BO230" s="250"/>
      <c r="BP230" s="250"/>
      <c r="BQ230" s="250"/>
      <c r="BR230" s="250"/>
      <c r="BS230" s="250"/>
      <c r="BT230" s="250"/>
      <c r="BU230" s="250"/>
      <c r="BV230" s="250"/>
      <c r="BW230" s="250"/>
      <c r="BX230" s="304"/>
      <c r="BY230" s="298"/>
      <c r="BZ230" s="298"/>
      <c r="CA230" s="298"/>
      <c r="CB230" s="298"/>
      <c r="CC230" s="298"/>
      <c r="CD230" s="298"/>
      <c r="CE230" s="298"/>
      <c r="CF230" s="298"/>
      <c r="CG230" s="305"/>
      <c r="CH230" s="250"/>
      <c r="CI230" s="250"/>
      <c r="CJ230" s="250"/>
      <c r="CK230" s="250"/>
      <c r="CL230" s="250"/>
      <c r="CM230" s="250"/>
      <c r="CN230" s="250"/>
      <c r="CO230" s="250"/>
      <c r="CP230" s="250"/>
      <c r="CQ230" s="250"/>
      <c r="CR230" s="250"/>
      <c r="CS230" s="250"/>
      <c r="CT230" s="250"/>
      <c r="CU230" s="250"/>
      <c r="CV230" s="250"/>
      <c r="CW230" s="250"/>
      <c r="CX230" s="250"/>
      <c r="CY230" s="250"/>
      <c r="CZ230" s="250"/>
      <c r="DA230" s="250"/>
      <c r="DB230" s="250"/>
      <c r="DC230" s="250"/>
      <c r="DD230" s="250"/>
      <c r="DE230" s="250"/>
      <c r="DF230" s="250"/>
      <c r="DG230" s="250"/>
      <c r="DH230" s="304"/>
      <c r="DI230" s="298"/>
      <c r="DJ230" s="298"/>
      <c r="DK230" s="298"/>
      <c r="DL230" s="298"/>
      <c r="DM230" s="298"/>
      <c r="DN230" s="298"/>
      <c r="DO230" s="298"/>
      <c r="DP230" s="298"/>
      <c r="DQ230" s="305"/>
      <c r="DR230" s="250"/>
      <c r="DS230" s="250"/>
      <c r="DT230" s="250"/>
      <c r="DU230" s="250"/>
      <c r="DV230" s="250"/>
      <c r="DW230" s="250"/>
    </row>
    <row r="231" spans="2:127" ht="14.5" customHeight="1" thickTop="1" x14ac:dyDescent="0.45">
      <c r="N231" s="234"/>
      <c r="P231" s="234"/>
      <c r="R231" s="234"/>
      <c r="T231" s="234"/>
      <c r="V231" s="234"/>
      <c r="X231" s="234"/>
    </row>
    <row r="232" spans="2:127" ht="14.5" customHeight="1" x14ac:dyDescent="0.45">
      <c r="E232" s="521" t="s">
        <v>2045</v>
      </c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861"/>
      <c r="S232" s="862"/>
      <c r="T232" s="862"/>
      <c r="U232" s="862"/>
      <c r="V232" s="862"/>
      <c r="W232" s="862"/>
      <c r="X232" s="863"/>
      <c r="Y232" s="864"/>
      <c r="Z232" s="865"/>
      <c r="AA232" s="865"/>
      <c r="AB232" s="865"/>
      <c r="AC232" s="865"/>
      <c r="AD232" s="865"/>
      <c r="AE232" s="865"/>
      <c r="AF232" s="865"/>
      <c r="AG232" s="865"/>
      <c r="AH232" s="865"/>
      <c r="AI232" s="866"/>
      <c r="AJ232" s="250"/>
      <c r="AK232" s="250"/>
      <c r="AL232" s="250"/>
      <c r="AM232" s="250"/>
      <c r="AN232" s="858"/>
      <c r="AO232" s="250"/>
      <c r="AP232" s="250"/>
      <c r="AQ232" s="324"/>
      <c r="AR232" s="318"/>
      <c r="AS232" s="319"/>
      <c r="AT232" s="319"/>
      <c r="AU232" s="319"/>
      <c r="AV232" s="319"/>
      <c r="AW232" s="320"/>
      <c r="AX232" s="250"/>
      <c r="AY232" s="250"/>
      <c r="AZ232" s="250"/>
      <c r="BA232" s="250"/>
      <c r="BB232" s="864"/>
      <c r="BC232" s="865"/>
      <c r="BD232" s="865"/>
      <c r="BE232" s="865"/>
      <c r="BH232" s="865"/>
      <c r="BI232" s="865"/>
      <c r="BJ232" s="865"/>
      <c r="BK232" s="865"/>
      <c r="BL232" s="865"/>
      <c r="BM232" s="865"/>
      <c r="BN232" s="865"/>
      <c r="BO232" s="865"/>
      <c r="BP232" s="865"/>
      <c r="BQ232" s="865"/>
      <c r="BR232" s="865"/>
      <c r="BS232" s="866"/>
      <c r="BT232" s="250"/>
      <c r="BU232" s="250"/>
      <c r="BV232" s="250"/>
      <c r="BW232" s="250"/>
      <c r="BX232" s="318"/>
      <c r="BY232" s="319"/>
      <c r="BZ232" s="319"/>
      <c r="CA232" s="319"/>
      <c r="CB232" s="319"/>
      <c r="CC232" s="319"/>
      <c r="CD232" s="319"/>
      <c r="CE232" s="319"/>
      <c r="CF232" s="319"/>
      <c r="CG232" s="320"/>
      <c r="CH232" s="250"/>
      <c r="CI232" s="250"/>
      <c r="CJ232" s="250"/>
      <c r="CK232" s="250"/>
      <c r="CL232" s="864"/>
      <c r="CM232" s="865"/>
      <c r="CN232" s="865"/>
      <c r="CO232" s="865"/>
      <c r="CP232" s="865"/>
      <c r="CQ232" s="865"/>
      <c r="CR232" s="865"/>
      <c r="CS232" s="865"/>
      <c r="CT232" s="865"/>
      <c r="CU232" s="865"/>
      <c r="CV232" s="865"/>
      <c r="CW232" s="865"/>
      <c r="CX232" s="865"/>
      <c r="CY232" s="865"/>
      <c r="CZ232" s="865"/>
      <c r="DA232" s="865"/>
      <c r="DB232" s="865"/>
      <c r="DC232" s="866"/>
      <c r="DD232" s="250"/>
      <c r="DE232" s="250"/>
      <c r="DF232" s="250"/>
      <c r="DG232" s="250"/>
      <c r="DH232" s="318"/>
      <c r="DI232" s="319"/>
      <c r="DJ232" s="319"/>
      <c r="DK232" s="319"/>
      <c r="DL232" s="319"/>
      <c r="DM232" s="319"/>
      <c r="DN232" s="319"/>
      <c r="DO232" s="319"/>
      <c r="DP232" s="319"/>
      <c r="DQ232" s="320"/>
      <c r="DR232" s="250"/>
      <c r="DS232" s="250"/>
      <c r="DT232" s="250"/>
      <c r="DU232" s="250"/>
      <c r="DV232" s="867"/>
      <c r="DW232" s="862"/>
    </row>
    <row r="233" spans="2:127" ht="14.5" customHeight="1" x14ac:dyDescent="0.45">
      <c r="B233" s="521"/>
      <c r="C233" s="521"/>
      <c r="N233" s="234"/>
      <c r="P233" s="234"/>
      <c r="R233" s="234"/>
      <c r="T233" s="234"/>
      <c r="V233" s="234"/>
      <c r="X233" s="234"/>
      <c r="BI233" s="234"/>
    </row>
    <row r="234" spans="2:127" ht="14.5" customHeight="1" x14ac:dyDescent="0.45">
      <c r="B234" s="521"/>
      <c r="C234" s="521"/>
      <c r="G234" s="521"/>
      <c r="H234" s="521"/>
      <c r="I234" s="521"/>
      <c r="J234" s="521"/>
      <c r="K234" s="521"/>
      <c r="L234" s="521"/>
      <c r="M234" s="521"/>
      <c r="N234" s="521"/>
      <c r="O234" s="521"/>
      <c r="P234" s="521"/>
      <c r="Q234" s="521"/>
      <c r="R234" s="521"/>
      <c r="S234" s="521"/>
      <c r="T234" s="521"/>
      <c r="U234" s="521"/>
      <c r="V234" s="521"/>
      <c r="W234" s="521"/>
      <c r="X234" s="521"/>
      <c r="Y234" s="521"/>
      <c r="Z234" s="521"/>
      <c r="AA234" s="521"/>
      <c r="AB234" s="521"/>
      <c r="AC234" s="521"/>
      <c r="AD234" s="521"/>
      <c r="AE234" s="521"/>
      <c r="AF234" s="521"/>
      <c r="AG234" s="521"/>
      <c r="AH234" s="521"/>
      <c r="AI234" s="521"/>
      <c r="AJ234" s="521"/>
      <c r="AK234" s="521"/>
      <c r="AL234" s="521"/>
      <c r="AM234" s="521"/>
      <c r="AN234" s="521"/>
      <c r="AO234" s="521"/>
      <c r="AP234" s="521"/>
      <c r="AQ234" s="521"/>
      <c r="AR234" s="521"/>
      <c r="AS234" s="521"/>
      <c r="AT234" s="521"/>
      <c r="AU234" s="521"/>
      <c r="AV234" s="521"/>
      <c r="AW234" s="521"/>
      <c r="AX234" s="521"/>
      <c r="AY234" s="521"/>
      <c r="AZ234" s="521"/>
      <c r="BA234" s="521"/>
      <c r="BB234" s="521"/>
      <c r="BC234" s="521"/>
      <c r="BD234" s="521"/>
      <c r="BE234" s="521"/>
      <c r="BF234" s="521"/>
      <c r="BG234" s="521"/>
      <c r="BH234" s="521"/>
      <c r="BI234" s="521"/>
      <c r="BJ234" s="521"/>
      <c r="BK234" s="521"/>
      <c r="BL234" s="521"/>
      <c r="BM234" s="521"/>
      <c r="BN234" s="521"/>
      <c r="BO234" s="521"/>
      <c r="BP234" s="521"/>
      <c r="BQ234" s="521"/>
      <c r="BR234" s="521"/>
      <c r="BS234" s="521"/>
      <c r="BT234" s="521"/>
      <c r="BU234" s="521"/>
      <c r="BV234" s="521"/>
      <c r="BW234" s="521"/>
      <c r="BX234" s="521"/>
      <c r="BY234" s="521"/>
      <c r="BZ234" s="521"/>
      <c r="CA234" s="521"/>
      <c r="CB234" s="521"/>
      <c r="CC234" s="521"/>
      <c r="CD234" s="521"/>
      <c r="CE234" s="521"/>
      <c r="CF234" s="521"/>
      <c r="CG234" s="521"/>
      <c r="CH234" s="521"/>
      <c r="CI234" s="521"/>
      <c r="CJ234" s="521"/>
      <c r="CK234" s="521"/>
      <c r="CL234" s="521"/>
      <c r="CM234" s="521"/>
      <c r="CN234" s="521"/>
      <c r="CO234" s="521"/>
      <c r="CP234" s="521"/>
      <c r="CQ234" s="521"/>
      <c r="CR234" s="521"/>
      <c r="CS234" s="521"/>
      <c r="CT234" s="521"/>
      <c r="CU234" s="521"/>
      <c r="CV234" s="521"/>
      <c r="CW234" s="521"/>
      <c r="CX234" s="521"/>
      <c r="CY234" s="521"/>
      <c r="CZ234" s="521"/>
      <c r="DA234" s="521"/>
      <c r="DB234" s="521"/>
      <c r="DC234" s="521"/>
      <c r="DD234" s="521"/>
      <c r="DE234" s="521"/>
      <c r="DF234" s="521"/>
      <c r="DG234" s="521"/>
      <c r="DH234" s="521"/>
      <c r="DI234" s="521"/>
      <c r="DJ234" s="521"/>
      <c r="DK234" s="521"/>
      <c r="DL234" s="521"/>
      <c r="DM234" s="521"/>
      <c r="DN234" s="521"/>
      <c r="DO234" s="521"/>
      <c r="DP234" s="521"/>
      <c r="DQ234" s="521"/>
      <c r="DR234" s="521"/>
      <c r="DS234" s="521"/>
      <c r="DT234" s="521"/>
      <c r="DU234" s="521"/>
      <c r="DV234" s="521"/>
      <c r="DW234" s="521"/>
    </row>
    <row r="235" spans="2:127" ht="14.5" customHeight="1" thickBot="1" x14ac:dyDescent="0.5">
      <c r="B235" s="521"/>
      <c r="C235" s="521"/>
      <c r="N235" s="234"/>
      <c r="P235" s="234"/>
      <c r="R235" s="234"/>
      <c r="T235" s="234"/>
      <c r="V235" s="234"/>
      <c r="X235" s="234"/>
    </row>
    <row r="236" spans="2:127" ht="14.5" customHeight="1" thickTop="1" thickBot="1" x14ac:dyDescent="0.5">
      <c r="B236" s="521"/>
      <c r="C236" s="521"/>
      <c r="E236" s="521" t="s">
        <v>2201</v>
      </c>
      <c r="G236" s="250"/>
      <c r="H236" s="250"/>
      <c r="I236" s="250"/>
      <c r="J236" s="250"/>
      <c r="K236" s="250"/>
      <c r="L236" s="250"/>
      <c r="M236" s="250"/>
      <c r="N236" s="250"/>
      <c r="O236" s="250"/>
      <c r="P236" s="250"/>
      <c r="Q236" s="250"/>
      <c r="R236" s="963"/>
      <c r="S236" s="294"/>
      <c r="T236" s="286"/>
      <c r="U236" s="294"/>
      <c r="V236" s="286"/>
      <c r="W236" s="294"/>
      <c r="X236" s="964"/>
      <c r="Y236" s="302"/>
      <c r="Z236" s="296"/>
      <c r="AA236" s="296"/>
      <c r="AB236" s="296"/>
      <c r="AC236" s="965"/>
      <c r="AD236" s="965"/>
      <c r="AE236" s="296"/>
      <c r="AF236" s="296"/>
      <c r="AG236" s="296"/>
      <c r="AH236" s="296"/>
      <c r="AI236" s="303"/>
      <c r="AJ236" s="862"/>
      <c r="AK236" s="862"/>
      <c r="AL236" s="862"/>
      <c r="AM236" s="862"/>
      <c r="AN236" s="862"/>
      <c r="AO236" s="862"/>
      <c r="AP236" s="862"/>
      <c r="AQ236" s="862"/>
      <c r="AR236" s="862"/>
      <c r="AS236" s="862"/>
      <c r="AT236" s="862"/>
      <c r="AU236" s="862"/>
      <c r="AV236" s="862"/>
      <c r="AW236" s="862"/>
      <c r="AX236" s="862"/>
      <c r="AY236" s="862"/>
      <c r="AZ236" s="260"/>
      <c r="BA236" s="260"/>
      <c r="BB236" s="966"/>
      <c r="BC236" s="965"/>
      <c r="BD236" s="965"/>
      <c r="BE236" s="965"/>
      <c r="BH236" s="965"/>
      <c r="BI236" s="965"/>
      <c r="BJ236" s="965"/>
      <c r="BK236" s="965"/>
      <c r="BL236" s="965"/>
      <c r="BM236" s="965"/>
      <c r="BN236" s="965"/>
      <c r="BO236" s="965"/>
      <c r="BP236" s="965"/>
      <c r="BQ236" s="965"/>
      <c r="BR236" s="965"/>
      <c r="BS236" s="967"/>
      <c r="BT236" s="260"/>
      <c r="BU236" s="260"/>
      <c r="BV236" s="260"/>
      <c r="BW236" s="260"/>
      <c r="BX236" s="260"/>
      <c r="BY236" s="260"/>
      <c r="BZ236" s="260"/>
      <c r="CA236" s="260"/>
      <c r="CB236" s="260"/>
      <c r="CC236" s="260"/>
      <c r="CD236" s="260"/>
      <c r="CE236" s="260"/>
      <c r="CF236" s="260"/>
      <c r="CG236" s="260"/>
      <c r="CH236" s="260"/>
      <c r="CI236" s="260"/>
      <c r="CJ236" s="260"/>
      <c r="CK236" s="260"/>
      <c r="CL236" s="966"/>
      <c r="CM236" s="965"/>
      <c r="CN236" s="965"/>
      <c r="CO236" s="965"/>
      <c r="CP236" s="965"/>
      <c r="CQ236" s="965"/>
      <c r="CR236" s="965"/>
      <c r="CS236" s="965"/>
      <c r="CT236" s="965"/>
      <c r="CU236" s="965"/>
      <c r="CV236" s="965"/>
      <c r="CW236" s="965"/>
      <c r="CX236" s="965"/>
      <c r="CY236" s="965"/>
      <c r="CZ236" s="965"/>
      <c r="DA236" s="965"/>
      <c r="DB236" s="965"/>
      <c r="DC236" s="967"/>
      <c r="DD236" s="260"/>
      <c r="DE236" s="260"/>
      <c r="DF236" s="260"/>
      <c r="DG236" s="260"/>
      <c r="DH236" s="260"/>
      <c r="DI236" s="260"/>
      <c r="DJ236" s="260"/>
      <c r="DK236" s="260"/>
      <c r="DL236" s="260"/>
      <c r="DM236" s="260"/>
      <c r="DN236" s="260"/>
      <c r="DO236" s="260"/>
      <c r="DP236" s="260"/>
      <c r="DQ236" s="260"/>
      <c r="DR236" s="260"/>
      <c r="DS236" s="260"/>
      <c r="DT236" s="260"/>
      <c r="DU236" s="260"/>
      <c r="DV236" s="852"/>
      <c r="DW236" s="282"/>
    </row>
    <row r="237" spans="2:127" ht="14.5" customHeight="1" thickTop="1" thickBot="1" x14ac:dyDescent="0.5">
      <c r="B237" s="521"/>
      <c r="C237" s="521"/>
      <c r="N237" s="234"/>
      <c r="P237" s="234"/>
      <c r="R237" s="234"/>
      <c r="T237" s="234"/>
      <c r="V237" s="234"/>
      <c r="X237" s="234"/>
    </row>
    <row r="238" spans="2:127" ht="14.5" customHeight="1" thickTop="1" thickBot="1" x14ac:dyDescent="0.5">
      <c r="B238" s="521"/>
      <c r="C238" s="521"/>
      <c r="E238" s="521" t="s">
        <v>2202</v>
      </c>
      <c r="G238" s="250"/>
      <c r="H238" s="250"/>
      <c r="I238" s="250"/>
      <c r="J238" s="250"/>
      <c r="K238" s="250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  <c r="Y238" s="250"/>
      <c r="Z238" s="250"/>
      <c r="AA238" s="250"/>
      <c r="AB238" s="250"/>
      <c r="AC238" s="250"/>
      <c r="AD238" s="250"/>
      <c r="AE238" s="250"/>
      <c r="AF238" s="250"/>
      <c r="AG238" s="250"/>
      <c r="AH238" s="250"/>
      <c r="AI238" s="250"/>
      <c r="AJ238" s="250"/>
      <c r="AK238" s="862"/>
      <c r="AL238" s="862"/>
      <c r="AM238" s="260"/>
      <c r="AN238" s="857"/>
      <c r="AO238" s="290"/>
      <c r="AP238" s="290"/>
      <c r="AQ238" s="806"/>
      <c r="AR238" s="298"/>
      <c r="AS238" s="298"/>
      <c r="AT238" s="298"/>
      <c r="AU238" s="298"/>
      <c r="AV238" s="298"/>
      <c r="AW238" s="305"/>
      <c r="AX238" s="260"/>
      <c r="AY238" s="260"/>
      <c r="AZ238" s="260"/>
      <c r="BA238" s="260"/>
      <c r="BB238" s="260"/>
      <c r="BC238" s="260"/>
      <c r="BD238" s="260"/>
      <c r="BE238" s="260"/>
      <c r="BF238" s="260"/>
      <c r="BG238" s="260"/>
      <c r="BH238" s="260"/>
      <c r="BI238" s="260"/>
      <c r="BJ238" s="260"/>
      <c r="BK238" s="260"/>
      <c r="BL238" s="260"/>
      <c r="BM238" s="260"/>
      <c r="BN238" s="260"/>
      <c r="BO238" s="260"/>
      <c r="BP238" s="260"/>
      <c r="BQ238" s="260"/>
      <c r="BR238" s="260"/>
      <c r="BS238" s="260"/>
      <c r="BT238" s="260"/>
      <c r="BU238" s="260"/>
      <c r="BV238" s="260"/>
      <c r="BW238" s="260"/>
      <c r="BX238" s="304"/>
      <c r="BY238" s="298"/>
      <c r="BZ238" s="298"/>
      <c r="CA238" s="298"/>
      <c r="CB238" s="298"/>
      <c r="CC238" s="298"/>
      <c r="CD238" s="298"/>
      <c r="CE238" s="298"/>
      <c r="CF238" s="298"/>
      <c r="CG238" s="305"/>
      <c r="CH238" s="260"/>
      <c r="CI238" s="260"/>
      <c r="CJ238" s="260"/>
      <c r="CK238" s="260"/>
      <c r="CL238" s="260"/>
      <c r="CM238" s="260"/>
      <c r="CN238" s="260"/>
      <c r="CO238" s="260"/>
      <c r="CP238" s="260"/>
      <c r="CQ238" s="260"/>
      <c r="CR238" s="260"/>
      <c r="CS238" s="260"/>
      <c r="CT238" s="260"/>
      <c r="CU238" s="260"/>
      <c r="CV238" s="260"/>
      <c r="CW238" s="260"/>
      <c r="CX238" s="260"/>
      <c r="CY238" s="260"/>
      <c r="CZ238" s="260"/>
      <c r="DA238" s="260"/>
      <c r="DB238" s="260"/>
      <c r="DC238" s="260"/>
      <c r="DD238" s="260"/>
      <c r="DE238" s="260"/>
      <c r="DF238" s="260"/>
      <c r="DG238" s="260"/>
      <c r="DH238" s="304"/>
      <c r="DI238" s="298"/>
      <c r="DJ238" s="298"/>
      <c r="DK238" s="298"/>
      <c r="DL238" s="298"/>
      <c r="DM238" s="298"/>
      <c r="DN238" s="298"/>
      <c r="DO238" s="298"/>
      <c r="DP238" s="298"/>
      <c r="DQ238" s="305"/>
      <c r="DR238" s="260"/>
      <c r="DS238" s="260"/>
      <c r="DT238" s="260"/>
      <c r="DU238" s="260"/>
      <c r="DV238" s="260"/>
      <c r="DW238" s="260"/>
    </row>
    <row r="239" spans="2:127" ht="14.5" customHeight="1" thickTop="1" thickBot="1" x14ac:dyDescent="0.5">
      <c r="B239" s="521"/>
      <c r="C239" s="521"/>
      <c r="N239" s="234"/>
      <c r="P239" s="234"/>
      <c r="R239" s="234"/>
      <c r="T239" s="234"/>
      <c r="V239" s="234"/>
      <c r="X239" s="234"/>
    </row>
    <row r="240" spans="2:127" ht="14.5" customHeight="1" thickTop="1" thickBot="1" x14ac:dyDescent="0.5">
      <c r="B240" s="521"/>
      <c r="C240" s="521"/>
      <c r="E240" s="521" t="s">
        <v>2031</v>
      </c>
      <c r="G240" s="250"/>
      <c r="H240" s="250"/>
      <c r="I240" s="250"/>
      <c r="J240" s="250"/>
      <c r="K240" s="250"/>
      <c r="L240" s="250"/>
      <c r="M240" s="250"/>
      <c r="N240" s="250"/>
      <c r="O240" s="250"/>
      <c r="P240" s="250"/>
      <c r="Q240" s="250"/>
      <c r="R240" s="963"/>
      <c r="S240" s="294"/>
      <c r="T240" s="286"/>
      <c r="U240" s="294"/>
      <c r="V240" s="286"/>
      <c r="W240" s="294"/>
      <c r="X240" s="964"/>
      <c r="Y240" s="302"/>
      <c r="Z240" s="296"/>
      <c r="AA240" s="296"/>
      <c r="AB240" s="296"/>
      <c r="AC240" s="965"/>
      <c r="AD240" s="965"/>
      <c r="AE240" s="296"/>
      <c r="AF240" s="296"/>
      <c r="AG240" s="296"/>
      <c r="AH240" s="296"/>
      <c r="AI240" s="303"/>
      <c r="AJ240" s="862"/>
      <c r="AK240" s="862"/>
      <c r="AL240" s="862"/>
      <c r="AM240" s="260"/>
      <c r="AN240" s="857"/>
      <c r="AO240" s="290"/>
      <c r="AP240" s="290"/>
      <c r="AQ240" s="806"/>
      <c r="AR240" s="298"/>
      <c r="AS240" s="298"/>
      <c r="AT240" s="298"/>
      <c r="AU240" s="298"/>
      <c r="AV240" s="298"/>
      <c r="AW240" s="305"/>
      <c r="AX240" s="260"/>
      <c r="AY240" s="260"/>
      <c r="AZ240" s="260"/>
      <c r="BA240" s="260"/>
      <c r="BB240" s="966"/>
      <c r="BC240" s="965"/>
      <c r="BD240" s="965"/>
      <c r="BE240" s="965"/>
      <c r="BH240" s="965"/>
      <c r="BI240" s="965"/>
      <c r="BJ240" s="965"/>
      <c r="BK240" s="965"/>
      <c r="BL240" s="965"/>
      <c r="BM240" s="965"/>
      <c r="BN240" s="965"/>
      <c r="BO240" s="965"/>
      <c r="BP240" s="965"/>
      <c r="BQ240" s="965"/>
      <c r="BR240" s="965"/>
      <c r="BS240" s="967"/>
      <c r="BT240" s="260"/>
      <c r="BU240" s="260"/>
      <c r="BV240" s="260"/>
      <c r="BW240" s="260"/>
      <c r="BX240" s="260"/>
      <c r="BY240" s="260"/>
      <c r="BZ240" s="260"/>
      <c r="CA240" s="260"/>
      <c r="CB240" s="260"/>
      <c r="CC240" s="260"/>
      <c r="CD240" s="260"/>
      <c r="CE240" s="260"/>
      <c r="CF240" s="260"/>
      <c r="CG240" s="260"/>
      <c r="CH240" s="260"/>
      <c r="CI240" s="260"/>
      <c r="CJ240" s="260"/>
      <c r="CK240" s="260"/>
      <c r="CL240" s="966"/>
      <c r="CM240" s="965"/>
      <c r="CN240" s="965"/>
      <c r="CO240" s="965"/>
      <c r="CP240" s="965"/>
      <c r="CQ240" s="965"/>
      <c r="CR240" s="965"/>
      <c r="CS240" s="965"/>
      <c r="CT240" s="965"/>
      <c r="CU240" s="965"/>
      <c r="CV240" s="965"/>
      <c r="CW240" s="965"/>
      <c r="CX240" s="965"/>
      <c r="CY240" s="965"/>
      <c r="CZ240" s="965"/>
      <c r="DA240" s="965"/>
      <c r="DB240" s="965"/>
      <c r="DC240" s="967"/>
      <c r="DD240" s="260"/>
      <c r="DE240" s="260"/>
      <c r="DF240" s="260"/>
      <c r="DG240" s="260"/>
      <c r="DH240" s="304"/>
      <c r="DI240" s="298"/>
      <c r="DJ240" s="298"/>
      <c r="DK240" s="298"/>
      <c r="DL240" s="298"/>
      <c r="DM240" s="298"/>
      <c r="DN240" s="298"/>
      <c r="DO240" s="298"/>
      <c r="DP240" s="298"/>
      <c r="DQ240" s="305"/>
      <c r="DR240" s="260"/>
      <c r="DS240" s="260"/>
      <c r="DT240" s="260"/>
      <c r="DU240" s="260"/>
      <c r="DV240" s="852"/>
      <c r="DW240" s="282"/>
    </row>
    <row r="241" spans="2:127" ht="14.5" customHeight="1" thickTop="1" x14ac:dyDescent="0.45">
      <c r="B241" s="521"/>
      <c r="C241" s="521"/>
      <c r="N241" s="234"/>
      <c r="P241" s="234"/>
      <c r="R241" s="234"/>
      <c r="T241" s="234"/>
      <c r="V241" s="234"/>
      <c r="X241" s="234"/>
    </row>
    <row r="242" spans="2:127" ht="14.5" customHeight="1" thickBot="1" x14ac:dyDescent="0.5">
      <c r="B242" s="521"/>
      <c r="C242" s="521"/>
      <c r="N242" s="234"/>
      <c r="P242" s="234"/>
      <c r="R242" s="234"/>
      <c r="T242" s="234"/>
      <c r="V242" s="234"/>
      <c r="X242" s="234"/>
      <c r="CA242" s="246"/>
      <c r="CB242" s="246"/>
      <c r="CC242" s="246"/>
      <c r="CD242" s="246"/>
      <c r="CE242" s="246"/>
      <c r="CF242" s="246"/>
      <c r="CG242" s="246"/>
      <c r="CH242" s="246"/>
      <c r="CI242" s="246"/>
      <c r="CJ242" s="246"/>
      <c r="CK242" s="246"/>
      <c r="CL242" s="246"/>
      <c r="CM242" s="246"/>
      <c r="CN242" s="246"/>
      <c r="CO242" s="246"/>
      <c r="CP242" s="246"/>
      <c r="CQ242" s="246"/>
      <c r="CR242" s="246"/>
      <c r="CS242" s="246"/>
      <c r="CT242" s="246"/>
      <c r="CU242" s="246"/>
      <c r="CV242" s="246"/>
      <c r="CW242" s="246"/>
      <c r="CX242" s="246"/>
      <c r="CY242" s="246"/>
      <c r="CZ242" s="246"/>
      <c r="DA242" s="246"/>
      <c r="DB242" s="246"/>
      <c r="DC242" s="246"/>
      <c r="DD242" s="246"/>
      <c r="DE242" s="246"/>
      <c r="DF242" s="246"/>
      <c r="DG242" s="246"/>
      <c r="DH242" s="246"/>
      <c r="DI242" s="246"/>
      <c r="DJ242" s="246"/>
      <c r="DK242" s="246"/>
      <c r="DL242" s="246"/>
      <c r="DM242" s="246"/>
      <c r="DN242" s="246"/>
      <c r="DO242" s="246"/>
      <c r="DP242" s="246"/>
      <c r="DQ242" s="246"/>
      <c r="DR242" s="246"/>
      <c r="DS242" s="246"/>
      <c r="DT242" s="246"/>
      <c r="DU242" s="246"/>
      <c r="DV242" s="246"/>
    </row>
    <row r="243" spans="2:127" ht="14.5" customHeight="1" thickBot="1" x14ac:dyDescent="0.5">
      <c r="B243" s="521"/>
      <c r="C243" s="521"/>
      <c r="E243" s="521" t="s">
        <v>2030</v>
      </c>
      <c r="G243" s="325"/>
      <c r="H243" s="325"/>
      <c r="I243" s="325"/>
      <c r="J243" s="325"/>
      <c r="K243" s="325"/>
      <c r="L243" s="325"/>
      <c r="M243" s="325"/>
      <c r="N243" s="326"/>
      <c r="O243" s="325"/>
      <c r="P243" s="326"/>
      <c r="Q243" s="325"/>
      <c r="R243" s="598"/>
      <c r="S243" s="598"/>
      <c r="T243" s="597"/>
      <c r="U243" s="598"/>
      <c r="V243" s="597"/>
      <c r="W243" s="598"/>
      <c r="X243" s="599"/>
      <c r="Y243" s="594"/>
      <c r="Z243" s="595"/>
      <c r="AA243" s="594"/>
      <c r="AB243" s="595"/>
      <c r="AC243" s="594"/>
      <c r="AD243" s="595"/>
      <c r="AE243" s="594"/>
      <c r="AF243" s="595"/>
      <c r="AG243" s="594"/>
      <c r="AH243" s="595"/>
      <c r="AI243" s="596"/>
      <c r="AJ243" s="326"/>
      <c r="AK243" s="325"/>
      <c r="AL243" s="326"/>
      <c r="AM243" s="325"/>
      <c r="AN243" s="597"/>
      <c r="AO243" s="598"/>
      <c r="AP243" s="597"/>
      <c r="AQ243" s="600"/>
      <c r="AR243" s="595"/>
      <c r="AS243" s="594"/>
      <c r="AT243" s="595"/>
      <c r="AU243" s="594"/>
      <c r="AV243" s="595"/>
      <c r="AW243" s="596"/>
      <c r="AX243" s="326"/>
      <c r="AY243" s="325"/>
      <c r="AZ243" s="326"/>
      <c r="BA243" s="325"/>
      <c r="BB243" s="593"/>
      <c r="BC243" s="594"/>
      <c r="BD243" s="594"/>
      <c r="BE243" s="594"/>
      <c r="BH243" s="594"/>
      <c r="BI243" s="594"/>
      <c r="BJ243" s="594"/>
      <c r="BK243" s="594"/>
      <c r="BL243" s="594"/>
      <c r="BM243" s="594"/>
      <c r="BN243" s="594"/>
      <c r="BO243" s="594"/>
      <c r="BP243" s="594"/>
      <c r="BQ243" s="594"/>
      <c r="BR243" s="595"/>
      <c r="BS243" s="596"/>
      <c r="BT243" s="326"/>
      <c r="BU243" s="325"/>
      <c r="BV243" s="326"/>
      <c r="BW243" s="325"/>
      <c r="BX243" s="593"/>
      <c r="BY243" s="594"/>
      <c r="BZ243" s="595"/>
      <c r="CA243" s="594"/>
      <c r="CB243" s="595"/>
      <c r="CC243" s="594"/>
      <c r="CD243" s="595"/>
      <c r="CE243" s="594"/>
      <c r="CF243" s="595"/>
      <c r="CG243" s="596"/>
      <c r="CH243" s="326"/>
      <c r="CI243" s="325"/>
      <c r="CJ243" s="326"/>
      <c r="CK243" s="325"/>
      <c r="CL243" s="593"/>
      <c r="CM243" s="594"/>
      <c r="CN243" s="595"/>
      <c r="CO243" s="594"/>
      <c r="CP243" s="595"/>
      <c r="CQ243" s="594"/>
      <c r="CR243" s="595"/>
      <c r="CS243" s="594"/>
      <c r="CT243" s="595"/>
      <c r="CU243" s="594"/>
      <c r="CV243" s="595"/>
      <c r="CW243" s="594"/>
      <c r="CX243" s="595"/>
      <c r="CY243" s="594"/>
      <c r="CZ243" s="595"/>
      <c r="DA243" s="594"/>
      <c r="DB243" s="595"/>
      <c r="DC243" s="596"/>
      <c r="DD243" s="326"/>
      <c r="DE243" s="325"/>
      <c r="DF243" s="326"/>
      <c r="DG243" s="325"/>
      <c r="DH243" s="593"/>
      <c r="DI243" s="594"/>
      <c r="DJ243" s="595"/>
      <c r="DK243" s="594"/>
      <c r="DL243" s="595"/>
      <c r="DM243" s="594"/>
      <c r="DN243" s="595"/>
      <c r="DO243" s="594"/>
      <c r="DP243" s="595"/>
      <c r="DQ243" s="596"/>
      <c r="DR243" s="326"/>
      <c r="DS243" s="325"/>
      <c r="DT243" s="326"/>
      <c r="DU243" s="326"/>
      <c r="DV243" s="597"/>
      <c r="DW243" s="597"/>
    </row>
    <row r="244" spans="2:127" ht="14.5" customHeight="1" x14ac:dyDescent="0.45">
      <c r="B244" s="521"/>
      <c r="C244" s="521"/>
    </row>
    <row r="245" spans="2:127" ht="14.5" customHeight="1" x14ac:dyDescent="0.45">
      <c r="B245" s="521"/>
      <c r="C245" s="521"/>
    </row>
    <row r="246" spans="2:127" ht="14.5" customHeight="1" x14ac:dyDescent="0.45">
      <c r="B246" s="521"/>
      <c r="C246" s="521"/>
      <c r="T246" s="234"/>
      <c r="U246" s="234"/>
      <c r="V246" s="234"/>
      <c r="W246" s="234"/>
      <c r="X246" s="234"/>
      <c r="Y246" s="234"/>
      <c r="Z246" s="234"/>
      <c r="AA246" s="234"/>
      <c r="AB246" s="234"/>
      <c r="AC246" s="234"/>
      <c r="AD246" s="234"/>
      <c r="AE246" s="234"/>
      <c r="AF246" s="234"/>
      <c r="AG246" s="234"/>
      <c r="AH246" s="234"/>
      <c r="AI246" s="234"/>
      <c r="AJ246" s="234"/>
      <c r="AK246" s="234"/>
    </row>
    <row r="247" spans="2:127" ht="14.5" customHeight="1" x14ac:dyDescent="0.45">
      <c r="B247" s="521"/>
      <c r="C247" s="521"/>
    </row>
    <row r="248" spans="2:127" ht="14.5" customHeight="1" x14ac:dyDescent="0.45">
      <c r="B248" s="521"/>
      <c r="C248" s="521"/>
    </row>
    <row r="249" spans="2:127" ht="14.5" customHeight="1" x14ac:dyDescent="0.45">
      <c r="B249" s="521"/>
      <c r="C249" s="521"/>
    </row>
    <row r="250" spans="2:127" ht="14.5" customHeight="1" x14ac:dyDescent="0.45">
      <c r="B250" s="521"/>
      <c r="C250" s="521"/>
    </row>
    <row r="251" spans="2:127" ht="14.5" customHeight="1" x14ac:dyDescent="0.45">
      <c r="B251" s="521"/>
      <c r="C251" s="521"/>
    </row>
    <row r="252" spans="2:127" ht="14.5" customHeight="1" x14ac:dyDescent="0.45">
      <c r="B252" s="521"/>
      <c r="C252" s="521"/>
    </row>
    <row r="253" spans="2:127" ht="14.5" customHeight="1" x14ac:dyDescent="0.45">
      <c r="B253" s="521"/>
      <c r="C253" s="521"/>
    </row>
    <row r="254" spans="2:127" ht="14.5" customHeight="1" x14ac:dyDescent="0.45">
      <c r="B254" s="521"/>
      <c r="C254" s="521"/>
    </row>
    <row r="255" spans="2:127" ht="14.5" customHeight="1" x14ac:dyDescent="0.45">
      <c r="B255" s="521"/>
      <c r="C255" s="521"/>
    </row>
    <row r="256" spans="2:127" ht="14.5" customHeight="1" x14ac:dyDescent="0.45">
      <c r="B256" s="521"/>
      <c r="C256" s="521"/>
    </row>
    <row r="257" spans="2:3" ht="14.5" customHeight="1" x14ac:dyDescent="0.45">
      <c r="B257" s="521"/>
      <c r="C257" s="521"/>
    </row>
    <row r="258" spans="2:3" ht="14.5" customHeight="1" x14ac:dyDescent="0.45">
      <c r="B258" s="521"/>
      <c r="C258" s="521"/>
    </row>
    <row r="259" spans="2:3" ht="14.5" customHeight="1" x14ac:dyDescent="0.45">
      <c r="B259" s="521"/>
      <c r="C259" s="521"/>
    </row>
    <row r="260" spans="2:3" ht="14.5" customHeight="1" x14ac:dyDescent="0.45">
      <c r="B260" s="521"/>
      <c r="C260" s="521"/>
    </row>
    <row r="261" spans="2:3" ht="14.5" customHeight="1" x14ac:dyDescent="0.45">
      <c r="B261" s="521"/>
      <c r="C261" s="521"/>
    </row>
    <row r="262" spans="2:3" ht="14.5" customHeight="1" x14ac:dyDescent="0.45">
      <c r="B262" s="521"/>
      <c r="C262" s="521"/>
    </row>
    <row r="263" spans="2:3" ht="14.5" customHeight="1" x14ac:dyDescent="0.45">
      <c r="B263" s="521"/>
      <c r="C263" s="521"/>
    </row>
    <row r="264" spans="2:3" ht="14.5" customHeight="1" x14ac:dyDescent="0.45">
      <c r="B264" s="521"/>
      <c r="C264" s="521"/>
    </row>
    <row r="265" spans="2:3" ht="14.5" customHeight="1" x14ac:dyDescent="0.45">
      <c r="B265" s="521"/>
      <c r="C265" s="521"/>
    </row>
    <row r="266" spans="2:3" ht="14.5" customHeight="1" x14ac:dyDescent="0.45">
      <c r="B266" s="521"/>
      <c r="C266" s="521"/>
    </row>
    <row r="267" spans="2:3" ht="14.5" customHeight="1" x14ac:dyDescent="0.45">
      <c r="B267" s="521"/>
      <c r="C267" s="521"/>
    </row>
    <row r="268" spans="2:3" ht="14.5" customHeight="1" x14ac:dyDescent="0.45">
      <c r="B268" s="521"/>
      <c r="C268" s="521"/>
    </row>
    <row r="269" spans="2:3" ht="14.5" customHeight="1" x14ac:dyDescent="0.45">
      <c r="B269" s="521"/>
      <c r="C269" s="521"/>
    </row>
    <row r="270" spans="2:3" ht="14.5" customHeight="1" x14ac:dyDescent="0.45">
      <c r="B270" s="521"/>
      <c r="C270" s="521"/>
    </row>
    <row r="271" spans="2:3" ht="14.5" customHeight="1" x14ac:dyDescent="0.45">
      <c r="B271" s="521"/>
      <c r="C271" s="521"/>
    </row>
    <row r="272" spans="2:3" ht="14.5" customHeight="1" x14ac:dyDescent="0.45">
      <c r="B272" s="521"/>
      <c r="C272" s="521"/>
    </row>
    <row r="273" spans="2:3" ht="14.5" customHeight="1" x14ac:dyDescent="0.45">
      <c r="B273" s="521"/>
      <c r="C273" s="521"/>
    </row>
    <row r="274" spans="2:3" ht="14.5" customHeight="1" x14ac:dyDescent="0.45">
      <c r="B274" s="521"/>
      <c r="C274" s="521"/>
    </row>
    <row r="278" spans="2:3" ht="14.5" customHeight="1" x14ac:dyDescent="0.45">
      <c r="B278" s="521"/>
      <c r="C278" s="52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C2EF-BD1A-4C13-BDBE-2971069B4348}">
  <sheetPr>
    <tabColor rgb="FF0000FF"/>
  </sheetPr>
  <dimension ref="A1:AI304"/>
  <sheetViews>
    <sheetView showGridLines="0" tabSelected="1" zoomScale="70" zoomScaleNormal="70" workbookViewId="0">
      <pane ySplit="2" topLeftCell="A3" activePane="bottomLeft" state="frozen"/>
      <selection activeCell="C1" sqref="C1"/>
      <selection pane="bottomLeft" activeCell="O36" sqref="O36"/>
    </sheetView>
  </sheetViews>
  <sheetFormatPr defaultColWidth="8.58203125" defaultRowHeight="17" x14ac:dyDescent="0.45"/>
  <cols>
    <col min="1" max="1" width="8.58203125" style="31"/>
    <col min="2" max="2" width="4.08203125" style="31" bestFit="1" customWidth="1"/>
    <col min="3" max="3" width="33.5" style="126" bestFit="1" customWidth="1"/>
    <col min="4" max="4" width="3.83203125" style="126" bestFit="1" customWidth="1"/>
    <col min="5" max="5" width="7.58203125" style="126" bestFit="1" customWidth="1"/>
    <col min="6" max="6" width="8.75" style="126" bestFit="1" customWidth="1"/>
    <col min="7" max="7" width="1.58203125" style="126" customWidth="1"/>
    <col min="8" max="8" width="16" style="126" bestFit="1" customWidth="1"/>
    <col min="9" max="9" width="14.83203125" style="126" bestFit="1" customWidth="1"/>
    <col min="10" max="10" width="16.08203125" style="126" bestFit="1" customWidth="1"/>
    <col min="11" max="11" width="13.83203125" style="126" bestFit="1" customWidth="1"/>
    <col min="12" max="12" width="17.08203125" style="126" bestFit="1" customWidth="1"/>
    <col min="13" max="13" width="20.75" style="126" bestFit="1" customWidth="1"/>
    <col min="14" max="14" width="15.83203125" style="126" bestFit="1" customWidth="1"/>
    <col min="15" max="15" width="21.83203125" style="126" bestFit="1" customWidth="1"/>
    <col min="16" max="16" width="18.25" style="126" bestFit="1" customWidth="1"/>
    <col min="17" max="17" width="23.25" style="126" bestFit="1" customWidth="1"/>
    <col min="18" max="18" width="17.83203125" style="126" bestFit="1" customWidth="1"/>
    <col min="19" max="19" width="19.08203125" style="126" bestFit="1" customWidth="1"/>
    <col min="20" max="20" width="18.25" style="126" bestFit="1" customWidth="1"/>
    <col min="21" max="21" width="18.58203125" style="126" bestFit="1" customWidth="1"/>
    <col min="22" max="22" width="21.08203125" style="126" bestFit="1" customWidth="1"/>
    <col min="23" max="23" width="24.4140625" style="126" bestFit="1" customWidth="1"/>
    <col min="24" max="24" width="65.1640625" style="129" bestFit="1" customWidth="1"/>
    <col min="25" max="16384" width="8.58203125" style="31"/>
  </cols>
  <sheetData>
    <row r="1" spans="1:24" s="706" customFormat="1" x14ac:dyDescent="0.45"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707"/>
    </row>
    <row r="2" spans="1:24" s="129" customFormat="1" x14ac:dyDescent="0.45">
      <c r="A2" s="31"/>
      <c r="B2" s="118"/>
      <c r="C2" s="131" t="s">
        <v>1823</v>
      </c>
      <c r="D2" s="213" t="s">
        <v>329</v>
      </c>
      <c r="E2" s="213" t="s">
        <v>21</v>
      </c>
      <c r="F2" s="213" t="s">
        <v>22</v>
      </c>
      <c r="G2" s="213"/>
      <c r="H2" s="213" t="s">
        <v>252</v>
      </c>
      <c r="I2" s="213" t="s">
        <v>253</v>
      </c>
      <c r="J2" s="213" t="s">
        <v>282</v>
      </c>
      <c r="K2" s="213" t="s">
        <v>283</v>
      </c>
      <c r="L2" s="213" t="s">
        <v>256</v>
      </c>
      <c r="M2" s="213" t="s">
        <v>257</v>
      </c>
      <c r="N2" s="213" t="s">
        <v>25</v>
      </c>
      <c r="O2" s="213" t="s">
        <v>26</v>
      </c>
      <c r="P2" s="213" t="s">
        <v>27</v>
      </c>
      <c r="Q2" s="213" t="s">
        <v>28</v>
      </c>
      <c r="R2" s="213" t="s">
        <v>29</v>
      </c>
      <c r="S2" s="213" t="s">
        <v>30</v>
      </c>
      <c r="T2" s="213" t="s">
        <v>31</v>
      </c>
      <c r="U2" s="213" t="s">
        <v>32</v>
      </c>
      <c r="V2" s="213" t="s">
        <v>33</v>
      </c>
      <c r="W2" s="213" t="s">
        <v>34</v>
      </c>
    </row>
    <row r="3" spans="1:24" s="129" customFormat="1" x14ac:dyDescent="0.45">
      <c r="A3" s="31"/>
      <c r="B3" s="118"/>
      <c r="C3" s="707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</row>
    <row r="4" spans="1:24" s="129" customFormat="1" x14ac:dyDescent="0.45">
      <c r="A4" s="31"/>
      <c r="B4" s="118">
        <v>1</v>
      </c>
      <c r="C4" s="126" t="s">
        <v>330</v>
      </c>
      <c r="D4" s="126" t="s">
        <v>37</v>
      </c>
      <c r="E4" s="126" t="s">
        <v>38</v>
      </c>
      <c r="F4" s="126" t="s">
        <v>2525</v>
      </c>
      <c r="G4" s="126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205" t="s">
        <v>332</v>
      </c>
      <c r="S4" s="205" t="s">
        <v>333</v>
      </c>
      <c r="T4" s="127"/>
      <c r="U4" s="205" t="s">
        <v>334</v>
      </c>
      <c r="V4" s="205" t="s">
        <v>335</v>
      </c>
      <c r="W4" s="205" t="s">
        <v>336</v>
      </c>
    </row>
    <row r="5" spans="1:24" s="129" customFormat="1" x14ac:dyDescent="0.45">
      <c r="A5" s="31"/>
      <c r="B5" s="118">
        <f>B4+1</f>
        <v>2</v>
      </c>
      <c r="C5" s="126" t="s">
        <v>337</v>
      </c>
      <c r="D5" s="126" t="s">
        <v>37</v>
      </c>
      <c r="E5" s="126" t="s">
        <v>130</v>
      </c>
      <c r="F5" s="126" t="s">
        <v>331</v>
      </c>
      <c r="G5" s="126"/>
      <c r="H5" s="205" t="s">
        <v>338</v>
      </c>
      <c r="I5" s="127"/>
      <c r="J5" s="127"/>
      <c r="K5" s="127"/>
      <c r="L5" s="127"/>
      <c r="M5" s="127"/>
      <c r="N5" s="208"/>
      <c r="O5" s="127"/>
      <c r="P5" s="127"/>
      <c r="Q5" s="127"/>
      <c r="R5" s="1316" t="s">
        <v>261</v>
      </c>
      <c r="S5" s="1316"/>
      <c r="T5" s="1316"/>
      <c r="U5" s="1316"/>
      <c r="V5" s="1316"/>
      <c r="W5" s="1316"/>
    </row>
    <row r="6" spans="1:24" s="129" customFormat="1" x14ac:dyDescent="0.45">
      <c r="A6" s="31"/>
      <c r="B6" s="118">
        <f t="shared" ref="B6:B58" si="0">B5+1</f>
        <v>3</v>
      </c>
      <c r="C6" s="126" t="s">
        <v>339</v>
      </c>
      <c r="D6" s="126" t="s">
        <v>37</v>
      </c>
      <c r="E6" s="126" t="s">
        <v>133</v>
      </c>
      <c r="F6" s="126" t="s">
        <v>331</v>
      </c>
      <c r="G6" s="126"/>
      <c r="H6" s="205" t="s">
        <v>338</v>
      </c>
      <c r="I6" s="127"/>
      <c r="J6" s="127"/>
      <c r="K6" s="127"/>
      <c r="L6" s="127"/>
      <c r="M6" s="127"/>
      <c r="N6" s="1305" t="s">
        <v>340</v>
      </c>
      <c r="O6" s="1307"/>
      <c r="P6" s="127"/>
      <c r="Q6" s="127"/>
      <c r="R6" s="1316" t="s">
        <v>261</v>
      </c>
      <c r="S6" s="1316"/>
      <c r="T6" s="1316"/>
      <c r="U6" s="1316"/>
      <c r="V6" s="1316"/>
      <c r="W6" s="1316"/>
    </row>
    <row r="7" spans="1:24" s="129" customFormat="1" x14ac:dyDescent="0.45">
      <c r="A7" s="31"/>
      <c r="B7" s="118">
        <f t="shared" si="0"/>
        <v>4</v>
      </c>
      <c r="C7" s="126" t="s">
        <v>341</v>
      </c>
      <c r="D7" s="126" t="s">
        <v>37</v>
      </c>
      <c r="E7" s="126" t="s">
        <v>43</v>
      </c>
      <c r="F7" s="126" t="s">
        <v>331</v>
      </c>
      <c r="G7" s="126"/>
      <c r="H7" s="205" t="s">
        <v>338</v>
      </c>
      <c r="I7" s="127"/>
      <c r="J7" s="127"/>
      <c r="K7" s="127"/>
      <c r="L7" s="127"/>
      <c r="M7" s="127"/>
      <c r="N7" s="1305" t="s">
        <v>340</v>
      </c>
      <c r="O7" s="1307"/>
      <c r="P7" s="127"/>
      <c r="Q7" s="127"/>
      <c r="R7" s="1316" t="s">
        <v>261</v>
      </c>
      <c r="S7" s="1316"/>
      <c r="T7" s="1316"/>
      <c r="U7" s="1316"/>
      <c r="V7" s="1316"/>
      <c r="W7" s="1316"/>
    </row>
    <row r="8" spans="1:24" s="129" customFormat="1" x14ac:dyDescent="0.45">
      <c r="A8" s="31"/>
      <c r="B8" s="118">
        <f t="shared" si="0"/>
        <v>5</v>
      </c>
      <c r="C8" s="126" t="s">
        <v>342</v>
      </c>
      <c r="D8" s="126" t="s">
        <v>37</v>
      </c>
      <c r="E8" s="126" t="s">
        <v>44</v>
      </c>
      <c r="F8" s="126" t="s">
        <v>344</v>
      </c>
      <c r="G8" s="126"/>
      <c r="H8" s="205" t="s">
        <v>338</v>
      </c>
      <c r="I8" s="127"/>
      <c r="J8" s="127"/>
      <c r="K8" s="127"/>
      <c r="L8" s="127"/>
      <c r="M8" s="127"/>
      <c r="N8" s="208"/>
      <c r="O8" s="127"/>
      <c r="P8" s="127"/>
      <c r="Q8" s="127"/>
      <c r="R8" s="127"/>
      <c r="S8" s="127"/>
      <c r="T8" s="127"/>
      <c r="U8" s="127"/>
      <c r="V8" s="127"/>
      <c r="W8" s="127"/>
    </row>
    <row r="9" spans="1:24" s="129" customFormat="1" x14ac:dyDescent="0.45">
      <c r="A9" s="31"/>
      <c r="B9" s="118">
        <f t="shared" si="0"/>
        <v>6</v>
      </c>
      <c r="C9" s="126" t="s">
        <v>345</v>
      </c>
      <c r="D9" s="126" t="s">
        <v>37</v>
      </c>
      <c r="E9" s="126" t="s">
        <v>137</v>
      </c>
      <c r="F9" s="126" t="s">
        <v>331</v>
      </c>
      <c r="G9" s="126"/>
      <c r="H9" s="205" t="s">
        <v>338</v>
      </c>
      <c r="I9" s="127"/>
      <c r="J9" s="127"/>
      <c r="K9" s="127"/>
      <c r="L9" s="127"/>
      <c r="M9" s="127"/>
      <c r="N9" s="208"/>
      <c r="O9" s="127"/>
      <c r="P9" s="127"/>
      <c r="Q9" s="127"/>
      <c r="R9" s="127"/>
      <c r="S9" s="127"/>
      <c r="T9" s="127"/>
      <c r="U9" s="127"/>
      <c r="V9" s="1317" t="s">
        <v>2857</v>
      </c>
      <c r="W9" s="1318"/>
    </row>
    <row r="10" spans="1:24" s="129" customFormat="1" ht="42" customHeight="1" x14ac:dyDescent="0.45">
      <c r="A10" s="31"/>
      <c r="B10" s="118">
        <f t="shared" si="0"/>
        <v>7</v>
      </c>
      <c r="C10" s="126" t="s">
        <v>346</v>
      </c>
      <c r="D10" s="126" t="s">
        <v>37</v>
      </c>
      <c r="E10" s="126" t="s">
        <v>46</v>
      </c>
      <c r="F10" s="126" t="s">
        <v>344</v>
      </c>
      <c r="G10" s="126"/>
      <c r="H10" s="205" t="s">
        <v>338</v>
      </c>
      <c r="I10" s="127"/>
      <c r="J10" s="127"/>
      <c r="K10" s="127"/>
      <c r="L10" s="127"/>
      <c r="M10" s="127"/>
      <c r="N10" s="208"/>
      <c r="O10" s="127"/>
      <c r="P10" s="127"/>
      <c r="Q10" s="127"/>
      <c r="R10" s="127"/>
      <c r="S10" s="127"/>
      <c r="T10" s="127"/>
      <c r="U10" s="1339" t="s">
        <v>2671</v>
      </c>
      <c r="V10" s="1340"/>
      <c r="W10" s="1341"/>
      <c r="X10" s="129" t="s">
        <v>2672</v>
      </c>
    </row>
    <row r="11" spans="1:24" s="129" customFormat="1" ht="57" customHeight="1" x14ac:dyDescent="0.45">
      <c r="A11" s="31"/>
      <c r="B11" s="118">
        <f t="shared" si="0"/>
        <v>8</v>
      </c>
      <c r="C11" s="126" t="s">
        <v>347</v>
      </c>
      <c r="D11" s="126" t="s">
        <v>37</v>
      </c>
      <c r="E11" s="126" t="s">
        <v>140</v>
      </c>
      <c r="F11" s="126" t="s">
        <v>331</v>
      </c>
      <c r="G11" s="126"/>
      <c r="H11" s="205" t="s">
        <v>338</v>
      </c>
      <c r="I11" s="127"/>
      <c r="J11" s="127"/>
      <c r="K11" s="127"/>
      <c r="L11" s="127"/>
      <c r="M11" s="127"/>
      <c r="N11" s="208"/>
      <c r="O11" s="127"/>
      <c r="P11" s="127"/>
      <c r="Q11" s="127"/>
      <c r="R11" s="127"/>
      <c r="S11" s="127"/>
      <c r="T11" s="127"/>
      <c r="U11" s="127"/>
      <c r="V11" s="1314" t="s">
        <v>2664</v>
      </c>
      <c r="W11" s="1315"/>
    </row>
    <row r="12" spans="1:24" s="129" customFormat="1" x14ac:dyDescent="0.45">
      <c r="A12" s="31"/>
      <c r="B12" s="118">
        <f t="shared" si="0"/>
        <v>9</v>
      </c>
      <c r="C12" s="126" t="s">
        <v>348</v>
      </c>
      <c r="D12" s="126" t="s">
        <v>37</v>
      </c>
      <c r="E12" s="126" t="s">
        <v>49</v>
      </c>
      <c r="F12" s="126" t="s">
        <v>349</v>
      </c>
      <c r="G12" s="126"/>
      <c r="H12" s="127"/>
      <c r="I12" s="127"/>
      <c r="J12" s="127"/>
      <c r="K12" s="127"/>
      <c r="L12" s="127"/>
      <c r="M12" s="127"/>
      <c r="N12" s="208"/>
      <c r="O12" s="208"/>
      <c r="P12" s="127"/>
      <c r="Q12" s="127"/>
      <c r="R12" s="127"/>
      <c r="S12" s="205" t="s">
        <v>351</v>
      </c>
      <c r="T12" s="127"/>
      <c r="U12" s="127"/>
      <c r="V12" s="127"/>
      <c r="W12" s="205" t="s">
        <v>352</v>
      </c>
    </row>
    <row r="13" spans="1:24" s="129" customFormat="1" x14ac:dyDescent="0.45">
      <c r="A13" s="31"/>
      <c r="B13" s="118">
        <f t="shared" si="0"/>
        <v>10</v>
      </c>
      <c r="C13" s="126" t="s">
        <v>353</v>
      </c>
      <c r="D13" s="126" t="s">
        <v>66</v>
      </c>
      <c r="E13" s="126" t="s">
        <v>52</v>
      </c>
      <c r="F13" s="126" t="s">
        <v>344</v>
      </c>
      <c r="G13" s="126"/>
      <c r="H13" s="127"/>
      <c r="I13" s="127"/>
      <c r="J13" s="127"/>
      <c r="K13" s="127"/>
      <c r="L13" s="127"/>
      <c r="M13" s="127"/>
      <c r="N13" s="127"/>
      <c r="O13" s="1305" t="s">
        <v>354</v>
      </c>
      <c r="P13" s="1306"/>
      <c r="Q13" s="1306"/>
      <c r="R13" s="1306"/>
      <c r="S13" s="1306"/>
      <c r="T13" s="1306"/>
      <c r="U13" s="1306"/>
      <c r="V13" s="1306"/>
      <c r="W13" s="1307"/>
    </row>
    <row r="14" spans="1:24" s="129" customFormat="1" x14ac:dyDescent="0.45">
      <c r="A14" s="31"/>
      <c r="B14" s="118">
        <f t="shared" si="0"/>
        <v>11</v>
      </c>
      <c r="C14" s="126" t="s">
        <v>355</v>
      </c>
      <c r="D14" s="126" t="s">
        <v>66</v>
      </c>
      <c r="E14" s="126" t="s">
        <v>144</v>
      </c>
      <c r="F14" s="126" t="s">
        <v>344</v>
      </c>
      <c r="G14" s="126"/>
      <c r="H14" s="127"/>
      <c r="I14" s="127"/>
      <c r="J14" s="127"/>
      <c r="K14" s="127"/>
      <c r="L14" s="127"/>
      <c r="M14" s="127"/>
      <c r="N14" s="127"/>
      <c r="O14" s="1305" t="s">
        <v>356</v>
      </c>
      <c r="P14" s="1306"/>
      <c r="Q14" s="1306"/>
      <c r="R14" s="1306"/>
      <c r="S14" s="1306"/>
      <c r="T14" s="1306"/>
      <c r="U14" s="1306"/>
      <c r="V14" s="1306"/>
      <c r="W14" s="1307"/>
    </row>
    <row r="15" spans="1:24" s="129" customFormat="1" x14ac:dyDescent="0.45">
      <c r="A15" s="31"/>
      <c r="B15" s="118">
        <f t="shared" si="0"/>
        <v>12</v>
      </c>
      <c r="C15" s="126" t="s">
        <v>357</v>
      </c>
      <c r="D15" s="126" t="s">
        <v>66</v>
      </c>
      <c r="E15" s="126" t="s">
        <v>67</v>
      </c>
      <c r="F15" s="126" t="s">
        <v>344</v>
      </c>
      <c r="G15" s="126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305" t="s">
        <v>358</v>
      </c>
      <c r="S15" s="1306"/>
      <c r="T15" s="1306"/>
      <c r="U15" s="1306"/>
      <c r="V15" s="1306"/>
      <c r="W15" s="1307"/>
    </row>
    <row r="16" spans="1:24" s="129" customFormat="1" x14ac:dyDescent="0.45">
      <c r="A16" s="31"/>
      <c r="B16" s="118">
        <f t="shared" si="0"/>
        <v>13</v>
      </c>
      <c r="C16" s="126" t="s">
        <v>359</v>
      </c>
      <c r="D16" s="126" t="s">
        <v>37</v>
      </c>
      <c r="E16" s="126" t="s">
        <v>72</v>
      </c>
      <c r="F16" s="126" t="s">
        <v>344</v>
      </c>
      <c r="G16" s="126"/>
      <c r="H16" s="127"/>
      <c r="I16" s="127"/>
      <c r="J16" s="1305" t="s">
        <v>2170</v>
      </c>
      <c r="K16" s="1306"/>
      <c r="L16" s="1306"/>
      <c r="M16" s="1306"/>
      <c r="N16" s="1306"/>
      <c r="O16" s="1307"/>
      <c r="P16" s="205" t="s">
        <v>361</v>
      </c>
      <c r="Q16" s="127"/>
      <c r="R16" s="1306" t="s">
        <v>362</v>
      </c>
      <c r="S16" s="1306"/>
      <c r="T16" s="1306"/>
      <c r="U16" s="1306"/>
      <c r="V16" s="1306"/>
      <c r="W16" s="1307"/>
    </row>
    <row r="17" spans="1:24" s="129" customFormat="1" x14ac:dyDescent="0.45">
      <c r="A17" s="31"/>
      <c r="B17" s="118">
        <f t="shared" si="0"/>
        <v>14</v>
      </c>
      <c r="C17" s="126" t="s">
        <v>363</v>
      </c>
      <c r="D17" s="126" t="s">
        <v>66</v>
      </c>
      <c r="E17" s="126" t="s">
        <v>76</v>
      </c>
      <c r="F17" s="126" t="s">
        <v>344</v>
      </c>
      <c r="G17" s="126"/>
      <c r="H17" s="127"/>
      <c r="I17" s="127"/>
      <c r="J17" s="1305" t="s">
        <v>364</v>
      </c>
      <c r="K17" s="1306"/>
      <c r="L17" s="1306"/>
      <c r="M17" s="1306"/>
      <c r="N17" s="1306"/>
      <c r="O17" s="1307"/>
      <c r="P17" s="127"/>
      <c r="Q17" s="127"/>
      <c r="R17" s="1305" t="s">
        <v>365</v>
      </c>
      <c r="S17" s="1306"/>
      <c r="T17" s="1306"/>
      <c r="U17" s="1306"/>
      <c r="V17" s="1306"/>
      <c r="W17" s="1307"/>
    </row>
    <row r="18" spans="1:24" x14ac:dyDescent="0.45">
      <c r="B18" s="118">
        <f t="shared" si="0"/>
        <v>15</v>
      </c>
      <c r="C18" s="126" t="s">
        <v>366</v>
      </c>
      <c r="D18" s="126" t="s">
        <v>66</v>
      </c>
      <c r="E18" s="126" t="s">
        <v>79</v>
      </c>
      <c r="F18" s="126" t="s">
        <v>344</v>
      </c>
      <c r="H18" s="127"/>
      <c r="I18" s="127"/>
      <c r="J18" s="1305" t="s">
        <v>367</v>
      </c>
      <c r="K18" s="1306"/>
      <c r="L18" s="1306"/>
      <c r="M18" s="1306"/>
      <c r="N18" s="1306"/>
      <c r="O18" s="1307"/>
      <c r="P18" s="127"/>
      <c r="Q18" s="127"/>
      <c r="R18" s="1305" t="s">
        <v>368</v>
      </c>
      <c r="S18" s="1306"/>
      <c r="T18" s="1306"/>
      <c r="U18" s="1306"/>
      <c r="V18" s="1306"/>
      <c r="W18" s="1307"/>
    </row>
    <row r="19" spans="1:24" x14ac:dyDescent="0.45">
      <c r="B19" s="118">
        <f t="shared" si="0"/>
        <v>16</v>
      </c>
      <c r="C19" s="126" t="s">
        <v>369</v>
      </c>
      <c r="D19" s="126" t="s">
        <v>66</v>
      </c>
      <c r="E19" s="126" t="s">
        <v>81</v>
      </c>
      <c r="F19" s="126" t="s">
        <v>344</v>
      </c>
      <c r="H19" s="127"/>
      <c r="I19" s="127"/>
      <c r="J19" s="1305" t="s">
        <v>370</v>
      </c>
      <c r="K19" s="1306"/>
      <c r="L19" s="1306"/>
      <c r="M19" s="1306"/>
      <c r="N19" s="1306"/>
      <c r="O19" s="1307"/>
      <c r="P19" s="127"/>
      <c r="Q19" s="127"/>
      <c r="R19" s="1305" t="s">
        <v>371</v>
      </c>
      <c r="S19" s="1306"/>
      <c r="T19" s="1306"/>
      <c r="U19" s="1306"/>
      <c r="V19" s="1306"/>
      <c r="W19" s="1307"/>
    </row>
    <row r="20" spans="1:24" x14ac:dyDescent="0.45">
      <c r="B20" s="118">
        <f t="shared" si="0"/>
        <v>17</v>
      </c>
      <c r="C20" s="126" t="s">
        <v>372</v>
      </c>
      <c r="D20" s="126" t="s">
        <v>373</v>
      </c>
      <c r="E20" s="126" t="s">
        <v>83</v>
      </c>
      <c r="F20" s="126" t="s">
        <v>344</v>
      </c>
      <c r="H20" s="127"/>
      <c r="I20" s="127"/>
      <c r="J20" s="127"/>
      <c r="K20" s="127"/>
      <c r="L20" s="127"/>
      <c r="M20" s="127"/>
      <c r="N20" s="127"/>
      <c r="O20" s="205" t="s">
        <v>375</v>
      </c>
      <c r="P20" s="127"/>
      <c r="Q20" s="127"/>
      <c r="R20" s="127"/>
      <c r="S20" s="127"/>
      <c r="T20" s="127"/>
      <c r="U20" s="127"/>
      <c r="V20" s="127"/>
      <c r="W20" s="205" t="s">
        <v>376</v>
      </c>
    </row>
    <row r="21" spans="1:24" x14ac:dyDescent="0.45">
      <c r="A21" s="126"/>
      <c r="B21" s="118">
        <f t="shared" si="0"/>
        <v>18</v>
      </c>
      <c r="C21" s="126" t="s">
        <v>377</v>
      </c>
      <c r="D21" s="126" t="s">
        <v>37</v>
      </c>
      <c r="E21" s="126" t="s">
        <v>374</v>
      </c>
      <c r="F21" s="126" t="s">
        <v>344</v>
      </c>
      <c r="H21" s="1305" t="s">
        <v>378</v>
      </c>
      <c r="I21" s="1306"/>
      <c r="J21" s="1306"/>
      <c r="K21" s="1306"/>
      <c r="L21" s="1306"/>
      <c r="M21" s="1306"/>
      <c r="N21" s="1306"/>
      <c r="O21" s="1306"/>
      <c r="P21" s="1306"/>
      <c r="Q21" s="1306"/>
      <c r="R21" s="1306"/>
      <c r="S21" s="1306"/>
      <c r="T21" s="1306"/>
      <c r="U21" s="1306"/>
      <c r="V21" s="1306"/>
      <c r="W21" s="1307"/>
    </row>
    <row r="22" spans="1:24" x14ac:dyDescent="0.45">
      <c r="A22" s="126"/>
      <c r="B22" s="118">
        <f t="shared" si="0"/>
        <v>19</v>
      </c>
      <c r="C22" s="126" t="s">
        <v>379</v>
      </c>
      <c r="D22" s="126" t="s">
        <v>37</v>
      </c>
      <c r="E22" s="126" t="s">
        <v>86</v>
      </c>
      <c r="F22" s="126" t="s">
        <v>344</v>
      </c>
      <c r="H22" s="1305" t="s">
        <v>380</v>
      </c>
      <c r="I22" s="1306"/>
      <c r="J22" s="1306"/>
      <c r="K22" s="1306"/>
      <c r="L22" s="1306"/>
      <c r="M22" s="1306"/>
      <c r="N22" s="1306"/>
      <c r="O22" s="1307"/>
      <c r="P22" s="127"/>
      <c r="Q22" s="127"/>
      <c r="R22" s="127"/>
      <c r="S22" s="127"/>
      <c r="T22" s="127"/>
      <c r="U22" s="127"/>
      <c r="V22" s="127"/>
      <c r="W22" s="205" t="s">
        <v>381</v>
      </c>
    </row>
    <row r="23" spans="1:24" x14ac:dyDescent="0.45">
      <c r="A23" s="126"/>
      <c r="B23" s="118">
        <f t="shared" si="0"/>
        <v>20</v>
      </c>
      <c r="C23" s="126" t="s">
        <v>383</v>
      </c>
      <c r="D23" s="126" t="s">
        <v>37</v>
      </c>
      <c r="E23" s="126" t="s">
        <v>88</v>
      </c>
      <c r="F23" s="126" t="s">
        <v>344</v>
      </c>
      <c r="H23" s="205" t="s">
        <v>1085</v>
      </c>
      <c r="I23" s="205" t="s">
        <v>1086</v>
      </c>
      <c r="J23" s="205" t="s">
        <v>1087</v>
      </c>
      <c r="K23" s="205" t="s">
        <v>1088</v>
      </c>
      <c r="L23" s="28" t="s">
        <v>2527</v>
      </c>
      <c r="M23" s="205" t="s">
        <v>1080</v>
      </c>
      <c r="N23" s="205" t="s">
        <v>2526</v>
      </c>
      <c r="O23" s="205" t="s">
        <v>384</v>
      </c>
      <c r="P23" s="205" t="s">
        <v>385</v>
      </c>
      <c r="Q23" s="205" t="s">
        <v>386</v>
      </c>
      <c r="R23" s="205" t="s">
        <v>387</v>
      </c>
      <c r="S23" s="205" t="s">
        <v>388</v>
      </c>
      <c r="T23" s="207" t="s">
        <v>389</v>
      </c>
      <c r="U23" s="207" t="s">
        <v>390</v>
      </c>
      <c r="V23" s="207" t="s">
        <v>391</v>
      </c>
      <c r="W23" s="207" t="s">
        <v>392</v>
      </c>
    </row>
    <row r="24" spans="1:24" x14ac:dyDescent="0.45">
      <c r="A24" s="126"/>
      <c r="B24" s="118">
        <f t="shared" si="0"/>
        <v>21</v>
      </c>
      <c r="C24" s="685" t="s">
        <v>393</v>
      </c>
      <c r="D24" s="126" t="s">
        <v>66</v>
      </c>
      <c r="E24" s="126" t="s">
        <v>90</v>
      </c>
      <c r="F24" s="126" t="s">
        <v>331</v>
      </c>
      <c r="G24" s="685"/>
      <c r="H24" s="205" t="s">
        <v>394</v>
      </c>
      <c r="I24" s="205" t="s">
        <v>395</v>
      </c>
      <c r="J24" s="205" t="s">
        <v>396</v>
      </c>
      <c r="K24" s="205" t="s">
        <v>397</v>
      </c>
      <c r="L24" s="205" t="s">
        <v>398</v>
      </c>
      <c r="M24" s="205" t="s">
        <v>399</v>
      </c>
      <c r="N24" s="205" t="s">
        <v>400</v>
      </c>
      <c r="O24" s="205" t="s">
        <v>401</v>
      </c>
      <c r="P24" s="205" t="s">
        <v>402</v>
      </c>
      <c r="Q24" s="205" t="s">
        <v>403</v>
      </c>
      <c r="R24" s="205" t="s">
        <v>404</v>
      </c>
      <c r="S24" s="205" t="s">
        <v>405</v>
      </c>
      <c r="T24" s="205" t="s">
        <v>406</v>
      </c>
      <c r="U24" s="205" t="s">
        <v>407</v>
      </c>
      <c r="V24" s="205" t="s">
        <v>408</v>
      </c>
      <c r="W24" s="205" t="s">
        <v>409</v>
      </c>
    </row>
    <row r="25" spans="1:24" x14ac:dyDescent="0.45">
      <c r="A25" s="126"/>
      <c r="B25" s="118">
        <f t="shared" si="0"/>
        <v>22</v>
      </c>
      <c r="C25" s="685" t="s">
        <v>410</v>
      </c>
      <c r="D25" s="126" t="s">
        <v>66</v>
      </c>
      <c r="E25" s="126" t="s">
        <v>92</v>
      </c>
      <c r="F25" s="126" t="s">
        <v>331</v>
      </c>
      <c r="G25" s="685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205" t="s">
        <v>412</v>
      </c>
      <c r="W25" s="205" t="s">
        <v>413</v>
      </c>
    </row>
    <row r="26" spans="1:24" x14ac:dyDescent="0.45">
      <c r="A26" s="126"/>
      <c r="B26" s="118">
        <f t="shared" si="0"/>
        <v>23</v>
      </c>
      <c r="C26" s="685" t="s">
        <v>414</v>
      </c>
      <c r="D26" s="126" t="s">
        <v>66</v>
      </c>
      <c r="E26" s="126" t="s">
        <v>94</v>
      </c>
      <c r="F26" s="126" t="s">
        <v>331</v>
      </c>
      <c r="G26" s="685"/>
      <c r="H26" s="127"/>
      <c r="I26" s="205" t="s">
        <v>416</v>
      </c>
      <c r="J26" s="205" t="s">
        <v>417</v>
      </c>
      <c r="K26" s="205" t="s">
        <v>418</v>
      </c>
      <c r="L26" s="127"/>
      <c r="M26" s="127"/>
      <c r="N26" s="127"/>
      <c r="O26" s="205" t="s">
        <v>419</v>
      </c>
      <c r="P26" s="127"/>
      <c r="Q26" s="127"/>
      <c r="R26" s="205" t="s">
        <v>420</v>
      </c>
      <c r="S26" s="205" t="s">
        <v>421</v>
      </c>
      <c r="T26" s="205" t="s">
        <v>422</v>
      </c>
      <c r="U26" s="205" t="s">
        <v>423</v>
      </c>
      <c r="V26" s="205" t="s">
        <v>424</v>
      </c>
      <c r="W26" s="205" t="s">
        <v>425</v>
      </c>
    </row>
    <row r="27" spans="1:24" ht="34" x14ac:dyDescent="0.45">
      <c r="B27" s="118">
        <f t="shared" si="0"/>
        <v>24</v>
      </c>
      <c r="C27" s="126" t="s">
        <v>426</v>
      </c>
      <c r="D27" s="126" t="s">
        <v>66</v>
      </c>
      <c r="E27" s="126" t="s">
        <v>411</v>
      </c>
      <c r="F27" s="126" t="s">
        <v>344</v>
      </c>
      <c r="H27" s="207" t="s">
        <v>1089</v>
      </c>
      <c r="I27" s="207" t="s">
        <v>1090</v>
      </c>
      <c r="J27" s="207" t="s">
        <v>1091</v>
      </c>
      <c r="K27" s="207" t="s">
        <v>428</v>
      </c>
      <c r="L27" s="207" t="s">
        <v>429</v>
      </c>
      <c r="M27" s="207" t="s">
        <v>430</v>
      </c>
      <c r="N27" s="207" t="s">
        <v>431</v>
      </c>
      <c r="O27" s="207" t="s">
        <v>432</v>
      </c>
      <c r="P27" s="127"/>
      <c r="Q27" s="127"/>
      <c r="R27" s="207" t="s">
        <v>2287</v>
      </c>
      <c r="S27" s="207" t="s">
        <v>2288</v>
      </c>
      <c r="T27" s="207" t="s">
        <v>2289</v>
      </c>
      <c r="U27" s="207" t="s">
        <v>2286</v>
      </c>
      <c r="V27" s="207" t="s">
        <v>1115</v>
      </c>
      <c r="W27" s="207" t="s">
        <v>1116</v>
      </c>
      <c r="X27" s="31"/>
    </row>
    <row r="28" spans="1:24" x14ac:dyDescent="0.45">
      <c r="B28" s="118">
        <f t="shared" si="0"/>
        <v>25</v>
      </c>
      <c r="C28" s="126" t="s">
        <v>2476</v>
      </c>
      <c r="D28" s="126" t="s">
        <v>66</v>
      </c>
      <c r="E28" s="126" t="s">
        <v>415</v>
      </c>
      <c r="F28" s="126" t="s">
        <v>344</v>
      </c>
      <c r="H28" s="28" t="s">
        <v>2495</v>
      </c>
      <c r="I28" s="28" t="s">
        <v>2498</v>
      </c>
      <c r="J28" s="28" t="s">
        <v>2499</v>
      </c>
      <c r="K28" s="28" t="s">
        <v>2500</v>
      </c>
      <c r="L28" s="28" t="s">
        <v>2501</v>
      </c>
      <c r="M28" s="28" t="s">
        <v>2502</v>
      </c>
      <c r="N28" s="28" t="s">
        <v>2503</v>
      </c>
      <c r="O28" s="28" t="s">
        <v>2504</v>
      </c>
      <c r="P28" s="28" t="s">
        <v>2505</v>
      </c>
      <c r="Q28" s="28" t="s">
        <v>2506</v>
      </c>
      <c r="R28" s="28" t="s">
        <v>2507</v>
      </c>
      <c r="S28" s="28" t="s">
        <v>2508</v>
      </c>
      <c r="T28" s="28" t="s">
        <v>2509</v>
      </c>
      <c r="U28" s="28" t="s">
        <v>2510</v>
      </c>
      <c r="V28" s="28" t="s">
        <v>2497</v>
      </c>
      <c r="W28" s="28" t="s">
        <v>2496</v>
      </c>
      <c r="X28" s="129" t="s">
        <v>2515</v>
      </c>
    </row>
    <row r="29" spans="1:24" x14ac:dyDescent="0.45">
      <c r="B29" s="118">
        <f t="shared" si="0"/>
        <v>26</v>
      </c>
      <c r="C29" s="126" t="s">
        <v>2475</v>
      </c>
      <c r="D29" s="126" t="s">
        <v>66</v>
      </c>
      <c r="E29" s="126" t="s">
        <v>427</v>
      </c>
      <c r="F29" s="126" t="s">
        <v>344</v>
      </c>
      <c r="H29" s="28" t="s">
        <v>986</v>
      </c>
      <c r="I29" s="28" t="s">
        <v>985</v>
      </c>
      <c r="J29" s="28" t="s">
        <v>984</v>
      </c>
      <c r="K29" s="28" t="s">
        <v>983</v>
      </c>
      <c r="L29" s="127"/>
      <c r="M29" s="127"/>
      <c r="N29" s="127"/>
      <c r="O29" s="127"/>
      <c r="P29" s="28" t="s">
        <v>2487</v>
      </c>
      <c r="Q29" s="28" t="s">
        <v>2488</v>
      </c>
      <c r="R29" s="28" t="s">
        <v>2489</v>
      </c>
      <c r="S29" s="28" t="s">
        <v>2490</v>
      </c>
      <c r="T29" s="28" t="s">
        <v>2491</v>
      </c>
      <c r="U29" s="28" t="s">
        <v>2492</v>
      </c>
      <c r="V29" s="28" t="s">
        <v>2493</v>
      </c>
      <c r="W29" s="28" t="s">
        <v>2494</v>
      </c>
      <c r="X29" s="129" t="s">
        <v>2515</v>
      </c>
    </row>
    <row r="30" spans="1:24" ht="34" x14ac:dyDescent="0.45">
      <c r="B30" s="118">
        <f t="shared" si="0"/>
        <v>27</v>
      </c>
      <c r="C30" s="126" t="s">
        <v>1094</v>
      </c>
      <c r="D30" s="126" t="s">
        <v>37</v>
      </c>
      <c r="E30" s="126" t="s">
        <v>437</v>
      </c>
      <c r="F30" s="126" t="s">
        <v>344</v>
      </c>
      <c r="H30" s="1305" t="s">
        <v>1093</v>
      </c>
      <c r="I30" s="1306"/>
      <c r="J30" s="1306"/>
      <c r="K30" s="1306"/>
      <c r="L30" s="1306"/>
      <c r="M30" s="1306"/>
      <c r="N30" s="1306"/>
      <c r="O30" s="1307"/>
      <c r="P30" s="1305" t="s">
        <v>1092</v>
      </c>
      <c r="Q30" s="1307"/>
      <c r="R30" s="205" t="s">
        <v>1084</v>
      </c>
      <c r="S30" s="205" t="s">
        <v>1083</v>
      </c>
      <c r="T30" s="127"/>
      <c r="U30" s="127"/>
      <c r="V30" s="207" t="s">
        <v>1082</v>
      </c>
      <c r="W30" s="207" t="s">
        <v>1081</v>
      </c>
      <c r="X30" s="31"/>
    </row>
    <row r="31" spans="1:24" s="211" customFormat="1" ht="51" x14ac:dyDescent="0.45">
      <c r="B31" s="118">
        <f t="shared" si="0"/>
        <v>28</v>
      </c>
      <c r="C31" s="126" t="s">
        <v>981</v>
      </c>
      <c r="D31" s="126" t="s">
        <v>37</v>
      </c>
      <c r="E31" s="126" t="s">
        <v>150</v>
      </c>
      <c r="F31" s="126" t="s">
        <v>331</v>
      </c>
      <c r="G31" s="686"/>
      <c r="H31" s="230"/>
      <c r="I31" s="1308" t="s">
        <v>2471</v>
      </c>
      <c r="J31" s="1309"/>
      <c r="K31" s="1310"/>
      <c r="L31" s="687" t="s">
        <v>2522</v>
      </c>
      <c r="M31" s="1050"/>
      <c r="N31" s="1484" t="s">
        <v>2882</v>
      </c>
      <c r="O31" s="687" t="s">
        <v>2521</v>
      </c>
      <c r="P31" s="1050"/>
      <c r="Q31" s="1311" t="s">
        <v>2474</v>
      </c>
      <c r="R31" s="1312"/>
      <c r="S31" s="1313"/>
      <c r="T31" s="687" t="s">
        <v>2520</v>
      </c>
      <c r="U31" s="687" t="s">
        <v>2519</v>
      </c>
      <c r="V31" s="687" t="s">
        <v>1121</v>
      </c>
      <c r="W31" s="1060"/>
      <c r="X31" s="211" t="s">
        <v>2516</v>
      </c>
    </row>
    <row r="32" spans="1:24" ht="51" x14ac:dyDescent="0.45">
      <c r="A32" s="211"/>
      <c r="B32" s="118">
        <f t="shared" si="0"/>
        <v>29</v>
      </c>
      <c r="C32" s="126" t="s">
        <v>982</v>
      </c>
      <c r="D32" s="126" t="s">
        <v>37</v>
      </c>
      <c r="E32" s="126" t="s">
        <v>153</v>
      </c>
      <c r="F32" s="126" t="s">
        <v>331</v>
      </c>
      <c r="H32" s="230"/>
      <c r="I32" s="1308" t="s">
        <v>2472</v>
      </c>
      <c r="J32" s="1309"/>
      <c r="K32" s="1310"/>
      <c r="L32" s="1060"/>
      <c r="M32" s="1050"/>
      <c r="N32" s="1050"/>
      <c r="P32" s="1050"/>
      <c r="Q32" s="1311" t="s">
        <v>2473</v>
      </c>
      <c r="R32" s="1312"/>
      <c r="S32" s="1313"/>
      <c r="T32" s="1060"/>
      <c r="U32" s="687" t="s">
        <v>2518</v>
      </c>
      <c r="V32" s="1065" t="s">
        <v>2558</v>
      </c>
      <c r="W32" s="687" t="s">
        <v>2523</v>
      </c>
      <c r="X32" s="31" t="s">
        <v>2517</v>
      </c>
    </row>
    <row r="33" spans="1:23" x14ac:dyDescent="0.45">
      <c r="A33" s="211"/>
      <c r="B33" s="118">
        <f t="shared" si="0"/>
        <v>30</v>
      </c>
      <c r="C33" s="126" t="s">
        <v>382</v>
      </c>
      <c r="D33" s="126" t="s">
        <v>37</v>
      </c>
      <c r="E33" s="126" t="s">
        <v>155</v>
      </c>
      <c r="F33" s="126" t="s">
        <v>2528</v>
      </c>
      <c r="H33" s="127"/>
      <c r="I33" s="1305" t="s">
        <v>964</v>
      </c>
      <c r="J33" s="1306"/>
      <c r="K33" s="1306"/>
      <c r="L33" s="1306"/>
      <c r="M33" s="1306"/>
      <c r="N33" s="1306"/>
      <c r="O33" s="1307"/>
      <c r="P33" s="127"/>
      <c r="Q33" s="1305" t="s">
        <v>963</v>
      </c>
      <c r="R33" s="1306"/>
      <c r="S33" s="1306"/>
      <c r="T33" s="1306"/>
      <c r="U33" s="1306"/>
      <c r="V33" s="1306"/>
      <c r="W33" s="1307"/>
    </row>
    <row r="34" spans="1:23" x14ac:dyDescent="0.45">
      <c r="A34" s="211"/>
      <c r="B34" s="118">
        <f t="shared" si="0"/>
        <v>31</v>
      </c>
      <c r="C34" s="126" t="s">
        <v>1101</v>
      </c>
      <c r="D34" s="126" t="s">
        <v>37</v>
      </c>
      <c r="E34" s="126" t="s">
        <v>157</v>
      </c>
      <c r="F34" s="126" t="s">
        <v>2529</v>
      </c>
      <c r="H34" s="1305" t="s">
        <v>1102</v>
      </c>
      <c r="I34" s="1306"/>
      <c r="J34" s="1306"/>
      <c r="K34" s="1306"/>
      <c r="L34" s="1306"/>
      <c r="M34" s="1306"/>
      <c r="N34" s="1306"/>
      <c r="O34" s="1307"/>
      <c r="P34" s="1305" t="s">
        <v>438</v>
      </c>
      <c r="Q34" s="1306"/>
      <c r="R34" s="1306"/>
      <c r="S34" s="1306"/>
      <c r="T34" s="1306"/>
      <c r="U34" s="1306"/>
      <c r="V34" s="1306"/>
      <c r="W34" s="1307"/>
    </row>
    <row r="35" spans="1:23" x14ac:dyDescent="0.45">
      <c r="A35" s="211"/>
      <c r="B35" s="118">
        <f t="shared" si="0"/>
        <v>32</v>
      </c>
      <c r="C35" s="126" t="s">
        <v>1952</v>
      </c>
      <c r="D35" s="126" t="s">
        <v>37</v>
      </c>
      <c r="E35" s="126" t="s">
        <v>159</v>
      </c>
      <c r="F35" s="126" t="s">
        <v>2051</v>
      </c>
      <c r="G35" s="129"/>
      <c r="H35" s="1305" t="s">
        <v>2628</v>
      </c>
      <c r="I35" s="1306"/>
      <c r="J35" s="1306"/>
      <c r="K35" s="1306"/>
      <c r="L35" s="1306"/>
      <c r="M35" s="1306"/>
      <c r="N35" s="1306"/>
      <c r="O35" s="1306"/>
      <c r="P35" s="1306"/>
      <c r="Q35" s="1306"/>
      <c r="R35" s="1306"/>
      <c r="S35" s="1306"/>
      <c r="T35" s="1306"/>
      <c r="U35" s="1306"/>
      <c r="V35" s="1306"/>
      <c r="W35" s="1307"/>
    </row>
    <row r="36" spans="1:23" ht="17.149999999999999" customHeight="1" x14ac:dyDescent="0.45">
      <c r="A36" s="211"/>
      <c r="B36" s="118">
        <f t="shared" si="0"/>
        <v>33</v>
      </c>
      <c r="C36" s="126" t="s">
        <v>2000</v>
      </c>
      <c r="D36" s="126" t="s">
        <v>37</v>
      </c>
      <c r="E36" s="126" t="s">
        <v>440</v>
      </c>
      <c r="F36" s="126" t="s">
        <v>344</v>
      </c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319" t="s">
        <v>443</v>
      </c>
      <c r="T36" s="1320"/>
      <c r="U36" s="1320"/>
      <c r="V36" s="1320"/>
      <c r="W36" s="1321"/>
    </row>
    <row r="37" spans="1:23" ht="17.149999999999999" customHeight="1" x14ac:dyDescent="0.45">
      <c r="A37" s="211"/>
      <c r="B37" s="118">
        <f t="shared" si="0"/>
        <v>34</v>
      </c>
      <c r="C37" s="126" t="s">
        <v>472</v>
      </c>
      <c r="D37" s="126" t="s">
        <v>37</v>
      </c>
      <c r="E37" s="126" t="s">
        <v>1707</v>
      </c>
      <c r="F37" s="126" t="s">
        <v>344</v>
      </c>
      <c r="H37" s="127"/>
      <c r="I37" s="1305" t="s">
        <v>474</v>
      </c>
      <c r="J37" s="1306"/>
      <c r="K37" s="1306"/>
      <c r="L37" s="1306"/>
      <c r="M37" s="1307"/>
      <c r="N37" s="1305" t="s">
        <v>475</v>
      </c>
      <c r="O37" s="1306"/>
      <c r="P37" s="1306"/>
      <c r="Q37" s="1306"/>
      <c r="R37" s="1307"/>
      <c r="S37" s="1319" t="s">
        <v>476</v>
      </c>
      <c r="T37" s="1320"/>
      <c r="U37" s="1320"/>
      <c r="V37" s="1320"/>
      <c r="W37" s="1321"/>
    </row>
    <row r="38" spans="1:23" x14ac:dyDescent="0.45">
      <c r="B38" s="118">
        <f t="shared" si="0"/>
        <v>35</v>
      </c>
      <c r="C38" s="126" t="s">
        <v>477</v>
      </c>
      <c r="D38" s="126" t="s">
        <v>37</v>
      </c>
      <c r="E38" s="126" t="s">
        <v>166</v>
      </c>
      <c r="F38" s="126" t="s">
        <v>344</v>
      </c>
      <c r="H38" s="127"/>
      <c r="I38" s="1305" t="s">
        <v>479</v>
      </c>
      <c r="J38" s="1306"/>
      <c r="K38" s="1306"/>
      <c r="L38" s="1306"/>
      <c r="M38" s="1307"/>
      <c r="N38" s="1305" t="s">
        <v>480</v>
      </c>
      <c r="O38" s="1306"/>
      <c r="P38" s="1306"/>
      <c r="Q38" s="1306"/>
      <c r="R38" s="1307"/>
      <c r="S38" s="1305" t="s">
        <v>481</v>
      </c>
      <c r="T38" s="1306"/>
      <c r="U38" s="1306"/>
      <c r="V38" s="1306"/>
      <c r="W38" s="1307"/>
    </row>
    <row r="39" spans="1:23" x14ac:dyDescent="0.45">
      <c r="A39" s="211"/>
      <c r="B39" s="118">
        <f t="shared" si="0"/>
        <v>36</v>
      </c>
      <c r="C39" s="126" t="s">
        <v>482</v>
      </c>
      <c r="D39" s="126" t="s">
        <v>37</v>
      </c>
      <c r="E39" s="126" t="s">
        <v>168</v>
      </c>
      <c r="F39" s="126" t="s">
        <v>344</v>
      </c>
      <c r="H39" s="127"/>
      <c r="I39" s="1305" t="s">
        <v>484</v>
      </c>
      <c r="J39" s="1306"/>
      <c r="K39" s="1306"/>
      <c r="L39" s="1306"/>
      <c r="M39" s="1307"/>
      <c r="N39" s="1305" t="s">
        <v>485</v>
      </c>
      <c r="O39" s="1306"/>
      <c r="P39" s="1306"/>
      <c r="Q39" s="1306"/>
      <c r="R39" s="1307"/>
      <c r="S39" s="1305" t="s">
        <v>486</v>
      </c>
      <c r="T39" s="1306"/>
      <c r="U39" s="1306"/>
      <c r="V39" s="1306"/>
      <c r="W39" s="1307"/>
    </row>
    <row r="40" spans="1:23" s="129" customFormat="1" x14ac:dyDescent="0.45">
      <c r="A40" s="211"/>
      <c r="B40" s="118">
        <f t="shared" si="0"/>
        <v>37</v>
      </c>
      <c r="C40" s="126" t="s">
        <v>487</v>
      </c>
      <c r="D40" s="126" t="s">
        <v>37</v>
      </c>
      <c r="E40" s="126" t="s">
        <v>170</v>
      </c>
      <c r="F40" s="126" t="s">
        <v>344</v>
      </c>
      <c r="G40" s="126"/>
      <c r="H40" s="127"/>
      <c r="I40" s="1305" t="s">
        <v>489</v>
      </c>
      <c r="J40" s="1306"/>
      <c r="K40" s="1306"/>
      <c r="L40" s="1306"/>
      <c r="M40" s="1307"/>
      <c r="N40" s="1305" t="s">
        <v>490</v>
      </c>
      <c r="O40" s="1306"/>
      <c r="P40" s="1306"/>
      <c r="Q40" s="1306"/>
      <c r="R40" s="1307"/>
      <c r="S40" s="1305" t="s">
        <v>491</v>
      </c>
      <c r="T40" s="1306"/>
      <c r="U40" s="1306"/>
      <c r="V40" s="1306"/>
      <c r="W40" s="1307"/>
    </row>
    <row r="41" spans="1:23" s="129" customFormat="1" x14ac:dyDescent="0.45">
      <c r="A41" s="211"/>
      <c r="B41" s="118">
        <f t="shared" si="0"/>
        <v>38</v>
      </c>
      <c r="C41" s="126" t="s">
        <v>492</v>
      </c>
      <c r="D41" s="126" t="s">
        <v>37</v>
      </c>
      <c r="E41" s="126" t="s">
        <v>172</v>
      </c>
      <c r="F41" s="126" t="s">
        <v>344</v>
      </c>
      <c r="G41" s="126"/>
      <c r="H41" s="127"/>
      <c r="I41" s="1305" t="s">
        <v>494</v>
      </c>
      <c r="J41" s="1306"/>
      <c r="K41" s="1306"/>
      <c r="L41" s="1306"/>
      <c r="M41" s="1307"/>
      <c r="N41" s="1305" t="s">
        <v>495</v>
      </c>
      <c r="O41" s="1306"/>
      <c r="P41" s="1306"/>
      <c r="Q41" s="1306"/>
      <c r="R41" s="1307"/>
      <c r="S41" s="1305" t="s">
        <v>496</v>
      </c>
      <c r="T41" s="1306"/>
      <c r="U41" s="1306"/>
      <c r="V41" s="1306"/>
      <c r="W41" s="1307"/>
    </row>
    <row r="42" spans="1:23" s="129" customFormat="1" x14ac:dyDescent="0.45">
      <c r="A42" s="211"/>
      <c r="B42" s="118">
        <f t="shared" si="0"/>
        <v>39</v>
      </c>
      <c r="C42" s="126" t="s">
        <v>497</v>
      </c>
      <c r="D42" s="126" t="s">
        <v>37</v>
      </c>
      <c r="E42" s="126" t="s">
        <v>98</v>
      </c>
      <c r="F42" s="126" t="s">
        <v>344</v>
      </c>
      <c r="G42" s="126"/>
      <c r="H42" s="127"/>
      <c r="I42" s="1305" t="s">
        <v>499</v>
      </c>
      <c r="J42" s="1306"/>
      <c r="K42" s="1306"/>
      <c r="L42" s="1306"/>
      <c r="M42" s="1307"/>
      <c r="N42" s="1305" t="s">
        <v>500</v>
      </c>
      <c r="O42" s="1306"/>
      <c r="P42" s="1306"/>
      <c r="Q42" s="1306"/>
      <c r="R42" s="1307"/>
      <c r="S42" s="1305" t="s">
        <v>501</v>
      </c>
      <c r="T42" s="1306"/>
      <c r="U42" s="1306"/>
      <c r="V42" s="1306"/>
      <c r="W42" s="1307"/>
    </row>
    <row r="43" spans="1:23" s="129" customFormat="1" x14ac:dyDescent="0.45">
      <c r="A43" s="211"/>
      <c r="B43" s="118">
        <f t="shared" si="0"/>
        <v>40</v>
      </c>
      <c r="C43" s="126" t="s">
        <v>502</v>
      </c>
      <c r="D43" s="126" t="s">
        <v>37</v>
      </c>
      <c r="E43" s="126" t="s">
        <v>99</v>
      </c>
      <c r="F43" s="126" t="s">
        <v>344</v>
      </c>
      <c r="G43" s="126"/>
      <c r="H43" s="127"/>
      <c r="I43" s="1305" t="s">
        <v>504</v>
      </c>
      <c r="J43" s="1306"/>
      <c r="K43" s="1306"/>
      <c r="L43" s="1306"/>
      <c r="M43" s="1307"/>
      <c r="N43" s="1305" t="s">
        <v>505</v>
      </c>
      <c r="O43" s="1306"/>
      <c r="P43" s="1306"/>
      <c r="Q43" s="1306"/>
      <c r="R43" s="1307"/>
      <c r="S43" s="1305" t="s">
        <v>506</v>
      </c>
      <c r="T43" s="1306"/>
      <c r="U43" s="1306"/>
      <c r="V43" s="1306"/>
      <c r="W43" s="1307"/>
    </row>
    <row r="44" spans="1:23" s="129" customFormat="1" x14ac:dyDescent="0.45">
      <c r="A44" s="211"/>
      <c r="B44" s="118">
        <f t="shared" si="0"/>
        <v>41</v>
      </c>
      <c r="C44" s="126" t="s">
        <v>507</v>
      </c>
      <c r="D44" s="126" t="s">
        <v>37</v>
      </c>
      <c r="E44" s="126" t="s">
        <v>101</v>
      </c>
      <c r="F44" s="126" t="s">
        <v>344</v>
      </c>
      <c r="G44" s="126"/>
      <c r="H44" s="127"/>
      <c r="I44" s="1305" t="s">
        <v>509</v>
      </c>
      <c r="J44" s="1306"/>
      <c r="K44" s="1306"/>
      <c r="L44" s="1306"/>
      <c r="M44" s="1307"/>
      <c r="N44" s="1305" t="s">
        <v>510</v>
      </c>
      <c r="O44" s="1306"/>
      <c r="P44" s="1306"/>
      <c r="Q44" s="1306"/>
      <c r="R44" s="1307"/>
      <c r="S44" s="1305" t="s">
        <v>511</v>
      </c>
      <c r="T44" s="1306"/>
      <c r="U44" s="1306"/>
      <c r="V44" s="1306"/>
      <c r="W44" s="1307"/>
    </row>
    <row r="45" spans="1:23" s="129" customFormat="1" x14ac:dyDescent="0.45">
      <c r="A45" s="211"/>
      <c r="B45" s="118">
        <f t="shared" si="0"/>
        <v>42</v>
      </c>
      <c r="C45" s="126" t="s">
        <v>512</v>
      </c>
      <c r="D45" s="126" t="s">
        <v>37</v>
      </c>
      <c r="E45" s="126" t="s">
        <v>1708</v>
      </c>
      <c r="F45" s="126" t="s">
        <v>344</v>
      </c>
      <c r="G45" s="126"/>
      <c r="H45" s="1305" t="s">
        <v>514</v>
      </c>
      <c r="I45" s="1306"/>
      <c r="J45" s="1306"/>
      <c r="K45" s="1306"/>
      <c r="L45" s="1306"/>
      <c r="M45" s="1306"/>
      <c r="N45" s="1306"/>
      <c r="O45" s="1307"/>
      <c r="P45" s="1305" t="s">
        <v>515</v>
      </c>
      <c r="Q45" s="1306"/>
      <c r="R45" s="1306"/>
      <c r="S45" s="1306"/>
      <c r="T45" s="1306"/>
      <c r="U45" s="1306"/>
      <c r="V45" s="1306"/>
      <c r="W45" s="1307"/>
    </row>
    <row r="46" spans="1:23" s="129" customFormat="1" x14ac:dyDescent="0.45">
      <c r="A46" s="211"/>
      <c r="B46" s="118">
        <f t="shared" si="0"/>
        <v>43</v>
      </c>
      <c r="C46" s="126" t="s">
        <v>516</v>
      </c>
      <c r="D46" s="126" t="s">
        <v>37</v>
      </c>
      <c r="E46" s="126" t="s">
        <v>103</v>
      </c>
      <c r="F46" s="126" t="s">
        <v>344</v>
      </c>
      <c r="G46" s="126"/>
      <c r="H46" s="1305" t="s">
        <v>518</v>
      </c>
      <c r="I46" s="1306"/>
      <c r="J46" s="1306"/>
      <c r="K46" s="1306"/>
      <c r="L46" s="1306"/>
      <c r="M46" s="1306"/>
      <c r="N46" s="1306"/>
      <c r="O46" s="1307"/>
      <c r="P46" s="1305" t="s">
        <v>519</v>
      </c>
      <c r="Q46" s="1306"/>
      <c r="R46" s="1306"/>
      <c r="S46" s="1306"/>
      <c r="T46" s="1306"/>
      <c r="U46" s="1306"/>
      <c r="V46" s="1306"/>
      <c r="W46" s="1307"/>
    </row>
    <row r="47" spans="1:23" s="129" customFormat="1" x14ac:dyDescent="0.45">
      <c r="A47" s="211"/>
      <c r="B47" s="118">
        <f t="shared" si="0"/>
        <v>44</v>
      </c>
      <c r="C47" s="126" t="s">
        <v>520</v>
      </c>
      <c r="D47" s="126" t="s">
        <v>37</v>
      </c>
      <c r="E47" s="126" t="s">
        <v>105</v>
      </c>
      <c r="F47" s="126" t="s">
        <v>344</v>
      </c>
      <c r="G47" s="126"/>
      <c r="H47" s="1305" t="s">
        <v>521</v>
      </c>
      <c r="I47" s="1306"/>
      <c r="J47" s="1306"/>
      <c r="K47" s="1306"/>
      <c r="L47" s="1306"/>
      <c r="M47" s="1306"/>
      <c r="N47" s="1306"/>
      <c r="O47" s="1307"/>
      <c r="P47" s="1305" t="s">
        <v>522</v>
      </c>
      <c r="Q47" s="1306"/>
      <c r="R47" s="1306"/>
      <c r="S47" s="1306"/>
      <c r="T47" s="1306"/>
      <c r="U47" s="1306"/>
      <c r="V47" s="1306"/>
      <c r="W47" s="1307"/>
    </row>
    <row r="48" spans="1:23" s="129" customFormat="1" x14ac:dyDescent="0.45">
      <c r="A48" s="211"/>
      <c r="B48" s="118">
        <f t="shared" si="0"/>
        <v>45</v>
      </c>
      <c r="C48" s="126" t="s">
        <v>523</v>
      </c>
      <c r="D48" s="126" t="s">
        <v>37</v>
      </c>
      <c r="E48" s="126" t="s">
        <v>913</v>
      </c>
      <c r="F48" s="126" t="s">
        <v>344</v>
      </c>
      <c r="G48" s="126"/>
      <c r="H48" s="1305" t="s">
        <v>524</v>
      </c>
      <c r="I48" s="1306"/>
      <c r="J48" s="1306"/>
      <c r="K48" s="1306"/>
      <c r="L48" s="1306"/>
      <c r="M48" s="1306"/>
      <c r="N48" s="1306"/>
      <c r="O48" s="1307"/>
      <c r="P48" s="1305" t="s">
        <v>525</v>
      </c>
      <c r="Q48" s="1306"/>
      <c r="R48" s="1306"/>
      <c r="S48" s="1306"/>
      <c r="T48" s="1306"/>
      <c r="U48" s="1306"/>
      <c r="V48" s="1306"/>
      <c r="W48" s="1307"/>
    </row>
    <row r="49" spans="1:24" s="129" customFormat="1" x14ac:dyDescent="0.45">
      <c r="A49" s="31"/>
      <c r="B49" s="118">
        <f t="shared" si="0"/>
        <v>46</v>
      </c>
      <c r="C49" s="126" t="s">
        <v>526</v>
      </c>
      <c r="D49" s="126" t="s">
        <v>37</v>
      </c>
      <c r="E49" s="126" t="s">
        <v>988</v>
      </c>
      <c r="F49" s="126" t="s">
        <v>344</v>
      </c>
      <c r="G49" s="126"/>
      <c r="H49" s="1305" t="s">
        <v>527</v>
      </c>
      <c r="I49" s="1306"/>
      <c r="J49" s="1306"/>
      <c r="K49" s="1306"/>
      <c r="L49" s="1306"/>
      <c r="M49" s="1306"/>
      <c r="N49" s="1306"/>
      <c r="O49" s="1307"/>
      <c r="P49" s="1305" t="s">
        <v>528</v>
      </c>
      <c r="Q49" s="1306"/>
      <c r="R49" s="1306"/>
      <c r="S49" s="1306"/>
      <c r="T49" s="1306"/>
      <c r="U49" s="1306"/>
      <c r="V49" s="1306"/>
      <c r="W49" s="1307"/>
    </row>
    <row r="50" spans="1:24" s="129" customFormat="1" x14ac:dyDescent="0.45">
      <c r="A50" s="31"/>
      <c r="B50" s="118">
        <f t="shared" si="0"/>
        <v>47</v>
      </c>
      <c r="C50" s="126" t="s">
        <v>529</v>
      </c>
      <c r="D50" s="126" t="s">
        <v>37</v>
      </c>
      <c r="E50" s="126" t="s">
        <v>1709</v>
      </c>
      <c r="F50" s="126" t="s">
        <v>344</v>
      </c>
      <c r="G50" s="126"/>
      <c r="H50" s="1305" t="s">
        <v>530</v>
      </c>
      <c r="I50" s="1306"/>
      <c r="J50" s="1306"/>
      <c r="K50" s="1306"/>
      <c r="L50" s="1306"/>
      <c r="M50" s="1306"/>
      <c r="N50" s="1306"/>
      <c r="O50" s="1307"/>
      <c r="P50" s="1305" t="s">
        <v>531</v>
      </c>
      <c r="Q50" s="1306"/>
      <c r="R50" s="1306"/>
      <c r="S50" s="1306"/>
      <c r="T50" s="1306"/>
      <c r="U50" s="1306"/>
      <c r="V50" s="1306"/>
      <c r="W50" s="1307"/>
    </row>
    <row r="51" spans="1:24" s="129" customFormat="1" x14ac:dyDescent="0.45">
      <c r="A51" s="31"/>
      <c r="B51" s="118">
        <f t="shared" si="0"/>
        <v>48</v>
      </c>
      <c r="C51" s="126" t="s">
        <v>532</v>
      </c>
      <c r="D51" s="126" t="s">
        <v>37</v>
      </c>
      <c r="E51" s="126" t="s">
        <v>1113</v>
      </c>
      <c r="F51" s="126" t="s">
        <v>344</v>
      </c>
      <c r="G51" s="126"/>
      <c r="H51" s="1305" t="s">
        <v>533</v>
      </c>
      <c r="I51" s="1306"/>
      <c r="J51" s="1306"/>
      <c r="K51" s="1306"/>
      <c r="L51" s="1306"/>
      <c r="M51" s="1306"/>
      <c r="N51" s="1306"/>
      <c r="O51" s="1307"/>
      <c r="P51" s="1305" t="s">
        <v>534</v>
      </c>
      <c r="Q51" s="1306"/>
      <c r="R51" s="1306"/>
      <c r="S51" s="1306"/>
      <c r="T51" s="1306"/>
      <c r="U51" s="1306"/>
      <c r="V51" s="1306"/>
      <c r="W51" s="1307"/>
    </row>
    <row r="52" spans="1:24" s="129" customFormat="1" x14ac:dyDescent="0.45">
      <c r="A52" s="31"/>
      <c r="B52" s="118">
        <f t="shared" si="0"/>
        <v>49</v>
      </c>
      <c r="C52" s="126" t="s">
        <v>535</v>
      </c>
      <c r="D52" s="126" t="s">
        <v>37</v>
      </c>
      <c r="E52" s="126" t="s">
        <v>473</v>
      </c>
      <c r="F52" s="126" t="s">
        <v>344</v>
      </c>
      <c r="G52" s="126"/>
      <c r="H52" s="1305" t="s">
        <v>536</v>
      </c>
      <c r="I52" s="1306"/>
      <c r="J52" s="1306"/>
      <c r="K52" s="1306"/>
      <c r="L52" s="1306"/>
      <c r="M52" s="1306"/>
      <c r="N52" s="1306"/>
      <c r="O52" s="1307"/>
      <c r="P52" s="1305" t="s">
        <v>537</v>
      </c>
      <c r="Q52" s="1306"/>
      <c r="R52" s="1306"/>
      <c r="S52" s="1306"/>
      <c r="T52" s="1306"/>
      <c r="U52" s="1306"/>
      <c r="V52" s="1306"/>
      <c r="W52" s="1307"/>
    </row>
    <row r="53" spans="1:24" s="129" customFormat="1" x14ac:dyDescent="0.45">
      <c r="A53" s="31"/>
      <c r="B53" s="118">
        <f t="shared" si="0"/>
        <v>50</v>
      </c>
      <c r="C53" s="126" t="s">
        <v>538</v>
      </c>
      <c r="D53" s="126" t="s">
        <v>37</v>
      </c>
      <c r="E53" s="126" t="s">
        <v>478</v>
      </c>
      <c r="F53" s="126" t="s">
        <v>344</v>
      </c>
      <c r="G53" s="126"/>
      <c r="H53" s="1305" t="s">
        <v>540</v>
      </c>
      <c r="I53" s="1306"/>
      <c r="J53" s="1306"/>
      <c r="K53" s="1306"/>
      <c r="L53" s="1306"/>
      <c r="M53" s="1306"/>
      <c r="N53" s="1306"/>
      <c r="O53" s="1307"/>
      <c r="P53" s="1305" t="s">
        <v>541</v>
      </c>
      <c r="Q53" s="1306"/>
      <c r="R53" s="1306"/>
      <c r="S53" s="1306"/>
      <c r="T53" s="1306"/>
      <c r="U53" s="1306"/>
      <c r="V53" s="1306"/>
      <c r="W53" s="1307"/>
    </row>
    <row r="54" spans="1:24" s="129" customFormat="1" x14ac:dyDescent="0.45">
      <c r="A54" s="31"/>
      <c r="B54" s="118">
        <f t="shared" si="0"/>
        <v>51</v>
      </c>
      <c r="C54" s="126" t="s">
        <v>542</v>
      </c>
      <c r="D54" s="126" t="s">
        <v>37</v>
      </c>
      <c r="E54" s="126" t="s">
        <v>483</v>
      </c>
      <c r="F54" s="126" t="s">
        <v>344</v>
      </c>
      <c r="G54" s="126"/>
      <c r="H54" s="1305" t="s">
        <v>544</v>
      </c>
      <c r="I54" s="1306"/>
      <c r="J54" s="1306"/>
      <c r="K54" s="1306"/>
      <c r="L54" s="1306"/>
      <c r="M54" s="1306"/>
      <c r="N54" s="1306"/>
      <c r="O54" s="1307"/>
      <c r="P54" s="1305" t="s">
        <v>545</v>
      </c>
      <c r="Q54" s="1306"/>
      <c r="R54" s="1306"/>
      <c r="S54" s="1306"/>
      <c r="T54" s="1306"/>
      <c r="U54" s="1306"/>
      <c r="V54" s="1306"/>
      <c r="W54" s="1307"/>
    </row>
    <row r="55" spans="1:24" s="129" customFormat="1" x14ac:dyDescent="0.45">
      <c r="A55" s="31"/>
      <c r="B55" s="118">
        <f t="shared" si="0"/>
        <v>52</v>
      </c>
      <c r="C55" s="126" t="s">
        <v>546</v>
      </c>
      <c r="D55" s="126" t="s">
        <v>37</v>
      </c>
      <c r="E55" s="126" t="s">
        <v>488</v>
      </c>
      <c r="F55" s="126" t="s">
        <v>344</v>
      </c>
      <c r="G55" s="126"/>
      <c r="H55" s="1305" t="s">
        <v>548</v>
      </c>
      <c r="I55" s="1306"/>
      <c r="J55" s="1306"/>
      <c r="K55" s="1306"/>
      <c r="L55" s="1306"/>
      <c r="M55" s="1306"/>
      <c r="N55" s="1306"/>
      <c r="O55" s="1307"/>
      <c r="P55" s="1305" t="s">
        <v>549</v>
      </c>
      <c r="Q55" s="1306"/>
      <c r="R55" s="1306"/>
      <c r="S55" s="1306"/>
      <c r="T55" s="1306"/>
      <c r="U55" s="1306"/>
      <c r="V55" s="1306"/>
      <c r="W55" s="1307"/>
    </row>
    <row r="56" spans="1:24" s="129" customFormat="1" x14ac:dyDescent="0.45">
      <c r="A56" s="31"/>
      <c r="B56" s="118">
        <f t="shared" si="0"/>
        <v>53</v>
      </c>
      <c r="C56" s="126" t="s">
        <v>550</v>
      </c>
      <c r="D56" s="126" t="s">
        <v>37</v>
      </c>
      <c r="E56" s="126" t="s">
        <v>493</v>
      </c>
      <c r="F56" s="126" t="s">
        <v>344</v>
      </c>
      <c r="G56" s="126"/>
      <c r="H56" s="1305" t="s">
        <v>552</v>
      </c>
      <c r="I56" s="1306"/>
      <c r="J56" s="1306"/>
      <c r="K56" s="1306"/>
      <c r="L56" s="1306"/>
      <c r="M56" s="1306"/>
      <c r="N56" s="1306"/>
      <c r="O56" s="1307"/>
      <c r="P56" s="1305" t="s">
        <v>553</v>
      </c>
      <c r="Q56" s="1306"/>
      <c r="R56" s="1306"/>
      <c r="S56" s="1306"/>
      <c r="T56" s="1306"/>
      <c r="U56" s="1306"/>
      <c r="V56" s="1306"/>
      <c r="W56" s="1307"/>
    </row>
    <row r="57" spans="1:24" s="129" customFormat="1" x14ac:dyDescent="0.45">
      <c r="A57" s="31"/>
      <c r="B57" s="118">
        <f t="shared" si="0"/>
        <v>54</v>
      </c>
      <c r="C57" s="126" t="s">
        <v>554</v>
      </c>
      <c r="D57" s="126" t="s">
        <v>37</v>
      </c>
      <c r="E57" s="126" t="s">
        <v>498</v>
      </c>
      <c r="F57" s="126" t="s">
        <v>344</v>
      </c>
      <c r="G57" s="126"/>
      <c r="H57" s="205" t="s">
        <v>556</v>
      </c>
      <c r="I57" s="205" t="s">
        <v>557</v>
      </c>
      <c r="J57" s="205" t="s">
        <v>558</v>
      </c>
      <c r="K57" s="205" t="s">
        <v>559</v>
      </c>
      <c r="L57" s="205" t="s">
        <v>560</v>
      </c>
      <c r="M57" s="205" t="s">
        <v>561</v>
      </c>
      <c r="N57" s="205" t="s">
        <v>562</v>
      </c>
      <c r="O57" s="205" t="s">
        <v>563</v>
      </c>
      <c r="P57" s="205" t="s">
        <v>564</v>
      </c>
      <c r="Q57" s="205" t="s">
        <v>565</v>
      </c>
      <c r="R57" s="205" t="s">
        <v>566</v>
      </c>
      <c r="S57" s="205" t="s">
        <v>567</v>
      </c>
      <c r="T57" s="205" t="s">
        <v>568</v>
      </c>
      <c r="U57" s="205" t="s">
        <v>569</v>
      </c>
      <c r="V57" s="205" t="s">
        <v>570</v>
      </c>
      <c r="W57" s="205" t="s">
        <v>571</v>
      </c>
    </row>
    <row r="58" spans="1:24" s="129" customFormat="1" x14ac:dyDescent="0.45">
      <c r="A58" s="31"/>
      <c r="B58" s="118">
        <f t="shared" si="0"/>
        <v>55</v>
      </c>
      <c r="C58" s="126" t="s">
        <v>572</v>
      </c>
      <c r="D58" s="126" t="s">
        <v>37</v>
      </c>
      <c r="E58" s="126" t="s">
        <v>503</v>
      </c>
      <c r="F58" s="126" t="s">
        <v>344</v>
      </c>
      <c r="G58" s="126"/>
      <c r="H58" s="1305" t="s">
        <v>574</v>
      </c>
      <c r="I58" s="1307"/>
      <c r="J58" s="127"/>
      <c r="K58" s="1305" t="s">
        <v>575</v>
      </c>
      <c r="L58" s="1306"/>
      <c r="M58" s="1306"/>
      <c r="N58" s="1306"/>
      <c r="O58" s="1307"/>
      <c r="P58" s="205" t="s">
        <v>576</v>
      </c>
      <c r="Q58" s="205" t="s">
        <v>577</v>
      </c>
      <c r="R58" s="205" t="s">
        <v>578</v>
      </c>
      <c r="S58" s="205" t="s">
        <v>579</v>
      </c>
      <c r="T58" s="205" t="s">
        <v>580</v>
      </c>
      <c r="U58" s="205" t="s">
        <v>581</v>
      </c>
      <c r="V58" s="205" t="s">
        <v>582</v>
      </c>
      <c r="W58" s="205" t="s">
        <v>583</v>
      </c>
    </row>
    <row r="59" spans="1:24" s="129" customFormat="1" x14ac:dyDescent="0.45">
      <c r="B59" s="118"/>
      <c r="C59" s="126"/>
      <c r="D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</row>
    <row r="60" spans="1:24" x14ac:dyDescent="0.45">
      <c r="B60" s="118">
        <f>B58+1</f>
        <v>56</v>
      </c>
      <c r="C60" s="126" t="s">
        <v>2459</v>
      </c>
      <c r="D60" s="126" t="s">
        <v>37</v>
      </c>
      <c r="E60" s="126" t="s">
        <v>508</v>
      </c>
      <c r="F60" s="126" t="s">
        <v>331</v>
      </c>
      <c r="H60" s="1322" t="s">
        <v>2467</v>
      </c>
      <c r="I60" s="1324"/>
      <c r="J60" s="1324"/>
      <c r="K60" s="1324"/>
      <c r="L60" s="1324"/>
      <c r="M60" s="1324"/>
      <c r="N60" s="1324"/>
      <c r="O60" s="1324"/>
      <c r="P60" s="1324"/>
      <c r="Q60" s="1324"/>
      <c r="R60" s="1324"/>
      <c r="S60" s="1324"/>
      <c r="T60" s="1324"/>
      <c r="U60" s="1324"/>
      <c r="V60" s="1324"/>
      <c r="W60" s="1323"/>
      <c r="X60" s="977" t="s">
        <v>1994</v>
      </c>
    </row>
    <row r="61" spans="1:24" ht="51" x14ac:dyDescent="0.45">
      <c r="B61" s="118">
        <f>B60+1</f>
        <v>57</v>
      </c>
      <c r="C61" s="126" t="s">
        <v>2461</v>
      </c>
      <c r="D61" s="126" t="s">
        <v>37</v>
      </c>
      <c r="E61" s="126" t="s">
        <v>513</v>
      </c>
      <c r="F61" s="126" t="s">
        <v>331</v>
      </c>
      <c r="H61" s="50" t="s">
        <v>2463</v>
      </c>
      <c r="I61" s="207" t="s">
        <v>1872</v>
      </c>
      <c r="J61" s="1322" t="s">
        <v>2465</v>
      </c>
      <c r="K61" s="1323"/>
      <c r="L61" s="127"/>
      <c r="M61" s="127"/>
      <c r="N61" s="1322" t="s">
        <v>2564</v>
      </c>
      <c r="O61" s="1323"/>
      <c r="P61" s="127"/>
      <c r="Q61" s="127"/>
      <c r="R61" s="127"/>
      <c r="S61" s="1322" t="s">
        <v>2469</v>
      </c>
      <c r="T61" s="1324"/>
      <c r="U61" s="1324"/>
      <c r="V61" s="1324"/>
      <c r="W61" s="1323"/>
      <c r="X61" s="977" t="s">
        <v>1994</v>
      </c>
    </row>
    <row r="62" spans="1:24" x14ac:dyDescent="0.45">
      <c r="B62" s="118">
        <f t="shared" ref="B62:B79" si="1">B61+1</f>
        <v>58</v>
      </c>
      <c r="C62" s="126" t="s">
        <v>2460</v>
      </c>
      <c r="D62" s="126" t="s">
        <v>37</v>
      </c>
      <c r="E62" s="126" t="s">
        <v>2478</v>
      </c>
      <c r="F62" s="126" t="s">
        <v>331</v>
      </c>
      <c r="H62" s="1322" t="s">
        <v>2468</v>
      </c>
      <c r="I62" s="1324"/>
      <c r="J62" s="1324"/>
      <c r="K62" s="1324"/>
      <c r="L62" s="1324"/>
      <c r="M62" s="1324"/>
      <c r="N62" s="1324"/>
      <c r="O62" s="1324"/>
      <c r="P62" s="1324"/>
      <c r="Q62" s="1324"/>
      <c r="R62" s="1324"/>
      <c r="S62" s="1324"/>
      <c r="T62" s="1324"/>
      <c r="U62" s="1324"/>
      <c r="V62" s="1324"/>
      <c r="W62" s="1323"/>
      <c r="X62" s="977" t="s">
        <v>1994</v>
      </c>
    </row>
    <row r="63" spans="1:24" ht="51" x14ac:dyDescent="0.45">
      <c r="B63" s="118">
        <f t="shared" si="1"/>
        <v>59</v>
      </c>
      <c r="C63" s="126" t="s">
        <v>2462</v>
      </c>
      <c r="D63" s="126" t="s">
        <v>37</v>
      </c>
      <c r="E63" s="126" t="s">
        <v>111</v>
      </c>
      <c r="F63" s="126" t="s">
        <v>331</v>
      </c>
      <c r="H63" s="50" t="s">
        <v>2464</v>
      </c>
      <c r="I63" s="207" t="s">
        <v>1872</v>
      </c>
      <c r="J63" s="1322" t="s">
        <v>2466</v>
      </c>
      <c r="K63" s="1323"/>
      <c r="L63" s="127"/>
      <c r="M63" s="127"/>
      <c r="N63" s="1322" t="s">
        <v>2565</v>
      </c>
      <c r="O63" s="1323"/>
      <c r="P63" s="127"/>
      <c r="Q63" s="127"/>
      <c r="R63" s="127"/>
      <c r="S63" s="1322" t="s">
        <v>2470</v>
      </c>
      <c r="T63" s="1324"/>
      <c r="U63" s="1324"/>
      <c r="V63" s="1324"/>
      <c r="W63" s="1323"/>
      <c r="X63" s="977" t="s">
        <v>1994</v>
      </c>
    </row>
    <row r="64" spans="1:24" x14ac:dyDescent="0.45">
      <c r="B64" s="118">
        <f t="shared" si="1"/>
        <v>60</v>
      </c>
      <c r="C64" s="126" t="s">
        <v>2110</v>
      </c>
      <c r="D64" s="126" t="s">
        <v>37</v>
      </c>
      <c r="E64" s="126" t="s">
        <v>114</v>
      </c>
      <c r="F64" s="126" t="s">
        <v>2559</v>
      </c>
      <c r="H64" s="127"/>
      <c r="I64" s="205" t="s">
        <v>2146</v>
      </c>
      <c r="J64" s="205" t="s">
        <v>2145</v>
      </c>
      <c r="K64" s="205" t="s">
        <v>2144</v>
      </c>
      <c r="L64" s="127"/>
      <c r="M64" s="127"/>
      <c r="N64" s="127"/>
      <c r="O64" s="127"/>
      <c r="P64" s="1305" t="s">
        <v>2535</v>
      </c>
      <c r="Q64" s="1306"/>
      <c r="R64" s="1306"/>
      <c r="S64" s="1306"/>
      <c r="T64" s="1306"/>
      <c r="U64" s="1306"/>
      <c r="V64" s="1306"/>
      <c r="W64" s="1307"/>
      <c r="X64" s="977" t="s">
        <v>2648</v>
      </c>
    </row>
    <row r="65" spans="1:24" x14ac:dyDescent="0.45">
      <c r="B65" s="118">
        <f t="shared" si="1"/>
        <v>61</v>
      </c>
      <c r="C65" s="126" t="s">
        <v>2109</v>
      </c>
      <c r="D65" s="126" t="s">
        <v>37</v>
      </c>
      <c r="E65" s="126" t="s">
        <v>117</v>
      </c>
      <c r="F65" s="126" t="s">
        <v>344</v>
      </c>
      <c r="H65" s="1305" t="s">
        <v>2810</v>
      </c>
      <c r="I65" s="1306"/>
      <c r="J65" s="1306"/>
      <c r="K65" s="1306"/>
      <c r="L65" s="1306"/>
      <c r="M65" s="1306"/>
      <c r="N65" s="1306"/>
      <c r="O65" s="1307"/>
      <c r="P65" s="1305" t="s">
        <v>2809</v>
      </c>
      <c r="Q65" s="1306"/>
      <c r="R65" s="1306"/>
      <c r="S65" s="1306"/>
      <c r="T65" s="1306"/>
      <c r="U65" s="1306"/>
      <c r="V65" s="1306"/>
      <c r="W65" s="1307"/>
      <c r="X65" s="977" t="s">
        <v>2102</v>
      </c>
    </row>
    <row r="66" spans="1:24" x14ac:dyDescent="0.45">
      <c r="B66" s="118"/>
      <c r="X66" s="126"/>
    </row>
    <row r="67" spans="1:24" x14ac:dyDescent="0.45">
      <c r="B67" s="118"/>
      <c r="C67" s="126" t="s">
        <v>2831</v>
      </c>
      <c r="D67" s="126" t="s">
        <v>37</v>
      </c>
      <c r="E67" s="126" t="s">
        <v>2560</v>
      </c>
      <c r="F67" s="126" t="s">
        <v>344</v>
      </c>
      <c r="H67" s="127"/>
      <c r="I67" s="127"/>
      <c r="J67" s="127"/>
      <c r="K67" s="127"/>
      <c r="L67" s="127"/>
      <c r="M67" s="127"/>
      <c r="N67" s="127"/>
      <c r="O67" s="127"/>
      <c r="P67" s="127"/>
      <c r="Q67" s="1225" t="s">
        <v>2876</v>
      </c>
      <c r="R67" s="1225" t="s">
        <v>2877</v>
      </c>
      <c r="S67" s="1225" t="s">
        <v>2878</v>
      </c>
      <c r="T67" s="127"/>
      <c r="U67" s="1225" t="s">
        <v>2879</v>
      </c>
      <c r="V67" s="1225" t="s">
        <v>2880</v>
      </c>
      <c r="W67" s="1225" t="s">
        <v>2881</v>
      </c>
      <c r="X67" s="129" t="s">
        <v>2846</v>
      </c>
    </row>
    <row r="68" spans="1:24" x14ac:dyDescent="0.45">
      <c r="B68" s="118"/>
      <c r="C68" s="126" t="s">
        <v>2832</v>
      </c>
      <c r="D68" s="126" t="s">
        <v>37</v>
      </c>
      <c r="E68" s="126" t="s">
        <v>2851</v>
      </c>
      <c r="F68" s="126" t="s">
        <v>344</v>
      </c>
      <c r="H68" s="1325" t="s">
        <v>2843</v>
      </c>
      <c r="I68" s="1326"/>
      <c r="J68" s="1326"/>
      <c r="K68" s="1326"/>
      <c r="L68" s="1326"/>
      <c r="M68" s="1326"/>
      <c r="N68" s="1326"/>
      <c r="O68" s="1327"/>
      <c r="P68" s="1325" t="s">
        <v>2840</v>
      </c>
      <c r="Q68" s="1326"/>
      <c r="R68" s="1326"/>
      <c r="S68" s="1326"/>
      <c r="T68" s="1326"/>
      <c r="U68" s="1326"/>
      <c r="V68" s="1326"/>
      <c r="W68" s="1327"/>
      <c r="X68" s="977"/>
    </row>
    <row r="69" spans="1:24" x14ac:dyDescent="0.45">
      <c r="B69" s="118"/>
      <c r="C69" s="126" t="s">
        <v>2833</v>
      </c>
      <c r="D69" s="126" t="s">
        <v>37</v>
      </c>
      <c r="E69" s="126" t="s">
        <v>2852</v>
      </c>
      <c r="F69" s="126" t="s">
        <v>344</v>
      </c>
      <c r="H69" s="1325" t="s">
        <v>2842</v>
      </c>
      <c r="I69" s="1326"/>
      <c r="J69" s="1326"/>
      <c r="K69" s="1326"/>
      <c r="L69" s="1326"/>
      <c r="M69" s="1326"/>
      <c r="N69" s="1326"/>
      <c r="O69" s="1327"/>
      <c r="P69" s="1325" t="s">
        <v>2839</v>
      </c>
      <c r="Q69" s="1326"/>
      <c r="R69" s="1326"/>
      <c r="S69" s="1326"/>
      <c r="T69" s="1326"/>
      <c r="U69" s="1326"/>
      <c r="V69" s="1326"/>
      <c r="W69" s="1327"/>
      <c r="X69" s="977"/>
    </row>
    <row r="70" spans="1:24" x14ac:dyDescent="0.45">
      <c r="B70" s="118"/>
      <c r="C70" s="126" t="s">
        <v>2834</v>
      </c>
      <c r="D70" s="126" t="s">
        <v>37</v>
      </c>
      <c r="E70" s="126" t="s">
        <v>2853</v>
      </c>
      <c r="F70" s="126" t="s">
        <v>344</v>
      </c>
      <c r="H70" s="1325" t="s">
        <v>2841</v>
      </c>
      <c r="I70" s="1326"/>
      <c r="J70" s="1326"/>
      <c r="K70" s="1326"/>
      <c r="L70" s="1326"/>
      <c r="M70" s="1326"/>
      <c r="N70" s="1326"/>
      <c r="O70" s="1327"/>
      <c r="P70" s="1325" t="s">
        <v>2838</v>
      </c>
      <c r="Q70" s="1326"/>
      <c r="R70" s="1326"/>
      <c r="S70" s="1326"/>
      <c r="T70" s="1326"/>
      <c r="U70" s="1326"/>
      <c r="V70" s="1326"/>
      <c r="W70" s="1327"/>
      <c r="X70" s="977"/>
    </row>
    <row r="71" spans="1:24" x14ac:dyDescent="0.45">
      <c r="B71" s="118"/>
      <c r="C71" s="126" t="s">
        <v>2844</v>
      </c>
      <c r="D71" s="126" t="s">
        <v>37</v>
      </c>
      <c r="E71" s="126" t="s">
        <v>2854</v>
      </c>
      <c r="F71" s="126" t="s">
        <v>344</v>
      </c>
      <c r="H71" s="1325" t="s">
        <v>2835</v>
      </c>
      <c r="I71" s="1326"/>
      <c r="J71" s="1326"/>
      <c r="K71" s="1326"/>
      <c r="L71" s="1326"/>
      <c r="M71" s="1326"/>
      <c r="N71" s="1326"/>
      <c r="O71" s="1327"/>
      <c r="P71" s="1328" t="s">
        <v>2875</v>
      </c>
      <c r="Q71" s="1329"/>
      <c r="R71" s="1329"/>
      <c r="S71" s="1329"/>
      <c r="T71" s="1329"/>
      <c r="U71" s="1329"/>
      <c r="V71" s="1329"/>
      <c r="W71" s="1330"/>
      <c r="X71" s="129" t="s">
        <v>2850</v>
      </c>
    </row>
    <row r="72" spans="1:24" x14ac:dyDescent="0.45">
      <c r="B72" s="118"/>
      <c r="C72" s="126" t="s">
        <v>2845</v>
      </c>
      <c r="D72" s="126" t="s">
        <v>37</v>
      </c>
      <c r="E72" s="126" t="s">
        <v>2855</v>
      </c>
      <c r="F72" s="126" t="s">
        <v>344</v>
      </c>
      <c r="H72" s="1325" t="s">
        <v>2836</v>
      </c>
      <c r="I72" s="1326"/>
      <c r="J72" s="1326"/>
      <c r="K72" s="1326"/>
      <c r="L72" s="1326"/>
      <c r="M72" s="1326"/>
      <c r="N72" s="1326"/>
      <c r="O72" s="1327"/>
      <c r="P72" s="1325" t="s">
        <v>2837</v>
      </c>
      <c r="Q72" s="1326"/>
      <c r="R72" s="1326"/>
      <c r="S72" s="1326"/>
      <c r="T72" s="1326"/>
      <c r="U72" s="1326"/>
      <c r="V72" s="1326"/>
      <c r="W72" s="1327"/>
      <c r="X72" s="129" t="s">
        <v>2849</v>
      </c>
    </row>
    <row r="73" spans="1:24" x14ac:dyDescent="0.45">
      <c r="B73" s="118"/>
      <c r="E73" s="977"/>
      <c r="F73" s="977"/>
      <c r="G73" s="977"/>
      <c r="H73" s="977"/>
      <c r="I73" s="977"/>
      <c r="J73" s="977"/>
      <c r="K73" s="977"/>
      <c r="L73" s="977"/>
      <c r="M73" s="977"/>
      <c r="N73" s="977"/>
      <c r="O73" s="977"/>
      <c r="P73" s="977"/>
      <c r="Q73" s="977"/>
      <c r="R73" s="977"/>
      <c r="S73" s="977"/>
      <c r="T73" s="977"/>
      <c r="U73" s="977"/>
      <c r="V73" s="977"/>
      <c r="W73" s="977"/>
      <c r="X73" s="977"/>
    </row>
    <row r="74" spans="1:24" x14ac:dyDescent="0.45">
      <c r="B74" s="118">
        <f>B65+1</f>
        <v>62</v>
      </c>
      <c r="C74" s="126" t="s">
        <v>2108</v>
      </c>
      <c r="D74" s="126" t="s">
        <v>37</v>
      </c>
      <c r="E74" s="126" t="s">
        <v>121</v>
      </c>
      <c r="F74" s="126" t="s">
        <v>344</v>
      </c>
      <c r="H74" s="127"/>
      <c r="I74" s="127"/>
      <c r="J74" s="127"/>
      <c r="K74" s="127"/>
      <c r="L74" s="1305" t="s">
        <v>2536</v>
      </c>
      <c r="M74" s="1306"/>
      <c r="N74" s="1306"/>
      <c r="O74" s="1306"/>
      <c r="P74" s="1306"/>
      <c r="Q74" s="1306"/>
      <c r="R74" s="1306"/>
      <c r="S74" s="1306"/>
      <c r="T74" s="1306"/>
      <c r="U74" s="1306"/>
      <c r="V74" s="1306"/>
      <c r="W74" s="1307"/>
      <c r="X74" s="977" t="s">
        <v>2102</v>
      </c>
    </row>
    <row r="75" spans="1:24" x14ac:dyDescent="0.45">
      <c r="B75" s="118">
        <f t="shared" si="1"/>
        <v>63</v>
      </c>
      <c r="C75" s="126" t="s">
        <v>2105</v>
      </c>
      <c r="D75" s="126" t="s">
        <v>37</v>
      </c>
      <c r="E75" s="126" t="s">
        <v>125</v>
      </c>
      <c r="F75" s="126" t="s">
        <v>344</v>
      </c>
      <c r="H75" s="1305" t="s">
        <v>2511</v>
      </c>
      <c r="I75" s="1306"/>
      <c r="J75" s="1306"/>
      <c r="K75" s="1306"/>
      <c r="L75" s="1306"/>
      <c r="M75" s="1306"/>
      <c r="N75" s="1306"/>
      <c r="O75" s="1306"/>
      <c r="P75" s="1306"/>
      <c r="Q75" s="1306"/>
      <c r="R75" s="1306"/>
      <c r="S75" s="1306"/>
      <c r="T75" s="1306"/>
      <c r="U75" s="1306"/>
      <c r="V75" s="1306"/>
      <c r="W75" s="1307"/>
      <c r="X75" s="977" t="s">
        <v>2102</v>
      </c>
    </row>
    <row r="76" spans="1:24" x14ac:dyDescent="0.45">
      <c r="B76" s="118">
        <f t="shared" si="1"/>
        <v>64</v>
      </c>
      <c r="C76" s="126" t="s">
        <v>2106</v>
      </c>
      <c r="D76" s="126" t="s">
        <v>37</v>
      </c>
      <c r="E76" s="126" t="s">
        <v>107</v>
      </c>
      <c r="F76" s="126" t="s">
        <v>344</v>
      </c>
      <c r="H76" s="1305" t="s">
        <v>2512</v>
      </c>
      <c r="I76" s="1306"/>
      <c r="J76" s="1306"/>
      <c r="K76" s="1306"/>
      <c r="L76" s="1306"/>
      <c r="M76" s="1306"/>
      <c r="N76" s="1306"/>
      <c r="O76" s="1306"/>
      <c r="P76" s="1306"/>
      <c r="Q76" s="1306"/>
      <c r="R76" s="1306"/>
      <c r="S76" s="1306"/>
      <c r="T76" s="1306"/>
      <c r="U76" s="1306"/>
      <c r="V76" s="1306"/>
      <c r="W76" s="1307"/>
      <c r="X76" s="977" t="s">
        <v>2102</v>
      </c>
    </row>
    <row r="77" spans="1:24" x14ac:dyDescent="0.45">
      <c r="B77" s="118">
        <f t="shared" si="1"/>
        <v>65</v>
      </c>
      <c r="C77" s="126" t="s">
        <v>2107</v>
      </c>
      <c r="D77" s="126" t="s">
        <v>37</v>
      </c>
      <c r="E77" s="126" t="s">
        <v>539</v>
      </c>
      <c r="F77" s="126" t="s">
        <v>331</v>
      </c>
      <c r="H77" s="1305" t="s">
        <v>2513</v>
      </c>
      <c r="I77" s="1306"/>
      <c r="J77" s="1306"/>
      <c r="K77" s="1306"/>
      <c r="L77" s="1306"/>
      <c r="M77" s="1306"/>
      <c r="N77" s="1306"/>
      <c r="O77" s="1306"/>
      <c r="P77" s="1306"/>
      <c r="Q77" s="1306"/>
      <c r="R77" s="1306"/>
      <c r="S77" s="1306"/>
      <c r="T77" s="1306"/>
      <c r="U77" s="1306"/>
      <c r="V77" s="1306"/>
      <c r="W77" s="1307"/>
      <c r="X77" s="977" t="s">
        <v>2102</v>
      </c>
    </row>
    <row r="78" spans="1:24" ht="38.5" customHeight="1" x14ac:dyDescent="0.45">
      <c r="A78" s="55"/>
      <c r="B78" s="118">
        <f t="shared" si="1"/>
        <v>66</v>
      </c>
      <c r="C78" s="126" t="s">
        <v>2128</v>
      </c>
      <c r="D78" s="126" t="s">
        <v>37</v>
      </c>
      <c r="E78" s="126" t="s">
        <v>2479</v>
      </c>
      <c r="F78" s="126" t="s">
        <v>344</v>
      </c>
      <c r="G78" s="63"/>
      <c r="H78" s="127"/>
      <c r="I78" s="127"/>
      <c r="J78" s="127"/>
      <c r="K78" s="127"/>
      <c r="L78" s="127"/>
      <c r="M78" s="127"/>
      <c r="N78" s="1305" t="s">
        <v>2670</v>
      </c>
      <c r="O78" s="1307"/>
      <c r="P78" s="127"/>
      <c r="R78" s="1305" t="s">
        <v>2825</v>
      </c>
      <c r="S78" s="1306"/>
      <c r="T78" s="1306"/>
      <c r="U78" s="1306"/>
      <c r="V78" s="1306"/>
      <c r="W78" s="1307"/>
      <c r="X78" s="1062" t="s">
        <v>2577</v>
      </c>
    </row>
    <row r="79" spans="1:24" s="129" customFormat="1" x14ac:dyDescent="0.45">
      <c r="A79" s="55"/>
      <c r="B79" s="118">
        <f t="shared" si="1"/>
        <v>67</v>
      </c>
      <c r="C79" s="126" t="s">
        <v>2531</v>
      </c>
      <c r="D79" s="126" t="s">
        <v>37</v>
      </c>
      <c r="E79" s="126" t="s">
        <v>547</v>
      </c>
      <c r="F79" s="126" t="s">
        <v>344</v>
      </c>
      <c r="G79" s="126"/>
      <c r="H79" s="127"/>
      <c r="I79" s="127"/>
      <c r="J79" s="1305" t="s">
        <v>2530</v>
      </c>
      <c r="K79" s="1307"/>
      <c r="L79" s="127"/>
      <c r="M79" s="127"/>
      <c r="N79" s="1331" t="s">
        <v>2143</v>
      </c>
      <c r="O79" s="1332"/>
      <c r="P79" s="1332"/>
      <c r="Q79" s="1332"/>
      <c r="R79" s="1332"/>
      <c r="S79" s="1333"/>
      <c r="T79" s="127"/>
      <c r="U79" s="127"/>
      <c r="V79" s="1058" t="s">
        <v>2142</v>
      </c>
      <c r="W79" s="205" t="s">
        <v>2101</v>
      </c>
    </row>
    <row r="80" spans="1:24" s="129" customFormat="1" x14ac:dyDescent="0.45">
      <c r="B80" s="118"/>
      <c r="C80" s="126"/>
      <c r="D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</row>
    <row r="81" spans="1:29" s="129" customFormat="1" x14ac:dyDescent="0.45">
      <c r="B81" s="118"/>
      <c r="C81" s="132" t="s">
        <v>962</v>
      </c>
      <c r="D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</row>
    <row r="82" spans="1:29" s="129" customFormat="1" ht="51" x14ac:dyDescent="0.45">
      <c r="B82" s="118">
        <f>B79+1</f>
        <v>68</v>
      </c>
      <c r="C82" s="126" t="s">
        <v>952</v>
      </c>
      <c r="D82" s="126" t="s">
        <v>37</v>
      </c>
      <c r="E82" s="126" t="s">
        <v>2480</v>
      </c>
      <c r="F82" s="126" t="s">
        <v>2514</v>
      </c>
      <c r="G82" s="126"/>
      <c r="H82" s="207" t="s">
        <v>1778</v>
      </c>
      <c r="I82" s="207" t="s">
        <v>1781</v>
      </c>
      <c r="J82" s="207" t="s">
        <v>1780</v>
      </c>
      <c r="K82" s="207" t="s">
        <v>1779</v>
      </c>
      <c r="L82" s="127"/>
      <c r="M82" s="207" t="s">
        <v>1784</v>
      </c>
      <c r="N82" s="207" t="s">
        <v>1783</v>
      </c>
      <c r="O82" s="207" t="s">
        <v>1782</v>
      </c>
      <c r="P82" s="207" t="s">
        <v>1790</v>
      </c>
      <c r="Q82" s="207" t="s">
        <v>1789</v>
      </c>
      <c r="R82" s="207" t="s">
        <v>1788</v>
      </c>
      <c r="S82" s="207" t="s">
        <v>979</v>
      </c>
      <c r="T82" s="207" t="s">
        <v>2296</v>
      </c>
      <c r="U82" s="207" t="s">
        <v>1785</v>
      </c>
      <c r="V82" s="207" t="s">
        <v>1786</v>
      </c>
      <c r="W82" s="207" t="s">
        <v>1787</v>
      </c>
    </row>
    <row r="83" spans="1:29" s="129" customFormat="1" x14ac:dyDescent="0.45">
      <c r="B83" s="118">
        <f>B82+1</f>
        <v>69</v>
      </c>
      <c r="C83" s="126" t="s">
        <v>1720</v>
      </c>
      <c r="D83" s="126" t="s">
        <v>37</v>
      </c>
      <c r="E83" s="126" t="s">
        <v>2481</v>
      </c>
      <c r="F83" s="209" t="s">
        <v>1096</v>
      </c>
      <c r="G83" s="126"/>
      <c r="H83" s="127"/>
      <c r="I83" s="127"/>
      <c r="J83" s="127"/>
      <c r="K83" s="127"/>
      <c r="L83" s="1305" t="s">
        <v>1791</v>
      </c>
      <c r="M83" s="1306"/>
      <c r="N83" s="1306"/>
      <c r="O83" s="1306"/>
      <c r="P83" s="1306"/>
      <c r="Q83" s="1306"/>
      <c r="R83" s="1306"/>
      <c r="S83" s="1306"/>
      <c r="T83" s="1306"/>
      <c r="U83" s="1306"/>
      <c r="V83" s="1306"/>
      <c r="W83" s="1307"/>
      <c r="X83" s="129" t="s">
        <v>1995</v>
      </c>
    </row>
    <row r="84" spans="1:29" s="129" customFormat="1" x14ac:dyDescent="0.45">
      <c r="A84" s="31"/>
      <c r="B84" s="118">
        <f t="shared" ref="B84:B94" si="2">B83+1</f>
        <v>70</v>
      </c>
      <c r="C84" s="126" t="s">
        <v>1737</v>
      </c>
      <c r="D84" s="126" t="s">
        <v>37</v>
      </c>
      <c r="E84" s="126" t="s">
        <v>555</v>
      </c>
      <c r="F84" s="209" t="s">
        <v>1096</v>
      </c>
      <c r="G84" s="126"/>
      <c r="H84" s="127"/>
      <c r="I84" s="127"/>
      <c r="J84" s="127"/>
      <c r="K84" s="127"/>
      <c r="L84" s="1305" t="s">
        <v>1825</v>
      </c>
      <c r="M84" s="1306"/>
      <c r="N84" s="1306"/>
      <c r="O84" s="1306"/>
      <c r="P84" s="1306"/>
      <c r="Q84" s="1306"/>
      <c r="R84" s="1306"/>
      <c r="S84" s="1306"/>
      <c r="T84" s="1306"/>
      <c r="U84" s="1306"/>
      <c r="V84" s="1306"/>
      <c r="W84" s="1307"/>
      <c r="X84" s="129" t="s">
        <v>1995</v>
      </c>
    </row>
    <row r="85" spans="1:29" s="129" customFormat="1" x14ac:dyDescent="0.45">
      <c r="A85" s="31"/>
      <c r="B85" s="118">
        <f t="shared" si="2"/>
        <v>71</v>
      </c>
      <c r="C85" s="126" t="s">
        <v>1754</v>
      </c>
      <c r="D85" s="126" t="s">
        <v>37</v>
      </c>
      <c r="E85" s="126" t="s">
        <v>573</v>
      </c>
      <c r="F85" s="209" t="s">
        <v>1096</v>
      </c>
      <c r="G85" s="126"/>
      <c r="H85" s="127"/>
      <c r="I85" s="127"/>
      <c r="J85" s="127"/>
      <c r="K85" s="127"/>
      <c r="L85" s="1305" t="s">
        <v>1826</v>
      </c>
      <c r="M85" s="1306"/>
      <c r="N85" s="1306"/>
      <c r="O85" s="1306"/>
      <c r="P85" s="1306"/>
      <c r="Q85" s="1306"/>
      <c r="R85" s="1306"/>
      <c r="S85" s="1306"/>
      <c r="T85" s="1306"/>
      <c r="U85" s="1306"/>
      <c r="V85" s="1306"/>
      <c r="W85" s="1307"/>
      <c r="X85" s="129" t="s">
        <v>1995</v>
      </c>
    </row>
    <row r="86" spans="1:29" s="129" customFormat="1" x14ac:dyDescent="0.45">
      <c r="B86" s="118">
        <f t="shared" si="2"/>
        <v>72</v>
      </c>
      <c r="C86" s="126" t="s">
        <v>1721</v>
      </c>
      <c r="D86" s="126" t="s">
        <v>66</v>
      </c>
      <c r="E86" s="126" t="s">
        <v>1771</v>
      </c>
      <c r="F86" s="209" t="s">
        <v>1096</v>
      </c>
      <c r="G86" s="126"/>
      <c r="H86" s="127"/>
      <c r="I86" s="127"/>
      <c r="J86" s="127"/>
      <c r="K86" s="127"/>
      <c r="L86" s="1305" t="s">
        <v>1792</v>
      </c>
      <c r="M86" s="1306"/>
      <c r="N86" s="1306"/>
      <c r="O86" s="1306"/>
      <c r="P86" s="1306"/>
      <c r="Q86" s="1306"/>
      <c r="R86" s="1306"/>
      <c r="S86" s="1306"/>
      <c r="T86" s="1306"/>
      <c r="U86" s="1306"/>
      <c r="V86" s="1306"/>
      <c r="W86" s="1307"/>
      <c r="X86" s="129" t="s">
        <v>1996</v>
      </c>
    </row>
    <row r="87" spans="1:29" s="129" customFormat="1" x14ac:dyDescent="0.45">
      <c r="A87" s="31"/>
      <c r="B87" s="118">
        <f t="shared" si="2"/>
        <v>73</v>
      </c>
      <c r="C87" s="126" t="s">
        <v>1738</v>
      </c>
      <c r="D87" s="126" t="s">
        <v>66</v>
      </c>
      <c r="E87" s="126" t="s">
        <v>1772</v>
      </c>
      <c r="F87" s="209" t="s">
        <v>1096</v>
      </c>
      <c r="G87" s="126"/>
      <c r="H87" s="127"/>
      <c r="I87" s="127"/>
      <c r="J87" s="127"/>
      <c r="K87" s="127"/>
      <c r="L87" s="1305" t="s">
        <v>1827</v>
      </c>
      <c r="M87" s="1306"/>
      <c r="N87" s="1306"/>
      <c r="O87" s="1306"/>
      <c r="P87" s="1306"/>
      <c r="Q87" s="1306"/>
      <c r="R87" s="1306"/>
      <c r="S87" s="1306"/>
      <c r="T87" s="1306"/>
      <c r="U87" s="1306"/>
      <c r="V87" s="1306"/>
      <c r="W87" s="1307"/>
      <c r="X87" s="129" t="s">
        <v>1996</v>
      </c>
    </row>
    <row r="88" spans="1:29" s="129" customFormat="1" x14ac:dyDescent="0.45">
      <c r="A88" s="126"/>
      <c r="B88" s="118">
        <f t="shared" si="2"/>
        <v>74</v>
      </c>
      <c r="C88" s="126" t="s">
        <v>1755</v>
      </c>
      <c r="D88" s="126" t="s">
        <v>66</v>
      </c>
      <c r="E88" s="126" t="s">
        <v>1773</v>
      </c>
      <c r="F88" s="209" t="s">
        <v>1096</v>
      </c>
      <c r="G88" s="126"/>
      <c r="H88" s="127"/>
      <c r="I88" s="127"/>
      <c r="J88" s="127"/>
      <c r="K88" s="127"/>
      <c r="L88" s="1305" t="s">
        <v>1828</v>
      </c>
      <c r="M88" s="1306"/>
      <c r="N88" s="1306"/>
      <c r="O88" s="1306"/>
      <c r="P88" s="1306"/>
      <c r="Q88" s="1306"/>
      <c r="R88" s="1306"/>
      <c r="S88" s="1306"/>
      <c r="T88" s="1306"/>
      <c r="U88" s="1306"/>
      <c r="V88" s="1306"/>
      <c r="W88" s="1307"/>
      <c r="X88" s="129" t="s">
        <v>1996</v>
      </c>
    </row>
    <row r="89" spans="1:29" s="129" customFormat="1" x14ac:dyDescent="0.45">
      <c r="A89" s="126"/>
      <c r="B89" s="118">
        <f t="shared" si="2"/>
        <v>75</v>
      </c>
      <c r="C89" s="126" t="s">
        <v>1722</v>
      </c>
      <c r="D89" s="126" t="s">
        <v>66</v>
      </c>
      <c r="E89" s="126" t="s">
        <v>1774</v>
      </c>
      <c r="F89" s="209" t="s">
        <v>1096</v>
      </c>
      <c r="G89" s="126"/>
      <c r="H89" s="127"/>
      <c r="I89" s="127"/>
      <c r="J89" s="127"/>
      <c r="K89" s="127"/>
      <c r="L89" s="1305" t="s">
        <v>1793</v>
      </c>
      <c r="M89" s="1306"/>
      <c r="N89" s="1306"/>
      <c r="O89" s="1306"/>
      <c r="P89" s="1306"/>
      <c r="Q89" s="1306"/>
      <c r="R89" s="1306"/>
      <c r="S89" s="1306"/>
      <c r="T89" s="1306"/>
      <c r="U89" s="1306"/>
      <c r="V89" s="1306"/>
      <c r="W89" s="1307"/>
    </row>
    <row r="90" spans="1:29" s="129" customFormat="1" x14ac:dyDescent="0.45">
      <c r="A90" s="126"/>
      <c r="B90" s="118">
        <f t="shared" si="2"/>
        <v>76</v>
      </c>
      <c r="C90" s="126" t="s">
        <v>1739</v>
      </c>
      <c r="D90" s="126" t="s">
        <v>66</v>
      </c>
      <c r="E90" s="126" t="s">
        <v>1775</v>
      </c>
      <c r="F90" s="209" t="s">
        <v>1096</v>
      </c>
      <c r="G90" s="126"/>
      <c r="H90" s="127"/>
      <c r="I90" s="127"/>
      <c r="J90" s="127"/>
      <c r="K90" s="127"/>
      <c r="L90" s="1305" t="s">
        <v>1829</v>
      </c>
      <c r="M90" s="1306"/>
      <c r="N90" s="1306"/>
      <c r="O90" s="1306"/>
      <c r="P90" s="1306"/>
      <c r="Q90" s="1306"/>
      <c r="R90" s="1306"/>
      <c r="S90" s="1306"/>
      <c r="T90" s="1306"/>
      <c r="U90" s="1306"/>
      <c r="V90" s="1306"/>
      <c r="W90" s="1307"/>
    </row>
    <row r="91" spans="1:29" s="129" customFormat="1" x14ac:dyDescent="0.45">
      <c r="A91" s="126"/>
      <c r="B91" s="118">
        <f t="shared" si="2"/>
        <v>77</v>
      </c>
      <c r="C91" s="126" t="s">
        <v>1756</v>
      </c>
      <c r="D91" s="126" t="s">
        <v>66</v>
      </c>
      <c r="E91" s="126" t="s">
        <v>1776</v>
      </c>
      <c r="F91" s="209" t="s">
        <v>1096</v>
      </c>
      <c r="G91" s="126"/>
      <c r="H91" s="127"/>
      <c r="I91" s="127"/>
      <c r="J91" s="127"/>
      <c r="K91" s="127"/>
      <c r="L91" s="1305" t="s">
        <v>1830</v>
      </c>
      <c r="M91" s="1306"/>
      <c r="N91" s="1306"/>
      <c r="O91" s="1306"/>
      <c r="P91" s="1306"/>
      <c r="Q91" s="1306"/>
      <c r="R91" s="1306"/>
      <c r="S91" s="1306"/>
      <c r="T91" s="1306"/>
      <c r="U91" s="1306"/>
      <c r="V91" s="1306"/>
      <c r="W91" s="1307"/>
    </row>
    <row r="92" spans="1:29" s="129" customFormat="1" x14ac:dyDescent="0.45">
      <c r="A92" s="31"/>
      <c r="B92" s="118">
        <f t="shared" si="2"/>
        <v>78</v>
      </c>
      <c r="C92" s="126" t="s">
        <v>1733</v>
      </c>
      <c r="D92" s="126" t="s">
        <v>66</v>
      </c>
      <c r="E92" s="126" t="s">
        <v>1076</v>
      </c>
      <c r="F92" s="126" t="s">
        <v>344</v>
      </c>
      <c r="G92" s="126"/>
      <c r="H92" s="127"/>
      <c r="I92" s="127"/>
      <c r="J92" s="127"/>
      <c r="K92" s="127"/>
      <c r="L92" s="127"/>
      <c r="M92" s="127"/>
      <c r="N92" s="127"/>
      <c r="O92" s="127"/>
      <c r="P92" s="1305" t="s">
        <v>1810</v>
      </c>
      <c r="Q92" s="1306"/>
      <c r="R92" s="1306"/>
      <c r="S92" s="1307"/>
      <c r="T92" s="1305" t="s">
        <v>1809</v>
      </c>
      <c r="U92" s="1306"/>
      <c r="V92" s="1306"/>
      <c r="W92" s="1307"/>
    </row>
    <row r="93" spans="1:29" s="129" customFormat="1" x14ac:dyDescent="0.45">
      <c r="A93" s="31"/>
      <c r="B93" s="118">
        <f t="shared" si="2"/>
        <v>79</v>
      </c>
      <c r="C93" s="126" t="s">
        <v>1750</v>
      </c>
      <c r="D93" s="126" t="s">
        <v>66</v>
      </c>
      <c r="E93" s="126" t="s">
        <v>1777</v>
      </c>
      <c r="F93" s="126" t="s">
        <v>344</v>
      </c>
      <c r="G93" s="126"/>
      <c r="H93" s="127"/>
      <c r="I93" s="127"/>
      <c r="J93" s="127"/>
      <c r="K93" s="127"/>
      <c r="L93" s="127"/>
      <c r="M93" s="127"/>
      <c r="N93" s="127"/>
      <c r="O93" s="127"/>
      <c r="P93" s="1305" t="s">
        <v>1814</v>
      </c>
      <c r="Q93" s="1306"/>
      <c r="R93" s="1306"/>
      <c r="S93" s="1307"/>
      <c r="T93" s="1305" t="s">
        <v>1824</v>
      </c>
      <c r="U93" s="1306"/>
      <c r="V93" s="1306"/>
      <c r="W93" s="1307"/>
    </row>
    <row r="94" spans="1:29" s="129" customFormat="1" x14ac:dyDescent="0.45">
      <c r="A94" s="31"/>
      <c r="B94" s="118">
        <f t="shared" si="2"/>
        <v>80</v>
      </c>
      <c r="C94" s="126" t="s">
        <v>1767</v>
      </c>
      <c r="D94" s="126" t="s">
        <v>66</v>
      </c>
      <c r="E94" s="126" t="s">
        <v>1068</v>
      </c>
      <c r="F94" s="126" t="s">
        <v>344</v>
      </c>
      <c r="G94" s="126"/>
      <c r="H94" s="127"/>
      <c r="I94" s="127"/>
      <c r="J94" s="127"/>
      <c r="K94" s="127"/>
      <c r="L94" s="127"/>
      <c r="M94" s="127"/>
      <c r="N94" s="127"/>
      <c r="O94" s="127"/>
      <c r="P94" s="1305" t="s">
        <v>1815</v>
      </c>
      <c r="Q94" s="1306"/>
      <c r="R94" s="1306"/>
      <c r="S94" s="1307"/>
      <c r="T94" s="1305" t="s">
        <v>1816</v>
      </c>
      <c r="U94" s="1306"/>
      <c r="V94" s="1306"/>
      <c r="W94" s="1307"/>
    </row>
    <row r="95" spans="1:29" s="129" customFormat="1" x14ac:dyDescent="0.45">
      <c r="A95" s="126"/>
      <c r="B95" s="118"/>
      <c r="C95" s="126"/>
      <c r="D95" s="126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  <c r="AA95" s="209"/>
      <c r="AB95" s="209"/>
      <c r="AC95" s="209"/>
    </row>
    <row r="96" spans="1:29" s="129" customFormat="1" x14ac:dyDescent="0.45">
      <c r="B96" s="118"/>
      <c r="C96" s="132" t="s">
        <v>1710</v>
      </c>
      <c r="D96" s="126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  <c r="AA96" s="209"/>
      <c r="AB96" s="209"/>
      <c r="AC96" s="209"/>
    </row>
    <row r="97" spans="1:23" s="129" customFormat="1" x14ac:dyDescent="0.45">
      <c r="B97" s="118">
        <f>B94+1</f>
        <v>81</v>
      </c>
      <c r="C97" s="126" t="s">
        <v>1723</v>
      </c>
      <c r="D97" s="126" t="s">
        <v>37</v>
      </c>
      <c r="E97" s="126" t="s">
        <v>942</v>
      </c>
      <c r="F97" s="126" t="s">
        <v>1036</v>
      </c>
      <c r="G97" s="126"/>
      <c r="H97" s="1305" t="s">
        <v>1796</v>
      </c>
      <c r="I97" s="1306"/>
      <c r="J97" s="1306"/>
      <c r="K97" s="1306"/>
      <c r="L97" s="1306"/>
      <c r="M97" s="1307"/>
      <c r="N97" s="1305" t="s">
        <v>1795</v>
      </c>
      <c r="O97" s="1306"/>
      <c r="P97" s="1306"/>
      <c r="Q97" s="1306"/>
      <c r="R97" s="1307"/>
      <c r="S97" s="1305" t="s">
        <v>1794</v>
      </c>
      <c r="T97" s="1306"/>
      <c r="U97" s="1306"/>
      <c r="V97" s="1306"/>
      <c r="W97" s="1307"/>
    </row>
    <row r="98" spans="1:23" s="129" customFormat="1" x14ac:dyDescent="0.45">
      <c r="B98" s="118">
        <f>B97+1</f>
        <v>82</v>
      </c>
      <c r="C98" s="126" t="s">
        <v>1724</v>
      </c>
      <c r="D98" s="126" t="s">
        <v>37</v>
      </c>
      <c r="E98" s="126" t="s">
        <v>2482</v>
      </c>
      <c r="F98" s="126" t="s">
        <v>1038</v>
      </c>
      <c r="G98" s="126"/>
      <c r="H98" s="1305" t="s">
        <v>1798</v>
      </c>
      <c r="I98" s="1306"/>
      <c r="J98" s="1306"/>
      <c r="K98" s="1306"/>
      <c r="L98" s="1306"/>
      <c r="M98" s="1306"/>
      <c r="N98" s="1306"/>
      <c r="O98" s="1306"/>
      <c r="P98" s="1307"/>
      <c r="Q98" s="1305" t="s">
        <v>1797</v>
      </c>
      <c r="R98" s="1306"/>
      <c r="S98" s="1306"/>
      <c r="T98" s="1306"/>
      <c r="U98" s="1306"/>
      <c r="V98" s="1306"/>
      <c r="W98" s="1307"/>
    </row>
    <row r="99" spans="1:23" s="129" customFormat="1" x14ac:dyDescent="0.45">
      <c r="B99" s="118">
        <f t="shared" ref="B99:B103" si="3">B98+1</f>
        <v>83</v>
      </c>
      <c r="C99" s="126" t="s">
        <v>1725</v>
      </c>
      <c r="D99" s="126" t="s">
        <v>37</v>
      </c>
      <c r="E99" s="126" t="s">
        <v>944</v>
      </c>
      <c r="F99" s="126" t="s">
        <v>1064</v>
      </c>
      <c r="G99" s="126"/>
      <c r="H99" s="127"/>
      <c r="I99" s="1305" t="s">
        <v>1799</v>
      </c>
      <c r="J99" s="1306"/>
      <c r="K99" s="1306"/>
      <c r="L99" s="1306"/>
      <c r="M99" s="1306"/>
      <c r="N99" s="1306"/>
      <c r="O99" s="1307"/>
      <c r="P99" s="127"/>
      <c r="Q99" s="1305" t="s">
        <v>1800</v>
      </c>
      <c r="R99" s="1306"/>
      <c r="S99" s="1306"/>
      <c r="T99" s="1306"/>
      <c r="U99" s="1306"/>
      <c r="V99" s="1306"/>
      <c r="W99" s="1307"/>
    </row>
    <row r="100" spans="1:23" s="129" customFormat="1" x14ac:dyDescent="0.45">
      <c r="B100" s="118">
        <f t="shared" si="3"/>
        <v>84</v>
      </c>
      <c r="C100" s="126" t="s">
        <v>1726</v>
      </c>
      <c r="D100" s="126" t="s">
        <v>37</v>
      </c>
      <c r="E100" s="126" t="s">
        <v>945</v>
      </c>
      <c r="F100" s="126" t="s">
        <v>1035</v>
      </c>
      <c r="G100" s="126"/>
      <c r="H100" s="127"/>
      <c r="I100" s="127"/>
      <c r="J100" s="127"/>
      <c r="K100" s="127"/>
      <c r="L100" s="127"/>
      <c r="M100" s="127"/>
      <c r="N100" s="205" t="s">
        <v>1004</v>
      </c>
      <c r="O100" s="1305" t="s">
        <v>1801</v>
      </c>
      <c r="P100" s="1306"/>
      <c r="Q100" s="1306"/>
      <c r="R100" s="1306"/>
      <c r="S100" s="1306"/>
      <c r="T100" s="1306"/>
      <c r="U100" s="1306"/>
      <c r="V100" s="1306"/>
      <c r="W100" s="1307"/>
    </row>
    <row r="101" spans="1:23" s="129" customFormat="1" x14ac:dyDescent="0.45">
      <c r="A101" s="126"/>
      <c r="B101" s="118">
        <f t="shared" si="3"/>
        <v>85</v>
      </c>
      <c r="C101" s="126" t="s">
        <v>1730</v>
      </c>
      <c r="D101" s="126" t="s">
        <v>37</v>
      </c>
      <c r="E101" s="126" t="s">
        <v>946</v>
      </c>
      <c r="F101" s="126" t="s">
        <v>331</v>
      </c>
      <c r="G101" s="126"/>
      <c r="H101" s="1305" t="s">
        <v>1805</v>
      </c>
      <c r="I101" s="1306"/>
      <c r="J101" s="1306"/>
      <c r="K101" s="1306"/>
      <c r="L101" s="1306"/>
      <c r="M101" s="1306"/>
      <c r="N101" s="1306"/>
      <c r="O101" s="1306"/>
      <c r="P101" s="1306"/>
      <c r="Q101" s="1306"/>
      <c r="R101" s="1306"/>
      <c r="S101" s="1306"/>
      <c r="T101" s="1306"/>
      <c r="U101" s="1306"/>
      <c r="V101" s="1306"/>
      <c r="W101" s="1307"/>
    </row>
    <row r="102" spans="1:23" s="129" customFormat="1" x14ac:dyDescent="0.45">
      <c r="A102" s="126"/>
      <c r="B102" s="118">
        <f t="shared" si="3"/>
        <v>86</v>
      </c>
      <c r="C102" s="126" t="s">
        <v>1731</v>
      </c>
      <c r="D102" s="126" t="s">
        <v>37</v>
      </c>
      <c r="E102" s="126" t="s">
        <v>947</v>
      </c>
      <c r="F102" s="126" t="s">
        <v>1034</v>
      </c>
      <c r="G102" s="126"/>
      <c r="H102" s="127"/>
      <c r="I102" s="127"/>
      <c r="J102" s="127"/>
      <c r="K102" s="127"/>
      <c r="L102" s="1305" t="s">
        <v>1807</v>
      </c>
      <c r="M102" s="1306"/>
      <c r="N102" s="1306"/>
      <c r="O102" s="1306"/>
      <c r="P102" s="1306"/>
      <c r="Q102" s="1306"/>
      <c r="R102" s="1306"/>
      <c r="S102" s="1306"/>
      <c r="T102" s="1306"/>
      <c r="U102" s="1306"/>
      <c r="V102" s="1306"/>
      <c r="W102" s="1307"/>
    </row>
    <row r="103" spans="1:23" s="129" customFormat="1" x14ac:dyDescent="0.45">
      <c r="A103" s="126"/>
      <c r="B103" s="118">
        <f t="shared" si="3"/>
        <v>87</v>
      </c>
      <c r="C103" s="126" t="s">
        <v>1732</v>
      </c>
      <c r="D103" s="126" t="s">
        <v>37</v>
      </c>
      <c r="E103" s="126" t="s">
        <v>948</v>
      </c>
      <c r="F103" s="126" t="s">
        <v>1103</v>
      </c>
      <c r="G103" s="126"/>
      <c r="H103" s="127"/>
      <c r="I103" s="127"/>
      <c r="J103" s="127"/>
      <c r="K103" s="127"/>
      <c r="L103" s="1305" t="s">
        <v>1808</v>
      </c>
      <c r="M103" s="1306"/>
      <c r="N103" s="1306"/>
      <c r="O103" s="1306"/>
      <c r="P103" s="1306"/>
      <c r="Q103" s="1306"/>
      <c r="R103" s="1306"/>
      <c r="S103" s="1306"/>
      <c r="T103" s="1306"/>
      <c r="U103" s="1306"/>
      <c r="V103" s="1306"/>
      <c r="W103" s="1307"/>
    </row>
    <row r="104" spans="1:23" s="129" customFormat="1" x14ac:dyDescent="0.45">
      <c r="A104" s="126"/>
      <c r="B104" s="118"/>
      <c r="C104" s="126"/>
      <c r="D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</row>
    <row r="105" spans="1:23" s="129" customFormat="1" x14ac:dyDescent="0.45">
      <c r="A105" s="126"/>
      <c r="B105" s="118"/>
      <c r="C105" s="132" t="s">
        <v>1711</v>
      </c>
      <c r="D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</row>
    <row r="106" spans="1:23" s="129" customFormat="1" x14ac:dyDescent="0.45">
      <c r="A106" s="126"/>
      <c r="B106" s="118">
        <f>B103+1</f>
        <v>88</v>
      </c>
      <c r="C106" s="126" t="s">
        <v>1740</v>
      </c>
      <c r="D106" s="126" t="s">
        <v>37</v>
      </c>
      <c r="E106" s="126" t="s">
        <v>2483</v>
      </c>
      <c r="F106" s="126" t="s">
        <v>1036</v>
      </c>
      <c r="G106" s="126"/>
      <c r="H106" s="1305" t="s">
        <v>1891</v>
      </c>
      <c r="I106" s="1306"/>
      <c r="J106" s="1306"/>
      <c r="K106" s="1306"/>
      <c r="L106" s="1306"/>
      <c r="M106" s="1307"/>
      <c r="N106" s="1305" t="s">
        <v>1890</v>
      </c>
      <c r="O106" s="1306"/>
      <c r="P106" s="1306"/>
      <c r="Q106" s="1306"/>
      <c r="R106" s="1307"/>
      <c r="S106" s="1305" t="s">
        <v>1889</v>
      </c>
      <c r="T106" s="1306"/>
      <c r="U106" s="1306"/>
      <c r="V106" s="1306"/>
      <c r="W106" s="1307"/>
    </row>
    <row r="107" spans="1:23" s="129" customFormat="1" x14ac:dyDescent="0.45">
      <c r="A107" s="126"/>
      <c r="B107" s="118">
        <f>B106+1</f>
        <v>89</v>
      </c>
      <c r="C107" s="126" t="s">
        <v>1741</v>
      </c>
      <c r="D107" s="126" t="s">
        <v>37</v>
      </c>
      <c r="E107" s="126" t="s">
        <v>2484</v>
      </c>
      <c r="F107" s="126" t="s">
        <v>1038</v>
      </c>
      <c r="G107" s="126"/>
      <c r="H107" s="1305" t="s">
        <v>1892</v>
      </c>
      <c r="I107" s="1306"/>
      <c r="J107" s="1306"/>
      <c r="K107" s="1306"/>
      <c r="L107" s="1306"/>
      <c r="M107" s="1306"/>
      <c r="N107" s="1306"/>
      <c r="O107" s="1306"/>
      <c r="P107" s="1307"/>
      <c r="Q107" s="1305" t="s">
        <v>1896</v>
      </c>
      <c r="R107" s="1306"/>
      <c r="S107" s="1306"/>
      <c r="T107" s="1306"/>
      <c r="U107" s="1306"/>
      <c r="V107" s="1306"/>
      <c r="W107" s="1307"/>
    </row>
    <row r="108" spans="1:23" s="129" customFormat="1" x14ac:dyDescent="0.45">
      <c r="B108" s="118">
        <f t="shared" ref="B108:B112" si="4">B107+1</f>
        <v>90</v>
      </c>
      <c r="C108" s="126" t="s">
        <v>1742</v>
      </c>
      <c r="D108" s="126" t="s">
        <v>37</v>
      </c>
      <c r="E108" s="126" t="s">
        <v>2485</v>
      </c>
      <c r="F108" s="126" t="s">
        <v>1064</v>
      </c>
      <c r="G108" s="126"/>
      <c r="H108" s="127"/>
      <c r="I108" s="1305" t="s">
        <v>1893</v>
      </c>
      <c r="J108" s="1306"/>
      <c r="K108" s="1306"/>
      <c r="L108" s="1306"/>
      <c r="M108" s="1306"/>
      <c r="N108" s="1306"/>
      <c r="O108" s="1307"/>
      <c r="P108" s="127"/>
      <c r="Q108" s="1305" t="s">
        <v>1895</v>
      </c>
      <c r="R108" s="1306"/>
      <c r="S108" s="1306"/>
      <c r="T108" s="1306"/>
      <c r="U108" s="1306"/>
      <c r="V108" s="1306"/>
      <c r="W108" s="1307"/>
    </row>
    <row r="109" spans="1:23" s="129" customFormat="1" x14ac:dyDescent="0.45">
      <c r="B109" s="118">
        <f t="shared" si="4"/>
        <v>91</v>
      </c>
      <c r="C109" s="126" t="s">
        <v>1743</v>
      </c>
      <c r="D109" s="126" t="s">
        <v>37</v>
      </c>
      <c r="E109" s="126" t="s">
        <v>1009</v>
      </c>
      <c r="F109" s="126" t="s">
        <v>1035</v>
      </c>
      <c r="G109" s="126"/>
      <c r="H109" s="127"/>
      <c r="I109" s="127"/>
      <c r="J109" s="127"/>
      <c r="K109" s="127"/>
      <c r="L109" s="127"/>
      <c r="M109" s="127"/>
      <c r="N109" s="205" t="s">
        <v>1004</v>
      </c>
      <c r="O109" s="1305" t="s">
        <v>1894</v>
      </c>
      <c r="P109" s="1306"/>
      <c r="Q109" s="1306"/>
      <c r="R109" s="1306"/>
      <c r="S109" s="1306"/>
      <c r="T109" s="1306"/>
      <c r="U109" s="1306"/>
      <c r="V109" s="1306"/>
      <c r="W109" s="1307"/>
    </row>
    <row r="110" spans="1:23" s="129" customFormat="1" x14ac:dyDescent="0.45">
      <c r="B110" s="118">
        <f t="shared" si="4"/>
        <v>92</v>
      </c>
      <c r="C110" s="126" t="s">
        <v>1747</v>
      </c>
      <c r="D110" s="126" t="s">
        <v>37</v>
      </c>
      <c r="E110" s="126" t="s">
        <v>1010</v>
      </c>
      <c r="F110" s="126" t="s">
        <v>331</v>
      </c>
      <c r="G110" s="126"/>
      <c r="H110" s="1305" t="s">
        <v>1905</v>
      </c>
      <c r="I110" s="1306"/>
      <c r="J110" s="1306"/>
      <c r="K110" s="1306"/>
      <c r="L110" s="1306"/>
      <c r="M110" s="1306"/>
      <c r="N110" s="1306"/>
      <c r="O110" s="1306"/>
      <c r="P110" s="1306"/>
      <c r="Q110" s="1306"/>
      <c r="R110" s="1306"/>
      <c r="S110" s="1306"/>
      <c r="T110" s="1306"/>
      <c r="U110" s="1306"/>
      <c r="V110" s="1306"/>
      <c r="W110" s="1307"/>
    </row>
    <row r="111" spans="1:23" s="129" customFormat="1" x14ac:dyDescent="0.45">
      <c r="B111" s="118">
        <f t="shared" si="4"/>
        <v>93</v>
      </c>
      <c r="C111" s="126" t="s">
        <v>1748</v>
      </c>
      <c r="D111" s="126" t="s">
        <v>37</v>
      </c>
      <c r="E111" s="126" t="s">
        <v>1011</v>
      </c>
      <c r="F111" s="126" t="s">
        <v>1034</v>
      </c>
      <c r="G111" s="126"/>
      <c r="H111" s="127"/>
      <c r="I111" s="127"/>
      <c r="J111" s="127"/>
      <c r="K111" s="127"/>
      <c r="L111" s="1305" t="s">
        <v>1900</v>
      </c>
      <c r="M111" s="1306"/>
      <c r="N111" s="1306"/>
      <c r="O111" s="1306"/>
      <c r="P111" s="1306"/>
      <c r="Q111" s="1306"/>
      <c r="R111" s="1306"/>
      <c r="S111" s="1306"/>
      <c r="T111" s="1306"/>
      <c r="U111" s="1306"/>
      <c r="V111" s="1306"/>
      <c r="W111" s="1307"/>
    </row>
    <row r="112" spans="1:23" s="129" customFormat="1" x14ac:dyDescent="0.45">
      <c r="B112" s="118">
        <f t="shared" si="4"/>
        <v>94</v>
      </c>
      <c r="C112" s="126" t="s">
        <v>1749</v>
      </c>
      <c r="D112" s="126" t="s">
        <v>37</v>
      </c>
      <c r="E112" s="126" t="s">
        <v>1012</v>
      </c>
      <c r="F112" s="126" t="s">
        <v>1103</v>
      </c>
      <c r="G112" s="126"/>
      <c r="H112" s="127"/>
      <c r="I112" s="127"/>
      <c r="J112" s="127"/>
      <c r="K112" s="127"/>
      <c r="L112" s="1305" t="s">
        <v>1901</v>
      </c>
      <c r="M112" s="1306"/>
      <c r="N112" s="1306"/>
      <c r="O112" s="1306"/>
      <c r="P112" s="1306"/>
      <c r="Q112" s="1306"/>
      <c r="R112" s="1306"/>
      <c r="S112" s="1306"/>
      <c r="T112" s="1306"/>
      <c r="U112" s="1306"/>
      <c r="V112" s="1306"/>
      <c r="W112" s="1307"/>
    </row>
    <row r="113" spans="1:28" s="129" customFormat="1" x14ac:dyDescent="0.45">
      <c r="A113" s="31"/>
      <c r="B113" s="118"/>
      <c r="C113" s="126"/>
      <c r="D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</row>
    <row r="114" spans="1:28" s="129" customFormat="1" x14ac:dyDescent="0.45">
      <c r="A114" s="31"/>
      <c r="B114" s="118"/>
      <c r="C114" s="132" t="s">
        <v>1712</v>
      </c>
      <c r="D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</row>
    <row r="115" spans="1:28" s="129" customFormat="1" x14ac:dyDescent="0.45">
      <c r="B115" s="118">
        <f>B112+1</f>
        <v>95</v>
      </c>
      <c r="C115" s="126" t="s">
        <v>1757</v>
      </c>
      <c r="D115" s="126" t="s">
        <v>37</v>
      </c>
      <c r="E115" s="126" t="s">
        <v>1013</v>
      </c>
      <c r="F115" s="126" t="s">
        <v>1036</v>
      </c>
      <c r="G115" s="126"/>
      <c r="H115" s="1305" t="s">
        <v>1908</v>
      </c>
      <c r="I115" s="1306"/>
      <c r="J115" s="1306"/>
      <c r="K115" s="1306"/>
      <c r="L115" s="1306"/>
      <c r="M115" s="1307"/>
      <c r="N115" s="1305" t="s">
        <v>1907</v>
      </c>
      <c r="O115" s="1306"/>
      <c r="P115" s="1306"/>
      <c r="Q115" s="1306"/>
      <c r="R115" s="1307"/>
      <c r="S115" s="1305" t="s">
        <v>1906</v>
      </c>
      <c r="T115" s="1306"/>
      <c r="U115" s="1306"/>
      <c r="V115" s="1306"/>
      <c r="W115" s="1307"/>
    </row>
    <row r="116" spans="1:28" s="129" customFormat="1" x14ac:dyDescent="0.45">
      <c r="B116" s="118">
        <f t="shared" ref="B116:B121" si="5">B115+1</f>
        <v>96</v>
      </c>
      <c r="C116" s="126" t="s">
        <v>1758</v>
      </c>
      <c r="D116" s="126" t="s">
        <v>37</v>
      </c>
      <c r="E116" s="126" t="s">
        <v>1014</v>
      </c>
      <c r="F116" s="126" t="s">
        <v>1038</v>
      </c>
      <c r="G116" s="126"/>
      <c r="H116" s="1305" t="s">
        <v>1909</v>
      </c>
      <c r="I116" s="1306"/>
      <c r="J116" s="1306"/>
      <c r="K116" s="1306"/>
      <c r="L116" s="1306"/>
      <c r="M116" s="1306"/>
      <c r="N116" s="1306"/>
      <c r="O116" s="1306"/>
      <c r="P116" s="1307"/>
      <c r="Q116" s="1305" t="s">
        <v>1917</v>
      </c>
      <c r="R116" s="1306"/>
      <c r="S116" s="1306"/>
      <c r="T116" s="1306"/>
      <c r="U116" s="1306"/>
      <c r="V116" s="1306"/>
      <c r="W116" s="1307"/>
    </row>
    <row r="117" spans="1:28" s="129" customFormat="1" x14ac:dyDescent="0.45">
      <c r="B117" s="118">
        <f t="shared" si="5"/>
        <v>97</v>
      </c>
      <c r="C117" s="126" t="s">
        <v>1759</v>
      </c>
      <c r="D117" s="126" t="s">
        <v>37</v>
      </c>
      <c r="E117" s="126" t="s">
        <v>586</v>
      </c>
      <c r="F117" s="126" t="s">
        <v>1064</v>
      </c>
      <c r="G117" s="126"/>
      <c r="H117" s="127"/>
      <c r="I117" s="1305" t="s">
        <v>1910</v>
      </c>
      <c r="J117" s="1306"/>
      <c r="K117" s="1306"/>
      <c r="L117" s="1306"/>
      <c r="M117" s="1306"/>
      <c r="N117" s="1306"/>
      <c r="O117" s="1307"/>
      <c r="P117" s="127"/>
      <c r="Q117" s="1305" t="s">
        <v>1918</v>
      </c>
      <c r="R117" s="1306"/>
      <c r="S117" s="1306"/>
      <c r="T117" s="1306"/>
      <c r="U117" s="1306"/>
      <c r="V117" s="1306"/>
      <c r="W117" s="1307"/>
    </row>
    <row r="118" spans="1:28" s="129" customFormat="1" x14ac:dyDescent="0.45">
      <c r="B118" s="118">
        <f t="shared" si="5"/>
        <v>98</v>
      </c>
      <c r="C118" s="126" t="s">
        <v>1760</v>
      </c>
      <c r="D118" s="126" t="s">
        <v>37</v>
      </c>
      <c r="E118" s="126" t="s">
        <v>2486</v>
      </c>
      <c r="F118" s="126" t="s">
        <v>1035</v>
      </c>
      <c r="G118" s="126"/>
      <c r="H118" s="127"/>
      <c r="I118" s="127"/>
      <c r="J118" s="127"/>
      <c r="K118" s="127"/>
      <c r="L118" s="127"/>
      <c r="M118" s="127"/>
      <c r="N118" s="205" t="s">
        <v>1004</v>
      </c>
      <c r="O118" s="1305" t="s">
        <v>1919</v>
      </c>
      <c r="P118" s="1306"/>
      <c r="Q118" s="1306"/>
      <c r="R118" s="1306"/>
      <c r="S118" s="1306"/>
      <c r="T118" s="1306"/>
      <c r="U118" s="1306"/>
      <c r="V118" s="1306"/>
      <c r="W118" s="1307"/>
    </row>
    <row r="119" spans="1:28" s="129" customFormat="1" x14ac:dyDescent="0.45">
      <c r="B119" s="118">
        <f t="shared" si="5"/>
        <v>99</v>
      </c>
      <c r="C119" s="126" t="s">
        <v>1764</v>
      </c>
      <c r="D119" s="126" t="s">
        <v>37</v>
      </c>
      <c r="E119" s="126" t="s">
        <v>595</v>
      </c>
      <c r="F119" s="126" t="s">
        <v>331</v>
      </c>
      <c r="G119" s="126"/>
      <c r="H119" s="1305" t="s">
        <v>1914</v>
      </c>
      <c r="I119" s="1306"/>
      <c r="J119" s="1306"/>
      <c r="K119" s="1306"/>
      <c r="L119" s="1306"/>
      <c r="M119" s="1306"/>
      <c r="N119" s="1306"/>
      <c r="O119" s="1306"/>
      <c r="P119" s="1306"/>
      <c r="Q119" s="1306"/>
      <c r="R119" s="1306"/>
      <c r="S119" s="1306"/>
      <c r="T119" s="1306"/>
      <c r="U119" s="1306"/>
      <c r="V119" s="1306"/>
      <c r="W119" s="1307"/>
    </row>
    <row r="120" spans="1:28" s="129" customFormat="1" x14ac:dyDescent="0.45">
      <c r="B120" s="118">
        <f t="shared" si="5"/>
        <v>100</v>
      </c>
      <c r="C120" s="126" t="s">
        <v>1765</v>
      </c>
      <c r="D120" s="126" t="s">
        <v>37</v>
      </c>
      <c r="E120" s="126" t="s">
        <v>601</v>
      </c>
      <c r="F120" s="126" t="s">
        <v>1034</v>
      </c>
      <c r="G120" s="126"/>
      <c r="H120" s="127"/>
      <c r="I120" s="127"/>
      <c r="J120" s="127"/>
      <c r="K120" s="127"/>
      <c r="L120" s="1305" t="s">
        <v>1915</v>
      </c>
      <c r="M120" s="1306"/>
      <c r="N120" s="1306"/>
      <c r="O120" s="1306"/>
      <c r="P120" s="1306"/>
      <c r="Q120" s="1306"/>
      <c r="R120" s="1306"/>
      <c r="S120" s="1306"/>
      <c r="T120" s="1306"/>
      <c r="U120" s="1306"/>
      <c r="V120" s="1306"/>
      <c r="W120" s="1307"/>
    </row>
    <row r="121" spans="1:28" s="129" customFormat="1" x14ac:dyDescent="0.45">
      <c r="B121" s="118">
        <f t="shared" si="5"/>
        <v>101</v>
      </c>
      <c r="C121" s="126" t="s">
        <v>1766</v>
      </c>
      <c r="D121" s="126" t="s">
        <v>37</v>
      </c>
      <c r="E121" s="126" t="s">
        <v>607</v>
      </c>
      <c r="F121" s="126" t="s">
        <v>1103</v>
      </c>
      <c r="G121" s="126"/>
      <c r="H121" s="127"/>
      <c r="I121" s="127"/>
      <c r="J121" s="127"/>
      <c r="K121" s="127"/>
      <c r="L121" s="1305" t="s">
        <v>1916</v>
      </c>
      <c r="M121" s="1306"/>
      <c r="N121" s="1306"/>
      <c r="O121" s="1306"/>
      <c r="P121" s="1306"/>
      <c r="Q121" s="1306"/>
      <c r="R121" s="1306"/>
      <c r="S121" s="1306"/>
      <c r="T121" s="1306"/>
      <c r="U121" s="1306"/>
      <c r="V121" s="1306"/>
      <c r="W121" s="1307"/>
    </row>
    <row r="122" spans="1:28" s="129" customFormat="1" x14ac:dyDescent="0.45">
      <c r="B122" s="118"/>
      <c r="C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</row>
    <row r="123" spans="1:28" x14ac:dyDescent="0.45">
      <c r="B123" s="118">
        <f>B121+1</f>
        <v>102</v>
      </c>
      <c r="C123" s="126" t="s">
        <v>2441</v>
      </c>
      <c r="D123" s="126" t="s">
        <v>37</v>
      </c>
      <c r="E123" s="126" t="s">
        <v>613</v>
      </c>
      <c r="F123" s="126" t="s">
        <v>2410</v>
      </c>
      <c r="G123" s="1047"/>
      <c r="H123" s="1059" t="s">
        <v>2442</v>
      </c>
      <c r="I123" s="127"/>
      <c r="J123" s="127"/>
      <c r="K123" s="127"/>
      <c r="L123" s="128"/>
      <c r="M123" s="128"/>
      <c r="N123" s="127"/>
      <c r="O123" s="205" t="s">
        <v>2443</v>
      </c>
      <c r="P123" s="127"/>
      <c r="Q123" s="127"/>
      <c r="R123" s="1334" t="s">
        <v>2444</v>
      </c>
      <c r="S123" s="1335"/>
      <c r="T123" s="127"/>
      <c r="U123" s="127"/>
      <c r="V123" s="1334" t="s">
        <v>2445</v>
      </c>
      <c r="W123" s="1335"/>
    </row>
    <row r="124" spans="1:28" x14ac:dyDescent="0.45">
      <c r="B124" s="118">
        <f>B123+1</f>
        <v>103</v>
      </c>
      <c r="C124" s="126" t="s">
        <v>2446</v>
      </c>
      <c r="D124" s="126" t="s">
        <v>37</v>
      </c>
      <c r="E124" s="126" t="s">
        <v>619</v>
      </c>
      <c r="F124" s="126" t="s">
        <v>2411</v>
      </c>
      <c r="G124" s="1047"/>
      <c r="H124" s="1305" t="s">
        <v>2447</v>
      </c>
      <c r="I124" s="1306"/>
      <c r="J124" s="1306"/>
      <c r="K124" s="1306"/>
      <c r="L124" s="1306"/>
      <c r="M124" s="1306"/>
      <c r="N124" s="1306"/>
      <c r="O124" s="1306"/>
      <c r="P124" s="1306"/>
      <c r="Q124" s="1306"/>
      <c r="R124" s="1306"/>
      <c r="S124" s="1306"/>
      <c r="T124" s="1306"/>
      <c r="U124" s="1306"/>
      <c r="V124" s="1306"/>
      <c r="W124" s="1307"/>
    </row>
    <row r="125" spans="1:28" x14ac:dyDescent="0.45">
      <c r="B125" s="118">
        <f t="shared" ref="B125:B126" si="6">B124+1</f>
        <v>104</v>
      </c>
      <c r="C125" s="126" t="s">
        <v>2448</v>
      </c>
      <c r="D125" s="126" t="s">
        <v>37</v>
      </c>
      <c r="E125" s="126" t="s">
        <v>2532</v>
      </c>
      <c r="F125" s="126" t="s">
        <v>2410</v>
      </c>
      <c r="G125" s="1047"/>
      <c r="H125" s="1059" t="s">
        <v>2449</v>
      </c>
      <c r="I125" s="127"/>
      <c r="J125" s="127"/>
      <c r="K125" s="127"/>
      <c r="L125" s="128"/>
      <c r="M125" s="128"/>
      <c r="N125" s="127"/>
      <c r="O125" s="205" t="s">
        <v>2450</v>
      </c>
      <c r="P125" s="127"/>
      <c r="Q125" s="127"/>
      <c r="R125" s="1334" t="s">
        <v>2451</v>
      </c>
      <c r="S125" s="1335"/>
      <c r="T125" s="127"/>
      <c r="U125" s="127"/>
      <c r="V125" s="1334" t="s">
        <v>2452</v>
      </c>
      <c r="W125" s="1335"/>
    </row>
    <row r="126" spans="1:28" x14ac:dyDescent="0.45">
      <c r="B126" s="118">
        <f t="shared" si="6"/>
        <v>105</v>
      </c>
      <c r="C126" s="126" t="s">
        <v>2453</v>
      </c>
      <c r="D126" s="126" t="s">
        <v>37</v>
      </c>
      <c r="E126" s="126" t="s">
        <v>2533</v>
      </c>
      <c r="F126" s="126" t="s">
        <v>2411</v>
      </c>
      <c r="G126" s="1047"/>
      <c r="H126" s="1305" t="s">
        <v>2454</v>
      </c>
      <c r="I126" s="1306"/>
      <c r="J126" s="1306"/>
      <c r="K126" s="1306"/>
      <c r="L126" s="1306"/>
      <c r="M126" s="1306"/>
      <c r="N126" s="1306"/>
      <c r="O126" s="1306"/>
      <c r="P126" s="1306"/>
      <c r="Q126" s="1306"/>
      <c r="R126" s="1306"/>
      <c r="S126" s="1306"/>
      <c r="T126" s="1306"/>
      <c r="U126" s="1306"/>
      <c r="V126" s="1306"/>
      <c r="W126" s="1307"/>
    </row>
    <row r="127" spans="1:28" s="129" customFormat="1" x14ac:dyDescent="0.45">
      <c r="B127" s="118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</row>
    <row r="128" spans="1:28" s="129" customFormat="1" x14ac:dyDescent="0.45">
      <c r="A128" s="31"/>
      <c r="B128" s="118"/>
      <c r="C128" s="132" t="s">
        <v>584</v>
      </c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</row>
    <row r="129" spans="1:23" s="129" customFormat="1" x14ac:dyDescent="0.45">
      <c r="A129" s="31"/>
      <c r="B129" s="118">
        <f>B121+1</f>
        <v>102</v>
      </c>
      <c r="C129" s="126" t="s">
        <v>585</v>
      </c>
      <c r="D129" s="126" t="s">
        <v>37</v>
      </c>
      <c r="E129" s="126" t="s">
        <v>1719</v>
      </c>
      <c r="F129" s="126" t="s">
        <v>331</v>
      </c>
      <c r="G129" s="126"/>
      <c r="H129" s="127"/>
      <c r="I129" s="127"/>
      <c r="J129" s="127"/>
      <c r="K129" s="127"/>
      <c r="L129" s="1316" t="s">
        <v>587</v>
      </c>
      <c r="M129" s="1316"/>
      <c r="N129" s="1316"/>
      <c r="O129" s="1316"/>
      <c r="P129" s="1316"/>
      <c r="Q129" s="1316"/>
      <c r="R129" s="1316"/>
      <c r="S129" s="1316"/>
      <c r="T129" s="1316"/>
      <c r="U129" s="1316"/>
      <c r="V129" s="1316"/>
      <c r="W129" s="1316"/>
    </row>
    <row r="130" spans="1:23" s="129" customFormat="1" x14ac:dyDescent="0.45">
      <c r="A130" s="31"/>
      <c r="B130" s="118">
        <f t="shared" ref="B130:B193" si="7">B129+1</f>
        <v>103</v>
      </c>
      <c r="C130" s="126" t="s">
        <v>588</v>
      </c>
      <c r="D130" s="126" t="s">
        <v>66</v>
      </c>
      <c r="E130" s="126" t="s">
        <v>1718</v>
      </c>
      <c r="F130" s="126" t="s">
        <v>331</v>
      </c>
      <c r="G130" s="126"/>
      <c r="H130" s="1316" t="s">
        <v>590</v>
      </c>
      <c r="I130" s="1316"/>
      <c r="J130" s="1316"/>
      <c r="K130" s="1316"/>
      <c r="L130" s="1316" t="s">
        <v>591</v>
      </c>
      <c r="M130" s="1316"/>
      <c r="N130" s="1316"/>
      <c r="O130" s="1316"/>
      <c r="P130" s="1316" t="s">
        <v>592</v>
      </c>
      <c r="Q130" s="1316"/>
      <c r="R130" s="1316"/>
      <c r="S130" s="1316"/>
      <c r="T130" s="1316" t="s">
        <v>593</v>
      </c>
      <c r="U130" s="1316"/>
      <c r="V130" s="1316"/>
      <c r="W130" s="1316"/>
    </row>
    <row r="131" spans="1:23" s="129" customFormat="1" x14ac:dyDescent="0.45">
      <c r="A131" s="31"/>
      <c r="B131" s="118">
        <f t="shared" si="7"/>
        <v>104</v>
      </c>
      <c r="C131" s="126" t="s">
        <v>594</v>
      </c>
      <c r="D131" s="126" t="s">
        <v>66</v>
      </c>
      <c r="E131" s="126" t="s">
        <v>1717</v>
      </c>
      <c r="F131" s="126" t="s">
        <v>331</v>
      </c>
      <c r="G131" s="126"/>
      <c r="H131" s="1316" t="s">
        <v>596</v>
      </c>
      <c r="I131" s="1316"/>
      <c r="J131" s="1316"/>
      <c r="K131" s="1316"/>
      <c r="L131" s="1316" t="s">
        <v>597</v>
      </c>
      <c r="M131" s="1316"/>
      <c r="N131" s="1316"/>
      <c r="O131" s="1316"/>
      <c r="P131" s="1316" t="s">
        <v>598</v>
      </c>
      <c r="Q131" s="1316"/>
      <c r="R131" s="1316"/>
      <c r="S131" s="1316"/>
      <c r="T131" s="1316" t="s">
        <v>599</v>
      </c>
      <c r="U131" s="1316"/>
      <c r="V131" s="1316"/>
      <c r="W131" s="1316"/>
    </row>
    <row r="132" spans="1:23" s="129" customFormat="1" x14ac:dyDescent="0.45">
      <c r="A132" s="31"/>
      <c r="B132" s="118">
        <f t="shared" si="7"/>
        <v>105</v>
      </c>
      <c r="C132" s="126" t="s">
        <v>600</v>
      </c>
      <c r="D132" s="126" t="s">
        <v>66</v>
      </c>
      <c r="E132" s="126" t="s">
        <v>1715</v>
      </c>
      <c r="F132" s="126" t="s">
        <v>331</v>
      </c>
      <c r="G132" s="126"/>
      <c r="H132" s="1316" t="s">
        <v>602</v>
      </c>
      <c r="I132" s="1316"/>
      <c r="J132" s="1316"/>
      <c r="K132" s="1316"/>
      <c r="L132" s="1316" t="s">
        <v>603</v>
      </c>
      <c r="M132" s="1316"/>
      <c r="N132" s="1316"/>
      <c r="O132" s="1316"/>
      <c r="P132" s="1316" t="s">
        <v>604</v>
      </c>
      <c r="Q132" s="1316"/>
      <c r="R132" s="1316"/>
      <c r="S132" s="1316"/>
      <c r="T132" s="1316" t="s">
        <v>605</v>
      </c>
      <c r="U132" s="1316"/>
      <c r="V132" s="1316"/>
      <c r="W132" s="1316"/>
    </row>
    <row r="133" spans="1:23" s="129" customFormat="1" x14ac:dyDescent="0.45">
      <c r="A133" s="31"/>
      <c r="B133" s="118">
        <f t="shared" si="7"/>
        <v>106</v>
      </c>
      <c r="C133" s="126" t="s">
        <v>606</v>
      </c>
      <c r="D133" s="126" t="s">
        <v>66</v>
      </c>
      <c r="E133" s="126" t="s">
        <v>1714</v>
      </c>
      <c r="F133" s="126" t="s">
        <v>331</v>
      </c>
      <c r="G133" s="126"/>
      <c r="H133" s="1316" t="s">
        <v>608</v>
      </c>
      <c r="I133" s="1316"/>
      <c r="J133" s="1316"/>
      <c r="K133" s="1316"/>
      <c r="L133" s="1316" t="s">
        <v>609</v>
      </c>
      <c r="M133" s="1316"/>
      <c r="N133" s="1316"/>
      <c r="O133" s="1316"/>
      <c r="P133" s="1316" t="s">
        <v>610</v>
      </c>
      <c r="Q133" s="1316"/>
      <c r="R133" s="1316"/>
      <c r="S133" s="1316"/>
      <c r="T133" s="1316" t="s">
        <v>611</v>
      </c>
      <c r="U133" s="1316"/>
      <c r="V133" s="1316"/>
      <c r="W133" s="1316"/>
    </row>
    <row r="134" spans="1:23" s="129" customFormat="1" x14ac:dyDescent="0.45">
      <c r="A134" s="31"/>
      <c r="B134" s="118">
        <f t="shared" si="7"/>
        <v>107</v>
      </c>
      <c r="C134" s="126" t="s">
        <v>612</v>
      </c>
      <c r="D134" s="126" t="s">
        <v>66</v>
      </c>
      <c r="E134" s="126" t="s">
        <v>1713</v>
      </c>
      <c r="F134" s="126" t="s">
        <v>331</v>
      </c>
      <c r="G134" s="126"/>
      <c r="H134" s="1316" t="s">
        <v>614</v>
      </c>
      <c r="I134" s="1316"/>
      <c r="J134" s="1316"/>
      <c r="K134" s="1316"/>
      <c r="L134" s="1316" t="s">
        <v>615</v>
      </c>
      <c r="M134" s="1316"/>
      <c r="N134" s="1316"/>
      <c r="O134" s="1316"/>
      <c r="P134" s="1316" t="s">
        <v>616</v>
      </c>
      <c r="Q134" s="1316"/>
      <c r="R134" s="1316"/>
      <c r="S134" s="1316"/>
      <c r="T134" s="1316" t="s">
        <v>617</v>
      </c>
      <c r="U134" s="1316"/>
      <c r="V134" s="1316"/>
      <c r="W134" s="1316"/>
    </row>
    <row r="135" spans="1:23" s="129" customFormat="1" x14ac:dyDescent="0.45">
      <c r="A135" s="31"/>
      <c r="B135" s="118">
        <f t="shared" si="7"/>
        <v>108</v>
      </c>
      <c r="C135" s="126" t="s">
        <v>618</v>
      </c>
      <c r="D135" s="126" t="s">
        <v>66</v>
      </c>
      <c r="E135" s="126" t="s">
        <v>1716</v>
      </c>
      <c r="F135" s="126" t="s">
        <v>331</v>
      </c>
      <c r="G135" s="126"/>
      <c r="H135" s="1316" t="s">
        <v>620</v>
      </c>
      <c r="I135" s="1316"/>
      <c r="J135" s="1316"/>
      <c r="K135" s="1316"/>
      <c r="L135" s="1316" t="s">
        <v>621</v>
      </c>
      <c r="M135" s="1316"/>
      <c r="N135" s="1316"/>
      <c r="O135" s="1316"/>
      <c r="P135" s="1316" t="s">
        <v>622</v>
      </c>
      <c r="Q135" s="1316"/>
      <c r="R135" s="1316"/>
      <c r="S135" s="1316"/>
      <c r="T135" s="1316" t="s">
        <v>623</v>
      </c>
      <c r="U135" s="1316"/>
      <c r="V135" s="1316"/>
      <c r="W135" s="1316"/>
    </row>
    <row r="136" spans="1:23" s="129" customFormat="1" x14ac:dyDescent="0.45">
      <c r="A136" s="31"/>
      <c r="B136" s="118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</row>
    <row r="137" spans="1:23" s="129" customFormat="1" x14ac:dyDescent="0.45">
      <c r="A137" s="31"/>
      <c r="B137" s="118"/>
      <c r="C137" s="132" t="s">
        <v>624</v>
      </c>
      <c r="D137" s="126"/>
      <c r="E137" s="126"/>
      <c r="F137" s="126"/>
      <c r="G137" s="685"/>
      <c r="H137" s="685"/>
      <c r="I137" s="685"/>
      <c r="J137" s="685"/>
      <c r="K137" s="685"/>
      <c r="L137" s="685"/>
      <c r="M137" s="685"/>
      <c r="N137" s="685"/>
      <c r="O137" s="685"/>
      <c r="P137" s="685"/>
      <c r="Q137" s="685"/>
      <c r="R137" s="685"/>
      <c r="S137" s="685"/>
      <c r="T137" s="685"/>
      <c r="U137" s="685"/>
      <c r="V137" s="685"/>
      <c r="W137" s="685"/>
    </row>
    <row r="138" spans="1:23" s="129" customFormat="1" x14ac:dyDescent="0.45">
      <c r="A138" s="31"/>
      <c r="B138" s="118">
        <f>B135+1</f>
        <v>109</v>
      </c>
      <c r="C138" s="665" t="s">
        <v>625</v>
      </c>
      <c r="D138" s="665" t="s">
        <v>37</v>
      </c>
      <c r="E138" s="665" t="s">
        <v>626</v>
      </c>
      <c r="F138" s="665" t="s">
        <v>331</v>
      </c>
      <c r="G138" s="126"/>
      <c r="H138" s="127"/>
      <c r="I138" s="127"/>
      <c r="J138" s="127"/>
      <c r="K138" s="127"/>
      <c r="L138" s="1316" t="s">
        <v>587</v>
      </c>
      <c r="M138" s="1316"/>
      <c r="N138" s="1316"/>
      <c r="O138" s="1316"/>
      <c r="P138" s="1316"/>
      <c r="Q138" s="1316"/>
      <c r="R138" s="1316"/>
      <c r="S138" s="1316"/>
      <c r="T138" s="1316"/>
      <c r="U138" s="1316"/>
      <c r="V138" s="1316"/>
      <c r="W138" s="1316"/>
    </row>
    <row r="139" spans="1:23" s="129" customFormat="1" x14ac:dyDescent="0.45">
      <c r="A139" s="31"/>
      <c r="B139" s="118">
        <f t="shared" si="7"/>
        <v>110</v>
      </c>
      <c r="C139" s="665" t="s">
        <v>627</v>
      </c>
      <c r="D139" s="665" t="s">
        <v>37</v>
      </c>
      <c r="E139" s="665" t="s">
        <v>628</v>
      </c>
      <c r="F139" s="665" t="s">
        <v>331</v>
      </c>
      <c r="G139" s="126"/>
      <c r="H139" s="127"/>
      <c r="I139" s="127"/>
      <c r="J139" s="127"/>
      <c r="K139" s="127"/>
      <c r="L139" s="1316" t="s">
        <v>587</v>
      </c>
      <c r="M139" s="1316"/>
      <c r="N139" s="1316"/>
      <c r="O139" s="1316"/>
      <c r="P139" s="1316"/>
      <c r="Q139" s="1316"/>
      <c r="R139" s="1316"/>
      <c r="S139" s="1316"/>
      <c r="T139" s="1316"/>
      <c r="U139" s="1316"/>
      <c r="V139" s="1316"/>
      <c r="W139" s="1316"/>
    </row>
    <row r="140" spans="1:23" s="129" customFormat="1" x14ac:dyDescent="0.45">
      <c r="A140" s="31"/>
      <c r="B140" s="118">
        <f t="shared" si="7"/>
        <v>111</v>
      </c>
      <c r="C140" s="665" t="s">
        <v>629</v>
      </c>
      <c r="D140" s="665" t="s">
        <v>37</v>
      </c>
      <c r="E140" s="665" t="s">
        <v>630</v>
      </c>
      <c r="F140" s="665" t="s">
        <v>344</v>
      </c>
      <c r="G140" s="126"/>
      <c r="H140" s="127"/>
      <c r="I140" s="127"/>
      <c r="J140" s="127"/>
      <c r="K140" s="127"/>
      <c r="L140" s="1316" t="s">
        <v>631</v>
      </c>
      <c r="M140" s="1316"/>
      <c r="N140" s="1316"/>
      <c r="O140" s="1316"/>
      <c r="P140" s="1316"/>
      <c r="Q140" s="1316"/>
      <c r="R140" s="1316"/>
      <c r="S140" s="1316"/>
      <c r="T140" s="1316"/>
      <c r="U140" s="1316"/>
      <c r="V140" s="1316"/>
      <c r="W140" s="1316"/>
    </row>
    <row r="141" spans="1:23" s="129" customFormat="1" x14ac:dyDescent="0.45">
      <c r="A141" s="31"/>
      <c r="B141" s="118">
        <f t="shared" si="7"/>
        <v>112</v>
      </c>
      <c r="C141" s="665" t="s">
        <v>632</v>
      </c>
      <c r="D141" s="665" t="s">
        <v>37</v>
      </c>
      <c r="E141" s="665" t="s">
        <v>633</v>
      </c>
      <c r="F141" s="665" t="s">
        <v>344</v>
      </c>
      <c r="G141" s="126"/>
      <c r="H141" s="127"/>
      <c r="I141" s="127"/>
      <c r="J141" s="127"/>
      <c r="K141" s="127"/>
      <c r="L141" s="1316" t="s">
        <v>631</v>
      </c>
      <c r="M141" s="1316"/>
      <c r="N141" s="1316"/>
      <c r="O141" s="1316"/>
      <c r="P141" s="1316"/>
      <c r="Q141" s="1316"/>
      <c r="R141" s="1316"/>
      <c r="S141" s="1316"/>
      <c r="T141" s="1316"/>
      <c r="U141" s="1316"/>
      <c r="V141" s="1316"/>
      <c r="W141" s="1316"/>
    </row>
    <row r="142" spans="1:23" s="129" customFormat="1" x14ac:dyDescent="0.45">
      <c r="A142" s="31"/>
      <c r="B142" s="118">
        <f t="shared" si="7"/>
        <v>113</v>
      </c>
      <c r="C142" s="665" t="s">
        <v>634</v>
      </c>
      <c r="D142" s="665" t="s">
        <v>37</v>
      </c>
      <c r="E142" s="665" t="s">
        <v>635</v>
      </c>
      <c r="F142" s="665" t="s">
        <v>344</v>
      </c>
      <c r="G142" s="126"/>
      <c r="H142" s="127"/>
      <c r="I142" s="127"/>
      <c r="J142" s="127"/>
      <c r="K142" s="127"/>
      <c r="L142" s="1316" t="s">
        <v>631</v>
      </c>
      <c r="M142" s="1316"/>
      <c r="N142" s="1316"/>
      <c r="O142" s="1316"/>
      <c r="P142" s="1316"/>
      <c r="Q142" s="1316"/>
      <c r="R142" s="1316"/>
      <c r="S142" s="1316"/>
      <c r="T142" s="1316"/>
      <c r="U142" s="1316"/>
      <c r="V142" s="1316"/>
      <c r="W142" s="1316"/>
    </row>
    <row r="143" spans="1:23" s="129" customFormat="1" x14ac:dyDescent="0.45">
      <c r="A143" s="31"/>
      <c r="B143" s="118">
        <f t="shared" si="7"/>
        <v>114</v>
      </c>
      <c r="C143" s="665" t="s">
        <v>636</v>
      </c>
      <c r="D143" s="665" t="s">
        <v>37</v>
      </c>
      <c r="E143" s="665" t="s">
        <v>637</v>
      </c>
      <c r="F143" s="665" t="s">
        <v>344</v>
      </c>
      <c r="G143" s="126"/>
      <c r="H143" s="127"/>
      <c r="I143" s="127"/>
      <c r="J143" s="127"/>
      <c r="K143" s="127"/>
      <c r="L143" s="1316" t="s">
        <v>631</v>
      </c>
      <c r="M143" s="1316"/>
      <c r="N143" s="1316"/>
      <c r="O143" s="1316"/>
      <c r="P143" s="1316"/>
      <c r="Q143" s="1316"/>
      <c r="R143" s="1316"/>
      <c r="S143" s="1316"/>
      <c r="T143" s="1316"/>
      <c r="U143" s="1316"/>
      <c r="V143" s="1316"/>
      <c r="W143" s="1316"/>
    </row>
    <row r="144" spans="1:23" s="129" customFormat="1" x14ac:dyDescent="0.45">
      <c r="A144" s="31"/>
      <c r="B144" s="118">
        <f t="shared" si="7"/>
        <v>115</v>
      </c>
      <c r="C144" s="665" t="s">
        <v>638</v>
      </c>
      <c r="D144" s="665" t="s">
        <v>37</v>
      </c>
      <c r="E144" s="665" t="s">
        <v>639</v>
      </c>
      <c r="F144" s="665" t="s">
        <v>344</v>
      </c>
      <c r="G144" s="126"/>
      <c r="H144" s="127"/>
      <c r="I144" s="127"/>
      <c r="J144" s="127"/>
      <c r="K144" s="127"/>
      <c r="L144" s="1316" t="s">
        <v>631</v>
      </c>
      <c r="M144" s="1316"/>
      <c r="N144" s="1316"/>
      <c r="O144" s="1316"/>
      <c r="P144" s="1316"/>
      <c r="Q144" s="1316"/>
      <c r="R144" s="1316"/>
      <c r="S144" s="1316"/>
      <c r="T144" s="1316"/>
      <c r="U144" s="1316"/>
      <c r="V144" s="1316"/>
      <c r="W144" s="1316"/>
    </row>
    <row r="145" spans="1:23" s="129" customFormat="1" x14ac:dyDescent="0.45">
      <c r="A145" s="31"/>
      <c r="B145" s="118">
        <f t="shared" si="7"/>
        <v>116</v>
      </c>
      <c r="C145" s="665" t="s">
        <v>640</v>
      </c>
      <c r="D145" s="665" t="s">
        <v>37</v>
      </c>
      <c r="E145" s="665" t="s">
        <v>641</v>
      </c>
      <c r="F145" s="665" t="s">
        <v>344</v>
      </c>
      <c r="G145" s="126"/>
      <c r="H145" s="127"/>
      <c r="I145" s="127"/>
      <c r="J145" s="127"/>
      <c r="K145" s="127"/>
      <c r="L145" s="1316" t="s">
        <v>631</v>
      </c>
      <c r="M145" s="1316"/>
      <c r="N145" s="1316"/>
      <c r="O145" s="1316"/>
      <c r="P145" s="1316"/>
      <c r="Q145" s="1316"/>
      <c r="R145" s="1316"/>
      <c r="S145" s="1316"/>
      <c r="T145" s="1316"/>
      <c r="U145" s="1316"/>
      <c r="V145" s="1316"/>
      <c r="W145" s="1316"/>
    </row>
    <row r="146" spans="1:23" s="129" customFormat="1" x14ac:dyDescent="0.45">
      <c r="A146" s="31"/>
      <c r="B146" s="118">
        <f t="shared" si="7"/>
        <v>117</v>
      </c>
      <c r="C146" s="126" t="s">
        <v>642</v>
      </c>
      <c r="D146" s="126" t="s">
        <v>37</v>
      </c>
      <c r="E146" s="126" t="s">
        <v>643</v>
      </c>
      <c r="F146" s="126" t="s">
        <v>331</v>
      </c>
      <c r="G146" s="126"/>
      <c r="H146" s="127"/>
      <c r="I146" s="127"/>
      <c r="J146" s="127"/>
      <c r="K146" s="127"/>
      <c r="L146" s="1316" t="s">
        <v>587</v>
      </c>
      <c r="M146" s="1316"/>
      <c r="N146" s="1316"/>
      <c r="O146" s="1316"/>
      <c r="P146" s="1316"/>
      <c r="Q146" s="1316"/>
      <c r="R146" s="1316"/>
      <c r="S146" s="1316"/>
      <c r="T146" s="1316"/>
      <c r="U146" s="1316"/>
      <c r="V146" s="1316"/>
      <c r="W146" s="1316"/>
    </row>
    <row r="147" spans="1:23" s="129" customFormat="1" x14ac:dyDescent="0.45">
      <c r="A147" s="31"/>
      <c r="B147" s="118">
        <f t="shared" si="7"/>
        <v>118</v>
      </c>
      <c r="C147" s="126" t="s">
        <v>644</v>
      </c>
      <c r="D147" s="126" t="s">
        <v>37</v>
      </c>
      <c r="E147" s="126" t="s">
        <v>645</v>
      </c>
      <c r="F147" s="126" t="s">
        <v>331</v>
      </c>
      <c r="G147" s="126"/>
      <c r="H147" s="127"/>
      <c r="I147" s="127"/>
      <c r="J147" s="127"/>
      <c r="K147" s="127"/>
      <c r="L147" s="1316" t="s">
        <v>587</v>
      </c>
      <c r="M147" s="1316"/>
      <c r="N147" s="1316"/>
      <c r="O147" s="1316"/>
      <c r="P147" s="1316"/>
      <c r="Q147" s="1316"/>
      <c r="R147" s="1316"/>
      <c r="S147" s="1316"/>
      <c r="T147" s="1316"/>
      <c r="U147" s="1316"/>
      <c r="V147" s="1316"/>
      <c r="W147" s="1316"/>
    </row>
    <row r="148" spans="1:23" s="129" customFormat="1" x14ac:dyDescent="0.45">
      <c r="A148" s="31"/>
      <c r="B148" s="118">
        <f t="shared" si="7"/>
        <v>119</v>
      </c>
      <c r="C148" s="126" t="s">
        <v>646</v>
      </c>
      <c r="D148" s="126" t="s">
        <v>37</v>
      </c>
      <c r="E148" s="126" t="s">
        <v>647</v>
      </c>
      <c r="F148" s="126" t="s">
        <v>344</v>
      </c>
      <c r="G148" s="126"/>
      <c r="H148" s="127"/>
      <c r="I148" s="127"/>
      <c r="J148" s="127"/>
      <c r="K148" s="127"/>
      <c r="L148" s="1316" t="s">
        <v>631</v>
      </c>
      <c r="M148" s="1316"/>
      <c r="N148" s="1316"/>
      <c r="O148" s="1316"/>
      <c r="P148" s="1316"/>
      <c r="Q148" s="1316"/>
      <c r="R148" s="1316"/>
      <c r="S148" s="1316"/>
      <c r="T148" s="1316"/>
      <c r="U148" s="1316"/>
      <c r="V148" s="1316"/>
      <c r="W148" s="1316"/>
    </row>
    <row r="149" spans="1:23" s="129" customFormat="1" x14ac:dyDescent="0.45">
      <c r="A149" s="31"/>
      <c r="B149" s="118">
        <f t="shared" si="7"/>
        <v>120</v>
      </c>
      <c r="C149" s="126" t="s">
        <v>648</v>
      </c>
      <c r="D149" s="126" t="s">
        <v>37</v>
      </c>
      <c r="E149" s="126" t="s">
        <v>649</v>
      </c>
      <c r="F149" s="126" t="s">
        <v>344</v>
      </c>
      <c r="G149" s="126"/>
      <c r="H149" s="127"/>
      <c r="I149" s="127"/>
      <c r="J149" s="127"/>
      <c r="K149" s="127"/>
      <c r="L149" s="1316" t="s">
        <v>631</v>
      </c>
      <c r="M149" s="1316"/>
      <c r="N149" s="1316"/>
      <c r="O149" s="1316"/>
      <c r="P149" s="1316"/>
      <c r="Q149" s="1316"/>
      <c r="R149" s="1316"/>
      <c r="S149" s="1316"/>
      <c r="T149" s="1316"/>
      <c r="U149" s="1316"/>
      <c r="V149" s="1316"/>
      <c r="W149" s="1316"/>
    </row>
    <row r="150" spans="1:23" s="129" customFormat="1" x14ac:dyDescent="0.45">
      <c r="A150" s="31"/>
      <c r="B150" s="118">
        <f t="shared" si="7"/>
        <v>121</v>
      </c>
      <c r="C150" s="126" t="s">
        <v>650</v>
      </c>
      <c r="D150" s="126" t="s">
        <v>37</v>
      </c>
      <c r="E150" s="126" t="s">
        <v>651</v>
      </c>
      <c r="F150" s="126" t="s">
        <v>344</v>
      </c>
      <c r="G150" s="126"/>
      <c r="H150" s="127"/>
      <c r="I150" s="127"/>
      <c r="J150" s="127"/>
      <c r="K150" s="127"/>
      <c r="L150" s="1316" t="s">
        <v>631</v>
      </c>
      <c r="M150" s="1316"/>
      <c r="N150" s="1316"/>
      <c r="O150" s="1316"/>
      <c r="P150" s="1316"/>
      <c r="Q150" s="1316"/>
      <c r="R150" s="1316"/>
      <c r="S150" s="1316"/>
      <c r="T150" s="1316"/>
      <c r="U150" s="1316"/>
      <c r="V150" s="1316"/>
      <c r="W150" s="1316"/>
    </row>
    <row r="151" spans="1:23" s="129" customFormat="1" x14ac:dyDescent="0.45">
      <c r="A151" s="31"/>
      <c r="B151" s="118">
        <f t="shared" si="7"/>
        <v>122</v>
      </c>
      <c r="C151" s="126" t="s">
        <v>652</v>
      </c>
      <c r="D151" s="126" t="s">
        <v>37</v>
      </c>
      <c r="E151" s="126" t="s">
        <v>653</v>
      </c>
      <c r="F151" s="126" t="s">
        <v>344</v>
      </c>
      <c r="G151" s="126"/>
      <c r="H151" s="127"/>
      <c r="I151" s="127"/>
      <c r="J151" s="127"/>
      <c r="K151" s="127"/>
      <c r="L151" s="1316" t="s">
        <v>631</v>
      </c>
      <c r="M151" s="1316"/>
      <c r="N151" s="1316"/>
      <c r="O151" s="1316"/>
      <c r="P151" s="1316"/>
      <c r="Q151" s="1316"/>
      <c r="R151" s="1316"/>
      <c r="S151" s="1316"/>
      <c r="T151" s="1316"/>
      <c r="U151" s="1316"/>
      <c r="V151" s="1316"/>
      <c r="W151" s="1316"/>
    </row>
    <row r="152" spans="1:23" s="129" customFormat="1" x14ac:dyDescent="0.45">
      <c r="A152" s="31"/>
      <c r="B152" s="118">
        <f t="shared" si="7"/>
        <v>123</v>
      </c>
      <c r="C152" s="126" t="s">
        <v>654</v>
      </c>
      <c r="D152" s="126" t="s">
        <v>37</v>
      </c>
      <c r="E152" s="126" t="s">
        <v>655</v>
      </c>
      <c r="F152" s="126" t="s">
        <v>344</v>
      </c>
      <c r="G152" s="126"/>
      <c r="H152" s="127"/>
      <c r="I152" s="127"/>
      <c r="J152" s="127"/>
      <c r="K152" s="127"/>
      <c r="L152" s="1316" t="s">
        <v>631</v>
      </c>
      <c r="M152" s="1316"/>
      <c r="N152" s="1316"/>
      <c r="O152" s="1316"/>
      <c r="P152" s="1316"/>
      <c r="Q152" s="1316"/>
      <c r="R152" s="1316"/>
      <c r="S152" s="1316"/>
      <c r="T152" s="1316"/>
      <c r="U152" s="1316"/>
      <c r="V152" s="1316"/>
      <c r="W152" s="1316"/>
    </row>
    <row r="153" spans="1:23" s="129" customFormat="1" x14ac:dyDescent="0.45">
      <c r="A153" s="31"/>
      <c r="B153" s="118">
        <f t="shared" si="7"/>
        <v>124</v>
      </c>
      <c r="C153" s="126" t="s">
        <v>656</v>
      </c>
      <c r="D153" s="126" t="s">
        <v>37</v>
      </c>
      <c r="E153" s="126" t="s">
        <v>657</v>
      </c>
      <c r="F153" s="126" t="s">
        <v>344</v>
      </c>
      <c r="G153" s="126"/>
      <c r="H153" s="127"/>
      <c r="I153" s="127"/>
      <c r="J153" s="127"/>
      <c r="K153" s="127"/>
      <c r="L153" s="1316" t="s">
        <v>631</v>
      </c>
      <c r="M153" s="1316"/>
      <c r="N153" s="1316"/>
      <c r="O153" s="1316"/>
      <c r="P153" s="1316"/>
      <c r="Q153" s="1316"/>
      <c r="R153" s="1316"/>
      <c r="S153" s="1316"/>
      <c r="T153" s="1316"/>
      <c r="U153" s="1316"/>
      <c r="V153" s="1316"/>
      <c r="W153" s="1316"/>
    </row>
    <row r="154" spans="1:23" s="129" customFormat="1" x14ac:dyDescent="0.45">
      <c r="A154" s="31"/>
      <c r="B154" s="118">
        <f t="shared" si="7"/>
        <v>125</v>
      </c>
      <c r="C154" s="665" t="s">
        <v>658</v>
      </c>
      <c r="D154" s="665" t="s">
        <v>37</v>
      </c>
      <c r="E154" s="665" t="s">
        <v>659</v>
      </c>
      <c r="F154" s="665" t="s">
        <v>331</v>
      </c>
      <c r="G154" s="126"/>
      <c r="H154" s="127"/>
      <c r="I154" s="127"/>
      <c r="J154" s="127"/>
      <c r="K154" s="127"/>
      <c r="L154" s="1316" t="s">
        <v>587</v>
      </c>
      <c r="M154" s="1316"/>
      <c r="N154" s="1316"/>
      <c r="O154" s="1316"/>
      <c r="P154" s="1316"/>
      <c r="Q154" s="1316"/>
      <c r="R154" s="1316"/>
      <c r="S154" s="1316"/>
      <c r="T154" s="1316"/>
      <c r="U154" s="1316"/>
      <c r="V154" s="1316"/>
      <c r="W154" s="1316"/>
    </row>
    <row r="155" spans="1:23" s="129" customFormat="1" x14ac:dyDescent="0.45">
      <c r="A155" s="31"/>
      <c r="B155" s="118">
        <f t="shared" si="7"/>
        <v>126</v>
      </c>
      <c r="C155" s="665" t="s">
        <v>660</v>
      </c>
      <c r="D155" s="665" t="s">
        <v>37</v>
      </c>
      <c r="E155" s="665" t="s">
        <v>661</v>
      </c>
      <c r="F155" s="665" t="s">
        <v>331</v>
      </c>
      <c r="G155" s="126"/>
      <c r="H155" s="127"/>
      <c r="I155" s="127"/>
      <c r="J155" s="127"/>
      <c r="K155" s="127"/>
      <c r="L155" s="1316" t="s">
        <v>587</v>
      </c>
      <c r="M155" s="1316"/>
      <c r="N155" s="1316"/>
      <c r="O155" s="1316"/>
      <c r="P155" s="1316"/>
      <c r="Q155" s="1316"/>
      <c r="R155" s="1316"/>
      <c r="S155" s="1316"/>
      <c r="T155" s="1316"/>
      <c r="U155" s="1316"/>
      <c r="V155" s="1316"/>
      <c r="W155" s="1316"/>
    </row>
    <row r="156" spans="1:23" s="129" customFormat="1" x14ac:dyDescent="0.45">
      <c r="A156" s="31"/>
      <c r="B156" s="118">
        <f t="shared" si="7"/>
        <v>127</v>
      </c>
      <c r="C156" s="665" t="s">
        <v>662</v>
      </c>
      <c r="D156" s="665" t="s">
        <v>37</v>
      </c>
      <c r="E156" s="665" t="s">
        <v>663</v>
      </c>
      <c r="F156" s="665" t="s">
        <v>344</v>
      </c>
      <c r="G156" s="126"/>
      <c r="H156" s="127"/>
      <c r="I156" s="127"/>
      <c r="J156" s="127"/>
      <c r="K156" s="127"/>
      <c r="L156" s="1316" t="s">
        <v>631</v>
      </c>
      <c r="M156" s="1316"/>
      <c r="N156" s="1316"/>
      <c r="O156" s="1316"/>
      <c r="P156" s="1316"/>
      <c r="Q156" s="1316"/>
      <c r="R156" s="1316"/>
      <c r="S156" s="1316"/>
      <c r="T156" s="1316"/>
      <c r="U156" s="1316"/>
      <c r="V156" s="1316"/>
      <c r="W156" s="1316"/>
    </row>
    <row r="157" spans="1:23" s="129" customFormat="1" x14ac:dyDescent="0.45">
      <c r="A157" s="31"/>
      <c r="B157" s="118">
        <f t="shared" si="7"/>
        <v>128</v>
      </c>
      <c r="C157" s="665" t="s">
        <v>664</v>
      </c>
      <c r="D157" s="665" t="s">
        <v>37</v>
      </c>
      <c r="E157" s="665" t="s">
        <v>665</v>
      </c>
      <c r="F157" s="665" t="s">
        <v>344</v>
      </c>
      <c r="G157" s="126"/>
      <c r="H157" s="127"/>
      <c r="I157" s="127"/>
      <c r="J157" s="127"/>
      <c r="K157" s="127"/>
      <c r="L157" s="1316" t="s">
        <v>631</v>
      </c>
      <c r="M157" s="1316"/>
      <c r="N157" s="1316"/>
      <c r="O157" s="1316"/>
      <c r="P157" s="1316"/>
      <c r="Q157" s="1316"/>
      <c r="R157" s="1316"/>
      <c r="S157" s="1316"/>
      <c r="T157" s="1316"/>
      <c r="U157" s="1316"/>
      <c r="V157" s="1316"/>
      <c r="W157" s="1316"/>
    </row>
    <row r="158" spans="1:23" s="129" customFormat="1" x14ac:dyDescent="0.45">
      <c r="A158" s="31"/>
      <c r="B158" s="118">
        <f t="shared" si="7"/>
        <v>129</v>
      </c>
      <c r="C158" s="665" t="s">
        <v>666</v>
      </c>
      <c r="D158" s="665" t="s">
        <v>37</v>
      </c>
      <c r="E158" s="665" t="s">
        <v>667</v>
      </c>
      <c r="F158" s="665" t="s">
        <v>344</v>
      </c>
      <c r="G158" s="126"/>
      <c r="H158" s="127"/>
      <c r="I158" s="127"/>
      <c r="J158" s="127"/>
      <c r="K158" s="127"/>
      <c r="L158" s="1316" t="s">
        <v>631</v>
      </c>
      <c r="M158" s="1316"/>
      <c r="N158" s="1316"/>
      <c r="O158" s="1316"/>
      <c r="P158" s="1316"/>
      <c r="Q158" s="1316"/>
      <c r="R158" s="1316"/>
      <c r="S158" s="1316"/>
      <c r="T158" s="1316"/>
      <c r="U158" s="1316"/>
      <c r="V158" s="1316"/>
      <c r="W158" s="1316"/>
    </row>
    <row r="159" spans="1:23" s="129" customFormat="1" x14ac:dyDescent="0.45">
      <c r="A159" s="31"/>
      <c r="B159" s="118">
        <f t="shared" si="7"/>
        <v>130</v>
      </c>
      <c r="C159" s="665" t="s">
        <v>668</v>
      </c>
      <c r="D159" s="665" t="s">
        <v>37</v>
      </c>
      <c r="E159" s="665" t="s">
        <v>669</v>
      </c>
      <c r="F159" s="665" t="s">
        <v>344</v>
      </c>
      <c r="G159" s="126"/>
      <c r="H159" s="127"/>
      <c r="I159" s="127"/>
      <c r="J159" s="127"/>
      <c r="K159" s="127"/>
      <c r="L159" s="1316" t="s">
        <v>631</v>
      </c>
      <c r="M159" s="1316"/>
      <c r="N159" s="1316"/>
      <c r="O159" s="1316"/>
      <c r="P159" s="1316"/>
      <c r="Q159" s="1316"/>
      <c r="R159" s="1316"/>
      <c r="S159" s="1316"/>
      <c r="T159" s="1316"/>
      <c r="U159" s="1316"/>
      <c r="V159" s="1316"/>
      <c r="W159" s="1316"/>
    </row>
    <row r="160" spans="1:23" s="129" customFormat="1" x14ac:dyDescent="0.45">
      <c r="A160" s="31"/>
      <c r="B160" s="118">
        <f t="shared" si="7"/>
        <v>131</v>
      </c>
      <c r="C160" s="665" t="s">
        <v>670</v>
      </c>
      <c r="D160" s="665" t="s">
        <v>37</v>
      </c>
      <c r="E160" s="665" t="s">
        <v>671</v>
      </c>
      <c r="F160" s="665" t="s">
        <v>344</v>
      </c>
      <c r="G160" s="126"/>
      <c r="H160" s="127"/>
      <c r="I160" s="127"/>
      <c r="J160" s="127"/>
      <c r="K160" s="127"/>
      <c r="L160" s="1316" t="s">
        <v>631</v>
      </c>
      <c r="M160" s="1316"/>
      <c r="N160" s="1316"/>
      <c r="O160" s="1316"/>
      <c r="P160" s="1316"/>
      <c r="Q160" s="1316"/>
      <c r="R160" s="1316"/>
      <c r="S160" s="1316"/>
      <c r="T160" s="1316"/>
      <c r="U160" s="1316"/>
      <c r="V160" s="1316"/>
      <c r="W160" s="1316"/>
    </row>
    <row r="161" spans="1:23" s="129" customFormat="1" x14ac:dyDescent="0.45">
      <c r="A161" s="31"/>
      <c r="B161" s="118">
        <f t="shared" si="7"/>
        <v>132</v>
      </c>
      <c r="C161" s="665" t="s">
        <v>672</v>
      </c>
      <c r="D161" s="665" t="s">
        <v>37</v>
      </c>
      <c r="E161" s="665" t="s">
        <v>673</v>
      </c>
      <c r="F161" s="665" t="s">
        <v>344</v>
      </c>
      <c r="G161" s="126"/>
      <c r="H161" s="127"/>
      <c r="I161" s="127"/>
      <c r="J161" s="127"/>
      <c r="K161" s="127"/>
      <c r="L161" s="1316" t="s">
        <v>631</v>
      </c>
      <c r="M161" s="1316"/>
      <c r="N161" s="1316"/>
      <c r="O161" s="1316"/>
      <c r="P161" s="1316"/>
      <c r="Q161" s="1316"/>
      <c r="R161" s="1316"/>
      <c r="S161" s="1316"/>
      <c r="T161" s="1316"/>
      <c r="U161" s="1316"/>
      <c r="V161" s="1316"/>
      <c r="W161" s="1316"/>
    </row>
    <row r="162" spans="1:23" s="129" customFormat="1" x14ac:dyDescent="0.45">
      <c r="A162" s="31"/>
      <c r="B162" s="118">
        <f t="shared" si="7"/>
        <v>133</v>
      </c>
      <c r="C162" s="126" t="s">
        <v>674</v>
      </c>
      <c r="D162" s="126" t="s">
        <v>37</v>
      </c>
      <c r="E162" s="126" t="s">
        <v>675</v>
      </c>
      <c r="F162" s="126" t="s">
        <v>331</v>
      </c>
      <c r="G162" s="126"/>
      <c r="H162" s="127"/>
      <c r="I162" s="127"/>
      <c r="J162" s="127"/>
      <c r="K162" s="127"/>
      <c r="L162" s="1316" t="s">
        <v>587</v>
      </c>
      <c r="M162" s="1316"/>
      <c r="N162" s="1316"/>
      <c r="O162" s="1316"/>
      <c r="P162" s="1316"/>
      <c r="Q162" s="1316"/>
      <c r="R162" s="1316"/>
      <c r="S162" s="1316"/>
      <c r="T162" s="1316"/>
      <c r="U162" s="1316"/>
      <c r="V162" s="1316"/>
      <c r="W162" s="1316"/>
    </row>
    <row r="163" spans="1:23" s="129" customFormat="1" x14ac:dyDescent="0.45">
      <c r="A163" s="31"/>
      <c r="B163" s="118">
        <f t="shared" si="7"/>
        <v>134</v>
      </c>
      <c r="C163" s="126" t="s">
        <v>676</v>
      </c>
      <c r="D163" s="126" t="s">
        <v>37</v>
      </c>
      <c r="E163" s="126" t="s">
        <v>677</v>
      </c>
      <c r="F163" s="126" t="s">
        <v>331</v>
      </c>
      <c r="G163" s="126"/>
      <c r="H163" s="127"/>
      <c r="I163" s="127"/>
      <c r="J163" s="127"/>
      <c r="K163" s="127"/>
      <c r="L163" s="1316" t="s">
        <v>587</v>
      </c>
      <c r="M163" s="1316"/>
      <c r="N163" s="1316"/>
      <c r="O163" s="1316"/>
      <c r="P163" s="1316"/>
      <c r="Q163" s="1316"/>
      <c r="R163" s="1316"/>
      <c r="S163" s="1316"/>
      <c r="T163" s="1316"/>
      <c r="U163" s="1316"/>
      <c r="V163" s="1316"/>
      <c r="W163" s="1316"/>
    </row>
    <row r="164" spans="1:23" s="129" customFormat="1" x14ac:dyDescent="0.45">
      <c r="A164" s="31"/>
      <c r="B164" s="118">
        <f t="shared" si="7"/>
        <v>135</v>
      </c>
      <c r="C164" s="126" t="s">
        <v>678</v>
      </c>
      <c r="D164" s="126" t="s">
        <v>37</v>
      </c>
      <c r="E164" s="126" t="s">
        <v>679</v>
      </c>
      <c r="F164" s="126" t="s">
        <v>344</v>
      </c>
      <c r="G164" s="126"/>
      <c r="H164" s="127"/>
      <c r="I164" s="127"/>
      <c r="J164" s="127"/>
      <c r="K164" s="127"/>
      <c r="L164" s="1316" t="s">
        <v>631</v>
      </c>
      <c r="M164" s="1316"/>
      <c r="N164" s="1316"/>
      <c r="O164" s="1316"/>
      <c r="P164" s="1316"/>
      <c r="Q164" s="1316"/>
      <c r="R164" s="1316"/>
      <c r="S164" s="1316"/>
      <c r="T164" s="1316"/>
      <c r="U164" s="1316"/>
      <c r="V164" s="1316"/>
      <c r="W164" s="1316"/>
    </row>
    <row r="165" spans="1:23" s="129" customFormat="1" x14ac:dyDescent="0.45">
      <c r="A165" s="31"/>
      <c r="B165" s="118">
        <f t="shared" si="7"/>
        <v>136</v>
      </c>
      <c r="C165" s="126" t="s">
        <v>680</v>
      </c>
      <c r="D165" s="126" t="s">
        <v>37</v>
      </c>
      <c r="E165" s="126" t="s">
        <v>681</v>
      </c>
      <c r="F165" s="126" t="s">
        <v>344</v>
      </c>
      <c r="G165" s="126"/>
      <c r="H165" s="127"/>
      <c r="I165" s="127"/>
      <c r="J165" s="127"/>
      <c r="K165" s="127"/>
      <c r="L165" s="1316" t="s">
        <v>631</v>
      </c>
      <c r="M165" s="1316"/>
      <c r="N165" s="1316"/>
      <c r="O165" s="1316"/>
      <c r="P165" s="1316"/>
      <c r="Q165" s="1316"/>
      <c r="R165" s="1316"/>
      <c r="S165" s="1316"/>
      <c r="T165" s="1316"/>
      <c r="U165" s="1316"/>
      <c r="V165" s="1316"/>
      <c r="W165" s="1316"/>
    </row>
    <row r="166" spans="1:23" s="129" customFormat="1" x14ac:dyDescent="0.45">
      <c r="A166" s="31"/>
      <c r="B166" s="118">
        <f t="shared" si="7"/>
        <v>137</v>
      </c>
      <c r="C166" s="126" t="s">
        <v>682</v>
      </c>
      <c r="D166" s="126" t="s">
        <v>37</v>
      </c>
      <c r="E166" s="126" t="s">
        <v>683</v>
      </c>
      <c r="F166" s="126" t="s">
        <v>344</v>
      </c>
      <c r="G166" s="126"/>
      <c r="H166" s="127"/>
      <c r="I166" s="127"/>
      <c r="J166" s="127"/>
      <c r="K166" s="127"/>
      <c r="L166" s="1316" t="s">
        <v>631</v>
      </c>
      <c r="M166" s="1316"/>
      <c r="N166" s="1316"/>
      <c r="O166" s="1316"/>
      <c r="P166" s="1316"/>
      <c r="Q166" s="1316"/>
      <c r="R166" s="1316"/>
      <c r="S166" s="1316"/>
      <c r="T166" s="1316"/>
      <c r="U166" s="1316"/>
      <c r="V166" s="1316"/>
      <c r="W166" s="1316"/>
    </row>
    <row r="167" spans="1:23" s="129" customFormat="1" x14ac:dyDescent="0.45">
      <c r="A167" s="31"/>
      <c r="B167" s="118">
        <f t="shared" si="7"/>
        <v>138</v>
      </c>
      <c r="C167" s="126" t="s">
        <v>684</v>
      </c>
      <c r="D167" s="126" t="s">
        <v>37</v>
      </c>
      <c r="E167" s="126" t="s">
        <v>685</v>
      </c>
      <c r="F167" s="126" t="s">
        <v>344</v>
      </c>
      <c r="G167" s="126"/>
      <c r="H167" s="127"/>
      <c r="I167" s="127"/>
      <c r="J167" s="127"/>
      <c r="K167" s="127"/>
      <c r="L167" s="1316" t="s">
        <v>631</v>
      </c>
      <c r="M167" s="1316"/>
      <c r="N167" s="1316"/>
      <c r="O167" s="1316"/>
      <c r="P167" s="1316"/>
      <c r="Q167" s="1316"/>
      <c r="R167" s="1316"/>
      <c r="S167" s="1316"/>
      <c r="T167" s="1316"/>
      <c r="U167" s="1316"/>
      <c r="V167" s="1316"/>
      <c r="W167" s="1316"/>
    </row>
    <row r="168" spans="1:23" s="129" customFormat="1" x14ac:dyDescent="0.45">
      <c r="A168" s="31"/>
      <c r="B168" s="118">
        <f t="shared" si="7"/>
        <v>139</v>
      </c>
      <c r="C168" s="126" t="s">
        <v>686</v>
      </c>
      <c r="D168" s="126" t="s">
        <v>37</v>
      </c>
      <c r="E168" s="126" t="s">
        <v>687</v>
      </c>
      <c r="F168" s="126" t="s">
        <v>344</v>
      </c>
      <c r="G168" s="126"/>
      <c r="H168" s="127"/>
      <c r="I168" s="127"/>
      <c r="J168" s="127"/>
      <c r="K168" s="127"/>
      <c r="L168" s="1316" t="s">
        <v>631</v>
      </c>
      <c r="M168" s="1316"/>
      <c r="N168" s="1316"/>
      <c r="O168" s="1316"/>
      <c r="P168" s="1316"/>
      <c r="Q168" s="1316"/>
      <c r="R168" s="1316"/>
      <c r="S168" s="1316"/>
      <c r="T168" s="1316"/>
      <c r="U168" s="1316"/>
      <c r="V168" s="1316"/>
      <c r="W168" s="1316"/>
    </row>
    <row r="169" spans="1:23" s="129" customFormat="1" x14ac:dyDescent="0.45">
      <c r="A169" s="31"/>
      <c r="B169" s="118">
        <f t="shared" si="7"/>
        <v>140</v>
      </c>
      <c r="C169" s="126" t="s">
        <v>688</v>
      </c>
      <c r="D169" s="126" t="s">
        <v>37</v>
      </c>
      <c r="E169" s="126" t="s">
        <v>689</v>
      </c>
      <c r="F169" s="126" t="s">
        <v>344</v>
      </c>
      <c r="G169" s="126"/>
      <c r="H169" s="127"/>
      <c r="I169" s="127"/>
      <c r="J169" s="127"/>
      <c r="K169" s="127"/>
      <c r="L169" s="1316" t="s">
        <v>631</v>
      </c>
      <c r="M169" s="1316"/>
      <c r="N169" s="1316"/>
      <c r="O169" s="1316"/>
      <c r="P169" s="1316"/>
      <c r="Q169" s="1316"/>
      <c r="R169" s="1316"/>
      <c r="S169" s="1316"/>
      <c r="T169" s="1316"/>
      <c r="U169" s="1316"/>
      <c r="V169" s="1316"/>
      <c r="W169" s="1316"/>
    </row>
    <row r="170" spans="1:23" s="129" customFormat="1" x14ac:dyDescent="0.45">
      <c r="A170" s="31"/>
      <c r="B170" s="118">
        <f t="shared" si="7"/>
        <v>141</v>
      </c>
      <c r="C170" s="665" t="s">
        <v>690</v>
      </c>
      <c r="D170" s="665" t="s">
        <v>37</v>
      </c>
      <c r="E170" s="665" t="s">
        <v>691</v>
      </c>
      <c r="F170" s="665" t="s">
        <v>331</v>
      </c>
      <c r="G170" s="126"/>
      <c r="H170" s="127"/>
      <c r="I170" s="127"/>
      <c r="J170" s="127"/>
      <c r="K170" s="127"/>
      <c r="L170" s="1316" t="s">
        <v>587</v>
      </c>
      <c r="M170" s="1316"/>
      <c r="N170" s="1316"/>
      <c r="O170" s="1316"/>
      <c r="P170" s="1316"/>
      <c r="Q170" s="1316"/>
      <c r="R170" s="1316"/>
      <c r="S170" s="1316"/>
      <c r="T170" s="1316"/>
      <c r="U170" s="1316"/>
      <c r="V170" s="1316"/>
      <c r="W170" s="1316"/>
    </row>
    <row r="171" spans="1:23" s="129" customFormat="1" x14ac:dyDescent="0.45">
      <c r="A171" s="31"/>
      <c r="B171" s="118">
        <f t="shared" si="7"/>
        <v>142</v>
      </c>
      <c r="C171" s="665" t="s">
        <v>692</v>
      </c>
      <c r="D171" s="665" t="s">
        <v>37</v>
      </c>
      <c r="E171" s="665" t="s">
        <v>693</v>
      </c>
      <c r="F171" s="665" t="s">
        <v>331</v>
      </c>
      <c r="G171" s="126"/>
      <c r="H171" s="127"/>
      <c r="I171" s="127"/>
      <c r="J171" s="127"/>
      <c r="K171" s="127"/>
      <c r="L171" s="1316" t="s">
        <v>587</v>
      </c>
      <c r="M171" s="1316"/>
      <c r="N171" s="1316"/>
      <c r="O171" s="1316"/>
      <c r="P171" s="1316"/>
      <c r="Q171" s="1316"/>
      <c r="R171" s="1316"/>
      <c r="S171" s="1316"/>
      <c r="T171" s="1316"/>
      <c r="U171" s="1316"/>
      <c r="V171" s="1316"/>
      <c r="W171" s="1316"/>
    </row>
    <row r="172" spans="1:23" s="129" customFormat="1" x14ac:dyDescent="0.45">
      <c r="A172" s="31"/>
      <c r="B172" s="118">
        <f t="shared" si="7"/>
        <v>143</v>
      </c>
      <c r="C172" s="665" t="s">
        <v>694</v>
      </c>
      <c r="D172" s="665" t="s">
        <v>37</v>
      </c>
      <c r="E172" s="665" t="s">
        <v>695</v>
      </c>
      <c r="F172" s="665" t="s">
        <v>344</v>
      </c>
      <c r="G172" s="126"/>
      <c r="H172" s="127"/>
      <c r="I172" s="127"/>
      <c r="J172" s="127"/>
      <c r="K172" s="127"/>
      <c r="L172" s="1316" t="s">
        <v>631</v>
      </c>
      <c r="M172" s="1316"/>
      <c r="N172" s="1316"/>
      <c r="O172" s="1316"/>
      <c r="P172" s="1316"/>
      <c r="Q172" s="1316"/>
      <c r="R172" s="1316"/>
      <c r="S172" s="1316"/>
      <c r="T172" s="1316"/>
      <c r="U172" s="1316"/>
      <c r="V172" s="1316"/>
      <c r="W172" s="1316"/>
    </row>
    <row r="173" spans="1:23" s="129" customFormat="1" x14ac:dyDescent="0.45">
      <c r="A173" s="31"/>
      <c r="B173" s="118">
        <f t="shared" si="7"/>
        <v>144</v>
      </c>
      <c r="C173" s="665" t="s">
        <v>696</v>
      </c>
      <c r="D173" s="665" t="s">
        <v>37</v>
      </c>
      <c r="E173" s="665" t="s">
        <v>697</v>
      </c>
      <c r="F173" s="665" t="s">
        <v>344</v>
      </c>
      <c r="G173" s="126"/>
      <c r="H173" s="127"/>
      <c r="I173" s="127"/>
      <c r="J173" s="127"/>
      <c r="K173" s="127"/>
      <c r="L173" s="1316" t="s">
        <v>631</v>
      </c>
      <c r="M173" s="1316"/>
      <c r="N173" s="1316"/>
      <c r="O173" s="1316"/>
      <c r="P173" s="1316"/>
      <c r="Q173" s="1316"/>
      <c r="R173" s="1316"/>
      <c r="S173" s="1316"/>
      <c r="T173" s="1316"/>
      <c r="U173" s="1316"/>
      <c r="V173" s="1316"/>
      <c r="W173" s="1316"/>
    </row>
    <row r="174" spans="1:23" s="129" customFormat="1" x14ac:dyDescent="0.45">
      <c r="A174" s="31"/>
      <c r="B174" s="118">
        <f t="shared" si="7"/>
        <v>145</v>
      </c>
      <c r="C174" s="665" t="s">
        <v>698</v>
      </c>
      <c r="D174" s="665" t="s">
        <v>37</v>
      </c>
      <c r="E174" s="665" t="s">
        <v>699</v>
      </c>
      <c r="F174" s="665" t="s">
        <v>344</v>
      </c>
      <c r="G174" s="126"/>
      <c r="H174" s="127"/>
      <c r="I174" s="127"/>
      <c r="J174" s="127"/>
      <c r="K174" s="127"/>
      <c r="L174" s="1316" t="s">
        <v>631</v>
      </c>
      <c r="M174" s="1316"/>
      <c r="N174" s="1316"/>
      <c r="O174" s="1316"/>
      <c r="P174" s="1316"/>
      <c r="Q174" s="1316"/>
      <c r="R174" s="1316"/>
      <c r="S174" s="1316"/>
      <c r="T174" s="1316"/>
      <c r="U174" s="1316"/>
      <c r="V174" s="1316"/>
      <c r="W174" s="1316"/>
    </row>
    <row r="175" spans="1:23" s="129" customFormat="1" x14ac:dyDescent="0.45">
      <c r="A175" s="31"/>
      <c r="B175" s="118">
        <f t="shared" si="7"/>
        <v>146</v>
      </c>
      <c r="C175" s="665" t="s">
        <v>700</v>
      </c>
      <c r="D175" s="665" t="s">
        <v>37</v>
      </c>
      <c r="E175" s="665" t="s">
        <v>701</v>
      </c>
      <c r="F175" s="665" t="s">
        <v>344</v>
      </c>
      <c r="G175" s="126"/>
      <c r="H175" s="127"/>
      <c r="I175" s="127"/>
      <c r="J175" s="127"/>
      <c r="K175" s="127"/>
      <c r="L175" s="1316" t="s">
        <v>631</v>
      </c>
      <c r="M175" s="1316"/>
      <c r="N175" s="1316"/>
      <c r="O175" s="1316"/>
      <c r="P175" s="1316"/>
      <c r="Q175" s="1316"/>
      <c r="R175" s="1316"/>
      <c r="S175" s="1316"/>
      <c r="T175" s="1316"/>
      <c r="U175" s="1316"/>
      <c r="V175" s="1316"/>
      <c r="W175" s="1316"/>
    </row>
    <row r="176" spans="1:23" s="129" customFormat="1" x14ac:dyDescent="0.45">
      <c r="A176" s="31"/>
      <c r="B176" s="118">
        <f t="shared" si="7"/>
        <v>147</v>
      </c>
      <c r="C176" s="665" t="s">
        <v>702</v>
      </c>
      <c r="D176" s="665" t="s">
        <v>37</v>
      </c>
      <c r="E176" s="665" t="s">
        <v>703</v>
      </c>
      <c r="F176" s="665" t="s">
        <v>344</v>
      </c>
      <c r="G176" s="126"/>
      <c r="H176" s="127"/>
      <c r="I176" s="127"/>
      <c r="J176" s="127"/>
      <c r="K176" s="127"/>
      <c r="L176" s="1316" t="s">
        <v>631</v>
      </c>
      <c r="M176" s="1316"/>
      <c r="N176" s="1316"/>
      <c r="O176" s="1316"/>
      <c r="P176" s="1316"/>
      <c r="Q176" s="1316"/>
      <c r="R176" s="1316"/>
      <c r="S176" s="1316"/>
      <c r="T176" s="1316"/>
      <c r="U176" s="1316"/>
      <c r="V176" s="1316"/>
      <c r="W176" s="1316"/>
    </row>
    <row r="177" spans="1:23" s="129" customFormat="1" x14ac:dyDescent="0.45">
      <c r="A177" s="31"/>
      <c r="B177" s="118">
        <f t="shared" si="7"/>
        <v>148</v>
      </c>
      <c r="C177" s="665" t="s">
        <v>704</v>
      </c>
      <c r="D177" s="665" t="s">
        <v>37</v>
      </c>
      <c r="E177" s="665" t="s">
        <v>705</v>
      </c>
      <c r="F177" s="665" t="s">
        <v>344</v>
      </c>
      <c r="G177" s="126"/>
      <c r="H177" s="127"/>
      <c r="I177" s="127"/>
      <c r="J177" s="127"/>
      <c r="K177" s="127"/>
      <c r="L177" s="1316" t="s">
        <v>631</v>
      </c>
      <c r="M177" s="1316"/>
      <c r="N177" s="1316"/>
      <c r="O177" s="1316"/>
      <c r="P177" s="1316"/>
      <c r="Q177" s="1316"/>
      <c r="R177" s="1316"/>
      <c r="S177" s="1316"/>
      <c r="T177" s="1316"/>
      <c r="U177" s="1316"/>
      <c r="V177" s="1316"/>
      <c r="W177" s="1316"/>
    </row>
    <row r="178" spans="1:23" s="129" customFormat="1" x14ac:dyDescent="0.45">
      <c r="A178" s="31"/>
      <c r="B178" s="118">
        <f t="shared" si="7"/>
        <v>149</v>
      </c>
      <c r="C178" s="126" t="s">
        <v>706</v>
      </c>
      <c r="D178" s="126" t="s">
        <v>37</v>
      </c>
      <c r="E178" s="126" t="s">
        <v>707</v>
      </c>
      <c r="F178" s="126" t="s">
        <v>331</v>
      </c>
      <c r="G178" s="126"/>
      <c r="H178" s="127"/>
      <c r="I178" s="127"/>
      <c r="J178" s="127"/>
      <c r="K178" s="127"/>
      <c r="L178" s="1316" t="s">
        <v>587</v>
      </c>
      <c r="M178" s="1316"/>
      <c r="N178" s="1316"/>
      <c r="O178" s="1316"/>
      <c r="P178" s="1316"/>
      <c r="Q178" s="1316"/>
      <c r="R178" s="1316"/>
      <c r="S178" s="1316"/>
      <c r="T178" s="1316"/>
      <c r="U178" s="1316"/>
      <c r="V178" s="1316"/>
      <c r="W178" s="1316"/>
    </row>
    <row r="179" spans="1:23" s="129" customFormat="1" x14ac:dyDescent="0.45">
      <c r="A179" s="31"/>
      <c r="B179" s="118">
        <f t="shared" si="7"/>
        <v>150</v>
      </c>
      <c r="C179" s="126" t="s">
        <v>708</v>
      </c>
      <c r="D179" s="126" t="s">
        <v>37</v>
      </c>
      <c r="E179" s="126" t="s">
        <v>709</v>
      </c>
      <c r="F179" s="126" t="s">
        <v>331</v>
      </c>
      <c r="G179" s="126"/>
      <c r="H179" s="127"/>
      <c r="I179" s="127"/>
      <c r="J179" s="127"/>
      <c r="K179" s="127"/>
      <c r="L179" s="1316" t="s">
        <v>587</v>
      </c>
      <c r="M179" s="1316"/>
      <c r="N179" s="1316"/>
      <c r="O179" s="1316"/>
      <c r="P179" s="1316"/>
      <c r="Q179" s="1316"/>
      <c r="R179" s="1316"/>
      <c r="S179" s="1316"/>
      <c r="T179" s="1316"/>
      <c r="U179" s="1316"/>
      <c r="V179" s="1316"/>
      <c r="W179" s="1316"/>
    </row>
    <row r="180" spans="1:23" s="129" customFormat="1" x14ac:dyDescent="0.45">
      <c r="A180" s="31"/>
      <c r="B180" s="118">
        <f t="shared" si="7"/>
        <v>151</v>
      </c>
      <c r="C180" s="126" t="s">
        <v>710</v>
      </c>
      <c r="D180" s="126" t="s">
        <v>37</v>
      </c>
      <c r="E180" s="126" t="s">
        <v>711</v>
      </c>
      <c r="F180" s="126" t="s">
        <v>344</v>
      </c>
      <c r="G180" s="126"/>
      <c r="H180" s="127"/>
      <c r="I180" s="127"/>
      <c r="J180" s="127"/>
      <c r="K180" s="127"/>
      <c r="L180" s="1316" t="s">
        <v>631</v>
      </c>
      <c r="M180" s="1316"/>
      <c r="N180" s="1316"/>
      <c r="O180" s="1316"/>
      <c r="P180" s="1316"/>
      <c r="Q180" s="1316"/>
      <c r="R180" s="1316"/>
      <c r="S180" s="1316"/>
      <c r="T180" s="1316"/>
      <c r="U180" s="1316"/>
      <c r="V180" s="1316"/>
      <c r="W180" s="1316"/>
    </row>
    <row r="181" spans="1:23" s="129" customFormat="1" x14ac:dyDescent="0.45">
      <c r="A181" s="31"/>
      <c r="B181" s="118">
        <f t="shared" si="7"/>
        <v>152</v>
      </c>
      <c r="C181" s="126" t="s">
        <v>712</v>
      </c>
      <c r="D181" s="126" t="s">
        <v>37</v>
      </c>
      <c r="E181" s="126" t="s">
        <v>713</v>
      </c>
      <c r="F181" s="126" t="s">
        <v>344</v>
      </c>
      <c r="G181" s="126"/>
      <c r="H181" s="127"/>
      <c r="I181" s="127"/>
      <c r="J181" s="127"/>
      <c r="K181" s="127"/>
      <c r="L181" s="1316" t="s">
        <v>631</v>
      </c>
      <c r="M181" s="1316"/>
      <c r="N181" s="1316"/>
      <c r="O181" s="1316"/>
      <c r="P181" s="1316"/>
      <c r="Q181" s="1316"/>
      <c r="R181" s="1316"/>
      <c r="S181" s="1316"/>
      <c r="T181" s="1316"/>
      <c r="U181" s="1316"/>
      <c r="V181" s="1316"/>
      <c r="W181" s="1316"/>
    </row>
    <row r="182" spans="1:23" s="129" customFormat="1" x14ac:dyDescent="0.45">
      <c r="A182" s="31"/>
      <c r="B182" s="118">
        <f t="shared" si="7"/>
        <v>153</v>
      </c>
      <c r="C182" s="126" t="s">
        <v>714</v>
      </c>
      <c r="D182" s="126" t="s">
        <v>37</v>
      </c>
      <c r="E182" s="126" t="s">
        <v>715</v>
      </c>
      <c r="F182" s="126" t="s">
        <v>344</v>
      </c>
      <c r="G182" s="126"/>
      <c r="H182" s="127"/>
      <c r="I182" s="127"/>
      <c r="J182" s="127"/>
      <c r="K182" s="127"/>
      <c r="L182" s="1316" t="s">
        <v>631</v>
      </c>
      <c r="M182" s="1316"/>
      <c r="N182" s="1316"/>
      <c r="O182" s="1316"/>
      <c r="P182" s="1316"/>
      <c r="Q182" s="1316"/>
      <c r="R182" s="1316"/>
      <c r="S182" s="1316"/>
      <c r="T182" s="1316"/>
      <c r="U182" s="1316"/>
      <c r="V182" s="1316"/>
      <c r="W182" s="1316"/>
    </row>
    <row r="183" spans="1:23" s="129" customFormat="1" x14ac:dyDescent="0.45">
      <c r="A183" s="31"/>
      <c r="B183" s="118">
        <f t="shared" si="7"/>
        <v>154</v>
      </c>
      <c r="C183" s="126" t="s">
        <v>716</v>
      </c>
      <c r="D183" s="126" t="s">
        <v>37</v>
      </c>
      <c r="E183" s="126" t="s">
        <v>717</v>
      </c>
      <c r="F183" s="126" t="s">
        <v>344</v>
      </c>
      <c r="G183" s="126"/>
      <c r="H183" s="127"/>
      <c r="I183" s="127"/>
      <c r="J183" s="127"/>
      <c r="K183" s="127"/>
      <c r="L183" s="1316" t="s">
        <v>631</v>
      </c>
      <c r="M183" s="1316"/>
      <c r="N183" s="1316"/>
      <c r="O183" s="1316"/>
      <c r="P183" s="1316"/>
      <c r="Q183" s="1316"/>
      <c r="R183" s="1316"/>
      <c r="S183" s="1316"/>
      <c r="T183" s="1316"/>
      <c r="U183" s="1316"/>
      <c r="V183" s="1316"/>
      <c r="W183" s="1316"/>
    </row>
    <row r="184" spans="1:23" s="129" customFormat="1" x14ac:dyDescent="0.45">
      <c r="A184" s="31"/>
      <c r="B184" s="118">
        <f t="shared" si="7"/>
        <v>155</v>
      </c>
      <c r="C184" s="126" t="s">
        <v>718</v>
      </c>
      <c r="D184" s="126" t="s">
        <v>37</v>
      </c>
      <c r="E184" s="126" t="s">
        <v>719</v>
      </c>
      <c r="F184" s="126" t="s">
        <v>344</v>
      </c>
      <c r="G184" s="126"/>
      <c r="H184" s="127"/>
      <c r="I184" s="127"/>
      <c r="J184" s="127"/>
      <c r="K184" s="127"/>
      <c r="L184" s="1316" t="s">
        <v>631</v>
      </c>
      <c r="M184" s="1316"/>
      <c r="N184" s="1316"/>
      <c r="O184" s="1316"/>
      <c r="P184" s="1316"/>
      <c r="Q184" s="1316"/>
      <c r="R184" s="1316"/>
      <c r="S184" s="1316"/>
      <c r="T184" s="1316"/>
      <c r="U184" s="1316"/>
      <c r="V184" s="1316"/>
      <c r="W184" s="1316"/>
    </row>
    <row r="185" spans="1:23" s="129" customFormat="1" x14ac:dyDescent="0.45">
      <c r="A185" s="31"/>
      <c r="B185" s="118">
        <f t="shared" si="7"/>
        <v>156</v>
      </c>
      <c r="C185" s="126" t="s">
        <v>720</v>
      </c>
      <c r="D185" s="126" t="s">
        <v>37</v>
      </c>
      <c r="E185" s="126" t="s">
        <v>721</v>
      </c>
      <c r="F185" s="126" t="s">
        <v>344</v>
      </c>
      <c r="G185" s="126"/>
      <c r="H185" s="127"/>
      <c r="I185" s="127"/>
      <c r="J185" s="127"/>
      <c r="K185" s="127"/>
      <c r="L185" s="1316" t="s">
        <v>631</v>
      </c>
      <c r="M185" s="1316"/>
      <c r="N185" s="1316"/>
      <c r="O185" s="1316"/>
      <c r="P185" s="1316"/>
      <c r="Q185" s="1316"/>
      <c r="R185" s="1316"/>
      <c r="S185" s="1316"/>
      <c r="T185" s="1316"/>
      <c r="U185" s="1316"/>
      <c r="V185" s="1316"/>
      <c r="W185" s="1316"/>
    </row>
    <row r="186" spans="1:23" s="129" customFormat="1" x14ac:dyDescent="0.45">
      <c r="A186" s="31"/>
      <c r="B186" s="118">
        <f t="shared" si="7"/>
        <v>157</v>
      </c>
      <c r="C186" s="665" t="s">
        <v>722</v>
      </c>
      <c r="D186" s="665" t="s">
        <v>37</v>
      </c>
      <c r="E186" s="665" t="s">
        <v>723</v>
      </c>
      <c r="F186" s="665" t="s">
        <v>331</v>
      </c>
      <c r="G186" s="126"/>
      <c r="H186" s="127"/>
      <c r="I186" s="127"/>
      <c r="J186" s="127"/>
      <c r="K186" s="127"/>
      <c r="L186" s="1316" t="s">
        <v>587</v>
      </c>
      <c r="M186" s="1316"/>
      <c r="N186" s="1316"/>
      <c r="O186" s="1316"/>
      <c r="P186" s="1316"/>
      <c r="Q186" s="1316"/>
      <c r="R186" s="1316"/>
      <c r="S186" s="1316"/>
      <c r="T186" s="1316"/>
      <c r="U186" s="1316"/>
      <c r="V186" s="1316"/>
      <c r="W186" s="1316"/>
    </row>
    <row r="187" spans="1:23" s="129" customFormat="1" x14ac:dyDescent="0.45">
      <c r="A187" s="31"/>
      <c r="B187" s="118">
        <f t="shared" si="7"/>
        <v>158</v>
      </c>
      <c r="C187" s="665" t="s">
        <v>724</v>
      </c>
      <c r="D187" s="665" t="s">
        <v>37</v>
      </c>
      <c r="E187" s="665" t="s">
        <v>725</v>
      </c>
      <c r="F187" s="665" t="s">
        <v>331</v>
      </c>
      <c r="G187" s="126"/>
      <c r="H187" s="127"/>
      <c r="I187" s="127"/>
      <c r="J187" s="127"/>
      <c r="K187" s="127"/>
      <c r="L187" s="1316" t="s">
        <v>587</v>
      </c>
      <c r="M187" s="1316"/>
      <c r="N187" s="1316"/>
      <c r="O187" s="1316"/>
      <c r="P187" s="1316"/>
      <c r="Q187" s="1316"/>
      <c r="R187" s="1316"/>
      <c r="S187" s="1316"/>
      <c r="T187" s="1316"/>
      <c r="U187" s="1316"/>
      <c r="V187" s="1316"/>
      <c r="W187" s="1316"/>
    </row>
    <row r="188" spans="1:23" s="129" customFormat="1" x14ac:dyDescent="0.45">
      <c r="A188" s="31"/>
      <c r="B188" s="118">
        <f t="shared" si="7"/>
        <v>159</v>
      </c>
      <c r="C188" s="665" t="s">
        <v>726</v>
      </c>
      <c r="D188" s="665" t="s">
        <v>37</v>
      </c>
      <c r="E188" s="665" t="s">
        <v>727</v>
      </c>
      <c r="F188" s="665" t="s">
        <v>344</v>
      </c>
      <c r="G188" s="126"/>
      <c r="H188" s="127"/>
      <c r="I188" s="127"/>
      <c r="J188" s="127"/>
      <c r="K188" s="127"/>
      <c r="L188" s="1316" t="s">
        <v>631</v>
      </c>
      <c r="M188" s="1316"/>
      <c r="N188" s="1316"/>
      <c r="O188" s="1316"/>
      <c r="P188" s="1316"/>
      <c r="Q188" s="1316"/>
      <c r="R188" s="1316"/>
      <c r="S188" s="1316"/>
      <c r="T188" s="1316"/>
      <c r="U188" s="1316"/>
      <c r="V188" s="1316"/>
      <c r="W188" s="1316"/>
    </row>
    <row r="189" spans="1:23" s="129" customFormat="1" x14ac:dyDescent="0.45">
      <c r="A189" s="31"/>
      <c r="B189" s="118">
        <f t="shared" si="7"/>
        <v>160</v>
      </c>
      <c r="C189" s="665" t="s">
        <v>728</v>
      </c>
      <c r="D189" s="665" t="s">
        <v>37</v>
      </c>
      <c r="E189" s="665" t="s">
        <v>729</v>
      </c>
      <c r="F189" s="665" t="s">
        <v>344</v>
      </c>
      <c r="G189" s="126"/>
      <c r="H189" s="127"/>
      <c r="I189" s="127"/>
      <c r="J189" s="127"/>
      <c r="K189" s="127"/>
      <c r="L189" s="1316" t="s">
        <v>631</v>
      </c>
      <c r="M189" s="1316"/>
      <c r="N189" s="1316"/>
      <c r="O189" s="1316"/>
      <c r="P189" s="1316"/>
      <c r="Q189" s="1316"/>
      <c r="R189" s="1316"/>
      <c r="S189" s="1316"/>
      <c r="T189" s="1316"/>
      <c r="U189" s="1316"/>
      <c r="V189" s="1316"/>
      <c r="W189" s="1316"/>
    </row>
    <row r="190" spans="1:23" s="129" customFormat="1" x14ac:dyDescent="0.45">
      <c r="A190" s="31"/>
      <c r="B190" s="118">
        <f t="shared" si="7"/>
        <v>161</v>
      </c>
      <c r="C190" s="665" t="s">
        <v>730</v>
      </c>
      <c r="D190" s="665" t="s">
        <v>37</v>
      </c>
      <c r="E190" s="665" t="s">
        <v>731</v>
      </c>
      <c r="F190" s="665" t="s">
        <v>344</v>
      </c>
      <c r="G190" s="126"/>
      <c r="H190" s="127"/>
      <c r="I190" s="127"/>
      <c r="J190" s="127"/>
      <c r="K190" s="127"/>
      <c r="L190" s="1316" t="s">
        <v>631</v>
      </c>
      <c r="M190" s="1316"/>
      <c r="N190" s="1316"/>
      <c r="O190" s="1316"/>
      <c r="P190" s="1316"/>
      <c r="Q190" s="1316"/>
      <c r="R190" s="1316"/>
      <c r="S190" s="1316"/>
      <c r="T190" s="1316"/>
      <c r="U190" s="1316"/>
      <c r="V190" s="1316"/>
      <c r="W190" s="1316"/>
    </row>
    <row r="191" spans="1:23" s="129" customFormat="1" x14ac:dyDescent="0.45">
      <c r="A191" s="31"/>
      <c r="B191" s="118">
        <f t="shared" si="7"/>
        <v>162</v>
      </c>
      <c r="C191" s="665" t="s">
        <v>732</v>
      </c>
      <c r="D191" s="665" t="s">
        <v>37</v>
      </c>
      <c r="E191" s="665" t="s">
        <v>733</v>
      </c>
      <c r="F191" s="665" t="s">
        <v>344</v>
      </c>
      <c r="G191" s="126"/>
      <c r="H191" s="127"/>
      <c r="I191" s="127"/>
      <c r="J191" s="127"/>
      <c r="K191" s="127"/>
      <c r="L191" s="1316" t="s">
        <v>631</v>
      </c>
      <c r="M191" s="1316"/>
      <c r="N191" s="1316"/>
      <c r="O191" s="1316"/>
      <c r="P191" s="1316"/>
      <c r="Q191" s="1316"/>
      <c r="R191" s="1316"/>
      <c r="S191" s="1316"/>
      <c r="T191" s="1316"/>
      <c r="U191" s="1316"/>
      <c r="V191" s="1316"/>
      <c r="W191" s="1316"/>
    </row>
    <row r="192" spans="1:23" s="129" customFormat="1" x14ac:dyDescent="0.45">
      <c r="A192" s="31"/>
      <c r="B192" s="118">
        <f t="shared" si="7"/>
        <v>163</v>
      </c>
      <c r="C192" s="665" t="s">
        <v>734</v>
      </c>
      <c r="D192" s="665" t="s">
        <v>37</v>
      </c>
      <c r="E192" s="665" t="s">
        <v>735</v>
      </c>
      <c r="F192" s="665" t="s">
        <v>344</v>
      </c>
      <c r="G192" s="126"/>
      <c r="H192" s="127"/>
      <c r="I192" s="127"/>
      <c r="J192" s="127"/>
      <c r="K192" s="127"/>
      <c r="L192" s="1316" t="s">
        <v>631</v>
      </c>
      <c r="M192" s="1316"/>
      <c r="N192" s="1316"/>
      <c r="O192" s="1316"/>
      <c r="P192" s="1316"/>
      <c r="Q192" s="1316"/>
      <c r="R192" s="1316"/>
      <c r="S192" s="1316"/>
      <c r="T192" s="1316"/>
      <c r="U192" s="1316"/>
      <c r="V192" s="1316"/>
      <c r="W192" s="1316"/>
    </row>
    <row r="193" spans="1:23" s="129" customFormat="1" x14ac:dyDescent="0.45">
      <c r="A193" s="31"/>
      <c r="B193" s="118">
        <f t="shared" si="7"/>
        <v>164</v>
      </c>
      <c r="C193" s="665" t="s">
        <v>736</v>
      </c>
      <c r="D193" s="665" t="s">
        <v>37</v>
      </c>
      <c r="E193" s="665" t="s">
        <v>737</v>
      </c>
      <c r="F193" s="665" t="s">
        <v>344</v>
      </c>
      <c r="G193" s="126"/>
      <c r="H193" s="127"/>
      <c r="I193" s="127"/>
      <c r="J193" s="127"/>
      <c r="K193" s="127"/>
      <c r="L193" s="1316" t="s">
        <v>631</v>
      </c>
      <c r="M193" s="1316"/>
      <c r="N193" s="1316"/>
      <c r="O193" s="1316"/>
      <c r="P193" s="1316"/>
      <c r="Q193" s="1316"/>
      <c r="R193" s="1316"/>
      <c r="S193" s="1316"/>
      <c r="T193" s="1316"/>
      <c r="U193" s="1316"/>
      <c r="V193" s="1316"/>
      <c r="W193" s="1316"/>
    </row>
    <row r="194" spans="1:23" s="129" customFormat="1" x14ac:dyDescent="0.45">
      <c r="A194" s="31"/>
      <c r="B194" s="118">
        <f t="shared" ref="B194:B257" si="8">B193+1</f>
        <v>165</v>
      </c>
      <c r="C194" s="126" t="s">
        <v>738</v>
      </c>
      <c r="D194" s="126" t="s">
        <v>37</v>
      </c>
      <c r="E194" s="126" t="s">
        <v>739</v>
      </c>
      <c r="F194" s="126" t="s">
        <v>331</v>
      </c>
      <c r="G194" s="126"/>
      <c r="H194" s="127"/>
      <c r="I194" s="127"/>
      <c r="J194" s="127"/>
      <c r="K194" s="127"/>
      <c r="L194" s="1316" t="s">
        <v>587</v>
      </c>
      <c r="M194" s="1316"/>
      <c r="N194" s="1316"/>
      <c r="O194" s="1316"/>
      <c r="P194" s="1316"/>
      <c r="Q194" s="1316"/>
      <c r="R194" s="1316"/>
      <c r="S194" s="1316"/>
      <c r="T194" s="1316"/>
      <c r="U194" s="1316"/>
      <c r="V194" s="1316"/>
      <c r="W194" s="1316"/>
    </row>
    <row r="195" spans="1:23" s="129" customFormat="1" x14ac:dyDescent="0.45">
      <c r="A195" s="31"/>
      <c r="B195" s="118">
        <f t="shared" si="8"/>
        <v>166</v>
      </c>
      <c r="C195" s="126" t="s">
        <v>740</v>
      </c>
      <c r="D195" s="126" t="s">
        <v>37</v>
      </c>
      <c r="E195" s="126" t="s">
        <v>741</v>
      </c>
      <c r="F195" s="126" t="s">
        <v>331</v>
      </c>
      <c r="G195" s="126"/>
      <c r="H195" s="127"/>
      <c r="I195" s="127"/>
      <c r="J195" s="127"/>
      <c r="K195" s="127"/>
      <c r="L195" s="1316" t="s">
        <v>587</v>
      </c>
      <c r="M195" s="1316"/>
      <c r="N195" s="1316"/>
      <c r="O195" s="1316"/>
      <c r="P195" s="1316"/>
      <c r="Q195" s="1316"/>
      <c r="R195" s="1316"/>
      <c r="S195" s="1316"/>
      <c r="T195" s="1316"/>
      <c r="U195" s="1316"/>
      <c r="V195" s="1316"/>
      <c r="W195" s="1316"/>
    </row>
    <row r="196" spans="1:23" s="129" customFormat="1" x14ac:dyDescent="0.45">
      <c r="A196" s="31"/>
      <c r="B196" s="118">
        <f t="shared" si="8"/>
        <v>167</v>
      </c>
      <c r="C196" s="126" t="s">
        <v>742</v>
      </c>
      <c r="D196" s="126" t="s">
        <v>37</v>
      </c>
      <c r="E196" s="126" t="s">
        <v>743</v>
      </c>
      <c r="F196" s="126" t="s">
        <v>344</v>
      </c>
      <c r="G196" s="126"/>
      <c r="H196" s="127"/>
      <c r="I196" s="127"/>
      <c r="J196" s="127"/>
      <c r="K196" s="127"/>
      <c r="L196" s="1316" t="s">
        <v>631</v>
      </c>
      <c r="M196" s="1316"/>
      <c r="N196" s="1316"/>
      <c r="O196" s="1316"/>
      <c r="P196" s="1316"/>
      <c r="Q196" s="1316"/>
      <c r="R196" s="1316"/>
      <c r="S196" s="1316"/>
      <c r="T196" s="1316"/>
      <c r="U196" s="1316"/>
      <c r="V196" s="1316"/>
      <c r="W196" s="1316"/>
    </row>
    <row r="197" spans="1:23" s="129" customFormat="1" x14ac:dyDescent="0.45">
      <c r="A197" s="31"/>
      <c r="B197" s="118">
        <f t="shared" si="8"/>
        <v>168</v>
      </c>
      <c r="C197" s="126" t="s">
        <v>744</v>
      </c>
      <c r="D197" s="126" t="s">
        <v>37</v>
      </c>
      <c r="E197" s="126" t="s">
        <v>745</v>
      </c>
      <c r="F197" s="126" t="s">
        <v>344</v>
      </c>
      <c r="G197" s="126"/>
      <c r="H197" s="127"/>
      <c r="I197" s="127"/>
      <c r="J197" s="127"/>
      <c r="K197" s="127"/>
      <c r="L197" s="1316" t="s">
        <v>631</v>
      </c>
      <c r="M197" s="1316"/>
      <c r="N197" s="1316"/>
      <c r="O197" s="1316"/>
      <c r="P197" s="1316"/>
      <c r="Q197" s="1316"/>
      <c r="R197" s="1316"/>
      <c r="S197" s="1316"/>
      <c r="T197" s="1316"/>
      <c r="U197" s="1316"/>
      <c r="V197" s="1316"/>
      <c r="W197" s="1316"/>
    </row>
    <row r="198" spans="1:23" s="129" customFormat="1" x14ac:dyDescent="0.45">
      <c r="A198" s="31"/>
      <c r="B198" s="118">
        <f t="shared" si="8"/>
        <v>169</v>
      </c>
      <c r="C198" s="126" t="s">
        <v>746</v>
      </c>
      <c r="D198" s="126" t="s">
        <v>37</v>
      </c>
      <c r="E198" s="126" t="s">
        <v>747</v>
      </c>
      <c r="F198" s="126" t="s">
        <v>344</v>
      </c>
      <c r="G198" s="126"/>
      <c r="H198" s="127"/>
      <c r="I198" s="127"/>
      <c r="J198" s="127"/>
      <c r="K198" s="127"/>
      <c r="L198" s="1316" t="s">
        <v>631</v>
      </c>
      <c r="M198" s="1316"/>
      <c r="N198" s="1316"/>
      <c r="O198" s="1316"/>
      <c r="P198" s="1316"/>
      <c r="Q198" s="1316"/>
      <c r="R198" s="1316"/>
      <c r="S198" s="1316"/>
      <c r="T198" s="1316"/>
      <c r="U198" s="1316"/>
      <c r="V198" s="1316"/>
      <c r="W198" s="1316"/>
    </row>
    <row r="199" spans="1:23" s="129" customFormat="1" x14ac:dyDescent="0.45">
      <c r="A199" s="31"/>
      <c r="B199" s="118">
        <f t="shared" si="8"/>
        <v>170</v>
      </c>
      <c r="C199" s="126" t="s">
        <v>748</v>
      </c>
      <c r="D199" s="126" t="s">
        <v>37</v>
      </c>
      <c r="E199" s="126" t="s">
        <v>749</v>
      </c>
      <c r="F199" s="126" t="s">
        <v>344</v>
      </c>
      <c r="G199" s="126"/>
      <c r="H199" s="127"/>
      <c r="I199" s="127"/>
      <c r="J199" s="127"/>
      <c r="K199" s="127"/>
      <c r="L199" s="1316" t="s">
        <v>631</v>
      </c>
      <c r="M199" s="1316"/>
      <c r="N199" s="1316"/>
      <c r="O199" s="1316"/>
      <c r="P199" s="1316"/>
      <c r="Q199" s="1316"/>
      <c r="R199" s="1316"/>
      <c r="S199" s="1316"/>
      <c r="T199" s="1316"/>
      <c r="U199" s="1316"/>
      <c r="V199" s="1316"/>
      <c r="W199" s="1316"/>
    </row>
    <row r="200" spans="1:23" s="129" customFormat="1" x14ac:dyDescent="0.45">
      <c r="A200" s="31"/>
      <c r="B200" s="118">
        <f t="shared" si="8"/>
        <v>171</v>
      </c>
      <c r="C200" s="126" t="s">
        <v>750</v>
      </c>
      <c r="D200" s="126" t="s">
        <v>37</v>
      </c>
      <c r="E200" s="126" t="s">
        <v>751</v>
      </c>
      <c r="F200" s="126" t="s">
        <v>344</v>
      </c>
      <c r="G200" s="126"/>
      <c r="H200" s="127"/>
      <c r="I200" s="127"/>
      <c r="J200" s="127"/>
      <c r="K200" s="127"/>
      <c r="L200" s="1316" t="s">
        <v>631</v>
      </c>
      <c r="M200" s="1316"/>
      <c r="N200" s="1316"/>
      <c r="O200" s="1316"/>
      <c r="P200" s="1316"/>
      <c r="Q200" s="1316"/>
      <c r="R200" s="1316"/>
      <c r="S200" s="1316"/>
      <c r="T200" s="1316"/>
      <c r="U200" s="1316"/>
      <c r="V200" s="1316"/>
      <c r="W200" s="1316"/>
    </row>
    <row r="201" spans="1:23" s="129" customFormat="1" x14ac:dyDescent="0.45">
      <c r="A201" s="31"/>
      <c r="B201" s="118">
        <f t="shared" si="8"/>
        <v>172</v>
      </c>
      <c r="C201" s="126" t="s">
        <v>752</v>
      </c>
      <c r="D201" s="126" t="s">
        <v>37</v>
      </c>
      <c r="E201" s="126" t="s">
        <v>753</v>
      </c>
      <c r="F201" s="126" t="s">
        <v>344</v>
      </c>
      <c r="G201" s="126"/>
      <c r="H201" s="127"/>
      <c r="I201" s="127"/>
      <c r="J201" s="127"/>
      <c r="K201" s="127"/>
      <c r="L201" s="1316" t="s">
        <v>631</v>
      </c>
      <c r="M201" s="1316"/>
      <c r="N201" s="1316"/>
      <c r="O201" s="1316"/>
      <c r="P201" s="1316"/>
      <c r="Q201" s="1316"/>
      <c r="R201" s="1316"/>
      <c r="S201" s="1316"/>
      <c r="T201" s="1316"/>
      <c r="U201" s="1316"/>
      <c r="V201" s="1316"/>
      <c r="W201" s="1316"/>
    </row>
    <row r="202" spans="1:23" s="129" customFormat="1" x14ac:dyDescent="0.45">
      <c r="A202" s="31"/>
      <c r="B202" s="118">
        <f t="shared" si="8"/>
        <v>173</v>
      </c>
      <c r="C202" s="665" t="s">
        <v>754</v>
      </c>
      <c r="D202" s="665" t="s">
        <v>37</v>
      </c>
      <c r="E202" s="665" t="s">
        <v>755</v>
      </c>
      <c r="F202" s="665" t="s">
        <v>331</v>
      </c>
      <c r="G202" s="126"/>
      <c r="H202" s="127"/>
      <c r="I202" s="127"/>
      <c r="J202" s="127"/>
      <c r="K202" s="127"/>
      <c r="L202" s="1316" t="s">
        <v>587</v>
      </c>
      <c r="M202" s="1316"/>
      <c r="N202" s="1316"/>
      <c r="O202" s="1316"/>
      <c r="P202" s="1316"/>
      <c r="Q202" s="1316"/>
      <c r="R202" s="1316"/>
      <c r="S202" s="1316"/>
      <c r="T202" s="1316"/>
      <c r="U202" s="1316"/>
      <c r="V202" s="1316"/>
      <c r="W202" s="1316"/>
    </row>
    <row r="203" spans="1:23" s="129" customFormat="1" x14ac:dyDescent="0.45">
      <c r="A203" s="31"/>
      <c r="B203" s="118">
        <f t="shared" si="8"/>
        <v>174</v>
      </c>
      <c r="C203" s="665" t="s">
        <v>756</v>
      </c>
      <c r="D203" s="665" t="s">
        <v>37</v>
      </c>
      <c r="E203" s="665" t="s">
        <v>757</v>
      </c>
      <c r="F203" s="665" t="s">
        <v>331</v>
      </c>
      <c r="G203" s="126"/>
      <c r="H203" s="127"/>
      <c r="I203" s="127"/>
      <c r="J203" s="127"/>
      <c r="K203" s="127"/>
      <c r="L203" s="1316" t="s">
        <v>587</v>
      </c>
      <c r="M203" s="1316"/>
      <c r="N203" s="1316"/>
      <c r="O203" s="1316"/>
      <c r="P203" s="1316"/>
      <c r="Q203" s="1316"/>
      <c r="R203" s="1316"/>
      <c r="S203" s="1316"/>
      <c r="T203" s="1316"/>
      <c r="U203" s="1316"/>
      <c r="V203" s="1316"/>
      <c r="W203" s="1316"/>
    </row>
    <row r="204" spans="1:23" s="129" customFormat="1" x14ac:dyDescent="0.45">
      <c r="A204" s="31"/>
      <c r="B204" s="118">
        <f t="shared" si="8"/>
        <v>175</v>
      </c>
      <c r="C204" s="665" t="s">
        <v>758</v>
      </c>
      <c r="D204" s="665" t="s">
        <v>37</v>
      </c>
      <c r="E204" s="665" t="s">
        <v>759</v>
      </c>
      <c r="F204" s="665" t="s">
        <v>344</v>
      </c>
      <c r="G204" s="126"/>
      <c r="H204" s="127"/>
      <c r="I204" s="127"/>
      <c r="J204" s="127"/>
      <c r="K204" s="127"/>
      <c r="L204" s="1316" t="s">
        <v>631</v>
      </c>
      <c r="M204" s="1316"/>
      <c r="N204" s="1316"/>
      <c r="O204" s="1316"/>
      <c r="P204" s="1316"/>
      <c r="Q204" s="1316"/>
      <c r="R204" s="1316"/>
      <c r="S204" s="1316"/>
      <c r="T204" s="1316"/>
      <c r="U204" s="1316"/>
      <c r="V204" s="1316"/>
      <c r="W204" s="1316"/>
    </row>
    <row r="205" spans="1:23" s="129" customFormat="1" x14ac:dyDescent="0.45">
      <c r="A205" s="31"/>
      <c r="B205" s="118">
        <f t="shared" si="8"/>
        <v>176</v>
      </c>
      <c r="C205" s="665" t="s">
        <v>760</v>
      </c>
      <c r="D205" s="665" t="s">
        <v>37</v>
      </c>
      <c r="E205" s="665" t="s">
        <v>761</v>
      </c>
      <c r="F205" s="665" t="s">
        <v>344</v>
      </c>
      <c r="G205" s="126"/>
      <c r="H205" s="127"/>
      <c r="I205" s="127"/>
      <c r="J205" s="127"/>
      <c r="K205" s="127"/>
      <c r="L205" s="1316" t="s">
        <v>631</v>
      </c>
      <c r="M205" s="1316"/>
      <c r="N205" s="1316"/>
      <c r="O205" s="1316"/>
      <c r="P205" s="1316"/>
      <c r="Q205" s="1316"/>
      <c r="R205" s="1316"/>
      <c r="S205" s="1316"/>
      <c r="T205" s="1316"/>
      <c r="U205" s="1316"/>
      <c r="V205" s="1316"/>
      <c r="W205" s="1316"/>
    </row>
    <row r="206" spans="1:23" s="129" customFormat="1" x14ac:dyDescent="0.45">
      <c r="A206" s="31"/>
      <c r="B206" s="118">
        <f t="shared" si="8"/>
        <v>177</v>
      </c>
      <c r="C206" s="665" t="s">
        <v>762</v>
      </c>
      <c r="D206" s="665" t="s">
        <v>37</v>
      </c>
      <c r="E206" s="665" t="s">
        <v>763</v>
      </c>
      <c r="F206" s="665" t="s">
        <v>344</v>
      </c>
      <c r="G206" s="126"/>
      <c r="H206" s="127"/>
      <c r="I206" s="127"/>
      <c r="J206" s="127"/>
      <c r="K206" s="127"/>
      <c r="L206" s="1316" t="s">
        <v>631</v>
      </c>
      <c r="M206" s="1316"/>
      <c r="N206" s="1316"/>
      <c r="O206" s="1316"/>
      <c r="P206" s="1316"/>
      <c r="Q206" s="1316"/>
      <c r="R206" s="1316"/>
      <c r="S206" s="1316"/>
      <c r="T206" s="1316"/>
      <c r="U206" s="1316"/>
      <c r="V206" s="1316"/>
      <c r="W206" s="1316"/>
    </row>
    <row r="207" spans="1:23" s="129" customFormat="1" x14ac:dyDescent="0.45">
      <c r="A207" s="31"/>
      <c r="B207" s="118">
        <f t="shared" si="8"/>
        <v>178</v>
      </c>
      <c r="C207" s="665" t="s">
        <v>764</v>
      </c>
      <c r="D207" s="665" t="s">
        <v>37</v>
      </c>
      <c r="E207" s="665" t="s">
        <v>765</v>
      </c>
      <c r="F207" s="665" t="s">
        <v>344</v>
      </c>
      <c r="G207" s="126"/>
      <c r="H207" s="127"/>
      <c r="I207" s="127"/>
      <c r="J207" s="127"/>
      <c r="K207" s="127"/>
      <c r="L207" s="1316" t="s">
        <v>631</v>
      </c>
      <c r="M207" s="1316"/>
      <c r="N207" s="1316"/>
      <c r="O207" s="1316"/>
      <c r="P207" s="1316"/>
      <c r="Q207" s="1316"/>
      <c r="R207" s="1316"/>
      <c r="S207" s="1316"/>
      <c r="T207" s="1316"/>
      <c r="U207" s="1316"/>
      <c r="V207" s="1316"/>
      <c r="W207" s="1316"/>
    </row>
    <row r="208" spans="1:23" s="129" customFormat="1" x14ac:dyDescent="0.45">
      <c r="A208" s="31"/>
      <c r="B208" s="118">
        <f t="shared" si="8"/>
        <v>179</v>
      </c>
      <c r="C208" s="665" t="s">
        <v>766</v>
      </c>
      <c r="D208" s="665" t="s">
        <v>37</v>
      </c>
      <c r="E208" s="665" t="s">
        <v>767</v>
      </c>
      <c r="F208" s="665" t="s">
        <v>344</v>
      </c>
      <c r="G208" s="126"/>
      <c r="H208" s="127"/>
      <c r="I208" s="127"/>
      <c r="J208" s="127"/>
      <c r="K208" s="127"/>
      <c r="L208" s="1316" t="s">
        <v>631</v>
      </c>
      <c r="M208" s="1316"/>
      <c r="N208" s="1316"/>
      <c r="O208" s="1316"/>
      <c r="P208" s="1316"/>
      <c r="Q208" s="1316"/>
      <c r="R208" s="1316"/>
      <c r="S208" s="1316"/>
      <c r="T208" s="1316"/>
      <c r="U208" s="1316"/>
      <c r="V208" s="1316"/>
      <c r="W208" s="1316"/>
    </row>
    <row r="209" spans="1:23" s="129" customFormat="1" x14ac:dyDescent="0.45">
      <c r="A209" s="31"/>
      <c r="B209" s="118">
        <f t="shared" si="8"/>
        <v>180</v>
      </c>
      <c r="C209" s="665" t="s">
        <v>768</v>
      </c>
      <c r="D209" s="665" t="s">
        <v>37</v>
      </c>
      <c r="E209" s="665" t="s">
        <v>769</v>
      </c>
      <c r="F209" s="665" t="s">
        <v>344</v>
      </c>
      <c r="G209" s="126"/>
      <c r="H209" s="127"/>
      <c r="I209" s="127"/>
      <c r="J209" s="127"/>
      <c r="K209" s="127"/>
      <c r="L209" s="1316" t="s">
        <v>631</v>
      </c>
      <c r="M209" s="1316"/>
      <c r="N209" s="1316"/>
      <c r="O209" s="1316"/>
      <c r="P209" s="1316"/>
      <c r="Q209" s="1316"/>
      <c r="R209" s="1316"/>
      <c r="S209" s="1316"/>
      <c r="T209" s="1316"/>
      <c r="U209" s="1316"/>
      <c r="V209" s="1316"/>
      <c r="W209" s="1316"/>
    </row>
    <row r="210" spans="1:23" s="129" customFormat="1" x14ac:dyDescent="0.45">
      <c r="A210" s="31"/>
      <c r="B210" s="118">
        <f t="shared" si="8"/>
        <v>181</v>
      </c>
      <c r="C210" s="126" t="s">
        <v>770</v>
      </c>
      <c r="D210" s="126" t="s">
        <v>37</v>
      </c>
      <c r="E210" s="126" t="s">
        <v>771</v>
      </c>
      <c r="F210" s="126" t="s">
        <v>331</v>
      </c>
      <c r="G210" s="126"/>
      <c r="H210" s="127"/>
      <c r="I210" s="127"/>
      <c r="J210" s="127"/>
      <c r="K210" s="127"/>
      <c r="L210" s="1316" t="s">
        <v>587</v>
      </c>
      <c r="M210" s="1316"/>
      <c r="N210" s="1316"/>
      <c r="O210" s="1316"/>
      <c r="P210" s="1316"/>
      <c r="Q210" s="1316"/>
      <c r="R210" s="1316"/>
      <c r="S210" s="1316"/>
      <c r="T210" s="1316"/>
      <c r="U210" s="1316"/>
      <c r="V210" s="1316"/>
      <c r="W210" s="1316"/>
    </row>
    <row r="211" spans="1:23" s="129" customFormat="1" x14ac:dyDescent="0.45">
      <c r="A211" s="31"/>
      <c r="B211" s="118">
        <f t="shared" si="8"/>
        <v>182</v>
      </c>
      <c r="C211" s="126" t="s">
        <v>772</v>
      </c>
      <c r="D211" s="126" t="s">
        <v>37</v>
      </c>
      <c r="E211" s="126" t="s">
        <v>773</v>
      </c>
      <c r="F211" s="126" t="s">
        <v>331</v>
      </c>
      <c r="G211" s="126"/>
      <c r="H211" s="127"/>
      <c r="I211" s="127"/>
      <c r="J211" s="127"/>
      <c r="K211" s="127"/>
      <c r="L211" s="1316" t="s">
        <v>587</v>
      </c>
      <c r="M211" s="1316"/>
      <c r="N211" s="1316"/>
      <c r="O211" s="1316"/>
      <c r="P211" s="1316"/>
      <c r="Q211" s="1316"/>
      <c r="R211" s="1316"/>
      <c r="S211" s="1316"/>
      <c r="T211" s="1316"/>
      <c r="U211" s="1316"/>
      <c r="V211" s="1316"/>
      <c r="W211" s="1316"/>
    </row>
    <row r="212" spans="1:23" s="129" customFormat="1" x14ac:dyDescent="0.45">
      <c r="A212" s="31"/>
      <c r="B212" s="118">
        <f t="shared" si="8"/>
        <v>183</v>
      </c>
      <c r="C212" s="126" t="s">
        <v>774</v>
      </c>
      <c r="D212" s="126" t="s">
        <v>37</v>
      </c>
      <c r="E212" s="126" t="s">
        <v>775</v>
      </c>
      <c r="F212" s="126" t="s">
        <v>344</v>
      </c>
      <c r="G212" s="126"/>
      <c r="H212" s="127"/>
      <c r="I212" s="127"/>
      <c r="J212" s="127"/>
      <c r="K212" s="127"/>
      <c r="L212" s="1316" t="s">
        <v>631</v>
      </c>
      <c r="M212" s="1316"/>
      <c r="N212" s="1316"/>
      <c r="O212" s="1316"/>
      <c r="P212" s="1316"/>
      <c r="Q212" s="1316"/>
      <c r="R212" s="1316"/>
      <c r="S212" s="1316"/>
      <c r="T212" s="1316"/>
      <c r="U212" s="1316"/>
      <c r="V212" s="1316"/>
      <c r="W212" s="1316"/>
    </row>
    <row r="213" spans="1:23" s="129" customFormat="1" x14ac:dyDescent="0.45">
      <c r="A213" s="31"/>
      <c r="B213" s="118">
        <f t="shared" si="8"/>
        <v>184</v>
      </c>
      <c r="C213" s="126" t="s">
        <v>776</v>
      </c>
      <c r="D213" s="126" t="s">
        <v>37</v>
      </c>
      <c r="E213" s="126" t="s">
        <v>777</v>
      </c>
      <c r="F213" s="126" t="s">
        <v>344</v>
      </c>
      <c r="G213" s="126"/>
      <c r="H213" s="127"/>
      <c r="I213" s="127"/>
      <c r="J213" s="127"/>
      <c r="K213" s="127"/>
      <c r="L213" s="1316" t="s">
        <v>631</v>
      </c>
      <c r="M213" s="1316"/>
      <c r="N213" s="1316"/>
      <c r="O213" s="1316"/>
      <c r="P213" s="1316"/>
      <c r="Q213" s="1316"/>
      <c r="R213" s="1316"/>
      <c r="S213" s="1316"/>
      <c r="T213" s="1316"/>
      <c r="U213" s="1316"/>
      <c r="V213" s="1316"/>
      <c r="W213" s="1316"/>
    </row>
    <row r="214" spans="1:23" s="129" customFormat="1" x14ac:dyDescent="0.45">
      <c r="A214" s="31"/>
      <c r="B214" s="118">
        <f t="shared" si="8"/>
        <v>185</v>
      </c>
      <c r="C214" s="126" t="s">
        <v>778</v>
      </c>
      <c r="D214" s="126" t="s">
        <v>37</v>
      </c>
      <c r="E214" s="126" t="s">
        <v>779</v>
      </c>
      <c r="F214" s="126" t="s">
        <v>344</v>
      </c>
      <c r="G214" s="126"/>
      <c r="H214" s="127"/>
      <c r="I214" s="127"/>
      <c r="J214" s="127"/>
      <c r="K214" s="127"/>
      <c r="L214" s="1316" t="s">
        <v>631</v>
      </c>
      <c r="M214" s="1316"/>
      <c r="N214" s="1316"/>
      <c r="O214" s="1316"/>
      <c r="P214" s="1316"/>
      <c r="Q214" s="1316"/>
      <c r="R214" s="1316"/>
      <c r="S214" s="1316"/>
      <c r="T214" s="1316"/>
      <c r="U214" s="1316"/>
      <c r="V214" s="1316"/>
      <c r="W214" s="1316"/>
    </row>
    <row r="215" spans="1:23" s="129" customFormat="1" x14ac:dyDescent="0.45">
      <c r="A215" s="31"/>
      <c r="B215" s="118">
        <f t="shared" si="8"/>
        <v>186</v>
      </c>
      <c r="C215" s="126" t="s">
        <v>780</v>
      </c>
      <c r="D215" s="126" t="s">
        <v>37</v>
      </c>
      <c r="E215" s="126" t="s">
        <v>781</v>
      </c>
      <c r="F215" s="126" t="s">
        <v>344</v>
      </c>
      <c r="G215" s="126"/>
      <c r="H215" s="127"/>
      <c r="I215" s="127"/>
      <c r="J215" s="127"/>
      <c r="K215" s="127"/>
      <c r="L215" s="1316" t="s">
        <v>631</v>
      </c>
      <c r="M215" s="1316"/>
      <c r="N215" s="1316"/>
      <c r="O215" s="1316"/>
      <c r="P215" s="1316"/>
      <c r="Q215" s="1316"/>
      <c r="R215" s="1316"/>
      <c r="S215" s="1316"/>
      <c r="T215" s="1316"/>
      <c r="U215" s="1316"/>
      <c r="V215" s="1316"/>
      <c r="W215" s="1316"/>
    </row>
    <row r="216" spans="1:23" s="129" customFormat="1" x14ac:dyDescent="0.45">
      <c r="A216" s="31"/>
      <c r="B216" s="118">
        <f t="shared" si="8"/>
        <v>187</v>
      </c>
      <c r="C216" s="126" t="s">
        <v>782</v>
      </c>
      <c r="D216" s="126" t="s">
        <v>37</v>
      </c>
      <c r="E216" s="126" t="s">
        <v>783</v>
      </c>
      <c r="F216" s="126" t="s">
        <v>344</v>
      </c>
      <c r="G216" s="126"/>
      <c r="H216" s="127"/>
      <c r="I216" s="127"/>
      <c r="J216" s="127"/>
      <c r="K216" s="127"/>
      <c r="L216" s="1316" t="s">
        <v>631</v>
      </c>
      <c r="M216" s="1316"/>
      <c r="N216" s="1316"/>
      <c r="O216" s="1316"/>
      <c r="P216" s="1316"/>
      <c r="Q216" s="1316"/>
      <c r="R216" s="1316"/>
      <c r="S216" s="1316"/>
      <c r="T216" s="1316"/>
      <c r="U216" s="1316"/>
      <c r="V216" s="1316"/>
      <c r="W216" s="1316"/>
    </row>
    <row r="217" spans="1:23" s="129" customFormat="1" x14ac:dyDescent="0.45">
      <c r="A217" s="31"/>
      <c r="B217" s="118">
        <f t="shared" si="8"/>
        <v>188</v>
      </c>
      <c r="C217" s="126" t="s">
        <v>784</v>
      </c>
      <c r="D217" s="126" t="s">
        <v>37</v>
      </c>
      <c r="E217" s="126" t="s">
        <v>785</v>
      </c>
      <c r="F217" s="126" t="s">
        <v>344</v>
      </c>
      <c r="G217" s="126"/>
      <c r="H217" s="127"/>
      <c r="I217" s="127"/>
      <c r="J217" s="127"/>
      <c r="K217" s="127"/>
      <c r="L217" s="1316" t="s">
        <v>631</v>
      </c>
      <c r="M217" s="1316"/>
      <c r="N217" s="1316"/>
      <c r="O217" s="1316"/>
      <c r="P217" s="1316"/>
      <c r="Q217" s="1316"/>
      <c r="R217" s="1316"/>
      <c r="S217" s="1316"/>
      <c r="T217" s="1316"/>
      <c r="U217" s="1316"/>
      <c r="V217" s="1316"/>
      <c r="W217" s="1316"/>
    </row>
    <row r="218" spans="1:23" s="129" customFormat="1" x14ac:dyDescent="0.45">
      <c r="A218" s="31"/>
      <c r="B218" s="118">
        <f t="shared" si="8"/>
        <v>189</v>
      </c>
      <c r="C218" s="665" t="s">
        <v>786</v>
      </c>
      <c r="D218" s="665" t="s">
        <v>37</v>
      </c>
      <c r="E218" s="665" t="s">
        <v>787</v>
      </c>
      <c r="F218" s="665" t="s">
        <v>331</v>
      </c>
      <c r="G218" s="126"/>
      <c r="H218" s="127"/>
      <c r="I218" s="127"/>
      <c r="J218" s="127"/>
      <c r="K218" s="127"/>
      <c r="L218" s="1316" t="s">
        <v>587</v>
      </c>
      <c r="M218" s="1316"/>
      <c r="N218" s="1316"/>
      <c r="O218" s="1316"/>
      <c r="P218" s="1316"/>
      <c r="Q218" s="1316"/>
      <c r="R218" s="1316"/>
      <c r="S218" s="1316"/>
      <c r="T218" s="1316"/>
      <c r="U218" s="1316"/>
      <c r="V218" s="1316"/>
      <c r="W218" s="1316"/>
    </row>
    <row r="219" spans="1:23" s="129" customFormat="1" x14ac:dyDescent="0.45">
      <c r="A219" s="31"/>
      <c r="B219" s="118">
        <f t="shared" si="8"/>
        <v>190</v>
      </c>
      <c r="C219" s="665" t="s">
        <v>788</v>
      </c>
      <c r="D219" s="665" t="s">
        <v>37</v>
      </c>
      <c r="E219" s="665" t="s">
        <v>789</v>
      </c>
      <c r="F219" s="665" t="s">
        <v>331</v>
      </c>
      <c r="G219" s="126"/>
      <c r="H219" s="127"/>
      <c r="I219" s="127"/>
      <c r="J219" s="127"/>
      <c r="K219" s="127"/>
      <c r="L219" s="1316" t="s">
        <v>587</v>
      </c>
      <c r="M219" s="1316"/>
      <c r="N219" s="1316"/>
      <c r="O219" s="1316"/>
      <c r="P219" s="1316"/>
      <c r="Q219" s="1316"/>
      <c r="R219" s="1316"/>
      <c r="S219" s="1316"/>
      <c r="T219" s="1316"/>
      <c r="U219" s="1316"/>
      <c r="V219" s="1316"/>
      <c r="W219" s="1316"/>
    </row>
    <row r="220" spans="1:23" s="129" customFormat="1" x14ac:dyDescent="0.45">
      <c r="A220" s="31"/>
      <c r="B220" s="118">
        <f t="shared" si="8"/>
        <v>191</v>
      </c>
      <c r="C220" s="665" t="s">
        <v>790</v>
      </c>
      <c r="D220" s="665" t="s">
        <v>37</v>
      </c>
      <c r="E220" s="665" t="s">
        <v>791</v>
      </c>
      <c r="F220" s="665" t="s">
        <v>344</v>
      </c>
      <c r="G220" s="126"/>
      <c r="H220" s="127"/>
      <c r="I220" s="127"/>
      <c r="J220" s="127"/>
      <c r="K220" s="127"/>
      <c r="L220" s="1316" t="s">
        <v>631</v>
      </c>
      <c r="M220" s="1316"/>
      <c r="N220" s="1316"/>
      <c r="O220" s="1316"/>
      <c r="P220" s="1316"/>
      <c r="Q220" s="1316"/>
      <c r="R220" s="1316"/>
      <c r="S220" s="1316"/>
      <c r="T220" s="1316"/>
      <c r="U220" s="1316"/>
      <c r="V220" s="1316"/>
      <c r="W220" s="1316"/>
    </row>
    <row r="221" spans="1:23" s="129" customFormat="1" x14ac:dyDescent="0.45">
      <c r="A221" s="31"/>
      <c r="B221" s="118">
        <f t="shared" si="8"/>
        <v>192</v>
      </c>
      <c r="C221" s="665" t="s">
        <v>792</v>
      </c>
      <c r="D221" s="665" t="s">
        <v>37</v>
      </c>
      <c r="E221" s="665" t="s">
        <v>793</v>
      </c>
      <c r="F221" s="665" t="s">
        <v>344</v>
      </c>
      <c r="G221" s="126"/>
      <c r="H221" s="127"/>
      <c r="I221" s="127"/>
      <c r="J221" s="127"/>
      <c r="K221" s="127"/>
      <c r="L221" s="1316" t="s">
        <v>631</v>
      </c>
      <c r="M221" s="1316"/>
      <c r="N221" s="1316"/>
      <c r="O221" s="1316"/>
      <c r="P221" s="1316"/>
      <c r="Q221" s="1316"/>
      <c r="R221" s="1316"/>
      <c r="S221" s="1316"/>
      <c r="T221" s="1316"/>
      <c r="U221" s="1316"/>
      <c r="V221" s="1316"/>
      <c r="W221" s="1316"/>
    </row>
    <row r="222" spans="1:23" s="129" customFormat="1" x14ac:dyDescent="0.45">
      <c r="A222" s="31"/>
      <c r="B222" s="118">
        <f t="shared" si="8"/>
        <v>193</v>
      </c>
      <c r="C222" s="665" t="s">
        <v>794</v>
      </c>
      <c r="D222" s="665" t="s">
        <v>37</v>
      </c>
      <c r="E222" s="665" t="s">
        <v>795</v>
      </c>
      <c r="F222" s="665" t="s">
        <v>344</v>
      </c>
      <c r="G222" s="126"/>
      <c r="H222" s="127"/>
      <c r="I222" s="127"/>
      <c r="J222" s="127"/>
      <c r="K222" s="127"/>
      <c r="L222" s="1316" t="s">
        <v>631</v>
      </c>
      <c r="M222" s="1316"/>
      <c r="N222" s="1316"/>
      <c r="O222" s="1316"/>
      <c r="P222" s="1316"/>
      <c r="Q222" s="1316"/>
      <c r="R222" s="1316"/>
      <c r="S222" s="1316"/>
      <c r="T222" s="1316"/>
      <c r="U222" s="1316"/>
      <c r="V222" s="1316"/>
      <c r="W222" s="1316"/>
    </row>
    <row r="223" spans="1:23" s="129" customFormat="1" x14ac:dyDescent="0.45">
      <c r="A223" s="31"/>
      <c r="B223" s="118">
        <f t="shared" si="8"/>
        <v>194</v>
      </c>
      <c r="C223" s="665" t="s">
        <v>796</v>
      </c>
      <c r="D223" s="665" t="s">
        <v>37</v>
      </c>
      <c r="E223" s="665" t="s">
        <v>797</v>
      </c>
      <c r="F223" s="665" t="s">
        <v>344</v>
      </c>
      <c r="G223" s="126"/>
      <c r="H223" s="127"/>
      <c r="I223" s="127"/>
      <c r="J223" s="127"/>
      <c r="K223" s="127"/>
      <c r="L223" s="1316" t="s">
        <v>631</v>
      </c>
      <c r="M223" s="1316"/>
      <c r="N223" s="1316"/>
      <c r="O223" s="1316"/>
      <c r="P223" s="1316"/>
      <c r="Q223" s="1316"/>
      <c r="R223" s="1316"/>
      <c r="S223" s="1316"/>
      <c r="T223" s="1316"/>
      <c r="U223" s="1316"/>
      <c r="V223" s="1316"/>
      <c r="W223" s="1316"/>
    </row>
    <row r="224" spans="1:23" s="129" customFormat="1" x14ac:dyDescent="0.45">
      <c r="A224" s="31"/>
      <c r="B224" s="118">
        <f t="shared" si="8"/>
        <v>195</v>
      </c>
      <c r="C224" s="665" t="s">
        <v>798</v>
      </c>
      <c r="D224" s="665" t="s">
        <v>37</v>
      </c>
      <c r="E224" s="665" t="s">
        <v>799</v>
      </c>
      <c r="F224" s="665" t="s">
        <v>344</v>
      </c>
      <c r="G224" s="126"/>
      <c r="H224" s="127"/>
      <c r="I224" s="127"/>
      <c r="J224" s="127"/>
      <c r="K224" s="127"/>
      <c r="L224" s="1316" t="s">
        <v>631</v>
      </c>
      <c r="M224" s="1316"/>
      <c r="N224" s="1316"/>
      <c r="O224" s="1316"/>
      <c r="P224" s="1316"/>
      <c r="Q224" s="1316"/>
      <c r="R224" s="1316"/>
      <c r="S224" s="1316"/>
      <c r="T224" s="1316"/>
      <c r="U224" s="1316"/>
      <c r="V224" s="1316"/>
      <c r="W224" s="1316"/>
    </row>
    <row r="225" spans="1:23" s="129" customFormat="1" x14ac:dyDescent="0.45">
      <c r="A225" s="31"/>
      <c r="B225" s="118">
        <f t="shared" si="8"/>
        <v>196</v>
      </c>
      <c r="C225" s="665" t="s">
        <v>800</v>
      </c>
      <c r="D225" s="665" t="s">
        <v>37</v>
      </c>
      <c r="E225" s="665" t="s">
        <v>801</v>
      </c>
      <c r="F225" s="665" t="s">
        <v>344</v>
      </c>
      <c r="G225" s="126"/>
      <c r="H225" s="127"/>
      <c r="I225" s="127"/>
      <c r="J225" s="127"/>
      <c r="K225" s="127"/>
      <c r="L225" s="1316" t="s">
        <v>631</v>
      </c>
      <c r="M225" s="1316"/>
      <c r="N225" s="1316"/>
      <c r="O225" s="1316"/>
      <c r="P225" s="1316"/>
      <c r="Q225" s="1316"/>
      <c r="R225" s="1316"/>
      <c r="S225" s="1316"/>
      <c r="T225" s="1316"/>
      <c r="U225" s="1316"/>
      <c r="V225" s="1316"/>
      <c r="W225" s="1316"/>
    </row>
    <row r="226" spans="1:23" s="129" customFormat="1" x14ac:dyDescent="0.45">
      <c r="A226" s="31"/>
      <c r="B226" s="118">
        <f t="shared" si="8"/>
        <v>197</v>
      </c>
      <c r="C226" s="126" t="s">
        <v>802</v>
      </c>
      <c r="D226" s="126" t="s">
        <v>37</v>
      </c>
      <c r="E226" s="126" t="s">
        <v>803</v>
      </c>
      <c r="F226" s="126" t="s">
        <v>331</v>
      </c>
      <c r="G226" s="126"/>
      <c r="H226" s="127"/>
      <c r="I226" s="127"/>
      <c r="J226" s="127"/>
      <c r="K226" s="127"/>
      <c r="L226" s="1316" t="s">
        <v>587</v>
      </c>
      <c r="M226" s="1316"/>
      <c r="N226" s="1316"/>
      <c r="O226" s="1316"/>
      <c r="P226" s="1316"/>
      <c r="Q226" s="1316"/>
      <c r="R226" s="1316"/>
      <c r="S226" s="1316"/>
      <c r="T226" s="1316"/>
      <c r="U226" s="1316"/>
      <c r="V226" s="1316"/>
      <c r="W226" s="1316"/>
    </row>
    <row r="227" spans="1:23" s="129" customFormat="1" x14ac:dyDescent="0.45">
      <c r="A227" s="31"/>
      <c r="B227" s="118">
        <f t="shared" si="8"/>
        <v>198</v>
      </c>
      <c r="C227" s="126" t="s">
        <v>804</v>
      </c>
      <c r="D227" s="126" t="s">
        <v>37</v>
      </c>
      <c r="E227" s="126" t="s">
        <v>805</v>
      </c>
      <c r="F227" s="126" t="s">
        <v>331</v>
      </c>
      <c r="G227" s="126"/>
      <c r="H227" s="127"/>
      <c r="I227" s="127"/>
      <c r="J227" s="127"/>
      <c r="K227" s="127"/>
      <c r="L227" s="1316" t="s">
        <v>587</v>
      </c>
      <c r="M227" s="1316"/>
      <c r="N227" s="1316"/>
      <c r="O227" s="1316"/>
      <c r="P227" s="1316"/>
      <c r="Q227" s="1316"/>
      <c r="R227" s="1316"/>
      <c r="S227" s="1316"/>
      <c r="T227" s="1316"/>
      <c r="U227" s="1316"/>
      <c r="V227" s="1316"/>
      <c r="W227" s="1316"/>
    </row>
    <row r="228" spans="1:23" s="129" customFormat="1" x14ac:dyDescent="0.45">
      <c r="A228" s="31"/>
      <c r="B228" s="118">
        <f t="shared" si="8"/>
        <v>199</v>
      </c>
      <c r="C228" s="126" t="s">
        <v>806</v>
      </c>
      <c r="D228" s="126" t="s">
        <v>37</v>
      </c>
      <c r="E228" s="126" t="s">
        <v>807</v>
      </c>
      <c r="F228" s="126" t="s">
        <v>344</v>
      </c>
      <c r="G228" s="126"/>
      <c r="H228" s="127"/>
      <c r="I228" s="127"/>
      <c r="J228" s="127"/>
      <c r="K228" s="127"/>
      <c r="L228" s="1316" t="s">
        <v>631</v>
      </c>
      <c r="M228" s="1316"/>
      <c r="N228" s="1316"/>
      <c r="O228" s="1316"/>
      <c r="P228" s="1316"/>
      <c r="Q228" s="1316"/>
      <c r="R228" s="1316"/>
      <c r="S228" s="1316"/>
      <c r="T228" s="1316"/>
      <c r="U228" s="1316"/>
      <c r="V228" s="1316"/>
      <c r="W228" s="1316"/>
    </row>
    <row r="229" spans="1:23" s="129" customFormat="1" x14ac:dyDescent="0.45">
      <c r="A229" s="31"/>
      <c r="B229" s="118">
        <f t="shared" si="8"/>
        <v>200</v>
      </c>
      <c r="C229" s="126" t="s">
        <v>808</v>
      </c>
      <c r="D229" s="126" t="s">
        <v>37</v>
      </c>
      <c r="E229" s="126" t="s">
        <v>809</v>
      </c>
      <c r="F229" s="126" t="s">
        <v>344</v>
      </c>
      <c r="G229" s="126"/>
      <c r="H229" s="127"/>
      <c r="I229" s="127"/>
      <c r="J229" s="127"/>
      <c r="K229" s="127"/>
      <c r="L229" s="1316" t="s">
        <v>631</v>
      </c>
      <c r="M229" s="1316"/>
      <c r="N229" s="1316"/>
      <c r="O229" s="1316"/>
      <c r="P229" s="1316"/>
      <c r="Q229" s="1316"/>
      <c r="R229" s="1316"/>
      <c r="S229" s="1316"/>
      <c r="T229" s="1316"/>
      <c r="U229" s="1316"/>
      <c r="V229" s="1316"/>
      <c r="W229" s="1316"/>
    </row>
    <row r="230" spans="1:23" s="129" customFormat="1" x14ac:dyDescent="0.45">
      <c r="A230" s="31"/>
      <c r="B230" s="118">
        <f t="shared" si="8"/>
        <v>201</v>
      </c>
      <c r="C230" s="126" t="s">
        <v>810</v>
      </c>
      <c r="D230" s="126" t="s">
        <v>37</v>
      </c>
      <c r="E230" s="126" t="s">
        <v>811</v>
      </c>
      <c r="F230" s="126" t="s">
        <v>344</v>
      </c>
      <c r="G230" s="126"/>
      <c r="H230" s="127"/>
      <c r="I230" s="127"/>
      <c r="J230" s="127"/>
      <c r="K230" s="127"/>
      <c r="L230" s="1316" t="s">
        <v>631</v>
      </c>
      <c r="M230" s="1316"/>
      <c r="N230" s="1316"/>
      <c r="O230" s="1316"/>
      <c r="P230" s="1316"/>
      <c r="Q230" s="1316"/>
      <c r="R230" s="1316"/>
      <c r="S230" s="1316"/>
      <c r="T230" s="1316"/>
      <c r="U230" s="1316"/>
      <c r="V230" s="1316"/>
      <c r="W230" s="1316"/>
    </row>
    <row r="231" spans="1:23" s="129" customFormat="1" x14ac:dyDescent="0.45">
      <c r="A231" s="31"/>
      <c r="B231" s="118">
        <f t="shared" si="8"/>
        <v>202</v>
      </c>
      <c r="C231" s="126" t="s">
        <v>812</v>
      </c>
      <c r="D231" s="126" t="s">
        <v>37</v>
      </c>
      <c r="E231" s="126" t="s">
        <v>813</v>
      </c>
      <c r="F231" s="126" t="s">
        <v>344</v>
      </c>
      <c r="G231" s="126"/>
      <c r="H231" s="127"/>
      <c r="I231" s="127"/>
      <c r="J231" s="127"/>
      <c r="K231" s="127"/>
      <c r="L231" s="1316" t="s">
        <v>631</v>
      </c>
      <c r="M231" s="1316"/>
      <c r="N231" s="1316"/>
      <c r="O231" s="1316"/>
      <c r="P231" s="1316"/>
      <c r="Q231" s="1316"/>
      <c r="R231" s="1316"/>
      <c r="S231" s="1316"/>
      <c r="T231" s="1316"/>
      <c r="U231" s="1316"/>
      <c r="V231" s="1316"/>
      <c r="W231" s="1316"/>
    </row>
    <row r="232" spans="1:23" s="129" customFormat="1" x14ac:dyDescent="0.45">
      <c r="A232" s="31"/>
      <c r="B232" s="118">
        <f t="shared" si="8"/>
        <v>203</v>
      </c>
      <c r="C232" s="126" t="s">
        <v>814</v>
      </c>
      <c r="D232" s="126" t="s">
        <v>37</v>
      </c>
      <c r="E232" s="126" t="s">
        <v>815</v>
      </c>
      <c r="F232" s="126" t="s">
        <v>344</v>
      </c>
      <c r="G232" s="126"/>
      <c r="H232" s="127"/>
      <c r="I232" s="127"/>
      <c r="J232" s="127"/>
      <c r="K232" s="127"/>
      <c r="L232" s="1316" t="s">
        <v>631</v>
      </c>
      <c r="M232" s="1316"/>
      <c r="N232" s="1316"/>
      <c r="O232" s="1316"/>
      <c r="P232" s="1316"/>
      <c r="Q232" s="1316"/>
      <c r="R232" s="1316"/>
      <c r="S232" s="1316"/>
      <c r="T232" s="1316"/>
      <c r="U232" s="1316"/>
      <c r="V232" s="1316"/>
      <c r="W232" s="1316"/>
    </row>
    <row r="233" spans="1:23" s="129" customFormat="1" x14ac:dyDescent="0.45">
      <c r="A233" s="31"/>
      <c r="B233" s="118">
        <f t="shared" si="8"/>
        <v>204</v>
      </c>
      <c r="C233" s="126" t="s">
        <v>816</v>
      </c>
      <c r="D233" s="126" t="s">
        <v>37</v>
      </c>
      <c r="E233" s="126" t="s">
        <v>817</v>
      </c>
      <c r="F233" s="126" t="s">
        <v>344</v>
      </c>
      <c r="G233" s="126"/>
      <c r="H233" s="127"/>
      <c r="I233" s="127"/>
      <c r="J233" s="127"/>
      <c r="K233" s="127"/>
      <c r="L233" s="1316" t="s">
        <v>631</v>
      </c>
      <c r="M233" s="1316"/>
      <c r="N233" s="1316"/>
      <c r="O233" s="1316"/>
      <c r="P233" s="1316"/>
      <c r="Q233" s="1316"/>
      <c r="R233" s="1316"/>
      <c r="S233" s="1316"/>
      <c r="T233" s="1316"/>
      <c r="U233" s="1316"/>
      <c r="V233" s="1316"/>
      <c r="W233" s="1316"/>
    </row>
    <row r="234" spans="1:23" s="129" customFormat="1" x14ac:dyDescent="0.45">
      <c r="A234" s="31"/>
      <c r="B234" s="118">
        <f t="shared" si="8"/>
        <v>205</v>
      </c>
      <c r="C234" s="665" t="s">
        <v>818</v>
      </c>
      <c r="D234" s="665" t="s">
        <v>37</v>
      </c>
      <c r="E234" s="665" t="s">
        <v>819</v>
      </c>
      <c r="F234" s="665" t="s">
        <v>331</v>
      </c>
      <c r="G234" s="126"/>
      <c r="H234" s="127"/>
      <c r="I234" s="127"/>
      <c r="J234" s="127"/>
      <c r="K234" s="127"/>
      <c r="L234" s="1316" t="s">
        <v>587</v>
      </c>
      <c r="M234" s="1316"/>
      <c r="N234" s="1316"/>
      <c r="O234" s="1316"/>
      <c r="P234" s="1316"/>
      <c r="Q234" s="1316"/>
      <c r="R234" s="1316"/>
      <c r="S234" s="1316"/>
      <c r="T234" s="1316"/>
      <c r="U234" s="1316"/>
      <c r="V234" s="1316"/>
      <c r="W234" s="1316"/>
    </row>
    <row r="235" spans="1:23" s="129" customFormat="1" x14ac:dyDescent="0.45">
      <c r="A235" s="31"/>
      <c r="B235" s="118">
        <f t="shared" si="8"/>
        <v>206</v>
      </c>
      <c r="C235" s="665" t="s">
        <v>820</v>
      </c>
      <c r="D235" s="665" t="s">
        <v>37</v>
      </c>
      <c r="E235" s="665" t="s">
        <v>821</v>
      </c>
      <c r="F235" s="665" t="s">
        <v>331</v>
      </c>
      <c r="G235" s="126"/>
      <c r="H235" s="127"/>
      <c r="I235" s="127"/>
      <c r="J235" s="127"/>
      <c r="K235" s="127"/>
      <c r="L235" s="1316" t="s">
        <v>587</v>
      </c>
      <c r="M235" s="1316"/>
      <c r="N235" s="1316"/>
      <c r="O235" s="1316"/>
      <c r="P235" s="1316"/>
      <c r="Q235" s="1316"/>
      <c r="R235" s="1316"/>
      <c r="S235" s="1316"/>
      <c r="T235" s="1316"/>
      <c r="U235" s="1316"/>
      <c r="V235" s="1316"/>
      <c r="W235" s="1316"/>
    </row>
    <row r="236" spans="1:23" s="129" customFormat="1" x14ac:dyDescent="0.45">
      <c r="A236" s="31"/>
      <c r="B236" s="118">
        <f t="shared" si="8"/>
        <v>207</v>
      </c>
      <c r="C236" s="665" t="s">
        <v>822</v>
      </c>
      <c r="D236" s="665" t="s">
        <v>37</v>
      </c>
      <c r="E236" s="665" t="s">
        <v>823</v>
      </c>
      <c r="F236" s="665" t="s">
        <v>344</v>
      </c>
      <c r="G236" s="126"/>
      <c r="H236" s="127"/>
      <c r="I236" s="127"/>
      <c r="J236" s="127"/>
      <c r="K236" s="127"/>
      <c r="L236" s="1316" t="s">
        <v>631</v>
      </c>
      <c r="M236" s="1316"/>
      <c r="N236" s="1316"/>
      <c r="O236" s="1316"/>
      <c r="P236" s="1316"/>
      <c r="Q236" s="1316"/>
      <c r="R236" s="1316"/>
      <c r="S236" s="1316"/>
      <c r="T236" s="1316"/>
      <c r="U236" s="1316"/>
      <c r="V236" s="1316"/>
      <c r="W236" s="1316"/>
    </row>
    <row r="237" spans="1:23" s="129" customFormat="1" x14ac:dyDescent="0.45">
      <c r="A237" s="31"/>
      <c r="B237" s="118">
        <f t="shared" si="8"/>
        <v>208</v>
      </c>
      <c r="C237" s="665" t="s">
        <v>824</v>
      </c>
      <c r="D237" s="665" t="s">
        <v>37</v>
      </c>
      <c r="E237" s="665" t="s">
        <v>825</v>
      </c>
      <c r="F237" s="665" t="s">
        <v>344</v>
      </c>
      <c r="G237" s="126"/>
      <c r="H237" s="127"/>
      <c r="I237" s="127"/>
      <c r="J237" s="127"/>
      <c r="K237" s="127"/>
      <c r="L237" s="1316" t="s">
        <v>631</v>
      </c>
      <c r="M237" s="1316"/>
      <c r="N237" s="1316"/>
      <c r="O237" s="1316"/>
      <c r="P237" s="1316"/>
      <c r="Q237" s="1316"/>
      <c r="R237" s="1316"/>
      <c r="S237" s="1316"/>
      <c r="T237" s="1316"/>
      <c r="U237" s="1316"/>
      <c r="V237" s="1316"/>
      <c r="W237" s="1316"/>
    </row>
    <row r="238" spans="1:23" s="129" customFormat="1" x14ac:dyDescent="0.45">
      <c r="A238" s="31"/>
      <c r="B238" s="118">
        <f t="shared" si="8"/>
        <v>209</v>
      </c>
      <c r="C238" s="665" t="s">
        <v>826</v>
      </c>
      <c r="D238" s="665" t="s">
        <v>37</v>
      </c>
      <c r="E238" s="665" t="s">
        <v>827</v>
      </c>
      <c r="F238" s="665" t="s">
        <v>344</v>
      </c>
      <c r="G238" s="126"/>
      <c r="H238" s="127"/>
      <c r="I238" s="127"/>
      <c r="J238" s="127"/>
      <c r="K238" s="127"/>
      <c r="L238" s="1316" t="s">
        <v>631</v>
      </c>
      <c r="M238" s="1316"/>
      <c r="N238" s="1316"/>
      <c r="O238" s="1316"/>
      <c r="P238" s="1316"/>
      <c r="Q238" s="1316"/>
      <c r="R238" s="1316"/>
      <c r="S238" s="1316"/>
      <c r="T238" s="1316"/>
      <c r="U238" s="1316"/>
      <c r="V238" s="1316"/>
      <c r="W238" s="1316"/>
    </row>
    <row r="239" spans="1:23" s="129" customFormat="1" x14ac:dyDescent="0.45">
      <c r="A239" s="31"/>
      <c r="B239" s="118">
        <f t="shared" si="8"/>
        <v>210</v>
      </c>
      <c r="C239" s="665" t="s">
        <v>828</v>
      </c>
      <c r="D239" s="665" t="s">
        <v>37</v>
      </c>
      <c r="E239" s="665" t="s">
        <v>829</v>
      </c>
      <c r="F239" s="665" t="s">
        <v>344</v>
      </c>
      <c r="G239" s="126"/>
      <c r="H239" s="127"/>
      <c r="I239" s="127"/>
      <c r="J239" s="127"/>
      <c r="K239" s="127"/>
      <c r="L239" s="1316" t="s">
        <v>631</v>
      </c>
      <c r="M239" s="1316"/>
      <c r="N239" s="1316"/>
      <c r="O239" s="1316"/>
      <c r="P239" s="1316"/>
      <c r="Q239" s="1316"/>
      <c r="R239" s="1316"/>
      <c r="S239" s="1316"/>
      <c r="T239" s="1316"/>
      <c r="U239" s="1316"/>
      <c r="V239" s="1316"/>
      <c r="W239" s="1316"/>
    </row>
    <row r="240" spans="1:23" s="129" customFormat="1" x14ac:dyDescent="0.45">
      <c r="A240" s="31"/>
      <c r="B240" s="118">
        <f t="shared" si="8"/>
        <v>211</v>
      </c>
      <c r="C240" s="665" t="s">
        <v>830</v>
      </c>
      <c r="D240" s="665" t="s">
        <v>37</v>
      </c>
      <c r="E240" s="665" t="s">
        <v>831</v>
      </c>
      <c r="F240" s="665" t="s">
        <v>344</v>
      </c>
      <c r="G240" s="126"/>
      <c r="H240" s="127"/>
      <c r="I240" s="127"/>
      <c r="J240" s="127"/>
      <c r="K240" s="127"/>
      <c r="L240" s="1316" t="s">
        <v>631</v>
      </c>
      <c r="M240" s="1316"/>
      <c r="N240" s="1316"/>
      <c r="O240" s="1316"/>
      <c r="P240" s="1316"/>
      <c r="Q240" s="1316"/>
      <c r="R240" s="1316"/>
      <c r="S240" s="1316"/>
      <c r="T240" s="1316"/>
      <c r="U240" s="1316"/>
      <c r="V240" s="1316"/>
      <c r="W240" s="1316"/>
    </row>
    <row r="241" spans="1:23" s="129" customFormat="1" x14ac:dyDescent="0.45">
      <c r="A241" s="31"/>
      <c r="B241" s="118">
        <f t="shared" si="8"/>
        <v>212</v>
      </c>
      <c r="C241" s="665" t="s">
        <v>832</v>
      </c>
      <c r="D241" s="665" t="s">
        <v>37</v>
      </c>
      <c r="E241" s="665" t="s">
        <v>833</v>
      </c>
      <c r="F241" s="665" t="s">
        <v>344</v>
      </c>
      <c r="G241" s="126"/>
      <c r="H241" s="127"/>
      <c r="I241" s="127"/>
      <c r="J241" s="127"/>
      <c r="K241" s="127"/>
      <c r="L241" s="1316" t="s">
        <v>631</v>
      </c>
      <c r="M241" s="1316"/>
      <c r="N241" s="1316"/>
      <c r="O241" s="1316"/>
      <c r="P241" s="1316"/>
      <c r="Q241" s="1316"/>
      <c r="R241" s="1316"/>
      <c r="S241" s="1316"/>
      <c r="T241" s="1316"/>
      <c r="U241" s="1316"/>
      <c r="V241" s="1316"/>
      <c r="W241" s="1316"/>
    </row>
    <row r="242" spans="1:23" s="129" customFormat="1" x14ac:dyDescent="0.45">
      <c r="A242" s="31"/>
      <c r="B242" s="118">
        <f t="shared" si="8"/>
        <v>213</v>
      </c>
      <c r="C242" s="126" t="s">
        <v>834</v>
      </c>
      <c r="D242" s="126" t="s">
        <v>37</v>
      </c>
      <c r="E242" s="126" t="s">
        <v>835</v>
      </c>
      <c r="F242" s="126" t="s">
        <v>331</v>
      </c>
      <c r="G242" s="126"/>
      <c r="H242" s="127"/>
      <c r="I242" s="127"/>
      <c r="J242" s="127"/>
      <c r="K242" s="127"/>
      <c r="L242" s="1316" t="s">
        <v>587</v>
      </c>
      <c r="M242" s="1316"/>
      <c r="N242" s="1316"/>
      <c r="O242" s="1316"/>
      <c r="P242" s="1316"/>
      <c r="Q242" s="1316"/>
      <c r="R242" s="1316"/>
      <c r="S242" s="1316"/>
      <c r="T242" s="1316"/>
      <c r="U242" s="1316"/>
      <c r="V242" s="1316"/>
      <c r="W242" s="1316"/>
    </row>
    <row r="243" spans="1:23" s="129" customFormat="1" x14ac:dyDescent="0.45">
      <c r="A243" s="31"/>
      <c r="B243" s="118">
        <f t="shared" si="8"/>
        <v>214</v>
      </c>
      <c r="C243" s="126" t="s">
        <v>836</v>
      </c>
      <c r="D243" s="126" t="s">
        <v>37</v>
      </c>
      <c r="E243" s="126" t="s">
        <v>837</v>
      </c>
      <c r="F243" s="126" t="s">
        <v>331</v>
      </c>
      <c r="G243" s="126"/>
      <c r="H243" s="127"/>
      <c r="I243" s="127"/>
      <c r="J243" s="127"/>
      <c r="K243" s="127"/>
      <c r="L243" s="1316" t="s">
        <v>587</v>
      </c>
      <c r="M243" s="1316"/>
      <c r="N243" s="1316"/>
      <c r="O243" s="1316"/>
      <c r="P243" s="1316"/>
      <c r="Q243" s="1316"/>
      <c r="R243" s="1316"/>
      <c r="S243" s="1316"/>
      <c r="T243" s="1316"/>
      <c r="U243" s="1316"/>
      <c r="V243" s="1316"/>
      <c r="W243" s="1316"/>
    </row>
    <row r="244" spans="1:23" s="129" customFormat="1" x14ac:dyDescent="0.45">
      <c r="A244" s="31"/>
      <c r="B244" s="118">
        <f t="shared" si="8"/>
        <v>215</v>
      </c>
      <c r="C244" s="126" t="s">
        <v>838</v>
      </c>
      <c r="D244" s="126" t="s">
        <v>37</v>
      </c>
      <c r="E244" s="126" t="s">
        <v>839</v>
      </c>
      <c r="F244" s="126" t="s">
        <v>344</v>
      </c>
      <c r="G244" s="126"/>
      <c r="H244" s="127"/>
      <c r="I244" s="127"/>
      <c r="J244" s="127"/>
      <c r="K244" s="127"/>
      <c r="L244" s="1316" t="s">
        <v>631</v>
      </c>
      <c r="M244" s="1316"/>
      <c r="N244" s="1316"/>
      <c r="O244" s="1316"/>
      <c r="P244" s="1316"/>
      <c r="Q244" s="1316"/>
      <c r="R244" s="1316"/>
      <c r="S244" s="1316"/>
      <c r="T244" s="1316"/>
      <c r="U244" s="1316"/>
      <c r="V244" s="1316"/>
      <c r="W244" s="1316"/>
    </row>
    <row r="245" spans="1:23" s="129" customFormat="1" x14ac:dyDescent="0.45">
      <c r="A245" s="31"/>
      <c r="B245" s="118">
        <f t="shared" si="8"/>
        <v>216</v>
      </c>
      <c r="C245" s="126" t="s">
        <v>840</v>
      </c>
      <c r="D245" s="126" t="s">
        <v>37</v>
      </c>
      <c r="E245" s="126" t="s">
        <v>841</v>
      </c>
      <c r="F245" s="126" t="s">
        <v>344</v>
      </c>
      <c r="G245" s="126"/>
      <c r="H245" s="127"/>
      <c r="I245" s="127"/>
      <c r="J245" s="127"/>
      <c r="K245" s="127"/>
      <c r="L245" s="1316" t="s">
        <v>631</v>
      </c>
      <c r="M245" s="1316"/>
      <c r="N245" s="1316"/>
      <c r="O245" s="1316"/>
      <c r="P245" s="1316"/>
      <c r="Q245" s="1316"/>
      <c r="R245" s="1316"/>
      <c r="S245" s="1316"/>
      <c r="T245" s="1316"/>
      <c r="U245" s="1316"/>
      <c r="V245" s="1316"/>
      <c r="W245" s="1316"/>
    </row>
    <row r="246" spans="1:23" s="129" customFormat="1" x14ac:dyDescent="0.45">
      <c r="A246" s="31"/>
      <c r="B246" s="118">
        <f t="shared" si="8"/>
        <v>217</v>
      </c>
      <c r="C246" s="126" t="s">
        <v>842</v>
      </c>
      <c r="D246" s="126" t="s">
        <v>37</v>
      </c>
      <c r="E246" s="126" t="s">
        <v>843</v>
      </c>
      <c r="F246" s="126" t="s">
        <v>344</v>
      </c>
      <c r="G246" s="126"/>
      <c r="H246" s="127"/>
      <c r="I246" s="127"/>
      <c r="J246" s="127"/>
      <c r="K246" s="127"/>
      <c r="L246" s="1316" t="s">
        <v>631</v>
      </c>
      <c r="M246" s="1316"/>
      <c r="N246" s="1316"/>
      <c r="O246" s="1316"/>
      <c r="P246" s="1316"/>
      <c r="Q246" s="1316"/>
      <c r="R246" s="1316"/>
      <c r="S246" s="1316"/>
      <c r="T246" s="1316"/>
      <c r="U246" s="1316"/>
      <c r="V246" s="1316"/>
      <c r="W246" s="1316"/>
    </row>
    <row r="247" spans="1:23" s="129" customFormat="1" x14ac:dyDescent="0.45">
      <c r="A247" s="31"/>
      <c r="B247" s="118">
        <f t="shared" si="8"/>
        <v>218</v>
      </c>
      <c r="C247" s="126" t="s">
        <v>844</v>
      </c>
      <c r="D247" s="126" t="s">
        <v>37</v>
      </c>
      <c r="E247" s="126" t="s">
        <v>845</v>
      </c>
      <c r="F247" s="126" t="s">
        <v>344</v>
      </c>
      <c r="G247" s="126"/>
      <c r="H247" s="127"/>
      <c r="I247" s="127"/>
      <c r="J247" s="127"/>
      <c r="K247" s="127"/>
      <c r="L247" s="1316" t="s">
        <v>631</v>
      </c>
      <c r="M247" s="1316"/>
      <c r="N247" s="1316"/>
      <c r="O247" s="1316"/>
      <c r="P247" s="1316"/>
      <c r="Q247" s="1316"/>
      <c r="R247" s="1316"/>
      <c r="S247" s="1316"/>
      <c r="T247" s="1316"/>
      <c r="U247" s="1316"/>
      <c r="V247" s="1316"/>
      <c r="W247" s="1316"/>
    </row>
    <row r="248" spans="1:23" s="129" customFormat="1" x14ac:dyDescent="0.45">
      <c r="A248" s="31"/>
      <c r="B248" s="118">
        <f t="shared" si="8"/>
        <v>219</v>
      </c>
      <c r="C248" s="126" t="s">
        <v>846</v>
      </c>
      <c r="D248" s="126" t="s">
        <v>37</v>
      </c>
      <c r="E248" s="126" t="s">
        <v>847</v>
      </c>
      <c r="F248" s="126" t="s">
        <v>344</v>
      </c>
      <c r="G248" s="126"/>
      <c r="H248" s="127"/>
      <c r="I248" s="127"/>
      <c r="J248" s="127"/>
      <c r="K248" s="127"/>
      <c r="L248" s="1316" t="s">
        <v>631</v>
      </c>
      <c r="M248" s="1316"/>
      <c r="N248" s="1316"/>
      <c r="O248" s="1316"/>
      <c r="P248" s="1316"/>
      <c r="Q248" s="1316"/>
      <c r="R248" s="1316"/>
      <c r="S248" s="1316"/>
      <c r="T248" s="1316"/>
      <c r="U248" s="1316"/>
      <c r="V248" s="1316"/>
      <c r="W248" s="1316"/>
    </row>
    <row r="249" spans="1:23" s="129" customFormat="1" x14ac:dyDescent="0.45">
      <c r="A249" s="31"/>
      <c r="B249" s="118">
        <f t="shared" si="8"/>
        <v>220</v>
      </c>
      <c r="C249" s="126" t="s">
        <v>848</v>
      </c>
      <c r="D249" s="126" t="s">
        <v>37</v>
      </c>
      <c r="E249" s="126" t="s">
        <v>849</v>
      </c>
      <c r="F249" s="126" t="s">
        <v>344</v>
      </c>
      <c r="G249" s="126"/>
      <c r="H249" s="127"/>
      <c r="I249" s="127"/>
      <c r="J249" s="127"/>
      <c r="K249" s="127"/>
      <c r="L249" s="1316" t="s">
        <v>631</v>
      </c>
      <c r="M249" s="1316"/>
      <c r="N249" s="1316"/>
      <c r="O249" s="1316"/>
      <c r="P249" s="1316"/>
      <c r="Q249" s="1316"/>
      <c r="R249" s="1316"/>
      <c r="S249" s="1316"/>
      <c r="T249" s="1316"/>
      <c r="U249" s="1316"/>
      <c r="V249" s="1316"/>
      <c r="W249" s="1316"/>
    </row>
    <row r="250" spans="1:23" s="129" customFormat="1" x14ac:dyDescent="0.45">
      <c r="A250" s="31"/>
      <c r="B250" s="118">
        <f t="shared" si="8"/>
        <v>221</v>
      </c>
      <c r="C250" s="665" t="s">
        <v>850</v>
      </c>
      <c r="D250" s="665" t="s">
        <v>37</v>
      </c>
      <c r="E250" s="665" t="s">
        <v>851</v>
      </c>
      <c r="F250" s="665" t="s">
        <v>331</v>
      </c>
      <c r="G250" s="126"/>
      <c r="H250" s="127"/>
      <c r="I250" s="127"/>
      <c r="J250" s="127"/>
      <c r="K250" s="127"/>
      <c r="L250" s="1316" t="s">
        <v>587</v>
      </c>
      <c r="M250" s="1316"/>
      <c r="N250" s="1316"/>
      <c r="O250" s="1316"/>
      <c r="P250" s="1316"/>
      <c r="Q250" s="1316"/>
      <c r="R250" s="1316"/>
      <c r="S250" s="1316"/>
      <c r="T250" s="1316"/>
      <c r="U250" s="1316"/>
      <c r="V250" s="1316"/>
      <c r="W250" s="1316"/>
    </row>
    <row r="251" spans="1:23" s="129" customFormat="1" x14ac:dyDescent="0.45">
      <c r="A251" s="31"/>
      <c r="B251" s="118">
        <f t="shared" si="8"/>
        <v>222</v>
      </c>
      <c r="C251" s="665" t="s">
        <v>852</v>
      </c>
      <c r="D251" s="665" t="s">
        <v>37</v>
      </c>
      <c r="E251" s="665" t="s">
        <v>853</v>
      </c>
      <c r="F251" s="665" t="s">
        <v>331</v>
      </c>
      <c r="G251" s="126"/>
      <c r="H251" s="127"/>
      <c r="I251" s="127"/>
      <c r="J251" s="127"/>
      <c r="K251" s="127"/>
      <c r="L251" s="1316" t="s">
        <v>587</v>
      </c>
      <c r="M251" s="1316"/>
      <c r="N251" s="1316"/>
      <c r="O251" s="1316"/>
      <c r="P251" s="1316"/>
      <c r="Q251" s="1316"/>
      <c r="R251" s="1316"/>
      <c r="S251" s="1316"/>
      <c r="T251" s="1316"/>
      <c r="U251" s="1316"/>
      <c r="V251" s="1316"/>
      <c r="W251" s="1316"/>
    </row>
    <row r="252" spans="1:23" s="129" customFormat="1" x14ac:dyDescent="0.45">
      <c r="A252" s="31"/>
      <c r="B252" s="118">
        <f t="shared" si="8"/>
        <v>223</v>
      </c>
      <c r="C252" s="665" t="s">
        <v>854</v>
      </c>
      <c r="D252" s="665" t="s">
        <v>37</v>
      </c>
      <c r="E252" s="665" t="s">
        <v>855</v>
      </c>
      <c r="F252" s="665" t="s">
        <v>344</v>
      </c>
      <c r="G252" s="126"/>
      <c r="H252" s="127"/>
      <c r="I252" s="127"/>
      <c r="J252" s="127"/>
      <c r="K252" s="127"/>
      <c r="L252" s="1316" t="s">
        <v>631</v>
      </c>
      <c r="M252" s="1316"/>
      <c r="N252" s="1316"/>
      <c r="O252" s="1316"/>
      <c r="P252" s="1316"/>
      <c r="Q252" s="1316"/>
      <c r="R252" s="1316"/>
      <c r="S252" s="1316"/>
      <c r="T252" s="1316"/>
      <c r="U252" s="1316"/>
      <c r="V252" s="1316"/>
      <c r="W252" s="1316"/>
    </row>
    <row r="253" spans="1:23" s="129" customFormat="1" x14ac:dyDescent="0.45">
      <c r="A253" s="31"/>
      <c r="B253" s="118">
        <f t="shared" si="8"/>
        <v>224</v>
      </c>
      <c r="C253" s="665" t="s">
        <v>856</v>
      </c>
      <c r="D253" s="665" t="s">
        <v>37</v>
      </c>
      <c r="E253" s="665" t="s">
        <v>857</v>
      </c>
      <c r="F253" s="665" t="s">
        <v>344</v>
      </c>
      <c r="G253" s="126"/>
      <c r="H253" s="127"/>
      <c r="I253" s="127"/>
      <c r="J253" s="127"/>
      <c r="K253" s="127"/>
      <c r="L253" s="1316" t="s">
        <v>631</v>
      </c>
      <c r="M253" s="1316"/>
      <c r="N253" s="1316"/>
      <c r="O253" s="1316"/>
      <c r="P253" s="1316"/>
      <c r="Q253" s="1316"/>
      <c r="R253" s="1316"/>
      <c r="S253" s="1316"/>
      <c r="T253" s="1316"/>
      <c r="U253" s="1316"/>
      <c r="V253" s="1316"/>
      <c r="W253" s="1316"/>
    </row>
    <row r="254" spans="1:23" s="129" customFormat="1" x14ac:dyDescent="0.45">
      <c r="A254" s="31"/>
      <c r="B254" s="118">
        <f t="shared" si="8"/>
        <v>225</v>
      </c>
      <c r="C254" s="665" t="s">
        <v>858</v>
      </c>
      <c r="D254" s="665" t="s">
        <v>37</v>
      </c>
      <c r="E254" s="665" t="s">
        <v>859</v>
      </c>
      <c r="F254" s="665" t="s">
        <v>344</v>
      </c>
      <c r="G254" s="126"/>
      <c r="H254" s="127"/>
      <c r="I254" s="127"/>
      <c r="J254" s="127"/>
      <c r="K254" s="127"/>
      <c r="L254" s="1316" t="s">
        <v>631</v>
      </c>
      <c r="M254" s="1316"/>
      <c r="N254" s="1316"/>
      <c r="O254" s="1316"/>
      <c r="P254" s="1316"/>
      <c r="Q254" s="1316"/>
      <c r="R254" s="1316"/>
      <c r="S254" s="1316"/>
      <c r="T254" s="1316"/>
      <c r="U254" s="1316"/>
      <c r="V254" s="1316"/>
      <c r="W254" s="1316"/>
    </row>
    <row r="255" spans="1:23" s="129" customFormat="1" x14ac:dyDescent="0.45">
      <c r="A255" s="31"/>
      <c r="B255" s="118">
        <f t="shared" si="8"/>
        <v>226</v>
      </c>
      <c r="C255" s="665" t="s">
        <v>860</v>
      </c>
      <c r="D255" s="665" t="s">
        <v>37</v>
      </c>
      <c r="E255" s="665" t="s">
        <v>861</v>
      </c>
      <c r="F255" s="665" t="s">
        <v>344</v>
      </c>
      <c r="G255" s="126"/>
      <c r="H255" s="127"/>
      <c r="I255" s="127"/>
      <c r="J255" s="127"/>
      <c r="K255" s="127"/>
      <c r="L255" s="1316" t="s">
        <v>631</v>
      </c>
      <c r="M255" s="1316"/>
      <c r="N255" s="1316"/>
      <c r="O255" s="1316"/>
      <c r="P255" s="1316"/>
      <c r="Q255" s="1316"/>
      <c r="R255" s="1316"/>
      <c r="S255" s="1316"/>
      <c r="T255" s="1316"/>
      <c r="U255" s="1316"/>
      <c r="V255" s="1316"/>
      <c r="W255" s="1316"/>
    </row>
    <row r="256" spans="1:23" s="129" customFormat="1" x14ac:dyDescent="0.45">
      <c r="A256" s="31"/>
      <c r="B256" s="118">
        <f t="shared" si="8"/>
        <v>227</v>
      </c>
      <c r="C256" s="665" t="s">
        <v>862</v>
      </c>
      <c r="D256" s="665" t="s">
        <v>37</v>
      </c>
      <c r="E256" s="665" t="s">
        <v>863</v>
      </c>
      <c r="F256" s="665" t="s">
        <v>344</v>
      </c>
      <c r="G256" s="126"/>
      <c r="H256" s="127"/>
      <c r="I256" s="127"/>
      <c r="J256" s="127"/>
      <c r="K256" s="127"/>
      <c r="L256" s="1316" t="s">
        <v>631</v>
      </c>
      <c r="M256" s="1316"/>
      <c r="N256" s="1316"/>
      <c r="O256" s="1316"/>
      <c r="P256" s="1316"/>
      <c r="Q256" s="1316"/>
      <c r="R256" s="1316"/>
      <c r="S256" s="1316"/>
      <c r="T256" s="1316"/>
      <c r="U256" s="1316"/>
      <c r="V256" s="1316"/>
      <c r="W256" s="1316"/>
    </row>
    <row r="257" spans="1:35" s="129" customFormat="1" x14ac:dyDescent="0.45">
      <c r="A257" s="31"/>
      <c r="B257" s="118">
        <f t="shared" si="8"/>
        <v>228</v>
      </c>
      <c r="C257" s="665" t="s">
        <v>864</v>
      </c>
      <c r="D257" s="665" t="s">
        <v>37</v>
      </c>
      <c r="E257" s="665" t="s">
        <v>865</v>
      </c>
      <c r="F257" s="665" t="s">
        <v>344</v>
      </c>
      <c r="G257" s="126"/>
      <c r="H257" s="127"/>
      <c r="I257" s="127"/>
      <c r="J257" s="127"/>
      <c r="K257" s="127"/>
      <c r="L257" s="1316" t="s">
        <v>631</v>
      </c>
      <c r="M257" s="1316"/>
      <c r="N257" s="1316"/>
      <c r="O257" s="1316"/>
      <c r="P257" s="1316"/>
      <c r="Q257" s="1316"/>
      <c r="R257" s="1316"/>
      <c r="S257" s="1316"/>
      <c r="T257" s="1316"/>
      <c r="U257" s="1316"/>
      <c r="V257" s="1316"/>
      <c r="W257" s="1316"/>
    </row>
    <row r="258" spans="1:35" s="129" customFormat="1" x14ac:dyDescent="0.45">
      <c r="A258" s="31"/>
      <c r="B258" s="118">
        <f t="shared" ref="B258:B265" si="9">B257+1</f>
        <v>229</v>
      </c>
      <c r="C258" s="126" t="s">
        <v>866</v>
      </c>
      <c r="D258" s="126" t="s">
        <v>37</v>
      </c>
      <c r="E258" s="126" t="s">
        <v>867</v>
      </c>
      <c r="F258" s="126" t="s">
        <v>331</v>
      </c>
      <c r="G258" s="126"/>
      <c r="H258" s="127"/>
      <c r="I258" s="127"/>
      <c r="J258" s="127"/>
      <c r="K258" s="127"/>
      <c r="L258" s="1316" t="s">
        <v>587</v>
      </c>
      <c r="M258" s="1316"/>
      <c r="N258" s="1316"/>
      <c r="O258" s="1316"/>
      <c r="P258" s="1316"/>
      <c r="Q258" s="1316"/>
      <c r="R258" s="1316"/>
      <c r="S258" s="1316"/>
      <c r="T258" s="1316"/>
      <c r="U258" s="1316"/>
      <c r="V258" s="1316"/>
      <c r="W258" s="1316"/>
    </row>
    <row r="259" spans="1:35" s="129" customFormat="1" x14ac:dyDescent="0.45">
      <c r="A259" s="31"/>
      <c r="B259" s="118">
        <f t="shared" si="9"/>
        <v>230</v>
      </c>
      <c r="C259" s="126" t="s">
        <v>868</v>
      </c>
      <c r="D259" s="126" t="s">
        <v>37</v>
      </c>
      <c r="E259" s="126" t="s">
        <v>869</v>
      </c>
      <c r="F259" s="126" t="s">
        <v>331</v>
      </c>
      <c r="G259" s="126"/>
      <c r="H259" s="127"/>
      <c r="I259" s="127"/>
      <c r="J259" s="127"/>
      <c r="K259" s="127"/>
      <c r="L259" s="1316" t="s">
        <v>587</v>
      </c>
      <c r="M259" s="1316"/>
      <c r="N259" s="1316"/>
      <c r="O259" s="1316"/>
      <c r="P259" s="1316"/>
      <c r="Q259" s="1316"/>
      <c r="R259" s="1316"/>
      <c r="S259" s="1316"/>
      <c r="T259" s="1316"/>
      <c r="U259" s="1316"/>
      <c r="V259" s="1316"/>
      <c r="W259" s="1316"/>
    </row>
    <row r="260" spans="1:35" s="129" customFormat="1" x14ac:dyDescent="0.45">
      <c r="A260" s="31"/>
      <c r="B260" s="118">
        <f t="shared" si="9"/>
        <v>231</v>
      </c>
      <c r="C260" s="126" t="s">
        <v>870</v>
      </c>
      <c r="D260" s="126" t="s">
        <v>37</v>
      </c>
      <c r="E260" s="126" t="s">
        <v>871</v>
      </c>
      <c r="F260" s="126" t="s">
        <v>344</v>
      </c>
      <c r="G260" s="126"/>
      <c r="H260" s="127"/>
      <c r="I260" s="127"/>
      <c r="J260" s="127"/>
      <c r="K260" s="127"/>
      <c r="L260" s="1316" t="s">
        <v>631</v>
      </c>
      <c r="M260" s="1316"/>
      <c r="N260" s="1316"/>
      <c r="O260" s="1316"/>
      <c r="P260" s="1316"/>
      <c r="Q260" s="1316"/>
      <c r="R260" s="1316"/>
      <c r="S260" s="1316"/>
      <c r="T260" s="1316"/>
      <c r="U260" s="1316"/>
      <c r="V260" s="1316"/>
      <c r="W260" s="1316"/>
    </row>
    <row r="261" spans="1:35" s="129" customFormat="1" x14ac:dyDescent="0.45">
      <c r="A261" s="31"/>
      <c r="B261" s="118">
        <f t="shared" si="9"/>
        <v>232</v>
      </c>
      <c r="C261" s="126" t="s">
        <v>872</v>
      </c>
      <c r="D261" s="126" t="s">
        <v>37</v>
      </c>
      <c r="E261" s="126" t="s">
        <v>873</v>
      </c>
      <c r="F261" s="126" t="s">
        <v>344</v>
      </c>
      <c r="G261" s="126"/>
      <c r="H261" s="127"/>
      <c r="I261" s="127"/>
      <c r="J261" s="127"/>
      <c r="K261" s="127"/>
      <c r="L261" s="1316" t="s">
        <v>631</v>
      </c>
      <c r="M261" s="1316"/>
      <c r="N261" s="1316"/>
      <c r="O261" s="1316"/>
      <c r="P261" s="1316"/>
      <c r="Q261" s="1316"/>
      <c r="R261" s="1316"/>
      <c r="S261" s="1316"/>
      <c r="T261" s="1316"/>
      <c r="U261" s="1316"/>
      <c r="V261" s="1316"/>
      <c r="W261" s="1316"/>
    </row>
    <row r="262" spans="1:35" s="129" customFormat="1" x14ac:dyDescent="0.45">
      <c r="A262" s="31"/>
      <c r="B262" s="118">
        <f t="shared" si="9"/>
        <v>233</v>
      </c>
      <c r="C262" s="126" t="s">
        <v>874</v>
      </c>
      <c r="D262" s="126" t="s">
        <v>37</v>
      </c>
      <c r="E262" s="126" t="s">
        <v>875</v>
      </c>
      <c r="F262" s="126" t="s">
        <v>344</v>
      </c>
      <c r="G262" s="126"/>
      <c r="H262" s="127"/>
      <c r="I262" s="127"/>
      <c r="J262" s="127"/>
      <c r="K262" s="127"/>
      <c r="L262" s="1316" t="s">
        <v>631</v>
      </c>
      <c r="M262" s="1316"/>
      <c r="N262" s="1316"/>
      <c r="O262" s="1316"/>
      <c r="P262" s="1316"/>
      <c r="Q262" s="1316"/>
      <c r="R262" s="1316"/>
      <c r="S262" s="1316"/>
      <c r="T262" s="1316"/>
      <c r="U262" s="1316"/>
      <c r="V262" s="1316"/>
      <c r="W262" s="1316"/>
    </row>
    <row r="263" spans="1:35" s="129" customFormat="1" x14ac:dyDescent="0.45">
      <c r="A263" s="31"/>
      <c r="B263" s="118">
        <f t="shared" si="9"/>
        <v>234</v>
      </c>
      <c r="C263" s="126" t="s">
        <v>876</v>
      </c>
      <c r="D263" s="126" t="s">
        <v>37</v>
      </c>
      <c r="E263" s="126" t="s">
        <v>877</v>
      </c>
      <c r="F263" s="126" t="s">
        <v>344</v>
      </c>
      <c r="G263" s="126"/>
      <c r="H263" s="127"/>
      <c r="I263" s="127"/>
      <c r="J263" s="127"/>
      <c r="K263" s="127"/>
      <c r="L263" s="1316" t="s">
        <v>631</v>
      </c>
      <c r="M263" s="1316"/>
      <c r="N263" s="1316"/>
      <c r="O263" s="1316"/>
      <c r="P263" s="1316"/>
      <c r="Q263" s="1316"/>
      <c r="R263" s="1316"/>
      <c r="S263" s="1316"/>
      <c r="T263" s="1316"/>
      <c r="U263" s="1316"/>
      <c r="V263" s="1316"/>
      <c r="W263" s="1316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</row>
    <row r="264" spans="1:35" s="129" customFormat="1" x14ac:dyDescent="0.45">
      <c r="A264" s="31"/>
      <c r="B264" s="118">
        <f t="shared" si="9"/>
        <v>235</v>
      </c>
      <c r="C264" s="126" t="s">
        <v>878</v>
      </c>
      <c r="D264" s="126" t="s">
        <v>37</v>
      </c>
      <c r="E264" s="126" t="s">
        <v>879</v>
      </c>
      <c r="F264" s="126" t="s">
        <v>344</v>
      </c>
      <c r="G264" s="126"/>
      <c r="H264" s="127"/>
      <c r="I264" s="127"/>
      <c r="J264" s="127"/>
      <c r="K264" s="127"/>
      <c r="L264" s="1316" t="s">
        <v>631</v>
      </c>
      <c r="M264" s="1316"/>
      <c r="N264" s="1316"/>
      <c r="O264" s="1316"/>
      <c r="P264" s="1316"/>
      <c r="Q264" s="1316"/>
      <c r="R264" s="1316"/>
      <c r="S264" s="1316"/>
      <c r="T264" s="1316"/>
      <c r="U264" s="1316"/>
      <c r="V264" s="1316"/>
      <c r="W264" s="1316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</row>
    <row r="265" spans="1:35" x14ac:dyDescent="0.45">
      <c r="B265" s="118">
        <f t="shared" si="9"/>
        <v>236</v>
      </c>
      <c r="C265" s="126" t="s">
        <v>880</v>
      </c>
      <c r="D265" s="126" t="s">
        <v>37</v>
      </c>
      <c r="E265" s="126" t="s">
        <v>881</v>
      </c>
      <c r="F265" s="126" t="s">
        <v>344</v>
      </c>
      <c r="H265" s="127"/>
      <c r="I265" s="127"/>
      <c r="J265" s="127"/>
      <c r="K265" s="127"/>
      <c r="L265" s="1316" t="s">
        <v>631</v>
      </c>
      <c r="M265" s="1316"/>
      <c r="N265" s="1316"/>
      <c r="O265" s="1316"/>
      <c r="P265" s="1316"/>
      <c r="Q265" s="1316"/>
      <c r="R265" s="1316"/>
      <c r="S265" s="1316"/>
      <c r="T265" s="1316"/>
      <c r="U265" s="1316"/>
      <c r="V265" s="1316"/>
      <c r="W265" s="1316"/>
    </row>
    <row r="266" spans="1:35" x14ac:dyDescent="0.45">
      <c r="A266" s="55"/>
      <c r="B266" s="118"/>
    </row>
    <row r="267" spans="1:35" x14ac:dyDescent="0.45">
      <c r="B267" s="118"/>
      <c r="C267" s="132" t="s">
        <v>966</v>
      </c>
      <c r="X267" s="31"/>
    </row>
    <row r="268" spans="1:35" x14ac:dyDescent="0.45">
      <c r="B268" s="118">
        <f>B265+1</f>
        <v>237</v>
      </c>
      <c r="C268" s="126" t="s">
        <v>1067</v>
      </c>
      <c r="D268" s="126" t="s">
        <v>37</v>
      </c>
      <c r="E268" s="126" t="s">
        <v>936</v>
      </c>
      <c r="F268" s="126" t="s">
        <v>331</v>
      </c>
      <c r="H268" s="205" t="s">
        <v>108</v>
      </c>
      <c r="I268" s="205" t="s">
        <v>109</v>
      </c>
      <c r="J268" s="127"/>
      <c r="K268" s="127"/>
      <c r="L268" s="127"/>
      <c r="M268" s="205" t="s">
        <v>1821</v>
      </c>
      <c r="N268" s="205" t="s">
        <v>1820</v>
      </c>
      <c r="O268" s="205" t="s">
        <v>1819</v>
      </c>
      <c r="P268" s="127"/>
      <c r="Q268" s="127"/>
      <c r="R268" s="127"/>
      <c r="S268" s="205" t="s">
        <v>1072</v>
      </c>
      <c r="T268" s="127"/>
      <c r="U268" s="127"/>
      <c r="V268" s="205" t="s">
        <v>2534</v>
      </c>
      <c r="W268" s="205" t="s">
        <v>1818</v>
      </c>
      <c r="Y268" s="206"/>
      <c r="Z268" s="206"/>
      <c r="AA268" s="206"/>
      <c r="AB268" s="206"/>
      <c r="AC268" s="206"/>
      <c r="AD268" s="206"/>
      <c r="AE268" s="206"/>
      <c r="AF268" s="206"/>
      <c r="AG268" s="206"/>
      <c r="AH268" s="206"/>
      <c r="AI268" s="206"/>
    </row>
    <row r="269" spans="1:35" s="126" customFormat="1" x14ac:dyDescent="0.45">
      <c r="A269" s="31"/>
      <c r="B269" s="118">
        <f>B268+1</f>
        <v>238</v>
      </c>
      <c r="C269" s="126" t="s">
        <v>975</v>
      </c>
      <c r="D269" s="126" t="s">
        <v>37</v>
      </c>
      <c r="E269" s="126" t="s">
        <v>937</v>
      </c>
      <c r="F269" s="126" t="s">
        <v>935</v>
      </c>
      <c r="H269" s="1305" t="s">
        <v>974</v>
      </c>
      <c r="I269" s="1306"/>
      <c r="J269" s="1306"/>
      <c r="K269" s="1306"/>
      <c r="L269" s="1306"/>
      <c r="M269" s="1306"/>
      <c r="N269" s="1306"/>
      <c r="O269" s="1306"/>
      <c r="P269" s="1306"/>
      <c r="Q269" s="1306"/>
      <c r="R269" s="1306"/>
      <c r="S269" s="1306"/>
      <c r="T269" s="1306"/>
      <c r="U269" s="1306"/>
      <c r="V269" s="1306"/>
      <c r="W269" s="1307"/>
      <c r="X269" s="129"/>
    </row>
    <row r="270" spans="1:35" x14ac:dyDescent="0.45">
      <c r="B270" s="118">
        <f t="shared" ref="B270:B272" si="10">B269+1</f>
        <v>239</v>
      </c>
      <c r="C270" s="126" t="s">
        <v>116</v>
      </c>
      <c r="D270" s="126" t="s">
        <v>37</v>
      </c>
      <c r="E270" s="126" t="s">
        <v>938</v>
      </c>
      <c r="F270" s="126" t="s">
        <v>1104</v>
      </c>
      <c r="H270" s="229" t="s">
        <v>1222</v>
      </c>
      <c r="I270" s="127"/>
      <c r="J270" s="127"/>
      <c r="K270" s="127"/>
      <c r="L270" s="127"/>
      <c r="M270" s="127"/>
      <c r="N270" s="127"/>
      <c r="O270" s="127"/>
      <c r="P270" s="127"/>
      <c r="Q270" s="127"/>
      <c r="R270" s="1305" t="s">
        <v>2409</v>
      </c>
      <c r="S270" s="1307"/>
      <c r="T270" s="1305" t="s">
        <v>119</v>
      </c>
      <c r="U270" s="1306"/>
      <c r="V270" s="1306"/>
      <c r="W270" s="1307"/>
    </row>
    <row r="271" spans="1:35" s="126" customFormat="1" x14ac:dyDescent="0.45">
      <c r="A271" s="31"/>
      <c r="B271" s="118">
        <f t="shared" si="10"/>
        <v>240</v>
      </c>
      <c r="C271" s="126" t="s">
        <v>120</v>
      </c>
      <c r="D271" s="126" t="s">
        <v>37</v>
      </c>
      <c r="E271" s="126" t="s">
        <v>939</v>
      </c>
      <c r="F271" s="126" t="s">
        <v>331</v>
      </c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205" t="s">
        <v>122</v>
      </c>
      <c r="W271" s="205" t="s">
        <v>123</v>
      </c>
      <c r="X271" s="129"/>
    </row>
    <row r="272" spans="1:35" s="126" customFormat="1" x14ac:dyDescent="0.45">
      <c r="A272" s="31"/>
      <c r="B272" s="118">
        <f t="shared" si="10"/>
        <v>241</v>
      </c>
      <c r="C272" s="126" t="s">
        <v>124</v>
      </c>
      <c r="D272" s="126" t="s">
        <v>37</v>
      </c>
      <c r="E272" s="126" t="s">
        <v>940</v>
      </c>
      <c r="F272" s="126" t="s">
        <v>973</v>
      </c>
      <c r="H272" s="127"/>
      <c r="I272" s="127"/>
      <c r="J272" s="127"/>
      <c r="K272" s="127"/>
      <c r="L272" s="1305" t="s">
        <v>126</v>
      </c>
      <c r="M272" s="1306"/>
      <c r="N272" s="1306"/>
      <c r="O272" s="1306"/>
      <c r="P272" s="1306"/>
      <c r="Q272" s="1306"/>
      <c r="R272" s="1306"/>
      <c r="S272" s="1306"/>
      <c r="T272" s="1306"/>
      <c r="U272" s="1306"/>
      <c r="V272" s="1306"/>
      <c r="W272" s="1307"/>
      <c r="X272" s="129"/>
    </row>
    <row r="273" spans="1:24" s="126" customFormat="1" x14ac:dyDescent="0.45">
      <c r="A273" s="31"/>
      <c r="B273" s="118"/>
      <c r="X273" s="129"/>
    </row>
    <row r="274" spans="1:24" s="126" customFormat="1" x14ac:dyDescent="0.45">
      <c r="A274" s="31"/>
      <c r="B274" s="118"/>
      <c r="C274" s="132" t="s">
        <v>967</v>
      </c>
      <c r="W274" s="229" t="s">
        <v>1222</v>
      </c>
      <c r="X274" s="129">
        <v>1</v>
      </c>
    </row>
    <row r="275" spans="1:24" s="126" customFormat="1" x14ac:dyDescent="0.45">
      <c r="A275" s="31"/>
      <c r="B275" s="118">
        <f>B272+1</f>
        <v>242</v>
      </c>
      <c r="C275" s="126" t="s">
        <v>976</v>
      </c>
      <c r="D275" s="126" t="s">
        <v>37</v>
      </c>
      <c r="E275" s="126" t="s">
        <v>1074</v>
      </c>
      <c r="F275" s="126" t="s">
        <v>2412</v>
      </c>
      <c r="H275" s="127"/>
      <c r="I275" s="128"/>
      <c r="J275" s="1049"/>
      <c r="K275" s="1336" t="s">
        <v>2407</v>
      </c>
      <c r="L275" s="1337"/>
      <c r="M275" s="1337"/>
      <c r="N275" s="1337"/>
      <c r="O275" s="1338"/>
      <c r="P275" s="127"/>
      <c r="Q275" s="127"/>
      <c r="R275" s="127"/>
      <c r="S275" s="1336" t="s">
        <v>2405</v>
      </c>
      <c r="T275" s="1337"/>
      <c r="U275" s="1337"/>
      <c r="V275" s="1337"/>
      <c r="W275" s="1338"/>
      <c r="X275" s="129">
        <v>10</v>
      </c>
    </row>
    <row r="276" spans="1:24" x14ac:dyDescent="0.45">
      <c r="B276" s="118">
        <f>B275+1</f>
        <v>243</v>
      </c>
      <c r="C276" s="126" t="s">
        <v>977</v>
      </c>
      <c r="D276" s="126" t="s">
        <v>37</v>
      </c>
      <c r="E276" s="126" t="s">
        <v>972</v>
      </c>
      <c r="F276" s="126" t="s">
        <v>2413</v>
      </c>
      <c r="H276" s="127"/>
      <c r="I276" s="127"/>
      <c r="J276" s="1336" t="s">
        <v>2406</v>
      </c>
      <c r="K276" s="1337"/>
      <c r="L276" s="1337"/>
      <c r="M276" s="1337"/>
      <c r="N276" s="1337"/>
      <c r="O276" s="1338"/>
      <c r="P276" s="1337" t="s">
        <v>2598</v>
      </c>
      <c r="Q276" s="1337"/>
      <c r="R276" s="1337"/>
      <c r="S276" s="1337"/>
      <c r="T276" s="1337"/>
      <c r="U276" s="1337"/>
      <c r="V276" s="1337"/>
      <c r="W276" s="1338"/>
      <c r="X276" s="129">
        <v>14</v>
      </c>
    </row>
    <row r="277" spans="1:24" x14ac:dyDescent="0.45">
      <c r="B277" s="118">
        <f t="shared" ref="B277:B279" si="11">B276+1</f>
        <v>244</v>
      </c>
      <c r="C277" s="126" t="s">
        <v>993</v>
      </c>
      <c r="D277" s="126" t="s">
        <v>37</v>
      </c>
      <c r="E277" s="126" t="s">
        <v>941</v>
      </c>
      <c r="F277" s="126" t="s">
        <v>331</v>
      </c>
      <c r="H277" s="1337" t="s">
        <v>2599</v>
      </c>
      <c r="I277" s="1337"/>
      <c r="J277" s="1337"/>
      <c r="K277" s="1337"/>
      <c r="L277" s="1337"/>
      <c r="M277" s="1337"/>
      <c r="N277" s="1337"/>
      <c r="O277" s="1338"/>
      <c r="P277" s="1337" t="s">
        <v>2600</v>
      </c>
      <c r="Q277" s="1337"/>
      <c r="R277" s="1337"/>
      <c r="S277" s="1337"/>
      <c r="T277" s="1337"/>
      <c r="U277" s="1337"/>
      <c r="V277" s="1337"/>
      <c r="W277" s="1338"/>
      <c r="X277" s="129">
        <v>16</v>
      </c>
    </row>
    <row r="278" spans="1:24" x14ac:dyDescent="0.45">
      <c r="B278" s="118">
        <f t="shared" si="11"/>
        <v>245</v>
      </c>
      <c r="C278" s="126" t="s">
        <v>1990</v>
      </c>
      <c r="D278" s="126" t="s">
        <v>37</v>
      </c>
      <c r="E278" s="126" t="s">
        <v>1991</v>
      </c>
      <c r="F278" s="126" t="s">
        <v>2412</v>
      </c>
      <c r="H278" s="127"/>
      <c r="I278" s="127"/>
      <c r="J278" s="127"/>
      <c r="K278" s="1336" t="s">
        <v>2408</v>
      </c>
      <c r="L278" s="1337"/>
      <c r="M278" s="1337"/>
      <c r="N278" s="1337"/>
      <c r="O278" s="1338"/>
      <c r="P278" s="127"/>
      <c r="Q278" s="127"/>
      <c r="R278" s="127"/>
      <c r="S278" s="1336" t="s">
        <v>2566</v>
      </c>
      <c r="T278" s="1337"/>
      <c r="U278" s="1337"/>
      <c r="V278" s="1337"/>
      <c r="W278" s="1338"/>
      <c r="X278" s="129">
        <v>10</v>
      </c>
    </row>
    <row r="279" spans="1:24" x14ac:dyDescent="0.45">
      <c r="B279" s="118">
        <f t="shared" si="11"/>
        <v>246</v>
      </c>
      <c r="C279" s="126" t="s">
        <v>2438</v>
      </c>
      <c r="D279" s="126" t="s">
        <v>37</v>
      </c>
      <c r="E279" s="126" t="s">
        <v>2439</v>
      </c>
      <c r="F279" s="126" t="s">
        <v>2412</v>
      </c>
      <c r="H279" s="1336" t="s">
        <v>2601</v>
      </c>
      <c r="I279" s="1338"/>
      <c r="J279" s="1336" t="s">
        <v>1098</v>
      </c>
      <c r="K279" s="1337"/>
      <c r="L279" s="1337"/>
      <c r="M279" s="1337"/>
      <c r="N279" s="1337"/>
      <c r="O279" s="1338"/>
      <c r="P279" s="127"/>
      <c r="Q279" s="127"/>
      <c r="R279" s="127"/>
      <c r="S279" s="1336" t="s">
        <v>2567</v>
      </c>
      <c r="T279" s="1337"/>
      <c r="U279" s="1337"/>
      <c r="V279" s="1337"/>
      <c r="W279" s="1338"/>
      <c r="X279" s="129">
        <v>5</v>
      </c>
    </row>
    <row r="280" spans="1:24" x14ac:dyDescent="0.45">
      <c r="B280" s="118"/>
      <c r="X280" s="129">
        <f>SUM(X274:X279)</f>
        <v>56</v>
      </c>
    </row>
    <row r="281" spans="1:24" s="129" customFormat="1" x14ac:dyDescent="0.45">
      <c r="A281" s="31"/>
      <c r="B281" s="118"/>
      <c r="C281" s="131" t="s">
        <v>1831</v>
      </c>
      <c r="D281" s="213" t="s">
        <v>329</v>
      </c>
      <c r="E281" s="213" t="s">
        <v>21</v>
      </c>
      <c r="F281" s="213" t="s">
        <v>22</v>
      </c>
      <c r="G281" s="213"/>
      <c r="H281" s="213" t="s">
        <v>252</v>
      </c>
      <c r="I281" s="213" t="s">
        <v>253</v>
      </c>
      <c r="J281" s="213" t="s">
        <v>282</v>
      </c>
      <c r="K281" s="213" t="s">
        <v>283</v>
      </c>
      <c r="L281" s="213" t="s">
        <v>256</v>
      </c>
      <c r="M281" s="213" t="s">
        <v>257</v>
      </c>
      <c r="N281" s="213" t="s">
        <v>25</v>
      </c>
      <c r="O281" s="213" t="s">
        <v>26</v>
      </c>
      <c r="P281" s="213" t="s">
        <v>27</v>
      </c>
      <c r="Q281" s="213" t="s">
        <v>28</v>
      </c>
      <c r="R281" s="213" t="s">
        <v>29</v>
      </c>
      <c r="S281" s="213" t="s">
        <v>30</v>
      </c>
      <c r="T281" s="213" t="s">
        <v>31</v>
      </c>
      <c r="U281" s="213" t="s">
        <v>32</v>
      </c>
      <c r="V281" s="213" t="s">
        <v>33</v>
      </c>
      <c r="W281" s="213" t="s">
        <v>34</v>
      </c>
    </row>
    <row r="282" spans="1:24" x14ac:dyDescent="0.45">
      <c r="B282" s="118"/>
      <c r="C282" s="707"/>
      <c r="D282" s="132"/>
      <c r="E282" s="132"/>
      <c r="F282" s="132"/>
      <c r="G282" s="707"/>
      <c r="H282" s="707"/>
      <c r="I282" s="707"/>
      <c r="J282" s="707"/>
      <c r="K282" s="707"/>
      <c r="L282" s="707"/>
      <c r="M282" s="707"/>
      <c r="N282" s="707"/>
      <c r="O282" s="707"/>
      <c r="P282" s="707"/>
      <c r="Q282" s="707"/>
      <c r="R282" s="707"/>
      <c r="S282" s="707"/>
      <c r="T282" s="707"/>
      <c r="U282" s="707"/>
      <c r="V282" s="707"/>
      <c r="W282" s="707"/>
    </row>
    <row r="283" spans="1:24" s="129" customFormat="1" x14ac:dyDescent="0.45">
      <c r="A283" s="31"/>
      <c r="B283" s="118">
        <v>1</v>
      </c>
      <c r="C283" s="126" t="s">
        <v>1734</v>
      </c>
      <c r="D283" s="126" t="s">
        <v>66</v>
      </c>
      <c r="E283" s="126" t="s">
        <v>38</v>
      </c>
      <c r="F283" s="126" t="s">
        <v>344</v>
      </c>
      <c r="G283" s="126"/>
      <c r="H283" s="1305" t="s">
        <v>1811</v>
      </c>
      <c r="I283" s="1306"/>
      <c r="J283" s="1306"/>
      <c r="K283" s="1306"/>
      <c r="L283" s="1306"/>
      <c r="M283" s="1306"/>
      <c r="N283" s="1306"/>
      <c r="O283" s="1306"/>
      <c r="P283" s="1306"/>
      <c r="Q283" s="1306"/>
      <c r="R283" s="1306"/>
      <c r="S283" s="1306"/>
      <c r="T283" s="1306"/>
      <c r="U283" s="1306"/>
      <c r="V283" s="1306"/>
      <c r="W283" s="1307"/>
    </row>
    <row r="284" spans="1:24" s="129" customFormat="1" x14ac:dyDescent="0.45">
      <c r="A284" s="31"/>
      <c r="B284" s="118">
        <v>2</v>
      </c>
      <c r="C284" s="126" t="s">
        <v>1735</v>
      </c>
      <c r="D284" s="126" t="s">
        <v>66</v>
      </c>
      <c r="E284" s="126" t="s">
        <v>130</v>
      </c>
      <c r="F284" s="126" t="s">
        <v>344</v>
      </c>
      <c r="G284" s="126"/>
      <c r="H284" s="1305" t="s">
        <v>2198</v>
      </c>
      <c r="I284" s="1306"/>
      <c r="J284" s="1306"/>
      <c r="K284" s="1306"/>
      <c r="L284" s="1306"/>
      <c r="M284" s="1306"/>
      <c r="N284" s="1306"/>
      <c r="O284" s="1306"/>
      <c r="P284" s="1307"/>
      <c r="Q284" s="1305" t="s">
        <v>1813</v>
      </c>
      <c r="R284" s="1306"/>
      <c r="S284" s="1306"/>
      <c r="T284" s="1306"/>
      <c r="U284" s="1306"/>
      <c r="V284" s="1306"/>
      <c r="W284" s="1307"/>
    </row>
    <row r="285" spans="1:24" s="129" customFormat="1" x14ac:dyDescent="0.45">
      <c r="A285" s="31"/>
      <c r="B285" s="118">
        <v>3</v>
      </c>
      <c r="C285" s="126" t="s">
        <v>1736</v>
      </c>
      <c r="D285" s="126" t="s">
        <v>66</v>
      </c>
      <c r="E285" s="126" t="s">
        <v>2440</v>
      </c>
      <c r="F285" s="126" t="s">
        <v>344</v>
      </c>
      <c r="G285" s="126"/>
      <c r="H285" s="128"/>
      <c r="I285" s="128"/>
      <c r="J285" s="128"/>
      <c r="K285" s="205" t="s">
        <v>1004</v>
      </c>
      <c r="L285" s="1305" t="s">
        <v>1812</v>
      </c>
      <c r="M285" s="1306"/>
      <c r="N285" s="1306"/>
      <c r="O285" s="1306"/>
      <c r="P285" s="1306"/>
      <c r="Q285" s="1306"/>
      <c r="R285" s="1306"/>
      <c r="S285" s="1306"/>
      <c r="T285" s="1306"/>
      <c r="U285" s="1306"/>
      <c r="V285" s="1306"/>
      <c r="W285" s="1307"/>
    </row>
    <row r="286" spans="1:24" s="129" customFormat="1" x14ac:dyDescent="0.45">
      <c r="B286" s="118">
        <v>4</v>
      </c>
      <c r="C286" s="126" t="s">
        <v>1727</v>
      </c>
      <c r="D286" s="126" t="s">
        <v>37</v>
      </c>
      <c r="E286" s="126" t="s">
        <v>43</v>
      </c>
      <c r="F286" s="126" t="s">
        <v>1037</v>
      </c>
      <c r="G286" s="126"/>
      <c r="H286" s="1305" t="s">
        <v>1802</v>
      </c>
      <c r="I286" s="1306"/>
      <c r="J286" s="1306"/>
      <c r="K286" s="1306"/>
      <c r="L286" s="1306"/>
      <c r="M286" s="1306"/>
      <c r="N286" s="1306"/>
      <c r="O286" s="1306"/>
      <c r="P286" s="1307"/>
      <c r="Q286" s="1305" t="s">
        <v>1018</v>
      </c>
      <c r="R286" s="1306"/>
      <c r="S286" s="1306"/>
      <c r="T286" s="1306"/>
      <c r="U286" s="1306"/>
      <c r="V286" s="1306"/>
      <c r="W286" s="1307"/>
    </row>
    <row r="287" spans="1:24" s="129" customFormat="1" x14ac:dyDescent="0.45">
      <c r="B287" s="118">
        <v>5</v>
      </c>
      <c r="C287" s="126" t="s">
        <v>1728</v>
      </c>
      <c r="D287" s="126" t="s">
        <v>37</v>
      </c>
      <c r="E287" s="126" t="s">
        <v>44</v>
      </c>
      <c r="F287" s="126" t="s">
        <v>1065</v>
      </c>
      <c r="G287" s="126"/>
      <c r="H287" s="1305" t="s">
        <v>1025</v>
      </c>
      <c r="I287" s="1306"/>
      <c r="J287" s="1306"/>
      <c r="K287" s="1307"/>
      <c r="L287" s="128"/>
      <c r="M287" s="128"/>
      <c r="N287" s="128"/>
      <c r="O287" s="1305" t="s">
        <v>1803</v>
      </c>
      <c r="P287" s="1306"/>
      <c r="Q287" s="1306"/>
      <c r="R287" s="1306"/>
      <c r="S287" s="1306"/>
      <c r="T287" s="1306"/>
      <c r="U287" s="1306"/>
      <c r="V287" s="1306"/>
      <c r="W287" s="1307"/>
    </row>
    <row r="288" spans="1:24" s="129" customFormat="1" x14ac:dyDescent="0.45">
      <c r="A288" s="126"/>
      <c r="B288" s="118">
        <v>6</v>
      </c>
      <c r="C288" s="126" t="s">
        <v>1729</v>
      </c>
      <c r="D288" s="126" t="s">
        <v>37</v>
      </c>
      <c r="E288" s="126" t="s">
        <v>137</v>
      </c>
      <c r="F288" s="126" t="s">
        <v>1066</v>
      </c>
      <c r="G288" s="126"/>
      <c r="H288" s="1305" t="s">
        <v>1806</v>
      </c>
      <c r="I288" s="1306"/>
      <c r="J288" s="1306"/>
      <c r="K288" s="1306"/>
      <c r="L288" s="1306"/>
      <c r="M288" s="1306"/>
      <c r="N288" s="1306"/>
      <c r="O288" s="1306"/>
      <c r="P288" s="1306"/>
      <c r="Q288" s="1307"/>
      <c r="R288" s="1305" t="s">
        <v>1804</v>
      </c>
      <c r="S288" s="1306"/>
      <c r="T288" s="1306"/>
      <c r="U288" s="1306"/>
      <c r="V288" s="1306"/>
      <c r="W288" s="1307"/>
    </row>
    <row r="289" spans="1:29" s="129" customFormat="1" x14ac:dyDescent="0.45">
      <c r="A289" s="31"/>
      <c r="B289" s="118"/>
      <c r="C289" s="126"/>
      <c r="D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</row>
    <row r="290" spans="1:29" s="129" customFormat="1" x14ac:dyDescent="0.45">
      <c r="A290" s="31"/>
      <c r="B290" s="118">
        <f>B288+1</f>
        <v>7</v>
      </c>
      <c r="C290" s="126" t="s">
        <v>1751</v>
      </c>
      <c r="D290" s="126" t="s">
        <v>66</v>
      </c>
      <c r="E290" s="126" t="s">
        <v>46</v>
      </c>
      <c r="F290" s="126" t="s">
        <v>344</v>
      </c>
      <c r="G290" s="126"/>
      <c r="H290" s="1305" t="s">
        <v>1832</v>
      </c>
      <c r="I290" s="1306"/>
      <c r="J290" s="1306"/>
      <c r="K290" s="1306"/>
      <c r="L290" s="1306"/>
      <c r="M290" s="1306"/>
      <c r="N290" s="1306"/>
      <c r="O290" s="1306"/>
      <c r="P290" s="1306"/>
      <c r="Q290" s="1306"/>
      <c r="R290" s="1306"/>
      <c r="S290" s="1306"/>
      <c r="T290" s="1306"/>
      <c r="U290" s="1306"/>
      <c r="V290" s="1306"/>
      <c r="W290" s="1307"/>
    </row>
    <row r="291" spans="1:29" s="129" customFormat="1" x14ac:dyDescent="0.45">
      <c r="A291" s="31"/>
      <c r="B291" s="118">
        <f>B290+1</f>
        <v>8</v>
      </c>
      <c r="C291" s="126" t="s">
        <v>1752</v>
      </c>
      <c r="D291" s="126" t="s">
        <v>66</v>
      </c>
      <c r="E291" s="126" t="s">
        <v>140</v>
      </c>
      <c r="F291" s="126" t="s">
        <v>344</v>
      </c>
      <c r="G291" s="126"/>
      <c r="H291" s="1305" t="s">
        <v>2199</v>
      </c>
      <c r="I291" s="1306"/>
      <c r="J291" s="1306"/>
      <c r="K291" s="1306"/>
      <c r="L291" s="1306"/>
      <c r="M291" s="1306"/>
      <c r="N291" s="1306"/>
      <c r="O291" s="1307"/>
      <c r="P291" s="127"/>
      <c r="Q291" s="1305" t="s">
        <v>1833</v>
      </c>
      <c r="R291" s="1306"/>
      <c r="S291" s="1306"/>
      <c r="T291" s="1306"/>
      <c r="U291" s="1306"/>
      <c r="V291" s="1306"/>
      <c r="W291" s="1307"/>
    </row>
    <row r="292" spans="1:29" s="129" customFormat="1" x14ac:dyDescent="0.45">
      <c r="A292" s="31"/>
      <c r="B292" s="118">
        <f t="shared" ref="B292:B295" si="12">B291+1</f>
        <v>9</v>
      </c>
      <c r="C292" s="126" t="s">
        <v>1753</v>
      </c>
      <c r="D292" s="126" t="s">
        <v>66</v>
      </c>
      <c r="E292" s="126" t="s">
        <v>49</v>
      </c>
      <c r="F292" s="126" t="s">
        <v>344</v>
      </c>
      <c r="G292" s="126"/>
      <c r="H292" s="128"/>
      <c r="I292" s="128"/>
      <c r="J292" s="128"/>
      <c r="K292" s="205" t="s">
        <v>1004</v>
      </c>
      <c r="L292" s="1305" t="s">
        <v>1817</v>
      </c>
      <c r="M292" s="1306"/>
      <c r="N292" s="1306"/>
      <c r="O292" s="1306"/>
      <c r="P292" s="1306"/>
      <c r="Q292" s="1306"/>
      <c r="R292" s="1306"/>
      <c r="S292" s="1306"/>
      <c r="T292" s="1306"/>
      <c r="U292" s="1306"/>
      <c r="V292" s="1306"/>
      <c r="W292" s="1307"/>
    </row>
    <row r="293" spans="1:29" s="129" customFormat="1" x14ac:dyDescent="0.45">
      <c r="A293" s="126"/>
      <c r="B293" s="118">
        <f t="shared" si="12"/>
        <v>10</v>
      </c>
      <c r="C293" s="126" t="s">
        <v>1744</v>
      </c>
      <c r="D293" s="126" t="s">
        <v>37</v>
      </c>
      <c r="E293" s="126" t="s">
        <v>52</v>
      </c>
      <c r="F293" s="126" t="s">
        <v>1037</v>
      </c>
      <c r="G293" s="126"/>
      <c r="H293" s="1305" t="s">
        <v>1904</v>
      </c>
      <c r="I293" s="1306"/>
      <c r="J293" s="1306"/>
      <c r="K293" s="1306"/>
      <c r="L293" s="1306"/>
      <c r="M293" s="1306"/>
      <c r="N293" s="1306"/>
      <c r="O293" s="1306"/>
      <c r="P293" s="1307"/>
      <c r="Q293" s="1305" t="s">
        <v>1897</v>
      </c>
      <c r="R293" s="1306"/>
      <c r="S293" s="1306"/>
      <c r="T293" s="1306"/>
      <c r="U293" s="1306"/>
      <c r="V293" s="1306"/>
      <c r="W293" s="1307"/>
    </row>
    <row r="294" spans="1:29" s="129" customFormat="1" x14ac:dyDescent="0.45">
      <c r="B294" s="118">
        <f t="shared" si="12"/>
        <v>11</v>
      </c>
      <c r="C294" s="126" t="s">
        <v>1745</v>
      </c>
      <c r="D294" s="126" t="s">
        <v>37</v>
      </c>
      <c r="E294" s="126" t="s">
        <v>144</v>
      </c>
      <c r="F294" s="126" t="s">
        <v>1065</v>
      </c>
      <c r="G294" s="126"/>
      <c r="H294" s="1305" t="s">
        <v>1903</v>
      </c>
      <c r="I294" s="1306"/>
      <c r="J294" s="1306"/>
      <c r="K294" s="1307"/>
      <c r="L294" s="128"/>
      <c r="M294" s="128"/>
      <c r="N294" s="128"/>
      <c r="O294" s="1305" t="s">
        <v>1898</v>
      </c>
      <c r="P294" s="1306"/>
      <c r="Q294" s="1306"/>
      <c r="R294" s="1306"/>
      <c r="S294" s="1306"/>
      <c r="T294" s="1306"/>
      <c r="U294" s="1306"/>
      <c r="V294" s="1306"/>
      <c r="W294" s="1307"/>
    </row>
    <row r="295" spans="1:29" s="129" customFormat="1" x14ac:dyDescent="0.45">
      <c r="B295" s="118">
        <f t="shared" si="12"/>
        <v>12</v>
      </c>
      <c r="C295" s="126" t="s">
        <v>1746</v>
      </c>
      <c r="D295" s="126" t="s">
        <v>37</v>
      </c>
      <c r="E295" s="126" t="s">
        <v>67</v>
      </c>
      <c r="F295" s="126" t="s">
        <v>1066</v>
      </c>
      <c r="G295" s="126"/>
      <c r="H295" s="1305" t="s">
        <v>1902</v>
      </c>
      <c r="I295" s="1306"/>
      <c r="J295" s="1306"/>
      <c r="K295" s="1306"/>
      <c r="L295" s="1306"/>
      <c r="M295" s="1306"/>
      <c r="N295" s="1306"/>
      <c r="O295" s="1306"/>
      <c r="P295" s="1306"/>
      <c r="Q295" s="1307"/>
      <c r="R295" s="1305" t="s">
        <v>1899</v>
      </c>
      <c r="S295" s="1306"/>
      <c r="T295" s="1306"/>
      <c r="U295" s="1306"/>
      <c r="V295" s="1306"/>
      <c r="W295" s="1307"/>
    </row>
    <row r="296" spans="1:29" s="129" customFormat="1" x14ac:dyDescent="0.45">
      <c r="A296" s="31"/>
      <c r="B296" s="118"/>
      <c r="C296" s="126"/>
      <c r="D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</row>
    <row r="297" spans="1:29" s="129" customFormat="1" x14ac:dyDescent="0.45">
      <c r="B297" s="118">
        <f>B295+1</f>
        <v>13</v>
      </c>
      <c r="C297" s="126" t="s">
        <v>1768</v>
      </c>
      <c r="D297" s="126" t="s">
        <v>66</v>
      </c>
      <c r="E297" s="126" t="s">
        <v>72</v>
      </c>
      <c r="F297" s="126" t="s">
        <v>344</v>
      </c>
      <c r="G297" s="126"/>
      <c r="H297" s="1305" t="s">
        <v>1835</v>
      </c>
      <c r="I297" s="1306"/>
      <c r="J297" s="1306"/>
      <c r="K297" s="1306"/>
      <c r="L297" s="1306"/>
      <c r="M297" s="1306"/>
      <c r="N297" s="1306"/>
      <c r="O297" s="1306"/>
      <c r="P297" s="1306"/>
      <c r="Q297" s="1306"/>
      <c r="R297" s="1306"/>
      <c r="S297" s="1306"/>
      <c r="T297" s="1306"/>
      <c r="U297" s="1306"/>
      <c r="V297" s="1306"/>
      <c r="W297" s="1307"/>
    </row>
    <row r="298" spans="1:29" s="129" customFormat="1" x14ac:dyDescent="0.45">
      <c r="B298" s="118">
        <f>B297+1</f>
        <v>14</v>
      </c>
      <c r="C298" s="126" t="s">
        <v>1769</v>
      </c>
      <c r="D298" s="126" t="s">
        <v>66</v>
      </c>
      <c r="E298" s="126" t="s">
        <v>76</v>
      </c>
      <c r="F298" s="126" t="s">
        <v>344</v>
      </c>
      <c r="G298" s="126"/>
      <c r="H298" s="1305" t="s">
        <v>2200</v>
      </c>
      <c r="I298" s="1306"/>
      <c r="J298" s="1306"/>
      <c r="K298" s="1306"/>
      <c r="L298" s="1306"/>
      <c r="M298" s="1306"/>
      <c r="N298" s="1306"/>
      <c r="O298" s="1307"/>
      <c r="P298" s="127"/>
      <c r="Q298" s="1305" t="s">
        <v>1834</v>
      </c>
      <c r="R298" s="1306"/>
      <c r="S298" s="1306"/>
      <c r="T298" s="1306"/>
      <c r="U298" s="1306"/>
      <c r="V298" s="1306"/>
      <c r="W298" s="1307"/>
    </row>
    <row r="299" spans="1:29" s="129" customFormat="1" x14ac:dyDescent="0.45">
      <c r="A299" s="31"/>
      <c r="B299" s="118">
        <f t="shared" ref="B299:B302" si="13">B298+1</f>
        <v>15</v>
      </c>
      <c r="C299" s="126" t="s">
        <v>1770</v>
      </c>
      <c r="D299" s="126" t="s">
        <v>66</v>
      </c>
      <c r="E299" s="126" t="s">
        <v>79</v>
      </c>
      <c r="F299" s="126" t="s">
        <v>344</v>
      </c>
      <c r="G299" s="126"/>
      <c r="H299" s="128"/>
      <c r="I299" s="128"/>
      <c r="J299" s="128"/>
      <c r="K299" s="205" t="s">
        <v>1004</v>
      </c>
      <c r="L299" s="1305" t="s">
        <v>1836</v>
      </c>
      <c r="M299" s="1306"/>
      <c r="N299" s="1306"/>
      <c r="O299" s="1306"/>
      <c r="P299" s="1306"/>
      <c r="Q299" s="1306"/>
      <c r="R299" s="1306"/>
      <c r="S299" s="1306"/>
      <c r="T299" s="1306"/>
      <c r="U299" s="1306"/>
      <c r="V299" s="1306"/>
      <c r="W299" s="1307"/>
    </row>
    <row r="300" spans="1:29" s="129" customFormat="1" x14ac:dyDescent="0.45">
      <c r="B300" s="118">
        <f t="shared" si="13"/>
        <v>16</v>
      </c>
      <c r="C300" s="126" t="s">
        <v>1761</v>
      </c>
      <c r="D300" s="126" t="s">
        <v>37</v>
      </c>
      <c r="E300" s="126" t="s">
        <v>81</v>
      </c>
      <c r="F300" s="126" t="s">
        <v>1037</v>
      </c>
      <c r="G300" s="126"/>
      <c r="H300" s="1305" t="s">
        <v>1911</v>
      </c>
      <c r="I300" s="1306"/>
      <c r="J300" s="1306"/>
      <c r="K300" s="1306"/>
      <c r="L300" s="1306"/>
      <c r="M300" s="1306"/>
      <c r="N300" s="1306"/>
      <c r="O300" s="1306"/>
      <c r="P300" s="1307"/>
      <c r="Q300" s="1305" t="s">
        <v>1920</v>
      </c>
      <c r="R300" s="1306"/>
      <c r="S300" s="1306"/>
      <c r="T300" s="1306"/>
      <c r="U300" s="1306"/>
      <c r="V300" s="1306"/>
      <c r="W300" s="1307"/>
    </row>
    <row r="301" spans="1:29" s="129" customFormat="1" x14ac:dyDescent="0.45">
      <c r="B301" s="118">
        <f t="shared" si="13"/>
        <v>17</v>
      </c>
      <c r="C301" s="126" t="s">
        <v>1762</v>
      </c>
      <c r="D301" s="126" t="s">
        <v>37</v>
      </c>
      <c r="E301" s="126" t="s">
        <v>83</v>
      </c>
      <c r="F301" s="126" t="s">
        <v>1065</v>
      </c>
      <c r="G301" s="126"/>
      <c r="H301" s="1305" t="s">
        <v>1912</v>
      </c>
      <c r="I301" s="1306"/>
      <c r="J301" s="1306"/>
      <c r="K301" s="1307"/>
      <c r="L301" s="128"/>
      <c r="M301" s="128"/>
      <c r="N301" s="128"/>
      <c r="O301" s="1305" t="s">
        <v>1921</v>
      </c>
      <c r="P301" s="1306"/>
      <c r="Q301" s="1306"/>
      <c r="R301" s="1306"/>
      <c r="S301" s="1306"/>
      <c r="T301" s="1306"/>
      <c r="U301" s="1306"/>
      <c r="V301" s="1306"/>
      <c r="W301" s="1307"/>
    </row>
    <row r="302" spans="1:29" s="129" customFormat="1" x14ac:dyDescent="0.45">
      <c r="B302" s="118">
        <f t="shared" si="13"/>
        <v>18</v>
      </c>
      <c r="C302" s="126" t="s">
        <v>1763</v>
      </c>
      <c r="D302" s="126" t="s">
        <v>37</v>
      </c>
      <c r="E302" s="126" t="s">
        <v>210</v>
      </c>
      <c r="F302" s="126" t="s">
        <v>1066</v>
      </c>
      <c r="G302" s="126"/>
      <c r="H302" s="1305" t="s">
        <v>1913</v>
      </c>
      <c r="I302" s="1306"/>
      <c r="J302" s="1306"/>
      <c r="K302" s="1306"/>
      <c r="L302" s="1306"/>
      <c r="M302" s="1306"/>
      <c r="N302" s="1306"/>
      <c r="O302" s="1306"/>
      <c r="P302" s="1306"/>
      <c r="Q302" s="1307"/>
      <c r="R302" s="1305" t="s">
        <v>1922</v>
      </c>
      <c r="S302" s="1306"/>
      <c r="T302" s="1306"/>
      <c r="U302" s="1306"/>
      <c r="V302" s="1306"/>
      <c r="W302" s="1307"/>
    </row>
    <row r="303" spans="1:29" x14ac:dyDescent="0.45">
      <c r="B303" s="118"/>
      <c r="D303" s="31"/>
    </row>
    <row r="304" spans="1:29" x14ac:dyDescent="0.45">
      <c r="B304" s="118">
        <f>B302+1</f>
        <v>19</v>
      </c>
      <c r="C304" s="126" t="s">
        <v>2455</v>
      </c>
      <c r="D304" s="126" t="s">
        <v>37</v>
      </c>
      <c r="E304" s="126" t="s">
        <v>2477</v>
      </c>
      <c r="F304" s="126" t="s">
        <v>331</v>
      </c>
      <c r="H304" s="127"/>
      <c r="I304" s="128"/>
      <c r="J304" s="128"/>
      <c r="K304" s="205" t="s">
        <v>2214</v>
      </c>
      <c r="L304" s="127"/>
      <c r="M304" s="127"/>
      <c r="N304" s="127"/>
      <c r="O304" s="205" t="s">
        <v>2456</v>
      </c>
      <c r="P304" s="127"/>
      <c r="Q304" s="127"/>
      <c r="R304" s="127"/>
      <c r="S304" s="205" t="s">
        <v>2457</v>
      </c>
      <c r="T304" s="127"/>
      <c r="U304" s="1305" t="s">
        <v>2458</v>
      </c>
      <c r="V304" s="1306"/>
      <c r="W304" s="1307"/>
    </row>
  </sheetData>
  <mergeCells count="365">
    <mergeCell ref="U10:W10"/>
    <mergeCell ref="H301:K301"/>
    <mergeCell ref="O301:W301"/>
    <mergeCell ref="H302:Q302"/>
    <mergeCell ref="R302:W302"/>
    <mergeCell ref="U304:W304"/>
    <mergeCell ref="N61:O61"/>
    <mergeCell ref="N63:O63"/>
    <mergeCell ref="S278:W278"/>
    <mergeCell ref="S279:W279"/>
    <mergeCell ref="H277:O277"/>
    <mergeCell ref="H297:W297"/>
    <mergeCell ref="H298:O298"/>
    <mergeCell ref="Q298:W298"/>
    <mergeCell ref="L299:W299"/>
    <mergeCell ref="H300:P300"/>
    <mergeCell ref="Q300:W300"/>
    <mergeCell ref="L292:W292"/>
    <mergeCell ref="H293:P293"/>
    <mergeCell ref="Q293:W293"/>
    <mergeCell ref="H294:K294"/>
    <mergeCell ref="O294:W294"/>
    <mergeCell ref="H295:Q295"/>
    <mergeCell ref="R295:W295"/>
    <mergeCell ref="H288:Q288"/>
    <mergeCell ref="R288:W288"/>
    <mergeCell ref="H290:W290"/>
    <mergeCell ref="H291:O291"/>
    <mergeCell ref="Q291:W291"/>
    <mergeCell ref="H283:W283"/>
    <mergeCell ref="H284:P284"/>
    <mergeCell ref="Q284:W284"/>
    <mergeCell ref="L285:W285"/>
    <mergeCell ref="H286:P286"/>
    <mergeCell ref="Q286:W286"/>
    <mergeCell ref="J276:O276"/>
    <mergeCell ref="K278:O278"/>
    <mergeCell ref="H269:W269"/>
    <mergeCell ref="R270:S270"/>
    <mergeCell ref="T270:W270"/>
    <mergeCell ref="L272:W272"/>
    <mergeCell ref="K275:O275"/>
    <mergeCell ref="S275:W275"/>
    <mergeCell ref="O287:W287"/>
    <mergeCell ref="J279:O279"/>
    <mergeCell ref="H279:I279"/>
    <mergeCell ref="P276:W276"/>
    <mergeCell ref="P277:W277"/>
    <mergeCell ref="H287:K287"/>
    <mergeCell ref="L260:W260"/>
    <mergeCell ref="L261:W261"/>
    <mergeCell ref="L262:W262"/>
    <mergeCell ref="L263:W263"/>
    <mergeCell ref="L264:W264"/>
    <mergeCell ref="L265:W265"/>
    <mergeCell ref="L254:W254"/>
    <mergeCell ref="L255:W255"/>
    <mergeCell ref="L256:W256"/>
    <mergeCell ref="L257:W257"/>
    <mergeCell ref="L258:W258"/>
    <mergeCell ref="L259:W259"/>
    <mergeCell ref="L248:W248"/>
    <mergeCell ref="L249:W249"/>
    <mergeCell ref="L250:W250"/>
    <mergeCell ref="L251:W251"/>
    <mergeCell ref="L252:W252"/>
    <mergeCell ref="L253:W253"/>
    <mergeCell ref="L242:W242"/>
    <mergeCell ref="L243:W243"/>
    <mergeCell ref="L244:W244"/>
    <mergeCell ref="L245:W245"/>
    <mergeCell ref="L246:W246"/>
    <mergeCell ref="L247:W247"/>
    <mergeCell ref="L236:W236"/>
    <mergeCell ref="L237:W237"/>
    <mergeCell ref="L238:W238"/>
    <mergeCell ref="L239:W239"/>
    <mergeCell ref="L240:W240"/>
    <mergeCell ref="L241:W241"/>
    <mergeCell ref="L230:W230"/>
    <mergeCell ref="L231:W231"/>
    <mergeCell ref="L232:W232"/>
    <mergeCell ref="L233:W233"/>
    <mergeCell ref="L234:W234"/>
    <mergeCell ref="L235:W235"/>
    <mergeCell ref="L224:W224"/>
    <mergeCell ref="L225:W225"/>
    <mergeCell ref="L226:W226"/>
    <mergeCell ref="L227:W227"/>
    <mergeCell ref="L228:W228"/>
    <mergeCell ref="L229:W229"/>
    <mergeCell ref="L218:W218"/>
    <mergeCell ref="L219:W219"/>
    <mergeCell ref="L220:W220"/>
    <mergeCell ref="L221:W221"/>
    <mergeCell ref="L222:W222"/>
    <mergeCell ref="L223:W223"/>
    <mergeCell ref="L212:W212"/>
    <mergeCell ref="L213:W213"/>
    <mergeCell ref="L214:W214"/>
    <mergeCell ref="L215:W215"/>
    <mergeCell ref="L216:W216"/>
    <mergeCell ref="L217:W217"/>
    <mergeCell ref="L206:W206"/>
    <mergeCell ref="L207:W207"/>
    <mergeCell ref="L208:W208"/>
    <mergeCell ref="L209:W209"/>
    <mergeCell ref="L210:W210"/>
    <mergeCell ref="L211:W211"/>
    <mergeCell ref="L200:W200"/>
    <mergeCell ref="L201:W201"/>
    <mergeCell ref="L202:W202"/>
    <mergeCell ref="L203:W203"/>
    <mergeCell ref="L204:W204"/>
    <mergeCell ref="L205:W205"/>
    <mergeCell ref="L194:W194"/>
    <mergeCell ref="L195:W195"/>
    <mergeCell ref="L196:W196"/>
    <mergeCell ref="L197:W197"/>
    <mergeCell ref="L198:W198"/>
    <mergeCell ref="L199:W199"/>
    <mergeCell ref="L188:W188"/>
    <mergeCell ref="L189:W189"/>
    <mergeCell ref="L190:W190"/>
    <mergeCell ref="L191:W191"/>
    <mergeCell ref="L192:W192"/>
    <mergeCell ref="L193:W193"/>
    <mergeCell ref="L182:W182"/>
    <mergeCell ref="L183:W183"/>
    <mergeCell ref="L184:W184"/>
    <mergeCell ref="L185:W185"/>
    <mergeCell ref="L186:W186"/>
    <mergeCell ref="L187:W187"/>
    <mergeCell ref="L176:W176"/>
    <mergeCell ref="L177:W177"/>
    <mergeCell ref="L178:W178"/>
    <mergeCell ref="L179:W179"/>
    <mergeCell ref="L180:W180"/>
    <mergeCell ref="L181:W181"/>
    <mergeCell ref="L170:W170"/>
    <mergeCell ref="L171:W171"/>
    <mergeCell ref="L172:W172"/>
    <mergeCell ref="L173:W173"/>
    <mergeCell ref="L174:W174"/>
    <mergeCell ref="L175:W175"/>
    <mergeCell ref="L164:W164"/>
    <mergeCell ref="L165:W165"/>
    <mergeCell ref="L166:W166"/>
    <mergeCell ref="L167:W167"/>
    <mergeCell ref="L168:W168"/>
    <mergeCell ref="L169:W169"/>
    <mergeCell ref="L158:W158"/>
    <mergeCell ref="L159:W159"/>
    <mergeCell ref="L160:W160"/>
    <mergeCell ref="L161:W161"/>
    <mergeCell ref="L162:W162"/>
    <mergeCell ref="L163:W163"/>
    <mergeCell ref="L152:W152"/>
    <mergeCell ref="L153:W153"/>
    <mergeCell ref="L154:W154"/>
    <mergeCell ref="L155:W155"/>
    <mergeCell ref="L156:W156"/>
    <mergeCell ref="L157:W157"/>
    <mergeCell ref="L146:W146"/>
    <mergeCell ref="L147:W147"/>
    <mergeCell ref="L148:W148"/>
    <mergeCell ref="L149:W149"/>
    <mergeCell ref="L150:W150"/>
    <mergeCell ref="L151:W151"/>
    <mergeCell ref="L140:W140"/>
    <mergeCell ref="L141:W141"/>
    <mergeCell ref="L142:W142"/>
    <mergeCell ref="L143:W143"/>
    <mergeCell ref="L144:W144"/>
    <mergeCell ref="L145:W145"/>
    <mergeCell ref="H135:K135"/>
    <mergeCell ref="L135:O135"/>
    <mergeCell ref="P135:S135"/>
    <mergeCell ref="T135:W135"/>
    <mergeCell ref="L138:W138"/>
    <mergeCell ref="L139:W139"/>
    <mergeCell ref="H133:K133"/>
    <mergeCell ref="L133:O133"/>
    <mergeCell ref="P133:S133"/>
    <mergeCell ref="T133:W133"/>
    <mergeCell ref="H134:K134"/>
    <mergeCell ref="L134:O134"/>
    <mergeCell ref="P134:S134"/>
    <mergeCell ref="T134:W134"/>
    <mergeCell ref="H131:K131"/>
    <mergeCell ref="L131:O131"/>
    <mergeCell ref="P131:S131"/>
    <mergeCell ref="T131:W131"/>
    <mergeCell ref="H132:K132"/>
    <mergeCell ref="L132:O132"/>
    <mergeCell ref="P132:S132"/>
    <mergeCell ref="T132:W132"/>
    <mergeCell ref="H126:W126"/>
    <mergeCell ref="L129:W129"/>
    <mergeCell ref="H130:K130"/>
    <mergeCell ref="L130:O130"/>
    <mergeCell ref="P130:S130"/>
    <mergeCell ref="T130:W130"/>
    <mergeCell ref="L120:W120"/>
    <mergeCell ref="L121:W121"/>
    <mergeCell ref="R123:S123"/>
    <mergeCell ref="V123:W123"/>
    <mergeCell ref="H124:W124"/>
    <mergeCell ref="R125:S125"/>
    <mergeCell ref="V125:W125"/>
    <mergeCell ref="H116:P116"/>
    <mergeCell ref="Q116:W116"/>
    <mergeCell ref="I117:O117"/>
    <mergeCell ref="Q117:W117"/>
    <mergeCell ref="O118:W118"/>
    <mergeCell ref="H119:W119"/>
    <mergeCell ref="O109:W109"/>
    <mergeCell ref="H110:W110"/>
    <mergeCell ref="L111:W111"/>
    <mergeCell ref="L112:W112"/>
    <mergeCell ref="H115:M115"/>
    <mergeCell ref="N115:R115"/>
    <mergeCell ref="S115:W115"/>
    <mergeCell ref="H106:M106"/>
    <mergeCell ref="N106:R106"/>
    <mergeCell ref="S106:W106"/>
    <mergeCell ref="H107:P107"/>
    <mergeCell ref="Q107:W107"/>
    <mergeCell ref="I108:O108"/>
    <mergeCell ref="Q108:W108"/>
    <mergeCell ref="I99:O99"/>
    <mergeCell ref="Q99:W99"/>
    <mergeCell ref="O100:W100"/>
    <mergeCell ref="H101:W101"/>
    <mergeCell ref="L102:W102"/>
    <mergeCell ref="L103:W103"/>
    <mergeCell ref="P94:S94"/>
    <mergeCell ref="T94:W94"/>
    <mergeCell ref="H97:M97"/>
    <mergeCell ref="N97:R97"/>
    <mergeCell ref="S97:W97"/>
    <mergeCell ref="H98:P98"/>
    <mergeCell ref="Q98:W98"/>
    <mergeCell ref="L89:W89"/>
    <mergeCell ref="L90:W90"/>
    <mergeCell ref="L91:W91"/>
    <mergeCell ref="P92:S92"/>
    <mergeCell ref="T92:W92"/>
    <mergeCell ref="P93:S93"/>
    <mergeCell ref="T93:W93"/>
    <mergeCell ref="L83:W83"/>
    <mergeCell ref="L84:W84"/>
    <mergeCell ref="L85:W85"/>
    <mergeCell ref="L86:W86"/>
    <mergeCell ref="L87:W87"/>
    <mergeCell ref="L88:W88"/>
    <mergeCell ref="H75:W75"/>
    <mergeCell ref="H76:W76"/>
    <mergeCell ref="H77:W77"/>
    <mergeCell ref="J79:K79"/>
    <mergeCell ref="N79:S79"/>
    <mergeCell ref="R78:W78"/>
    <mergeCell ref="N78:O78"/>
    <mergeCell ref="J63:K63"/>
    <mergeCell ref="S63:W63"/>
    <mergeCell ref="P64:W64"/>
    <mergeCell ref="H65:O65"/>
    <mergeCell ref="P65:W65"/>
    <mergeCell ref="L74:W74"/>
    <mergeCell ref="H58:I58"/>
    <mergeCell ref="K58:O58"/>
    <mergeCell ref="H60:W60"/>
    <mergeCell ref="J61:K61"/>
    <mergeCell ref="S61:W61"/>
    <mergeCell ref="H62:W62"/>
    <mergeCell ref="P68:W68"/>
    <mergeCell ref="H68:O68"/>
    <mergeCell ref="H69:O69"/>
    <mergeCell ref="P69:W69"/>
    <mergeCell ref="H70:O70"/>
    <mergeCell ref="P70:W70"/>
    <mergeCell ref="H71:O71"/>
    <mergeCell ref="P71:W71"/>
    <mergeCell ref="H72:O72"/>
    <mergeCell ref="P72:W72"/>
    <mergeCell ref="P55:W55"/>
    <mergeCell ref="H56:O56"/>
    <mergeCell ref="P56:W56"/>
    <mergeCell ref="H51:O51"/>
    <mergeCell ref="P51:W51"/>
    <mergeCell ref="H52:O52"/>
    <mergeCell ref="P52:W52"/>
    <mergeCell ref="H53:O53"/>
    <mergeCell ref="P53:W53"/>
    <mergeCell ref="H54:O54"/>
    <mergeCell ref="P54:W54"/>
    <mergeCell ref="H55:O55"/>
    <mergeCell ref="I43:M43"/>
    <mergeCell ref="N43:R43"/>
    <mergeCell ref="S43:W43"/>
    <mergeCell ref="I44:M44"/>
    <mergeCell ref="N44:R44"/>
    <mergeCell ref="S44:W44"/>
    <mergeCell ref="I41:M41"/>
    <mergeCell ref="N41:R41"/>
    <mergeCell ref="S41:W41"/>
    <mergeCell ref="I42:M42"/>
    <mergeCell ref="N42:R42"/>
    <mergeCell ref="S42:W42"/>
    <mergeCell ref="I32:K32"/>
    <mergeCell ref="Q32:S32"/>
    <mergeCell ref="H35:W35"/>
    <mergeCell ref="I39:M39"/>
    <mergeCell ref="N39:R39"/>
    <mergeCell ref="S39:W39"/>
    <mergeCell ref="I40:M40"/>
    <mergeCell ref="N40:R40"/>
    <mergeCell ref="S40:W40"/>
    <mergeCell ref="I37:M37"/>
    <mergeCell ref="N37:R37"/>
    <mergeCell ref="S37:W37"/>
    <mergeCell ref="I38:M38"/>
    <mergeCell ref="N38:R38"/>
    <mergeCell ref="S38:W38"/>
    <mergeCell ref="I33:O33"/>
    <mergeCell ref="Q33:W33"/>
    <mergeCell ref="H34:O34"/>
    <mergeCell ref="P34:W34"/>
    <mergeCell ref="S36:W36"/>
    <mergeCell ref="H30:O30"/>
    <mergeCell ref="P30:Q30"/>
    <mergeCell ref="I31:K31"/>
    <mergeCell ref="Q31:S31"/>
    <mergeCell ref="V11:W11"/>
    <mergeCell ref="R5:W5"/>
    <mergeCell ref="N6:O6"/>
    <mergeCell ref="R6:W6"/>
    <mergeCell ref="N7:O7"/>
    <mergeCell ref="R7:W7"/>
    <mergeCell ref="J18:O18"/>
    <mergeCell ref="R18:W18"/>
    <mergeCell ref="J19:O19"/>
    <mergeCell ref="R19:W19"/>
    <mergeCell ref="H21:W21"/>
    <mergeCell ref="H22:O22"/>
    <mergeCell ref="O13:W13"/>
    <mergeCell ref="O14:W14"/>
    <mergeCell ref="R15:W15"/>
    <mergeCell ref="J16:O16"/>
    <mergeCell ref="R16:W16"/>
    <mergeCell ref="J17:O17"/>
    <mergeCell ref="R17:W17"/>
    <mergeCell ref="V9:W9"/>
    <mergeCell ref="H48:O48"/>
    <mergeCell ref="P48:W48"/>
    <mergeCell ref="H49:O49"/>
    <mergeCell ref="P49:W49"/>
    <mergeCell ref="H50:O50"/>
    <mergeCell ref="P50:W50"/>
    <mergeCell ref="H45:O45"/>
    <mergeCell ref="P45:W45"/>
    <mergeCell ref="H46:O46"/>
    <mergeCell ref="P46:W46"/>
    <mergeCell ref="H47:O47"/>
    <mergeCell ref="P47:W4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EB68-BCE9-4B22-8C88-91BBDACBF929}">
  <sheetPr>
    <tabColor rgb="FF0000FF"/>
  </sheetPr>
  <dimension ref="B2:E49"/>
  <sheetViews>
    <sheetView workbookViewId="0"/>
  </sheetViews>
  <sheetFormatPr defaultRowHeight="17" x14ac:dyDescent="0.45"/>
  <cols>
    <col min="2" max="3" width="8.58203125" style="8" customWidth="1"/>
    <col min="4" max="4" width="30.5" style="4" bestFit="1" customWidth="1"/>
    <col min="5" max="5" width="65.4140625" bestFit="1" customWidth="1"/>
  </cols>
  <sheetData>
    <row r="2" spans="2:5" x14ac:dyDescent="0.45">
      <c r="B2" s="1051">
        <v>1</v>
      </c>
      <c r="C2" s="1051" t="s">
        <v>1625</v>
      </c>
      <c r="D2" s="1052" t="s">
        <v>2556</v>
      </c>
      <c r="E2" s="1053"/>
    </row>
    <row r="3" spans="2:5" x14ac:dyDescent="0.45">
      <c r="B3" s="1051">
        <v>2</v>
      </c>
      <c r="C3" s="1051" t="s">
        <v>1625</v>
      </c>
      <c r="D3" s="1052" t="s">
        <v>2589</v>
      </c>
      <c r="E3" s="1053" t="s">
        <v>2590</v>
      </c>
    </row>
    <row r="4" spans="2:5" x14ac:dyDescent="0.45">
      <c r="B4" s="1051">
        <v>3</v>
      </c>
      <c r="C4" s="1051" t="s">
        <v>1625</v>
      </c>
      <c r="D4" s="1052" t="s">
        <v>2414</v>
      </c>
      <c r="E4" s="1053" t="s">
        <v>2579</v>
      </c>
    </row>
    <row r="5" spans="2:5" x14ac:dyDescent="0.45">
      <c r="B5" s="1051">
        <v>4</v>
      </c>
      <c r="C5" s="1051" t="s">
        <v>1625</v>
      </c>
      <c r="D5" s="1052" t="s">
        <v>2415</v>
      </c>
      <c r="E5" s="1054" t="s">
        <v>2584</v>
      </c>
    </row>
    <row r="6" spans="2:5" x14ac:dyDescent="0.45">
      <c r="B6" s="1051">
        <v>5</v>
      </c>
      <c r="C6" s="1051" t="s">
        <v>1625</v>
      </c>
      <c r="D6" s="1052" t="s">
        <v>2551</v>
      </c>
      <c r="E6" s="1054" t="s">
        <v>2586</v>
      </c>
    </row>
    <row r="7" spans="2:5" ht="34" x14ac:dyDescent="0.45">
      <c r="B7" s="1051">
        <v>6</v>
      </c>
      <c r="C7" s="1051" t="s">
        <v>1625</v>
      </c>
      <c r="D7" s="1052" t="s">
        <v>2578</v>
      </c>
      <c r="E7" s="1079" t="s">
        <v>2593</v>
      </c>
    </row>
    <row r="8" spans="2:5" x14ac:dyDescent="0.45">
      <c r="B8" s="1051">
        <v>7</v>
      </c>
      <c r="C8" s="1051" t="s">
        <v>1625</v>
      </c>
      <c r="D8" s="1052" t="s">
        <v>2416</v>
      </c>
      <c r="E8" s="1054" t="s">
        <v>2417</v>
      </c>
    </row>
    <row r="9" spans="2:5" x14ac:dyDescent="0.45">
      <c r="B9" s="1051">
        <v>8</v>
      </c>
      <c r="C9" s="1051" t="s">
        <v>1625</v>
      </c>
      <c r="D9" s="1052" t="s">
        <v>2418</v>
      </c>
      <c r="E9" s="1054" t="s">
        <v>2419</v>
      </c>
    </row>
    <row r="10" spans="2:5" x14ac:dyDescent="0.45">
      <c r="B10" s="1051">
        <v>9</v>
      </c>
      <c r="C10" s="1051" t="s">
        <v>1625</v>
      </c>
      <c r="D10" s="1052" t="s">
        <v>70</v>
      </c>
      <c r="E10" s="1053" t="s">
        <v>2420</v>
      </c>
    </row>
    <row r="11" spans="2:5" x14ac:dyDescent="0.45">
      <c r="B11" s="1051">
        <v>10</v>
      </c>
      <c r="C11" s="1051" t="s">
        <v>1625</v>
      </c>
      <c r="D11" s="1052" t="s">
        <v>2421</v>
      </c>
      <c r="E11" s="1053" t="s">
        <v>2422</v>
      </c>
    </row>
    <row r="12" spans="2:5" x14ac:dyDescent="0.45">
      <c r="B12" s="1051">
        <v>11</v>
      </c>
      <c r="C12" s="1051" t="s">
        <v>1625</v>
      </c>
      <c r="D12" s="1052" t="s">
        <v>2423</v>
      </c>
      <c r="E12" s="1053" t="s">
        <v>2424</v>
      </c>
    </row>
    <row r="13" spans="2:5" x14ac:dyDescent="0.45">
      <c r="B13" s="1051">
        <v>12</v>
      </c>
      <c r="C13" s="1051" t="s">
        <v>1625</v>
      </c>
      <c r="D13" s="1055" t="s">
        <v>1923</v>
      </c>
      <c r="E13" s="1056" t="s">
        <v>2425</v>
      </c>
    </row>
    <row r="14" spans="2:5" x14ac:dyDescent="0.45">
      <c r="B14" s="1051">
        <v>13</v>
      </c>
      <c r="C14" s="1051" t="s">
        <v>1625</v>
      </c>
      <c r="D14" s="1052" t="s">
        <v>1923</v>
      </c>
      <c r="E14" s="1054" t="s">
        <v>2426</v>
      </c>
    </row>
    <row r="15" spans="2:5" ht="221" x14ac:dyDescent="0.45">
      <c r="B15" s="1051">
        <v>14</v>
      </c>
      <c r="C15" s="1051" t="s">
        <v>1625</v>
      </c>
      <c r="D15" s="1052" t="s">
        <v>2544</v>
      </c>
      <c r="E15" s="1079" t="s">
        <v>2548</v>
      </c>
    </row>
    <row r="16" spans="2:5" x14ac:dyDescent="0.45">
      <c r="B16" s="1051">
        <v>15</v>
      </c>
      <c r="C16" s="1051" t="s">
        <v>1625</v>
      </c>
      <c r="D16" s="1052" t="s">
        <v>2</v>
      </c>
      <c r="E16" s="1054" t="s">
        <v>2427</v>
      </c>
    </row>
    <row r="17" spans="2:5" x14ac:dyDescent="0.45">
      <c r="B17" s="1051">
        <v>16</v>
      </c>
      <c r="C17" s="1051" t="s">
        <v>1625</v>
      </c>
      <c r="D17" s="1052" t="s">
        <v>2549</v>
      </c>
      <c r="E17" s="1054" t="s">
        <v>2550</v>
      </c>
    </row>
    <row r="18" spans="2:5" x14ac:dyDescent="0.45">
      <c r="B18" s="1051">
        <v>17</v>
      </c>
      <c r="C18" s="1051" t="s">
        <v>1625</v>
      </c>
      <c r="D18" s="1052" t="s">
        <v>2546</v>
      </c>
      <c r="E18" s="1054" t="s">
        <v>2547</v>
      </c>
    </row>
    <row r="19" spans="2:5" x14ac:dyDescent="0.45">
      <c r="B19" s="1051">
        <v>18</v>
      </c>
      <c r="C19" s="1051" t="s">
        <v>1625</v>
      </c>
      <c r="D19" s="1052" t="s">
        <v>2540</v>
      </c>
      <c r="E19" s="1054" t="s">
        <v>2545</v>
      </c>
    </row>
    <row r="20" spans="2:5" ht="68" x14ac:dyDescent="0.45">
      <c r="B20" s="1051">
        <v>19</v>
      </c>
      <c r="C20" s="1051" t="s">
        <v>1625</v>
      </c>
      <c r="D20" s="1052" t="s">
        <v>2541</v>
      </c>
      <c r="E20" s="1079" t="s">
        <v>2542</v>
      </c>
    </row>
    <row r="21" spans="2:5" x14ac:dyDescent="0.45">
      <c r="B21" s="1051">
        <v>20</v>
      </c>
      <c r="C21" s="1051" t="s">
        <v>1625</v>
      </c>
      <c r="D21" s="1052" t="s">
        <v>2552</v>
      </c>
      <c r="E21" s="1054" t="s">
        <v>2553</v>
      </c>
    </row>
    <row r="22" spans="2:5" x14ac:dyDescent="0.45">
      <c r="B22" s="1051">
        <v>21</v>
      </c>
      <c r="C22" s="1051" t="s">
        <v>1625</v>
      </c>
      <c r="D22" s="1052" t="s">
        <v>2554</v>
      </c>
      <c r="E22" s="1054" t="s">
        <v>2555</v>
      </c>
    </row>
    <row r="23" spans="2:5" x14ac:dyDescent="0.45">
      <c r="B23" s="1051">
        <v>22</v>
      </c>
      <c r="C23" s="1051" t="s">
        <v>1625</v>
      </c>
      <c r="D23" s="1052" t="s">
        <v>2602</v>
      </c>
      <c r="E23" s="1054" t="s">
        <v>2603</v>
      </c>
    </row>
    <row r="24" spans="2:5" x14ac:dyDescent="0.45">
      <c r="B24" s="1051">
        <v>23</v>
      </c>
      <c r="C24" s="1051" t="s">
        <v>1625</v>
      </c>
      <c r="D24" s="1052" t="s">
        <v>2614</v>
      </c>
      <c r="E24" s="1054" t="s">
        <v>2615</v>
      </c>
    </row>
    <row r="25" spans="2:5" x14ac:dyDescent="0.45">
      <c r="B25" s="1051">
        <v>24</v>
      </c>
      <c r="C25" s="1051" t="s">
        <v>1625</v>
      </c>
      <c r="D25" s="1052" t="s">
        <v>2624</v>
      </c>
      <c r="E25" s="1054" t="s">
        <v>2625</v>
      </c>
    </row>
    <row r="26" spans="2:5" x14ac:dyDescent="0.45">
      <c r="B26" s="1051">
        <v>25</v>
      </c>
      <c r="C26" s="1051" t="s">
        <v>1625</v>
      </c>
      <c r="D26" s="1052" t="s">
        <v>2626</v>
      </c>
      <c r="E26" s="1115" t="s">
        <v>2627</v>
      </c>
    </row>
    <row r="27" spans="2:5" x14ac:dyDescent="0.45">
      <c r="B27" s="1051">
        <v>26</v>
      </c>
      <c r="C27" s="1051" t="s">
        <v>1625</v>
      </c>
      <c r="D27" s="1132" t="s">
        <v>2645</v>
      </c>
      <c r="E27" s="1115" t="s">
        <v>2646</v>
      </c>
    </row>
    <row r="28" spans="2:5" x14ac:dyDescent="0.45">
      <c r="B28" s="1051">
        <v>27</v>
      </c>
      <c r="C28" s="1051" t="s">
        <v>1625</v>
      </c>
      <c r="D28" s="1052"/>
      <c r="E28" s="1054"/>
    </row>
    <row r="29" spans="2:5" x14ac:dyDescent="0.45">
      <c r="B29" s="1051">
        <v>28</v>
      </c>
      <c r="C29" s="1051" t="s">
        <v>1625</v>
      </c>
      <c r="D29" s="1052"/>
      <c r="E29" s="1054"/>
    </row>
    <row r="30" spans="2:5" x14ac:dyDescent="0.45">
      <c r="B30" s="1051"/>
      <c r="C30" s="1051"/>
      <c r="D30" s="1052"/>
      <c r="E30" s="1054"/>
    </row>
    <row r="31" spans="2:5" x14ac:dyDescent="0.45">
      <c r="B31" s="1051"/>
      <c r="C31" s="1051"/>
      <c r="D31" s="1052"/>
      <c r="E31" s="1054"/>
    </row>
    <row r="32" spans="2:5" x14ac:dyDescent="0.45">
      <c r="B32" s="1051">
        <v>1</v>
      </c>
      <c r="C32" s="1051" t="s">
        <v>1578</v>
      </c>
      <c r="D32" s="1052" t="s">
        <v>2428</v>
      </c>
      <c r="E32" s="1054"/>
    </row>
    <row r="33" spans="2:5" x14ac:dyDescent="0.45">
      <c r="B33" s="1051">
        <v>2</v>
      </c>
      <c r="C33" s="1051" t="s">
        <v>1578</v>
      </c>
      <c r="D33" s="1052" t="s">
        <v>2429</v>
      </c>
      <c r="E33" s="1054" t="s">
        <v>2431</v>
      </c>
    </row>
    <row r="34" spans="2:5" x14ac:dyDescent="0.45">
      <c r="B34" s="1051">
        <v>3</v>
      </c>
      <c r="C34" s="1051" t="s">
        <v>1578</v>
      </c>
      <c r="D34" s="1052" t="s">
        <v>2430</v>
      </c>
      <c r="E34" s="1054" t="s">
        <v>2432</v>
      </c>
    </row>
    <row r="35" spans="2:5" x14ac:dyDescent="0.45">
      <c r="B35" s="1051">
        <v>4</v>
      </c>
      <c r="C35" s="1051" t="s">
        <v>1578</v>
      </c>
      <c r="D35" s="1052" t="s">
        <v>2433</v>
      </c>
      <c r="E35" s="1054" t="s">
        <v>2434</v>
      </c>
    </row>
    <row r="36" spans="2:5" x14ac:dyDescent="0.45">
      <c r="B36" s="1051">
        <v>5</v>
      </c>
      <c r="C36" s="1051" t="s">
        <v>1578</v>
      </c>
      <c r="D36" s="1052" t="s">
        <v>2587</v>
      </c>
      <c r="E36" s="1054" t="s">
        <v>2588</v>
      </c>
    </row>
    <row r="37" spans="2:5" x14ac:dyDescent="0.45">
      <c r="B37" s="1051">
        <v>6</v>
      </c>
      <c r="C37" s="1051" t="s">
        <v>1578</v>
      </c>
      <c r="D37" s="1052" t="s">
        <v>2591</v>
      </c>
      <c r="E37" s="1054" t="s">
        <v>2592</v>
      </c>
    </row>
    <row r="38" spans="2:5" x14ac:dyDescent="0.45">
      <c r="B38" s="1051">
        <v>7</v>
      </c>
      <c r="C38" s="1051" t="s">
        <v>1578</v>
      </c>
      <c r="D38" s="1052" t="s">
        <v>2594</v>
      </c>
      <c r="E38" s="1054" t="s">
        <v>2595</v>
      </c>
    </row>
    <row r="39" spans="2:5" x14ac:dyDescent="0.45">
      <c r="B39" s="1051">
        <v>8</v>
      </c>
      <c r="C39" s="1051" t="s">
        <v>1578</v>
      </c>
      <c r="D39" s="1052" t="s">
        <v>2604</v>
      </c>
      <c r="E39" s="1054" t="s">
        <v>2605</v>
      </c>
    </row>
    <row r="40" spans="2:5" x14ac:dyDescent="0.45">
      <c r="B40" s="1051">
        <v>9</v>
      </c>
      <c r="C40" s="1051" t="s">
        <v>1578</v>
      </c>
      <c r="D40" s="1052" t="s">
        <v>2632</v>
      </c>
      <c r="E40" s="1054"/>
    </row>
    <row r="41" spans="2:5" x14ac:dyDescent="0.45">
      <c r="B41" s="1051">
        <v>10</v>
      </c>
      <c r="C41" s="1051" t="s">
        <v>1578</v>
      </c>
      <c r="D41" s="1132" t="s">
        <v>2645</v>
      </c>
      <c r="E41" s="1115" t="s">
        <v>2647</v>
      </c>
    </row>
    <row r="42" spans="2:5" x14ac:dyDescent="0.45">
      <c r="B42" s="1051">
        <v>11</v>
      </c>
      <c r="C42" s="1051" t="s">
        <v>1578</v>
      </c>
      <c r="D42" s="1052" t="s">
        <v>2802</v>
      </c>
      <c r="E42" s="1054" t="s">
        <v>2803</v>
      </c>
    </row>
    <row r="43" spans="2:5" x14ac:dyDescent="0.45">
      <c r="B43" s="1051">
        <v>12</v>
      </c>
      <c r="C43" s="1051" t="s">
        <v>1578</v>
      </c>
      <c r="D43" s="1052" t="s">
        <v>2807</v>
      </c>
      <c r="E43" s="1054"/>
    </row>
    <row r="44" spans="2:5" x14ac:dyDescent="0.45">
      <c r="B44" s="1051">
        <v>13</v>
      </c>
      <c r="C44" s="1051" t="s">
        <v>1578</v>
      </c>
      <c r="D44" s="1052" t="s">
        <v>2808</v>
      </c>
      <c r="E44" s="1054"/>
    </row>
    <row r="45" spans="2:5" x14ac:dyDescent="0.45">
      <c r="B45" s="1051">
        <v>14</v>
      </c>
      <c r="C45" s="1051" t="s">
        <v>1578</v>
      </c>
      <c r="D45" s="1052"/>
      <c r="E45" s="1054"/>
    </row>
    <row r="46" spans="2:5" x14ac:dyDescent="0.45">
      <c r="B46" s="1051">
        <v>15</v>
      </c>
      <c r="C46" s="1051" t="s">
        <v>1578</v>
      </c>
      <c r="D46" s="1052"/>
      <c r="E46" s="1054"/>
    </row>
    <row r="47" spans="2:5" x14ac:dyDescent="0.45">
      <c r="B47" s="1051">
        <v>16</v>
      </c>
      <c r="C47" s="1051" t="s">
        <v>1578</v>
      </c>
      <c r="D47" s="1052"/>
      <c r="E47" s="1054"/>
    </row>
    <row r="48" spans="2:5" x14ac:dyDescent="0.45">
      <c r="B48" s="1051">
        <v>17</v>
      </c>
      <c r="C48" s="1051" t="s">
        <v>1578</v>
      </c>
      <c r="D48" s="1052"/>
      <c r="E48" s="1054"/>
    </row>
    <row r="49" spans="2:5" x14ac:dyDescent="0.45">
      <c r="B49" s="1051">
        <v>18</v>
      </c>
      <c r="C49" s="1051" t="s">
        <v>1578</v>
      </c>
      <c r="D49" s="1052"/>
      <c r="E49" s="1054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6E3F-FD5A-4BB4-BBE2-F74C9AEF8E4D}">
  <sheetPr>
    <tabColor rgb="FF0000FF"/>
  </sheetPr>
  <dimension ref="A1:U91"/>
  <sheetViews>
    <sheetView showGridLines="0" topLeftCell="D1" zoomScaleNormal="100" workbookViewId="0">
      <selection activeCell="O4" sqref="O4:P4"/>
    </sheetView>
  </sheetViews>
  <sheetFormatPr defaultColWidth="8.58203125" defaultRowHeight="17" x14ac:dyDescent="0.45"/>
  <cols>
    <col min="1" max="1" width="8.58203125" style="31" customWidth="1"/>
    <col min="2" max="2" width="3.1640625" style="31" bestFit="1" customWidth="1"/>
    <col min="3" max="3" width="19.83203125" style="55" bestFit="1" customWidth="1"/>
    <col min="4" max="4" width="6.4140625" style="126" bestFit="1" customWidth="1"/>
    <col min="5" max="5" width="7.58203125" style="126" bestFit="1" customWidth="1"/>
    <col min="6" max="6" width="6.9140625" style="126" bestFit="1" customWidth="1"/>
    <col min="7" max="7" width="1.58203125" style="126" customWidth="1"/>
    <col min="8" max="8" width="16.33203125" style="126" bestFit="1" customWidth="1"/>
    <col min="9" max="10" width="13.6640625" style="126" bestFit="1" customWidth="1"/>
    <col min="11" max="13" width="12.58203125" style="126" bestFit="1" customWidth="1"/>
    <col min="14" max="14" width="14.4140625" style="126" bestFit="1" customWidth="1"/>
    <col min="15" max="15" width="17.83203125" style="126" bestFit="1" customWidth="1"/>
    <col min="16" max="16" width="13.83203125" style="126" bestFit="1" customWidth="1"/>
    <col min="17" max="17" width="13.6640625" style="126" bestFit="1" customWidth="1"/>
    <col min="18" max="18" width="13.9140625" style="126" bestFit="1" customWidth="1"/>
    <col min="19" max="19" width="13.6640625" style="126" bestFit="1" customWidth="1"/>
    <col min="20" max="20" width="83.25" style="212" bestFit="1" customWidth="1"/>
    <col min="21" max="21" width="8.58203125" style="31" customWidth="1"/>
    <col min="22" max="16384" width="8.58203125" style="31"/>
  </cols>
  <sheetData>
    <row r="1" spans="2:20" x14ac:dyDescent="0.45">
      <c r="D1" s="55"/>
      <c r="E1" s="55"/>
      <c r="F1" s="55"/>
    </row>
    <row r="2" spans="2:20" x14ac:dyDescent="0.45">
      <c r="B2" s="118"/>
      <c r="C2" s="120" t="s">
        <v>19</v>
      </c>
      <c r="D2" s="213" t="s">
        <v>20</v>
      </c>
      <c r="E2" s="213" t="s">
        <v>21</v>
      </c>
      <c r="F2" s="213" t="s">
        <v>22</v>
      </c>
      <c r="G2" s="213"/>
      <c r="H2" s="213" t="s">
        <v>23</v>
      </c>
      <c r="I2" s="213" t="s">
        <v>24</v>
      </c>
      <c r="J2" s="213" t="s">
        <v>25</v>
      </c>
      <c r="K2" s="213" t="s">
        <v>26</v>
      </c>
      <c r="L2" s="213" t="s">
        <v>27</v>
      </c>
      <c r="M2" s="213" t="s">
        <v>28</v>
      </c>
      <c r="N2" s="213" t="s">
        <v>29</v>
      </c>
      <c r="O2" s="213" t="s">
        <v>30</v>
      </c>
      <c r="P2" s="213" t="s">
        <v>31</v>
      </c>
      <c r="Q2" s="213" t="s">
        <v>32</v>
      </c>
      <c r="R2" s="213" t="s">
        <v>33</v>
      </c>
      <c r="S2" s="213" t="s">
        <v>34</v>
      </c>
      <c r="T2" s="214" t="s">
        <v>35</v>
      </c>
    </row>
    <row r="3" spans="2:20" ht="85" x14ac:dyDescent="0.45">
      <c r="B3" s="118">
        <v>1</v>
      </c>
      <c r="C3" s="55" t="s">
        <v>1874</v>
      </c>
      <c r="D3" s="126" t="s">
        <v>37</v>
      </c>
      <c r="E3" s="126" t="s">
        <v>38</v>
      </c>
      <c r="F3" s="126" t="s">
        <v>2698</v>
      </c>
      <c r="H3" s="205" t="s">
        <v>174</v>
      </c>
      <c r="I3" s="205" t="s">
        <v>1146</v>
      </c>
      <c r="J3" s="205" t="s">
        <v>1145</v>
      </c>
      <c r="K3" s="205" t="s">
        <v>2697</v>
      </c>
      <c r="L3" s="127"/>
      <c r="M3" s="127"/>
      <c r="N3" s="127"/>
      <c r="O3" s="1342" t="s">
        <v>40</v>
      </c>
      <c r="P3" s="1343"/>
      <c r="Q3" s="1343"/>
      <c r="R3" s="1343"/>
      <c r="S3" s="1344"/>
      <c r="T3" s="215" t="s">
        <v>2795</v>
      </c>
    </row>
    <row r="4" spans="2:20" ht="102" x14ac:dyDescent="0.45">
      <c r="B4" s="118">
        <f>B3+1</f>
        <v>2</v>
      </c>
      <c r="C4" s="55" t="s">
        <v>897</v>
      </c>
      <c r="D4" s="126" t="s">
        <v>37</v>
      </c>
      <c r="E4" s="126" t="s">
        <v>130</v>
      </c>
      <c r="F4" s="126" t="s">
        <v>39</v>
      </c>
      <c r="H4" s="690" t="s">
        <v>2723</v>
      </c>
      <c r="I4" s="1163"/>
      <c r="J4" s="1345" t="s">
        <v>2695</v>
      </c>
      <c r="K4" s="1346"/>
      <c r="L4" s="1346"/>
      <c r="M4" s="1346"/>
      <c r="N4" s="1347"/>
      <c r="O4" s="1319" t="s">
        <v>2694</v>
      </c>
      <c r="P4" s="1321"/>
      <c r="Q4" s="690" t="s">
        <v>2668</v>
      </c>
      <c r="R4" s="690" t="s">
        <v>42</v>
      </c>
      <c r="S4" s="207" t="s">
        <v>1986</v>
      </c>
      <c r="T4" s="215" t="s">
        <v>2786</v>
      </c>
    </row>
    <row r="5" spans="2:20" x14ac:dyDescent="0.45">
      <c r="B5" s="118">
        <f t="shared" ref="B5:B41" si="0">B4+1</f>
        <v>3</v>
      </c>
      <c r="C5" s="55" t="s">
        <v>2701</v>
      </c>
      <c r="D5" s="126" t="s">
        <v>37</v>
      </c>
      <c r="E5" s="126" t="s">
        <v>133</v>
      </c>
      <c r="F5" s="126" t="s">
        <v>39</v>
      </c>
      <c r="H5" s="224"/>
      <c r="I5" s="224"/>
      <c r="J5" s="224"/>
      <c r="K5" s="224"/>
      <c r="L5" s="224"/>
      <c r="M5" s="224"/>
      <c r="N5" s="224"/>
      <c r="O5" s="1345" t="s">
        <v>2699</v>
      </c>
      <c r="P5" s="1346"/>
      <c r="Q5" s="1346"/>
      <c r="R5" s="1346"/>
      <c r="S5" s="1347"/>
      <c r="T5" s="78" t="s">
        <v>2700</v>
      </c>
    </row>
    <row r="6" spans="2:20" ht="68" x14ac:dyDescent="0.45">
      <c r="B6" s="118">
        <f t="shared" si="0"/>
        <v>4</v>
      </c>
      <c r="C6" s="55" t="s">
        <v>1849</v>
      </c>
      <c r="D6" s="126" t="s">
        <v>37</v>
      </c>
      <c r="E6" s="126" t="s">
        <v>43</v>
      </c>
      <c r="F6" s="126" t="s">
        <v>39</v>
      </c>
      <c r="H6" s="1305" t="s">
        <v>1845</v>
      </c>
      <c r="I6" s="1306"/>
      <c r="J6" s="1306"/>
      <c r="K6" s="1307"/>
      <c r="L6" s="1305" t="s">
        <v>1844</v>
      </c>
      <c r="M6" s="1306"/>
      <c r="N6" s="1306"/>
      <c r="O6" s="1306"/>
      <c r="P6" s="1306"/>
      <c r="Q6" s="1306"/>
      <c r="R6" s="1306"/>
      <c r="S6" s="1307"/>
      <c r="T6" s="873" t="s">
        <v>2741</v>
      </c>
    </row>
    <row r="7" spans="2:20" x14ac:dyDescent="0.45">
      <c r="B7" s="118">
        <f t="shared" si="0"/>
        <v>5</v>
      </c>
      <c r="C7" s="55" t="s">
        <v>1848</v>
      </c>
      <c r="D7" s="126" t="s">
        <v>37</v>
      </c>
      <c r="E7" s="126" t="s">
        <v>44</v>
      </c>
      <c r="F7" s="126" t="s">
        <v>39</v>
      </c>
      <c r="H7" s="1305" t="s">
        <v>1847</v>
      </c>
      <c r="I7" s="1306"/>
      <c r="J7" s="1306"/>
      <c r="K7" s="1306"/>
      <c r="L7" s="1306"/>
      <c r="M7" s="1306"/>
      <c r="N7" s="1306"/>
      <c r="O7" s="1307"/>
      <c r="P7" s="1305" t="s">
        <v>1846</v>
      </c>
      <c r="Q7" s="1306"/>
      <c r="R7" s="1306"/>
      <c r="S7" s="1307"/>
      <c r="T7" s="972" t="s">
        <v>2669</v>
      </c>
    </row>
    <row r="8" spans="2:20" x14ac:dyDescent="0.45">
      <c r="B8" s="118">
        <f t="shared" si="0"/>
        <v>6</v>
      </c>
      <c r="C8" s="55" t="s">
        <v>1886</v>
      </c>
      <c r="D8" s="126" t="s">
        <v>37</v>
      </c>
      <c r="E8" s="126" t="s">
        <v>137</v>
      </c>
      <c r="F8" s="126" t="s">
        <v>131</v>
      </c>
      <c r="H8" s="219" t="s">
        <v>53</v>
      </c>
      <c r="I8" s="219" t="s">
        <v>54</v>
      </c>
      <c r="J8" s="219" t="s">
        <v>55</v>
      </c>
      <c r="K8" s="219" t="s">
        <v>56</v>
      </c>
      <c r="L8" s="219" t="s">
        <v>57</v>
      </c>
      <c r="M8" s="219" t="s">
        <v>58</v>
      </c>
      <c r="N8" s="219" t="s">
        <v>59</v>
      </c>
      <c r="O8" s="219" t="s">
        <v>60</v>
      </c>
      <c r="P8" s="219" t="s">
        <v>61</v>
      </c>
      <c r="Q8" s="219" t="s">
        <v>62</v>
      </c>
      <c r="R8" s="219" t="s">
        <v>63</v>
      </c>
      <c r="S8" s="219" t="s">
        <v>64</v>
      </c>
      <c r="T8" s="220"/>
    </row>
    <row r="9" spans="2:20" ht="102" x14ac:dyDescent="0.45">
      <c r="B9" s="118">
        <f t="shared" si="0"/>
        <v>7</v>
      </c>
      <c r="C9" s="55" t="s">
        <v>219</v>
      </c>
      <c r="D9" s="126" t="s">
        <v>37</v>
      </c>
      <c r="E9" s="126" t="s">
        <v>46</v>
      </c>
      <c r="F9" s="126" t="s">
        <v>39</v>
      </c>
      <c r="H9" s="1164" t="s">
        <v>2709</v>
      </c>
      <c r="I9" s="1319" t="s">
        <v>1988</v>
      </c>
      <c r="J9" s="1321"/>
      <c r="K9" s="205" t="s">
        <v>2180</v>
      </c>
      <c r="M9" s="64" t="s">
        <v>2692</v>
      </c>
      <c r="N9" s="205" t="s">
        <v>325</v>
      </c>
      <c r="O9" s="205" t="s">
        <v>893</v>
      </c>
      <c r="Q9" s="219" t="s">
        <v>223</v>
      </c>
      <c r="R9" s="219" t="s">
        <v>222</v>
      </c>
      <c r="S9" s="205" t="s">
        <v>221</v>
      </c>
      <c r="T9" s="220" t="s">
        <v>2787</v>
      </c>
    </row>
    <row r="10" spans="2:20" x14ac:dyDescent="0.45">
      <c r="B10" s="118">
        <f t="shared" si="0"/>
        <v>8</v>
      </c>
      <c r="C10" s="55" t="s">
        <v>2275</v>
      </c>
      <c r="D10" s="126" t="s">
        <v>37</v>
      </c>
      <c r="E10" s="126" t="s">
        <v>140</v>
      </c>
      <c r="F10" s="126" t="s">
        <v>39</v>
      </c>
      <c r="H10" s="76"/>
      <c r="I10" s="76"/>
      <c r="J10" s="76"/>
      <c r="K10" s="1308" t="s">
        <v>1881</v>
      </c>
      <c r="L10" s="1309"/>
      <c r="M10" s="1310"/>
      <c r="N10" s="1308" t="s">
        <v>1880</v>
      </c>
      <c r="O10" s="1309"/>
      <c r="P10" s="1310"/>
      <c r="Q10" s="1308" t="s">
        <v>1879</v>
      </c>
      <c r="R10" s="1309"/>
      <c r="S10" s="1310"/>
      <c r="T10" s="215"/>
    </row>
    <row r="11" spans="2:20" ht="17.149999999999999" customHeight="1" x14ac:dyDescent="0.45">
      <c r="B11" s="118">
        <f t="shared" si="0"/>
        <v>9</v>
      </c>
      <c r="C11" s="55" t="s">
        <v>2276</v>
      </c>
      <c r="D11" s="126" t="s">
        <v>37</v>
      </c>
      <c r="E11" s="126" t="s">
        <v>49</v>
      </c>
      <c r="F11" s="126" t="s">
        <v>39</v>
      </c>
      <c r="H11" s="76"/>
      <c r="I11" s="76"/>
      <c r="J11" s="76"/>
      <c r="K11" s="1308" t="s">
        <v>2265</v>
      </c>
      <c r="L11" s="1309"/>
      <c r="M11" s="1310"/>
      <c r="N11" s="1308" t="s">
        <v>2264</v>
      </c>
      <c r="O11" s="1309"/>
      <c r="P11" s="1310"/>
      <c r="Q11" s="1308" t="s">
        <v>2263</v>
      </c>
      <c r="R11" s="1309"/>
      <c r="S11" s="1310"/>
      <c r="T11" s="215"/>
    </row>
    <row r="12" spans="2:20" x14ac:dyDescent="0.45">
      <c r="B12" s="118">
        <f t="shared" si="0"/>
        <v>10</v>
      </c>
      <c r="C12" s="55" t="s">
        <v>65</v>
      </c>
      <c r="D12" s="126" t="s">
        <v>66</v>
      </c>
      <c r="E12" s="126" t="s">
        <v>52</v>
      </c>
      <c r="F12" s="126" t="s">
        <v>47</v>
      </c>
      <c r="H12" s="205" t="s">
        <v>2189</v>
      </c>
      <c r="I12" s="1164" t="s">
        <v>2742</v>
      </c>
      <c r="J12" s="127"/>
      <c r="K12" s="127"/>
      <c r="L12" s="127"/>
      <c r="M12" s="127"/>
      <c r="N12" s="219" t="s">
        <v>68</v>
      </c>
      <c r="O12" s="205" t="s">
        <v>69</v>
      </c>
      <c r="P12" s="205" t="s">
        <v>70</v>
      </c>
      <c r="Q12" s="219" t="s">
        <v>1878</v>
      </c>
      <c r="R12" s="219" t="s">
        <v>1877</v>
      </c>
      <c r="S12" s="219" t="s">
        <v>1876</v>
      </c>
      <c r="T12" s="220" t="s">
        <v>1989</v>
      </c>
    </row>
    <row r="13" spans="2:20" ht="17.149999999999999" customHeight="1" x14ac:dyDescent="0.45">
      <c r="B13" s="118">
        <f t="shared" si="0"/>
        <v>11</v>
      </c>
      <c r="C13" s="55" t="s">
        <v>1885</v>
      </c>
      <c r="D13" s="126" t="s">
        <v>37</v>
      </c>
      <c r="E13" s="126" t="s">
        <v>144</v>
      </c>
      <c r="F13" s="126" t="s">
        <v>47</v>
      </c>
      <c r="H13" s="1348" t="s">
        <v>1884</v>
      </c>
      <c r="I13" s="1349"/>
      <c r="J13" s="1349"/>
      <c r="K13" s="1350"/>
      <c r="L13" s="1348" t="s">
        <v>1883</v>
      </c>
      <c r="M13" s="1349"/>
      <c r="N13" s="1349"/>
      <c r="O13" s="1350"/>
      <c r="P13" s="1348" t="s">
        <v>1882</v>
      </c>
      <c r="Q13" s="1349"/>
      <c r="R13" s="1349"/>
      <c r="S13" s="1350"/>
      <c r="T13" s="215" t="s">
        <v>2794</v>
      </c>
    </row>
    <row r="14" spans="2:20" x14ac:dyDescent="0.45">
      <c r="B14" s="118">
        <f t="shared" si="0"/>
        <v>12</v>
      </c>
      <c r="C14" s="55" t="s">
        <v>1837</v>
      </c>
      <c r="D14" s="126" t="s">
        <v>37</v>
      </c>
      <c r="E14" s="126" t="s">
        <v>67</v>
      </c>
      <c r="F14" s="126" t="s">
        <v>47</v>
      </c>
      <c r="H14" s="1342" t="s">
        <v>1840</v>
      </c>
      <c r="I14" s="1343"/>
      <c r="J14" s="1343"/>
      <c r="K14" s="1343"/>
      <c r="L14" s="1343"/>
      <c r="M14" s="1343"/>
      <c r="N14" s="1343"/>
      <c r="O14" s="1343"/>
      <c r="P14" s="1343"/>
      <c r="Q14" s="1343"/>
      <c r="R14" s="1343"/>
      <c r="S14" s="1344"/>
      <c r="T14" s="972" t="s">
        <v>2693</v>
      </c>
    </row>
    <row r="15" spans="2:20" x14ac:dyDescent="0.45">
      <c r="B15" s="118">
        <f t="shared" si="0"/>
        <v>13</v>
      </c>
      <c r="C15" s="55" t="s">
        <v>1838</v>
      </c>
      <c r="D15" s="126" t="s">
        <v>37</v>
      </c>
      <c r="E15" s="126" t="s">
        <v>72</v>
      </c>
      <c r="F15" s="126" t="s">
        <v>47</v>
      </c>
      <c r="H15" s="1342" t="s">
        <v>1841</v>
      </c>
      <c r="I15" s="1343"/>
      <c r="J15" s="1343"/>
      <c r="K15" s="1343"/>
      <c r="L15" s="1343"/>
      <c r="M15" s="1343"/>
      <c r="N15" s="1343"/>
      <c r="O15" s="1343"/>
      <c r="P15" s="1343"/>
      <c r="Q15" s="1343"/>
      <c r="R15" s="1343"/>
      <c r="S15" s="1344"/>
      <c r="T15" s="972" t="s">
        <v>2693</v>
      </c>
    </row>
    <row r="16" spans="2:20" x14ac:dyDescent="0.45">
      <c r="B16" s="118">
        <f t="shared" si="0"/>
        <v>14</v>
      </c>
      <c r="C16" s="55" t="s">
        <v>1839</v>
      </c>
      <c r="D16" s="126" t="s">
        <v>37</v>
      </c>
      <c r="E16" s="126" t="s">
        <v>76</v>
      </c>
      <c r="F16" s="126" t="s">
        <v>47</v>
      </c>
      <c r="H16" s="1342" t="s">
        <v>1842</v>
      </c>
      <c r="I16" s="1343"/>
      <c r="J16" s="1343"/>
      <c r="K16" s="1343"/>
      <c r="L16" s="1343"/>
      <c r="M16" s="1343"/>
      <c r="N16" s="1343"/>
      <c r="O16" s="1343"/>
      <c r="P16" s="1343"/>
      <c r="Q16" s="1343"/>
      <c r="R16" s="1343"/>
      <c r="S16" s="1344"/>
      <c r="T16" s="972" t="s">
        <v>2693</v>
      </c>
    </row>
    <row r="17" spans="2:20" ht="34" x14ac:dyDescent="0.45">
      <c r="B17" s="118">
        <f t="shared" si="0"/>
        <v>15</v>
      </c>
      <c r="C17" s="55" t="s">
        <v>2710</v>
      </c>
      <c r="D17" s="126" t="s">
        <v>37</v>
      </c>
      <c r="E17" s="126" t="s">
        <v>79</v>
      </c>
      <c r="F17" s="126" t="s">
        <v>47</v>
      </c>
      <c r="H17" s="219" t="s">
        <v>2726</v>
      </c>
      <c r="I17" s="219" t="s">
        <v>2727</v>
      </c>
      <c r="J17" s="219" t="s">
        <v>2728</v>
      </c>
      <c r="K17" s="219" t="s">
        <v>2729</v>
      </c>
      <c r="L17" s="219" t="s">
        <v>2730</v>
      </c>
      <c r="M17" s="219" t="s">
        <v>2731</v>
      </c>
      <c r="N17" s="219" t="s">
        <v>2732</v>
      </c>
      <c r="O17" s="219" t="s">
        <v>2733</v>
      </c>
      <c r="P17" s="219" t="s">
        <v>2734</v>
      </c>
      <c r="Q17" s="219" t="s">
        <v>2735</v>
      </c>
      <c r="R17" s="219" t="s">
        <v>2725</v>
      </c>
      <c r="S17" s="219" t="s">
        <v>2724</v>
      </c>
      <c r="T17" s="1146" t="s">
        <v>2743</v>
      </c>
    </row>
    <row r="18" spans="2:20" x14ac:dyDescent="0.45">
      <c r="B18" s="118"/>
      <c r="T18" s="1146"/>
    </row>
    <row r="19" spans="2:20" x14ac:dyDescent="0.45">
      <c r="B19" s="118">
        <f>B17+1</f>
        <v>16</v>
      </c>
      <c r="C19" s="55" t="s">
        <v>78</v>
      </c>
      <c r="D19" s="126" t="s">
        <v>37</v>
      </c>
      <c r="E19" s="126" t="s">
        <v>83</v>
      </c>
      <c r="F19" s="126" t="s">
        <v>47</v>
      </c>
      <c r="H19" s="1305" t="s">
        <v>183</v>
      </c>
      <c r="I19" s="1306"/>
      <c r="J19" s="1306"/>
      <c r="K19" s="1306"/>
      <c r="L19" s="1306"/>
      <c r="M19" s="1306"/>
      <c r="N19" s="1306"/>
      <c r="O19" s="1306"/>
      <c r="P19" s="1306"/>
      <c r="Q19" s="1306"/>
      <c r="R19" s="1306"/>
      <c r="S19" s="1307"/>
      <c r="T19" s="1144" t="s">
        <v>2696</v>
      </c>
    </row>
    <row r="20" spans="2:20" x14ac:dyDescent="0.45">
      <c r="B20" s="118">
        <f t="shared" si="0"/>
        <v>17</v>
      </c>
      <c r="C20" s="55" t="s">
        <v>80</v>
      </c>
      <c r="D20" s="126" t="s">
        <v>37</v>
      </c>
      <c r="E20" s="126" t="s">
        <v>374</v>
      </c>
      <c r="F20" s="126" t="s">
        <v>47</v>
      </c>
      <c r="H20" s="1305" t="s">
        <v>184</v>
      </c>
      <c r="I20" s="1306"/>
      <c r="J20" s="1306"/>
      <c r="K20" s="1306"/>
      <c r="L20" s="1306"/>
      <c r="M20" s="1306"/>
      <c r="N20" s="1306"/>
      <c r="O20" s="1306"/>
      <c r="P20" s="1306"/>
      <c r="Q20" s="1306"/>
      <c r="R20" s="1306"/>
      <c r="S20" s="1307"/>
      <c r="T20" s="1145" t="s">
        <v>2738</v>
      </c>
    </row>
    <row r="21" spans="2:20" x14ac:dyDescent="0.45">
      <c r="B21" s="118">
        <f t="shared" si="0"/>
        <v>18</v>
      </c>
      <c r="C21" s="55" t="s">
        <v>82</v>
      </c>
      <c r="D21" s="126" t="s">
        <v>37</v>
      </c>
      <c r="E21" s="126" t="s">
        <v>86</v>
      </c>
      <c r="F21" s="126" t="s">
        <v>47</v>
      </c>
      <c r="H21" s="1305" t="s">
        <v>185</v>
      </c>
      <c r="I21" s="1306"/>
      <c r="J21" s="1306"/>
      <c r="K21" s="1306"/>
      <c r="L21" s="1306"/>
      <c r="M21" s="1306"/>
      <c r="N21" s="1306"/>
      <c r="O21" s="1306"/>
      <c r="P21" s="1306"/>
      <c r="Q21" s="1306"/>
      <c r="R21" s="1306"/>
      <c r="S21" s="1307"/>
      <c r="T21" s="1145" t="s">
        <v>2739</v>
      </c>
    </row>
    <row r="22" spans="2:20" x14ac:dyDescent="0.45">
      <c r="B22" s="118">
        <f t="shared" si="0"/>
        <v>19</v>
      </c>
      <c r="C22" s="55" t="s">
        <v>84</v>
      </c>
      <c r="D22" s="126" t="s">
        <v>37</v>
      </c>
      <c r="E22" s="126" t="s">
        <v>88</v>
      </c>
      <c r="F22" s="126" t="s">
        <v>47</v>
      </c>
      <c r="H22" s="1305" t="s">
        <v>186</v>
      </c>
      <c r="I22" s="1306"/>
      <c r="J22" s="1306"/>
      <c r="K22" s="1306"/>
      <c r="L22" s="1306"/>
      <c r="M22" s="1306"/>
      <c r="N22" s="1306"/>
      <c r="O22" s="1306"/>
      <c r="P22" s="1306"/>
      <c r="Q22" s="1306"/>
      <c r="R22" s="1306"/>
      <c r="S22" s="1307"/>
      <c r="T22" s="972"/>
    </row>
    <row r="23" spans="2:20" x14ac:dyDescent="0.45">
      <c r="B23" s="118">
        <f t="shared" si="0"/>
        <v>20</v>
      </c>
      <c r="C23" s="55" t="s">
        <v>85</v>
      </c>
      <c r="D23" s="126" t="s">
        <v>37</v>
      </c>
      <c r="E23" s="126" t="s">
        <v>90</v>
      </c>
      <c r="F23" s="126" t="s">
        <v>47</v>
      </c>
      <c r="H23" s="1305" t="s">
        <v>187</v>
      </c>
      <c r="I23" s="1306"/>
      <c r="J23" s="1306"/>
      <c r="K23" s="1306"/>
      <c r="L23" s="1306"/>
      <c r="M23" s="1306"/>
      <c r="N23" s="1306"/>
      <c r="O23" s="1306"/>
      <c r="P23" s="1306"/>
      <c r="Q23" s="1306"/>
      <c r="R23" s="1306"/>
      <c r="S23" s="1307"/>
      <c r="T23" s="972"/>
    </row>
    <row r="24" spans="2:20" x14ac:dyDescent="0.45">
      <c r="B24" s="118">
        <f t="shared" si="0"/>
        <v>21</v>
      </c>
      <c r="C24" s="55" t="s">
        <v>87</v>
      </c>
      <c r="D24" s="126" t="s">
        <v>37</v>
      </c>
      <c r="E24" s="126" t="s">
        <v>92</v>
      </c>
      <c r="F24" s="126" t="s">
        <v>47</v>
      </c>
      <c r="H24" s="1305" t="s">
        <v>188</v>
      </c>
      <c r="I24" s="1306"/>
      <c r="J24" s="1306"/>
      <c r="K24" s="1306"/>
      <c r="L24" s="1306"/>
      <c r="M24" s="1306"/>
      <c r="N24" s="1306"/>
      <c r="O24" s="1306"/>
      <c r="P24" s="1306"/>
      <c r="Q24" s="1306"/>
      <c r="R24" s="1306"/>
      <c r="S24" s="1307"/>
      <c r="T24" s="972"/>
    </row>
    <row r="25" spans="2:20" x14ac:dyDescent="0.45">
      <c r="B25" s="118">
        <f t="shared" si="0"/>
        <v>22</v>
      </c>
      <c r="C25" s="55" t="s">
        <v>89</v>
      </c>
      <c r="D25" s="126" t="s">
        <v>37</v>
      </c>
      <c r="E25" s="126" t="s">
        <v>94</v>
      </c>
      <c r="F25" s="126" t="s">
        <v>47</v>
      </c>
      <c r="H25" s="1305" t="s">
        <v>189</v>
      </c>
      <c r="I25" s="1306"/>
      <c r="J25" s="1306"/>
      <c r="K25" s="1306"/>
      <c r="L25" s="1306"/>
      <c r="M25" s="1306"/>
      <c r="N25" s="1306"/>
      <c r="O25" s="1306"/>
      <c r="P25" s="1306"/>
      <c r="Q25" s="1306"/>
      <c r="R25" s="1306"/>
      <c r="S25" s="1307"/>
      <c r="T25" s="972"/>
    </row>
    <row r="26" spans="2:20" x14ac:dyDescent="0.45">
      <c r="B26" s="118">
        <f t="shared" si="0"/>
        <v>23</v>
      </c>
      <c r="C26" s="55" t="s">
        <v>91</v>
      </c>
      <c r="D26" s="126" t="s">
        <v>37</v>
      </c>
      <c r="E26" s="126" t="s">
        <v>411</v>
      </c>
      <c r="F26" s="126" t="s">
        <v>47</v>
      </c>
      <c r="H26" s="1305" t="s">
        <v>190</v>
      </c>
      <c r="I26" s="1306"/>
      <c r="J26" s="1306"/>
      <c r="K26" s="1306"/>
      <c r="L26" s="1306"/>
      <c r="M26" s="1306"/>
      <c r="N26" s="1306"/>
      <c r="O26" s="1306"/>
      <c r="P26" s="1306"/>
      <c r="Q26" s="1306"/>
      <c r="R26" s="1306"/>
      <c r="S26" s="1307"/>
      <c r="T26" s="972"/>
    </row>
    <row r="27" spans="2:20" x14ac:dyDescent="0.45">
      <c r="B27" s="118">
        <f t="shared" si="0"/>
        <v>24</v>
      </c>
      <c r="C27" s="55" t="s">
        <v>93</v>
      </c>
      <c r="D27" s="126" t="s">
        <v>37</v>
      </c>
      <c r="E27" s="126" t="s">
        <v>415</v>
      </c>
      <c r="F27" s="126" t="s">
        <v>47</v>
      </c>
      <c r="H27" s="1305" t="s">
        <v>191</v>
      </c>
      <c r="I27" s="1306"/>
      <c r="J27" s="1306"/>
      <c r="K27" s="1306"/>
      <c r="L27" s="1306"/>
      <c r="M27" s="1306"/>
      <c r="N27" s="1306"/>
      <c r="O27" s="1306"/>
      <c r="P27" s="1306"/>
      <c r="Q27" s="1306"/>
      <c r="R27" s="1306"/>
      <c r="S27" s="1307"/>
      <c r="T27" s="972"/>
    </row>
    <row r="28" spans="2:20" x14ac:dyDescent="0.45">
      <c r="B28" s="118">
        <f t="shared" si="0"/>
        <v>25</v>
      </c>
      <c r="C28" s="55" t="s">
        <v>95</v>
      </c>
      <c r="D28" s="126" t="s">
        <v>37</v>
      </c>
      <c r="E28" s="126" t="s">
        <v>427</v>
      </c>
      <c r="F28" s="126" t="s">
        <v>47</v>
      </c>
      <c r="H28" s="1305" t="s">
        <v>192</v>
      </c>
      <c r="I28" s="1306"/>
      <c r="J28" s="1306"/>
      <c r="K28" s="1306"/>
      <c r="L28" s="1306"/>
      <c r="M28" s="1306"/>
      <c r="N28" s="1306"/>
      <c r="O28" s="1306"/>
      <c r="P28" s="1306"/>
      <c r="Q28" s="1306"/>
      <c r="R28" s="1306"/>
      <c r="S28" s="1307"/>
      <c r="T28" s="972"/>
    </row>
    <row r="29" spans="2:20" x14ac:dyDescent="0.45">
      <c r="B29" s="118">
        <f t="shared" si="0"/>
        <v>26</v>
      </c>
      <c r="C29" s="55" t="s">
        <v>96</v>
      </c>
      <c r="D29" s="126" t="s">
        <v>37</v>
      </c>
      <c r="E29" s="126" t="s">
        <v>437</v>
      </c>
      <c r="F29" s="126" t="s">
        <v>47</v>
      </c>
      <c r="H29" s="1305" t="s">
        <v>193</v>
      </c>
      <c r="I29" s="1306"/>
      <c r="J29" s="1306"/>
      <c r="K29" s="1306"/>
      <c r="L29" s="1306"/>
      <c r="M29" s="1306"/>
      <c r="N29" s="1306"/>
      <c r="O29" s="1306"/>
      <c r="P29" s="1306"/>
      <c r="Q29" s="1306"/>
      <c r="R29" s="1306"/>
      <c r="S29" s="1307"/>
      <c r="T29" s="223"/>
    </row>
    <row r="30" spans="2:20" x14ac:dyDescent="0.45">
      <c r="B30" s="118">
        <f t="shared" si="0"/>
        <v>27</v>
      </c>
      <c r="C30" s="55" t="s">
        <v>97</v>
      </c>
      <c r="D30" s="126" t="s">
        <v>37</v>
      </c>
      <c r="E30" s="126" t="s">
        <v>150</v>
      </c>
      <c r="F30" s="126" t="s">
        <v>47</v>
      </c>
      <c r="H30" s="1305" t="s">
        <v>194</v>
      </c>
      <c r="I30" s="1306"/>
      <c r="J30" s="1306"/>
      <c r="K30" s="1306"/>
      <c r="L30" s="1306"/>
      <c r="M30" s="1306"/>
      <c r="N30" s="1306"/>
      <c r="O30" s="1306"/>
      <c r="P30" s="1306"/>
      <c r="Q30" s="1306"/>
      <c r="R30" s="1306"/>
      <c r="S30" s="1307"/>
      <c r="T30" s="223"/>
    </row>
    <row r="31" spans="2:20" x14ac:dyDescent="0.45">
      <c r="B31" s="118">
        <f t="shared" si="0"/>
        <v>28</v>
      </c>
      <c r="C31" s="55" t="s">
        <v>214</v>
      </c>
      <c r="D31" s="126" t="s">
        <v>37</v>
      </c>
      <c r="E31" s="126" t="s">
        <v>153</v>
      </c>
      <c r="F31" s="126" t="s">
        <v>888</v>
      </c>
      <c r="H31" s="1305" t="s">
        <v>890</v>
      </c>
      <c r="I31" s="1306"/>
      <c r="J31" s="1306"/>
      <c r="K31" s="1306"/>
      <c r="L31" s="1306"/>
      <c r="M31" s="1307"/>
      <c r="N31" s="1305" t="s">
        <v>891</v>
      </c>
      <c r="O31" s="1306"/>
      <c r="P31" s="1306"/>
      <c r="Q31" s="1306"/>
      <c r="R31" s="1306"/>
      <c r="S31" s="1307"/>
      <c r="T31" s="215" t="s">
        <v>2702</v>
      </c>
    </row>
    <row r="32" spans="2:20" ht="21" x14ac:dyDescent="0.45">
      <c r="B32" s="118">
        <f t="shared" si="0"/>
        <v>29</v>
      </c>
      <c r="C32" s="55" t="s">
        <v>324</v>
      </c>
      <c r="D32" s="126" t="s">
        <v>37</v>
      </c>
      <c r="E32" s="126" t="s">
        <v>155</v>
      </c>
      <c r="F32" s="126" t="s">
        <v>1993</v>
      </c>
      <c r="H32" s="127"/>
      <c r="I32" s="127"/>
      <c r="J32" s="127"/>
      <c r="K32" s="1305" t="s">
        <v>1992</v>
      </c>
      <c r="L32" s="1306"/>
      <c r="M32" s="1306"/>
      <c r="N32" s="1306"/>
      <c r="O32" s="1306"/>
      <c r="P32" s="1306"/>
      <c r="Q32" s="1306"/>
      <c r="R32" s="1306"/>
      <c r="S32" s="1307"/>
      <c r="T32" s="215" t="s">
        <v>2703</v>
      </c>
    </row>
    <row r="33" spans="2:20" ht="34" x14ac:dyDescent="0.45">
      <c r="B33" s="118">
        <f t="shared" si="0"/>
        <v>30</v>
      </c>
      <c r="C33" s="55" t="s">
        <v>2126</v>
      </c>
      <c r="D33" s="126" t="s">
        <v>37</v>
      </c>
      <c r="E33" s="126" t="s">
        <v>157</v>
      </c>
      <c r="F33" s="126" t="s">
        <v>39</v>
      </c>
      <c r="H33" s="127"/>
      <c r="I33" s="127"/>
      <c r="J33" s="1305" t="s">
        <v>2195</v>
      </c>
      <c r="K33" s="1306"/>
      <c r="L33" s="1306"/>
      <c r="M33" s="1306"/>
      <c r="N33" s="1306"/>
      <c r="O33" s="1306"/>
      <c r="P33" s="1306"/>
      <c r="Q33" s="1306"/>
      <c r="R33" s="1306"/>
      <c r="S33" s="1307"/>
      <c r="T33" s="215" t="s">
        <v>2196</v>
      </c>
    </row>
    <row r="34" spans="2:20" ht="34" x14ac:dyDescent="0.45">
      <c r="B34" s="118">
        <f t="shared" si="0"/>
        <v>31</v>
      </c>
      <c r="C34" s="55" t="s">
        <v>2127</v>
      </c>
      <c r="D34" s="126" t="s">
        <v>37</v>
      </c>
      <c r="E34" s="126" t="s">
        <v>159</v>
      </c>
      <c r="F34" s="126" t="s">
        <v>39</v>
      </c>
      <c r="H34" s="205" t="s">
        <v>2193</v>
      </c>
      <c r="I34" s="127"/>
      <c r="J34" s="1305" t="s">
        <v>2194</v>
      </c>
      <c r="K34" s="1306"/>
      <c r="L34" s="1306"/>
      <c r="M34" s="1306"/>
      <c r="N34" s="1306"/>
      <c r="O34" s="1306"/>
      <c r="P34" s="1306"/>
      <c r="Q34" s="1306"/>
      <c r="R34" s="1306"/>
      <c r="S34" s="1307"/>
      <c r="T34" s="215" t="s">
        <v>2196</v>
      </c>
    </row>
    <row r="35" spans="2:20" x14ac:dyDescent="0.45">
      <c r="B35" s="118">
        <f t="shared" si="0"/>
        <v>32</v>
      </c>
      <c r="C35" s="55" t="s">
        <v>2006</v>
      </c>
      <c r="D35" s="126" t="s">
        <v>37</v>
      </c>
      <c r="E35" s="126" t="s">
        <v>440</v>
      </c>
      <c r="F35" s="126" t="s">
        <v>39</v>
      </c>
      <c r="H35" s="128"/>
      <c r="I35" s="128"/>
      <c r="J35" s="1305" t="s">
        <v>2007</v>
      </c>
      <c r="K35" s="1306"/>
      <c r="L35" s="1306"/>
      <c r="M35" s="1306"/>
      <c r="N35" s="1306"/>
      <c r="O35" s="1306"/>
      <c r="P35" s="1306"/>
      <c r="Q35" s="1306"/>
      <c r="R35" s="1306"/>
      <c r="S35" s="1307"/>
      <c r="T35" s="215" t="s">
        <v>2272</v>
      </c>
    </row>
    <row r="36" spans="2:20" ht="21" x14ac:dyDescent="0.45">
      <c r="B36" s="118">
        <f t="shared" si="0"/>
        <v>33</v>
      </c>
      <c r="C36" s="55" t="s">
        <v>1952</v>
      </c>
      <c r="D36" s="126" t="s">
        <v>37</v>
      </c>
      <c r="E36" s="126" t="s">
        <v>164</v>
      </c>
      <c r="F36" s="126" t="s">
        <v>323</v>
      </c>
      <c r="H36" s="128"/>
      <c r="I36" s="1305" t="s">
        <v>2708</v>
      </c>
      <c r="J36" s="1306"/>
      <c r="K36" s="1306"/>
      <c r="L36" s="1306"/>
      <c r="M36" s="1306"/>
      <c r="N36" s="1306"/>
      <c r="O36" s="1306"/>
      <c r="P36" s="1306"/>
      <c r="Q36" s="1306"/>
      <c r="R36" s="1306"/>
      <c r="S36" s="1307"/>
      <c r="T36" s="215" t="s">
        <v>2788</v>
      </c>
    </row>
    <row r="37" spans="2:20" ht="21" x14ac:dyDescent="0.45">
      <c r="B37" s="118">
        <f t="shared" si="0"/>
        <v>34</v>
      </c>
      <c r="C37" s="55" t="s">
        <v>1822</v>
      </c>
      <c r="D37" s="126" t="s">
        <v>37</v>
      </c>
      <c r="E37" s="126" t="s">
        <v>166</v>
      </c>
      <c r="F37" s="126" t="s">
        <v>39</v>
      </c>
      <c r="H37" s="1305" t="s">
        <v>2705</v>
      </c>
      <c r="I37" s="1306"/>
      <c r="J37" s="1306"/>
      <c r="K37" s="1306"/>
      <c r="L37" s="1306"/>
      <c r="M37" s="1306"/>
      <c r="N37" s="1306"/>
      <c r="O37" s="1306"/>
      <c r="P37" s="1306"/>
      <c r="Q37" s="1306"/>
      <c r="R37" s="1306"/>
      <c r="S37" s="1307"/>
      <c r="T37" s="215" t="s">
        <v>2703</v>
      </c>
    </row>
    <row r="38" spans="2:20" ht="34" x14ac:dyDescent="0.45">
      <c r="B38" s="118">
        <f t="shared" si="0"/>
        <v>35</v>
      </c>
      <c r="C38" s="55" t="s">
        <v>1843</v>
      </c>
      <c r="D38" s="126" t="s">
        <v>37</v>
      </c>
      <c r="E38" s="126" t="s">
        <v>168</v>
      </c>
      <c r="F38" s="126" t="s">
        <v>39</v>
      </c>
      <c r="H38" s="205" t="s">
        <v>1972</v>
      </c>
      <c r="I38" s="1305" t="s">
        <v>905</v>
      </c>
      <c r="J38" s="1307"/>
      <c r="K38" s="127"/>
      <c r="L38" s="1305" t="s">
        <v>2706</v>
      </c>
      <c r="M38" s="1306"/>
      <c r="N38" s="1306"/>
      <c r="O38" s="1306"/>
      <c r="P38" s="1306"/>
      <c r="Q38" s="1306"/>
      <c r="R38" s="1306"/>
      <c r="S38" s="1307"/>
      <c r="T38" s="215" t="s">
        <v>2704</v>
      </c>
    </row>
    <row r="39" spans="2:20" x14ac:dyDescent="0.45">
      <c r="B39" s="118"/>
      <c r="H39" s="79" t="s">
        <v>2790</v>
      </c>
      <c r="T39" s="215"/>
    </row>
    <row r="40" spans="2:20" ht="85" x14ac:dyDescent="0.45">
      <c r="B40" s="118">
        <f>B38+1</f>
        <v>36</v>
      </c>
      <c r="C40" s="55" t="s">
        <v>1148</v>
      </c>
      <c r="D40" s="126" t="s">
        <v>37</v>
      </c>
      <c r="E40" s="126" t="s">
        <v>170</v>
      </c>
      <c r="F40" s="126" t="s">
        <v>2292</v>
      </c>
      <c r="H40" s="1319" t="s">
        <v>2291</v>
      </c>
      <c r="I40" s="1306"/>
      <c r="J40" s="1306"/>
      <c r="K40" s="1306"/>
      <c r="L40" s="1306"/>
      <c r="M40" s="1306"/>
      <c r="N40" s="1306"/>
      <c r="O40" s="1306"/>
      <c r="P40" s="1306"/>
      <c r="Q40" s="1306"/>
      <c r="R40" s="1306"/>
      <c r="S40" s="1307"/>
      <c r="T40" s="873" t="s">
        <v>2707</v>
      </c>
    </row>
    <row r="41" spans="2:20" ht="102" x14ac:dyDescent="0.45">
      <c r="B41" s="118">
        <f t="shared" si="0"/>
        <v>37</v>
      </c>
      <c r="C41" s="55" t="s">
        <v>2052</v>
      </c>
      <c r="D41" s="126" t="s">
        <v>37</v>
      </c>
      <c r="E41" s="126" t="s">
        <v>172</v>
      </c>
      <c r="F41" s="126" t="s">
        <v>39</v>
      </c>
      <c r="H41" s="1305" t="s">
        <v>2053</v>
      </c>
      <c r="I41" s="1306"/>
      <c r="J41" s="1306"/>
      <c r="K41" s="1306"/>
      <c r="L41" s="1306"/>
      <c r="M41" s="1307"/>
      <c r="N41" s="127"/>
      <c r="O41" s="219" t="s">
        <v>2267</v>
      </c>
      <c r="P41" s="219" t="s">
        <v>2131</v>
      </c>
      <c r="Q41" s="205" t="s">
        <v>2047</v>
      </c>
      <c r="R41" s="205" t="s">
        <v>2132</v>
      </c>
      <c r="S41" s="205" t="s">
        <v>2133</v>
      </c>
      <c r="T41" s="215" t="s">
        <v>2789</v>
      </c>
    </row>
    <row r="42" spans="2:20" x14ac:dyDescent="0.45">
      <c r="B42" s="118"/>
      <c r="C42" s="874"/>
      <c r="D42" s="874"/>
      <c r="E42" s="31"/>
      <c r="F42" s="874"/>
      <c r="G42" s="874"/>
      <c r="H42" s="874"/>
      <c r="I42" s="874"/>
      <c r="J42" s="874"/>
      <c r="K42" s="874"/>
      <c r="L42" s="874"/>
      <c r="M42" s="874"/>
      <c r="N42" s="874"/>
      <c r="O42" s="874"/>
      <c r="P42" s="874"/>
      <c r="Q42" s="874"/>
      <c r="R42" s="874"/>
      <c r="S42" s="874"/>
      <c r="T42" s="873"/>
    </row>
    <row r="43" spans="2:20" x14ac:dyDescent="0.45">
      <c r="B43" s="118">
        <f>B41+1</f>
        <v>38</v>
      </c>
      <c r="C43" s="55" t="s">
        <v>2214</v>
      </c>
      <c r="D43" s="126" t="s">
        <v>37</v>
      </c>
      <c r="E43" s="126" t="s">
        <v>98</v>
      </c>
      <c r="F43" s="126" t="s">
        <v>39</v>
      </c>
      <c r="H43" s="127"/>
      <c r="I43" s="127"/>
      <c r="J43" s="127"/>
      <c r="K43" s="127"/>
      <c r="L43" s="127"/>
      <c r="M43" s="127"/>
      <c r="N43" s="205" t="s">
        <v>2215</v>
      </c>
      <c r="O43" s="205" t="s">
        <v>2216</v>
      </c>
      <c r="P43" s="205" t="s">
        <v>2217</v>
      </c>
      <c r="Q43" s="205" t="s">
        <v>2218</v>
      </c>
      <c r="R43" s="205" t="s">
        <v>2219</v>
      </c>
      <c r="S43" s="205" t="s">
        <v>2220</v>
      </c>
      <c r="T43" s="215"/>
    </row>
    <row r="44" spans="2:20" x14ac:dyDescent="0.45">
      <c r="B44" s="118">
        <f>B43+1</f>
        <v>39</v>
      </c>
      <c r="C44" s="55" t="s">
        <v>327</v>
      </c>
      <c r="D44" s="126" t="s">
        <v>37</v>
      </c>
      <c r="E44" s="126" t="s">
        <v>99</v>
      </c>
      <c r="F44" s="126" t="s">
        <v>909</v>
      </c>
      <c r="H44" s="1305" t="s">
        <v>100</v>
      </c>
      <c r="I44" s="1306"/>
      <c r="J44" s="1306"/>
      <c r="K44" s="1307"/>
      <c r="L44" s="205" t="s">
        <v>2293</v>
      </c>
      <c r="M44" s="205" t="s">
        <v>906</v>
      </c>
      <c r="N44" s="1305" t="s">
        <v>907</v>
      </c>
      <c r="O44" s="1307"/>
      <c r="P44" s="127"/>
      <c r="Q44" s="127"/>
      <c r="R44" s="1305" t="s">
        <v>229</v>
      </c>
      <c r="S44" s="1307"/>
      <c r="T44" s="215"/>
    </row>
    <row r="45" spans="2:20" x14ac:dyDescent="0.45">
      <c r="B45" s="118">
        <f t="shared" ref="B45:B46" si="1">B44+1</f>
        <v>40</v>
      </c>
      <c r="C45" s="55" t="s">
        <v>230</v>
      </c>
      <c r="D45" s="126" t="s">
        <v>37</v>
      </c>
      <c r="E45" s="126" t="s">
        <v>101</v>
      </c>
      <c r="F45" s="126" t="s">
        <v>39</v>
      </c>
      <c r="H45" s="1305" t="s">
        <v>227</v>
      </c>
      <c r="I45" s="1306"/>
      <c r="J45" s="1306"/>
      <c r="K45" s="1306"/>
      <c r="L45" s="1306"/>
      <c r="M45" s="1306"/>
      <c r="N45" s="1306"/>
      <c r="O45" s="1306"/>
      <c r="P45" s="1306"/>
      <c r="Q45" s="1306"/>
      <c r="R45" s="1306"/>
      <c r="S45" s="1307"/>
      <c r="T45" s="215"/>
    </row>
    <row r="46" spans="2:20" x14ac:dyDescent="0.45">
      <c r="B46" s="118">
        <f t="shared" si="1"/>
        <v>41</v>
      </c>
      <c r="C46" s="55" t="s">
        <v>231</v>
      </c>
      <c r="D46" s="126" t="s">
        <v>37</v>
      </c>
      <c r="E46" s="126" t="s">
        <v>1708</v>
      </c>
      <c r="F46" s="126" t="s">
        <v>904</v>
      </c>
      <c r="H46" s="205" t="s">
        <v>2221</v>
      </c>
      <c r="I46" s="127"/>
      <c r="J46" s="127"/>
      <c r="K46" s="127"/>
      <c r="L46" s="127"/>
      <c r="M46" s="127"/>
      <c r="N46" s="127"/>
      <c r="O46" s="127"/>
      <c r="P46" s="1305" t="s">
        <v>889</v>
      </c>
      <c r="Q46" s="1306"/>
      <c r="R46" s="1306"/>
      <c r="S46" s="1307"/>
      <c r="T46" s="215"/>
    </row>
    <row r="47" spans="2:20" x14ac:dyDescent="0.45">
      <c r="B47" s="118"/>
    </row>
    <row r="48" spans="2:20" x14ac:dyDescent="0.45">
      <c r="B48" s="118"/>
      <c r="C48" s="708" t="s">
        <v>1888</v>
      </c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222"/>
    </row>
    <row r="49" spans="2:20" x14ac:dyDescent="0.45">
      <c r="B49" s="118"/>
    </row>
    <row r="50" spans="2:20" ht="153.5" x14ac:dyDescent="0.45">
      <c r="B50" s="118">
        <v>1</v>
      </c>
      <c r="C50" s="55" t="s">
        <v>106</v>
      </c>
      <c r="D50" s="126" t="s">
        <v>37</v>
      </c>
      <c r="E50" s="1147" t="s">
        <v>107</v>
      </c>
      <c r="F50" s="126" t="s">
        <v>39</v>
      </c>
      <c r="H50" s="205" t="s">
        <v>108</v>
      </c>
      <c r="I50" s="1345" t="s">
        <v>2222</v>
      </c>
      <c r="J50" s="1346"/>
      <c r="K50" s="1347"/>
      <c r="L50" s="1351" t="s">
        <v>2543</v>
      </c>
      <c r="M50" s="1352"/>
      <c r="N50" s="205" t="s">
        <v>1924</v>
      </c>
      <c r="O50" s="205" t="s">
        <v>1818</v>
      </c>
      <c r="P50" s="127"/>
      <c r="Q50" s="973" t="s">
        <v>2224</v>
      </c>
      <c r="R50" s="205" t="s">
        <v>2223</v>
      </c>
      <c r="S50" s="205" t="s">
        <v>109</v>
      </c>
      <c r="T50" s="215" t="s">
        <v>2294</v>
      </c>
    </row>
    <row r="51" spans="2:20" x14ac:dyDescent="0.45">
      <c r="B51" s="118">
        <f>B50+1</f>
        <v>2</v>
      </c>
      <c r="C51" s="55" t="s">
        <v>110</v>
      </c>
      <c r="D51" s="126" t="s">
        <v>37</v>
      </c>
      <c r="E51" s="1147" t="s">
        <v>111</v>
      </c>
      <c r="F51" s="126" t="s">
        <v>39</v>
      </c>
      <c r="H51" s="127"/>
      <c r="I51" s="127"/>
      <c r="J51" s="127"/>
      <c r="K51" s="127"/>
      <c r="L51" s="127"/>
      <c r="M51" s="127"/>
      <c r="N51" s="127"/>
      <c r="O51" s="127"/>
      <c r="P51" s="1305" t="s">
        <v>112</v>
      </c>
      <c r="Q51" s="1306"/>
      <c r="R51" s="1306"/>
      <c r="S51" s="1307"/>
      <c r="T51" s="976" t="s">
        <v>2054</v>
      </c>
    </row>
    <row r="52" spans="2:20" x14ac:dyDescent="0.45">
      <c r="B52" s="118">
        <f t="shared" ref="B52:B55" si="2">B51+1</f>
        <v>3</v>
      </c>
      <c r="C52" s="55" t="s">
        <v>113</v>
      </c>
      <c r="D52" s="126" t="s">
        <v>37</v>
      </c>
      <c r="E52" s="1147" t="s">
        <v>114</v>
      </c>
      <c r="F52" s="126" t="s">
        <v>323</v>
      </c>
      <c r="H52" s="1305" t="s">
        <v>115</v>
      </c>
      <c r="I52" s="1306"/>
      <c r="J52" s="1306"/>
      <c r="K52" s="1306"/>
      <c r="L52" s="1306"/>
      <c r="M52" s="1306"/>
      <c r="N52" s="1306"/>
      <c r="O52" s="1306"/>
      <c r="P52" s="1306"/>
      <c r="Q52" s="1306"/>
      <c r="R52" s="1306"/>
      <c r="S52" s="1307"/>
      <c r="T52" s="976" t="s">
        <v>2054</v>
      </c>
    </row>
    <row r="53" spans="2:20" x14ac:dyDescent="0.45">
      <c r="B53" s="118">
        <f t="shared" si="2"/>
        <v>4</v>
      </c>
      <c r="C53" s="55" t="s">
        <v>116</v>
      </c>
      <c r="D53" s="126" t="s">
        <v>37</v>
      </c>
      <c r="E53" s="1147" t="s">
        <v>117</v>
      </c>
      <c r="F53" s="126" t="s">
        <v>118</v>
      </c>
      <c r="H53" s="127"/>
      <c r="I53" s="127"/>
      <c r="J53" s="127"/>
      <c r="K53" s="127"/>
      <c r="L53" s="127"/>
      <c r="M53" s="127"/>
      <c r="N53" s="1305" t="s">
        <v>2225</v>
      </c>
      <c r="O53" s="1307"/>
      <c r="P53" s="1305" t="s">
        <v>119</v>
      </c>
      <c r="Q53" s="1306"/>
      <c r="R53" s="1306"/>
      <c r="S53" s="1307"/>
      <c r="T53" s="976" t="s">
        <v>2054</v>
      </c>
    </row>
    <row r="54" spans="2:20" x14ac:dyDescent="0.45">
      <c r="B54" s="118">
        <f t="shared" si="2"/>
        <v>5</v>
      </c>
      <c r="C54" s="55" t="s">
        <v>120</v>
      </c>
      <c r="D54" s="126" t="s">
        <v>37</v>
      </c>
      <c r="E54" s="1147" t="s">
        <v>121</v>
      </c>
      <c r="F54" s="126" t="s">
        <v>39</v>
      </c>
      <c r="H54" s="205" t="s">
        <v>1222</v>
      </c>
      <c r="I54" s="127"/>
      <c r="J54" s="127"/>
      <c r="K54" s="127"/>
      <c r="L54" s="127"/>
      <c r="M54" s="127"/>
      <c r="N54" s="127"/>
      <c r="O54" s="127"/>
      <c r="P54" s="127"/>
      <c r="Q54" s="127"/>
      <c r="R54" s="205" t="s">
        <v>122</v>
      </c>
      <c r="S54" s="205" t="s">
        <v>123</v>
      </c>
      <c r="T54" s="975"/>
    </row>
    <row r="55" spans="2:20" x14ac:dyDescent="0.45">
      <c r="B55" s="118">
        <f t="shared" si="2"/>
        <v>6</v>
      </c>
      <c r="C55" s="55" t="s">
        <v>124</v>
      </c>
      <c r="D55" s="126" t="s">
        <v>37</v>
      </c>
      <c r="E55" s="1147" t="s">
        <v>125</v>
      </c>
      <c r="F55" s="126" t="s">
        <v>899</v>
      </c>
      <c r="H55" s="1305" t="s">
        <v>1969</v>
      </c>
      <c r="I55" s="1306"/>
      <c r="J55" s="1306"/>
      <c r="K55" s="1306"/>
      <c r="L55" s="1306"/>
      <c r="M55" s="1306"/>
      <c r="N55" s="1306"/>
      <c r="O55" s="1306"/>
      <c r="P55" s="1306"/>
      <c r="Q55" s="1306"/>
      <c r="R55" s="1306"/>
      <c r="S55" s="1307"/>
      <c r="T55" s="226"/>
    </row>
    <row r="56" spans="2:20" x14ac:dyDescent="0.45">
      <c r="B56" s="118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226"/>
    </row>
    <row r="57" spans="2:20" x14ac:dyDescent="0.45">
      <c r="B57" s="118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226"/>
    </row>
    <row r="58" spans="2:20" x14ac:dyDescent="0.45">
      <c r="B58" s="118"/>
      <c r="C58" s="708" t="s">
        <v>1887</v>
      </c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223"/>
    </row>
    <row r="59" spans="2:20" x14ac:dyDescent="0.45">
      <c r="B59" s="118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223"/>
    </row>
    <row r="60" spans="2:20" x14ac:dyDescent="0.45">
      <c r="B60" s="118">
        <v>1</v>
      </c>
      <c r="D60" s="126" t="s">
        <v>37</v>
      </c>
      <c r="E60" s="126" t="s">
        <v>38</v>
      </c>
      <c r="F60" s="126" t="s">
        <v>39</v>
      </c>
      <c r="H60" s="224"/>
      <c r="I60" s="224"/>
      <c r="J60" s="224"/>
      <c r="K60" s="224"/>
      <c r="L60" s="1353" t="s">
        <v>128</v>
      </c>
      <c r="M60" s="1354"/>
      <c r="N60" s="1354"/>
      <c r="O60" s="1354"/>
      <c r="P60" s="1354"/>
      <c r="Q60" s="1354"/>
      <c r="R60" s="1354"/>
      <c r="S60" s="1355"/>
      <c r="T60" s="223"/>
    </row>
    <row r="61" spans="2:20" x14ac:dyDescent="0.45">
      <c r="B61" s="118">
        <f>B60+1</f>
        <v>2</v>
      </c>
      <c r="D61" s="126" t="s">
        <v>37</v>
      </c>
      <c r="E61" s="126" t="s">
        <v>130</v>
      </c>
      <c r="F61" s="126" t="s">
        <v>226</v>
      </c>
      <c r="H61" s="1353" t="s">
        <v>2226</v>
      </c>
      <c r="I61" s="1354"/>
      <c r="J61" s="1354"/>
      <c r="K61" s="1354"/>
      <c r="L61" s="1355"/>
      <c r="M61" s="1353" t="s">
        <v>2227</v>
      </c>
      <c r="N61" s="1354"/>
      <c r="O61" s="1354"/>
      <c r="P61" s="1354"/>
      <c r="Q61" s="1354"/>
      <c r="R61" s="1354"/>
      <c r="S61" s="1355"/>
      <c r="T61" s="223"/>
    </row>
    <row r="62" spans="2:20" x14ac:dyDescent="0.45">
      <c r="B62" s="118">
        <f t="shared" ref="B62:B87" si="3">B61+1</f>
        <v>3</v>
      </c>
      <c r="D62" s="126" t="s">
        <v>37</v>
      </c>
      <c r="E62" s="126" t="s">
        <v>133</v>
      </c>
      <c r="F62" s="126" t="s">
        <v>2228</v>
      </c>
      <c r="H62" s="1353" t="s">
        <v>2229</v>
      </c>
      <c r="I62" s="1356"/>
      <c r="J62" s="1353" t="s">
        <v>2230</v>
      </c>
      <c r="K62" s="1356"/>
      <c r="L62" s="1356"/>
      <c r="M62" s="1356"/>
      <c r="N62" s="1357"/>
      <c r="O62" s="1353" t="s">
        <v>2231</v>
      </c>
      <c r="P62" s="1356"/>
      <c r="Q62" s="1356"/>
      <c r="R62" s="1356"/>
      <c r="S62" s="1357"/>
      <c r="T62" s="223"/>
    </row>
    <row r="63" spans="2:20" s="129" customFormat="1" x14ac:dyDescent="0.45">
      <c r="B63" s="118">
        <f t="shared" si="3"/>
        <v>4</v>
      </c>
      <c r="C63" s="55"/>
      <c r="D63" s="126" t="s">
        <v>37</v>
      </c>
      <c r="E63" s="126" t="s">
        <v>43</v>
      </c>
      <c r="F63" s="126" t="s">
        <v>2232</v>
      </c>
      <c r="G63" s="126"/>
      <c r="H63" s="974" t="s">
        <v>2233</v>
      </c>
      <c r="I63" s="224"/>
      <c r="J63" s="224"/>
      <c r="K63" s="224"/>
      <c r="L63" s="224"/>
      <c r="M63" s="224"/>
      <c r="N63" s="224"/>
      <c r="O63" s="224"/>
      <c r="P63" s="1353" t="s">
        <v>2234</v>
      </c>
      <c r="Q63" s="1354"/>
      <c r="R63" s="1354"/>
      <c r="S63" s="1355"/>
      <c r="T63" s="223"/>
    </row>
    <row r="64" spans="2:20" s="129" customFormat="1" x14ac:dyDescent="0.45">
      <c r="B64" s="118">
        <f t="shared" si="3"/>
        <v>5</v>
      </c>
      <c r="C64" s="55"/>
      <c r="D64" s="126" t="s">
        <v>37</v>
      </c>
      <c r="E64" s="126" t="s">
        <v>44</v>
      </c>
      <c r="F64" s="126" t="s">
        <v>2235</v>
      </c>
      <c r="G64" s="126"/>
      <c r="H64" s="1353" t="s">
        <v>2236</v>
      </c>
      <c r="I64" s="1354"/>
      <c r="J64" s="1354"/>
      <c r="K64" s="1355"/>
      <c r="L64" s="1353" t="s">
        <v>2237</v>
      </c>
      <c r="M64" s="1354"/>
      <c r="N64" s="1354"/>
      <c r="O64" s="1355"/>
      <c r="P64" s="1353" t="s">
        <v>2238</v>
      </c>
      <c r="Q64" s="1354"/>
      <c r="R64" s="1354"/>
      <c r="S64" s="1355"/>
      <c r="T64" s="223"/>
    </row>
    <row r="65" spans="2:20" s="129" customFormat="1" x14ac:dyDescent="0.45">
      <c r="B65" s="118">
        <f t="shared" si="3"/>
        <v>6</v>
      </c>
      <c r="C65" s="55"/>
      <c r="D65" s="126" t="s">
        <v>37</v>
      </c>
      <c r="E65" s="126" t="s">
        <v>137</v>
      </c>
      <c r="F65" s="126" t="s">
        <v>1993</v>
      </c>
      <c r="G65" s="126"/>
      <c r="H65" s="224"/>
      <c r="I65" s="224"/>
      <c r="J65" s="224"/>
      <c r="K65" s="224"/>
      <c r="L65" s="1353" t="s">
        <v>2239</v>
      </c>
      <c r="M65" s="1354"/>
      <c r="N65" s="1354"/>
      <c r="O65" s="1354"/>
      <c r="P65" s="1354"/>
      <c r="Q65" s="1354"/>
      <c r="R65" s="1354"/>
      <c r="S65" s="1355"/>
      <c r="T65" s="223"/>
    </row>
    <row r="66" spans="2:20" s="129" customFormat="1" x14ac:dyDescent="0.45">
      <c r="B66" s="118">
        <f t="shared" si="3"/>
        <v>7</v>
      </c>
      <c r="C66" s="55"/>
      <c r="D66" s="126" t="s">
        <v>37</v>
      </c>
      <c r="E66" s="126" t="s">
        <v>46</v>
      </c>
      <c r="F66" s="126" t="s">
        <v>1993</v>
      </c>
      <c r="G66" s="126"/>
      <c r="H66" s="224"/>
      <c r="I66" s="224"/>
      <c r="J66" s="224"/>
      <c r="K66" s="224"/>
      <c r="L66" s="1353" t="s">
        <v>2240</v>
      </c>
      <c r="M66" s="1354"/>
      <c r="N66" s="1354"/>
      <c r="O66" s="1354"/>
      <c r="P66" s="1354"/>
      <c r="Q66" s="1354"/>
      <c r="R66" s="1354"/>
      <c r="S66" s="1355"/>
      <c r="T66" s="223"/>
    </row>
    <row r="67" spans="2:20" s="129" customFormat="1" x14ac:dyDescent="0.45">
      <c r="B67" s="118">
        <f t="shared" si="3"/>
        <v>8</v>
      </c>
      <c r="C67" s="55"/>
      <c r="D67" s="126" t="s">
        <v>37</v>
      </c>
      <c r="E67" s="126" t="s">
        <v>140</v>
      </c>
      <c r="F67" s="126" t="s">
        <v>1993</v>
      </c>
      <c r="G67" s="126"/>
      <c r="H67" s="224"/>
      <c r="I67" s="224"/>
      <c r="J67" s="224"/>
      <c r="K67" s="224"/>
      <c r="L67" s="1353" t="s">
        <v>2241</v>
      </c>
      <c r="M67" s="1354"/>
      <c r="N67" s="1354"/>
      <c r="O67" s="1354"/>
      <c r="P67" s="1354"/>
      <c r="Q67" s="1354"/>
      <c r="R67" s="1354"/>
      <c r="S67" s="1355"/>
      <c r="T67" s="223"/>
    </row>
    <row r="68" spans="2:20" s="129" customFormat="1" x14ac:dyDescent="0.45">
      <c r="B68" s="118">
        <f t="shared" si="3"/>
        <v>9</v>
      </c>
      <c r="C68" s="55"/>
      <c r="D68" s="126" t="s">
        <v>37</v>
      </c>
      <c r="E68" s="126" t="s">
        <v>49</v>
      </c>
      <c r="F68" s="126" t="s">
        <v>1993</v>
      </c>
      <c r="G68" s="126"/>
      <c r="H68" s="224"/>
      <c r="I68" s="224"/>
      <c r="J68" s="224"/>
      <c r="K68" s="224"/>
      <c r="L68" s="1353" t="s">
        <v>2242</v>
      </c>
      <c r="M68" s="1354"/>
      <c r="N68" s="1354"/>
      <c r="O68" s="1354"/>
      <c r="P68" s="1354"/>
      <c r="Q68" s="1354"/>
      <c r="R68" s="1354"/>
      <c r="S68" s="1355"/>
      <c r="T68" s="223"/>
    </row>
    <row r="69" spans="2:20" s="129" customFormat="1" x14ac:dyDescent="0.45">
      <c r="B69" s="118">
        <f t="shared" si="3"/>
        <v>10</v>
      </c>
      <c r="C69" s="55"/>
      <c r="D69" s="126" t="s">
        <v>37</v>
      </c>
      <c r="E69" s="126" t="s">
        <v>52</v>
      </c>
      <c r="F69" s="126" t="s">
        <v>1993</v>
      </c>
      <c r="G69" s="126"/>
      <c r="H69" s="224"/>
      <c r="I69" s="224"/>
      <c r="J69" s="224"/>
      <c r="K69" s="224"/>
      <c r="L69" s="1353" t="s">
        <v>2243</v>
      </c>
      <c r="M69" s="1354"/>
      <c r="N69" s="1354"/>
      <c r="O69" s="1354"/>
      <c r="P69" s="1354"/>
      <c r="Q69" s="1354"/>
      <c r="R69" s="1354"/>
      <c r="S69" s="1355"/>
      <c r="T69" s="223"/>
    </row>
    <row r="70" spans="2:20" s="129" customFormat="1" x14ac:dyDescent="0.45">
      <c r="B70" s="118">
        <f t="shared" si="3"/>
        <v>11</v>
      </c>
      <c r="C70" s="55"/>
      <c r="D70" s="126" t="s">
        <v>37</v>
      </c>
      <c r="E70" s="126" t="s">
        <v>144</v>
      </c>
      <c r="F70" s="126" t="s">
        <v>1993</v>
      </c>
      <c r="G70" s="126"/>
      <c r="H70" s="224"/>
      <c r="I70" s="224"/>
      <c r="J70" s="224"/>
      <c r="K70" s="224"/>
      <c r="L70" s="1353" t="s">
        <v>2244</v>
      </c>
      <c r="M70" s="1354"/>
      <c r="N70" s="1354"/>
      <c r="O70" s="1354"/>
      <c r="P70" s="1354"/>
      <c r="Q70" s="1354"/>
      <c r="R70" s="1354"/>
      <c r="S70" s="1355"/>
      <c r="T70" s="223"/>
    </row>
    <row r="71" spans="2:20" s="129" customFormat="1" x14ac:dyDescent="0.45">
      <c r="B71" s="118">
        <f t="shared" si="3"/>
        <v>12</v>
      </c>
      <c r="C71" s="55"/>
      <c r="D71" s="126" t="s">
        <v>37</v>
      </c>
      <c r="E71" s="126" t="s">
        <v>67</v>
      </c>
      <c r="F71" s="126" t="s">
        <v>1993</v>
      </c>
      <c r="G71" s="126"/>
      <c r="H71" s="224"/>
      <c r="I71" s="224"/>
      <c r="J71" s="224"/>
      <c r="K71" s="224"/>
      <c r="L71" s="1353" t="s">
        <v>2245</v>
      </c>
      <c r="M71" s="1354"/>
      <c r="N71" s="1354"/>
      <c r="O71" s="1354"/>
      <c r="P71" s="1354"/>
      <c r="Q71" s="1354"/>
      <c r="R71" s="1354"/>
      <c r="S71" s="1355"/>
      <c r="T71" s="223"/>
    </row>
    <row r="72" spans="2:20" s="129" customFormat="1" x14ac:dyDescent="0.45">
      <c r="B72" s="118">
        <f t="shared" si="3"/>
        <v>13</v>
      </c>
      <c r="C72" s="55"/>
      <c r="D72" s="126" t="s">
        <v>37</v>
      </c>
      <c r="E72" s="126" t="s">
        <v>72</v>
      </c>
      <c r="F72" s="126" t="s">
        <v>1993</v>
      </c>
      <c r="G72" s="126"/>
      <c r="H72" s="224"/>
      <c r="I72" s="224"/>
      <c r="J72" s="224"/>
      <c r="K72" s="224"/>
      <c r="L72" s="1353" t="s">
        <v>2246</v>
      </c>
      <c r="M72" s="1354"/>
      <c r="N72" s="1354"/>
      <c r="O72" s="1354"/>
      <c r="P72" s="1354"/>
      <c r="Q72" s="1354"/>
      <c r="R72" s="1354"/>
      <c r="S72" s="1355"/>
      <c r="T72" s="223"/>
    </row>
    <row r="73" spans="2:20" s="129" customFormat="1" x14ac:dyDescent="0.45">
      <c r="B73" s="118">
        <f t="shared" si="3"/>
        <v>14</v>
      </c>
      <c r="C73" s="55"/>
      <c r="D73" s="126" t="s">
        <v>37</v>
      </c>
      <c r="E73" s="126" t="s">
        <v>76</v>
      </c>
      <c r="F73" s="126" t="s">
        <v>1993</v>
      </c>
      <c r="G73" s="126"/>
      <c r="H73" s="224"/>
      <c r="I73" s="224"/>
      <c r="J73" s="224"/>
      <c r="K73" s="224"/>
      <c r="L73" s="1353" t="s">
        <v>2247</v>
      </c>
      <c r="M73" s="1354"/>
      <c r="N73" s="1354"/>
      <c r="O73" s="1354"/>
      <c r="P73" s="1354"/>
      <c r="Q73" s="1354"/>
      <c r="R73" s="1354"/>
      <c r="S73" s="1355"/>
      <c r="T73" s="223"/>
    </row>
    <row r="74" spans="2:20" s="129" customFormat="1" x14ac:dyDescent="0.45">
      <c r="B74" s="118">
        <f t="shared" si="3"/>
        <v>15</v>
      </c>
      <c r="C74" s="55"/>
      <c r="D74" s="126" t="s">
        <v>37</v>
      </c>
      <c r="E74" s="126" t="s">
        <v>79</v>
      </c>
      <c r="F74" s="126" t="s">
        <v>1993</v>
      </c>
      <c r="G74" s="126"/>
      <c r="H74" s="224"/>
      <c r="I74" s="224"/>
      <c r="J74" s="224"/>
      <c r="K74" s="224"/>
      <c r="L74" s="1353" t="s">
        <v>2248</v>
      </c>
      <c r="M74" s="1354"/>
      <c r="N74" s="1354"/>
      <c r="O74" s="1354"/>
      <c r="P74" s="1354"/>
      <c r="Q74" s="1354"/>
      <c r="R74" s="1354"/>
      <c r="S74" s="1355"/>
      <c r="T74" s="223"/>
    </row>
    <row r="75" spans="2:20" s="129" customFormat="1" x14ac:dyDescent="0.45">
      <c r="B75" s="118">
        <f t="shared" si="3"/>
        <v>16</v>
      </c>
      <c r="C75" s="55"/>
      <c r="D75" s="126" t="s">
        <v>37</v>
      </c>
      <c r="E75" s="126" t="s">
        <v>81</v>
      </c>
      <c r="F75" s="126" t="s">
        <v>1993</v>
      </c>
      <c r="G75" s="55"/>
      <c r="H75" s="970"/>
      <c r="I75" s="970"/>
      <c r="J75" s="970"/>
      <c r="K75" s="970"/>
      <c r="L75" s="1359" t="s">
        <v>2249</v>
      </c>
      <c r="M75" s="1360"/>
      <c r="N75" s="1360"/>
      <c r="O75" s="1360"/>
      <c r="P75" s="1360"/>
      <c r="Q75" s="1360"/>
      <c r="R75" s="1360"/>
      <c r="S75" s="1361"/>
      <c r="T75" s="223"/>
    </row>
    <row r="76" spans="2:20" s="129" customFormat="1" x14ac:dyDescent="0.45">
      <c r="B76" s="118">
        <f t="shared" si="3"/>
        <v>17</v>
      </c>
      <c r="C76" s="55"/>
      <c r="D76" s="126" t="s">
        <v>37</v>
      </c>
      <c r="E76" s="126" t="s">
        <v>83</v>
      </c>
      <c r="F76" s="126" t="s">
        <v>1993</v>
      </c>
      <c r="G76" s="126"/>
      <c r="H76" s="224"/>
      <c r="I76" s="224"/>
      <c r="J76" s="224"/>
      <c r="K76" s="224"/>
      <c r="L76" s="1358" t="s">
        <v>2250</v>
      </c>
      <c r="M76" s="1358"/>
      <c r="N76" s="1358"/>
      <c r="O76" s="1358"/>
      <c r="P76" s="1358"/>
      <c r="Q76" s="1358"/>
      <c r="R76" s="1358"/>
      <c r="S76" s="1358"/>
      <c r="T76" s="223"/>
    </row>
    <row r="77" spans="2:20" s="129" customFormat="1" x14ac:dyDescent="0.45">
      <c r="B77" s="118">
        <f t="shared" si="3"/>
        <v>18</v>
      </c>
      <c r="C77" s="55"/>
      <c r="D77" s="126" t="s">
        <v>37</v>
      </c>
      <c r="E77" s="126" t="s">
        <v>374</v>
      </c>
      <c r="F77" s="126" t="s">
        <v>226</v>
      </c>
      <c r="G77" s="126"/>
      <c r="H77" s="224"/>
      <c r="I77" s="224"/>
      <c r="J77" s="224"/>
      <c r="K77" s="224"/>
      <c r="L77" s="224"/>
      <c r="M77" s="224"/>
      <c r="N77" s="1353" t="s">
        <v>2251</v>
      </c>
      <c r="O77" s="1354"/>
      <c r="P77" s="1354"/>
      <c r="Q77" s="1354"/>
      <c r="R77" s="1354"/>
      <c r="S77" s="1355"/>
      <c r="T77" s="223"/>
    </row>
    <row r="78" spans="2:20" s="129" customFormat="1" x14ac:dyDescent="0.45">
      <c r="B78" s="118">
        <f t="shared" si="3"/>
        <v>19</v>
      </c>
      <c r="C78" s="55"/>
      <c r="D78" s="126" t="s">
        <v>37</v>
      </c>
      <c r="E78" s="126" t="s">
        <v>86</v>
      </c>
      <c r="F78" s="126" t="s">
        <v>226</v>
      </c>
      <c r="G78" s="126"/>
      <c r="H78" s="971"/>
      <c r="I78" s="971"/>
      <c r="J78" s="971"/>
      <c r="K78" s="971"/>
      <c r="L78" s="971"/>
      <c r="M78" s="971"/>
      <c r="N78" s="1353" t="s">
        <v>2252</v>
      </c>
      <c r="O78" s="1354"/>
      <c r="P78" s="1354"/>
      <c r="Q78" s="1354"/>
      <c r="R78" s="1354"/>
      <c r="S78" s="1355"/>
      <c r="T78" s="223"/>
    </row>
    <row r="79" spans="2:20" s="129" customFormat="1" x14ac:dyDescent="0.45">
      <c r="B79" s="118">
        <f t="shared" si="3"/>
        <v>20</v>
      </c>
      <c r="C79" s="55"/>
      <c r="D79" s="126" t="s">
        <v>37</v>
      </c>
      <c r="E79" s="126" t="s">
        <v>88</v>
      </c>
      <c r="F79" s="126" t="s">
        <v>226</v>
      </c>
      <c r="G79" s="126"/>
      <c r="H79" s="224"/>
      <c r="I79" s="224"/>
      <c r="J79" s="224"/>
      <c r="K79" s="224"/>
      <c r="L79" s="224"/>
      <c r="M79" s="224"/>
      <c r="N79" s="1353" t="s">
        <v>2253</v>
      </c>
      <c r="O79" s="1354"/>
      <c r="P79" s="1354"/>
      <c r="Q79" s="1354"/>
      <c r="R79" s="1354"/>
      <c r="S79" s="1355"/>
      <c r="T79" s="223"/>
    </row>
    <row r="80" spans="2:20" s="129" customFormat="1" x14ac:dyDescent="0.45">
      <c r="B80" s="118">
        <f t="shared" si="3"/>
        <v>21</v>
      </c>
      <c r="C80" s="55"/>
      <c r="D80" s="126" t="s">
        <v>37</v>
      </c>
      <c r="E80" s="126" t="s">
        <v>90</v>
      </c>
      <c r="F80" s="126" t="s">
        <v>226</v>
      </c>
      <c r="G80" s="126"/>
      <c r="H80" s="224"/>
      <c r="I80" s="224"/>
      <c r="J80" s="224"/>
      <c r="K80" s="224"/>
      <c r="L80" s="224"/>
      <c r="M80" s="224"/>
      <c r="N80" s="1353" t="s">
        <v>2254</v>
      </c>
      <c r="O80" s="1354"/>
      <c r="P80" s="1354"/>
      <c r="Q80" s="1354"/>
      <c r="R80" s="1354"/>
      <c r="S80" s="1355"/>
      <c r="T80" s="223"/>
    </row>
    <row r="81" spans="1:21" s="129" customFormat="1" x14ac:dyDescent="0.45">
      <c r="A81" s="129" t="s">
        <v>162</v>
      </c>
      <c r="B81" s="118">
        <f t="shared" si="3"/>
        <v>22</v>
      </c>
      <c r="C81" s="55"/>
      <c r="D81" s="126" t="s">
        <v>37</v>
      </c>
      <c r="E81" s="126" t="s">
        <v>92</v>
      </c>
      <c r="F81" s="126" t="s">
        <v>226</v>
      </c>
      <c r="G81" s="126"/>
      <c r="H81" s="224"/>
      <c r="I81" s="224"/>
      <c r="J81" s="224"/>
      <c r="K81" s="224"/>
      <c r="L81" s="224"/>
      <c r="M81" s="224"/>
      <c r="N81" s="1353" t="s">
        <v>2255</v>
      </c>
      <c r="O81" s="1354"/>
      <c r="P81" s="1354"/>
      <c r="Q81" s="1354"/>
      <c r="R81" s="1354"/>
      <c r="S81" s="1355"/>
      <c r="T81" s="223"/>
    </row>
    <row r="82" spans="1:21" s="129" customFormat="1" x14ac:dyDescent="0.45">
      <c r="B82" s="118">
        <f t="shared" si="3"/>
        <v>23</v>
      </c>
      <c r="C82" s="55"/>
      <c r="D82" s="126" t="s">
        <v>37</v>
      </c>
      <c r="E82" s="126" t="s">
        <v>94</v>
      </c>
      <c r="F82" s="126" t="s">
        <v>226</v>
      </c>
      <c r="G82" s="126"/>
      <c r="H82" s="224"/>
      <c r="I82" s="224"/>
      <c r="J82" s="224"/>
      <c r="K82" s="224"/>
      <c r="L82" s="224"/>
      <c r="M82" s="224"/>
      <c r="N82" s="1353" t="s">
        <v>2256</v>
      </c>
      <c r="O82" s="1354"/>
      <c r="P82" s="1354"/>
      <c r="Q82" s="1354"/>
      <c r="R82" s="1354"/>
      <c r="S82" s="1355"/>
      <c r="T82" s="223"/>
    </row>
    <row r="83" spans="1:21" s="129" customFormat="1" x14ac:dyDescent="0.45">
      <c r="B83" s="118">
        <f t="shared" si="3"/>
        <v>24</v>
      </c>
      <c r="C83" s="55"/>
      <c r="D83" s="126" t="s">
        <v>37</v>
      </c>
      <c r="E83" s="126" t="s">
        <v>411</v>
      </c>
      <c r="F83" s="126" t="s">
        <v>226</v>
      </c>
      <c r="G83" s="126"/>
      <c r="H83" s="224"/>
      <c r="I83" s="224"/>
      <c r="J83" s="224"/>
      <c r="K83" s="224"/>
      <c r="L83" s="224"/>
      <c r="M83" s="224"/>
      <c r="N83" s="1353" t="s">
        <v>2257</v>
      </c>
      <c r="O83" s="1354"/>
      <c r="P83" s="1354"/>
      <c r="Q83" s="1354"/>
      <c r="R83" s="1354"/>
      <c r="S83" s="1355"/>
      <c r="T83" s="223"/>
    </row>
    <row r="84" spans="1:21" s="129" customFormat="1" x14ac:dyDescent="0.45">
      <c r="B84" s="118">
        <f t="shared" si="3"/>
        <v>25</v>
      </c>
      <c r="C84" s="55"/>
      <c r="D84" s="126" t="s">
        <v>37</v>
      </c>
      <c r="E84" s="126" t="s">
        <v>415</v>
      </c>
      <c r="F84" s="126" t="s">
        <v>226</v>
      </c>
      <c r="G84" s="126"/>
      <c r="H84" s="224"/>
      <c r="I84" s="224"/>
      <c r="J84" s="224"/>
      <c r="K84" s="224"/>
      <c r="L84" s="224"/>
      <c r="M84" s="224"/>
      <c r="N84" s="1353" t="s">
        <v>2258</v>
      </c>
      <c r="O84" s="1354"/>
      <c r="P84" s="1354"/>
      <c r="Q84" s="1354"/>
      <c r="R84" s="1354"/>
      <c r="S84" s="1355"/>
      <c r="T84" s="223"/>
    </row>
    <row r="85" spans="1:21" x14ac:dyDescent="0.45">
      <c r="B85" s="118">
        <f t="shared" si="3"/>
        <v>26</v>
      </c>
      <c r="D85" s="126" t="s">
        <v>37</v>
      </c>
      <c r="E85" s="126" t="s">
        <v>427</v>
      </c>
      <c r="F85" s="126" t="s">
        <v>226</v>
      </c>
      <c r="H85" s="224"/>
      <c r="I85" s="224"/>
      <c r="J85" s="224"/>
      <c r="K85" s="224"/>
      <c r="L85" s="224"/>
      <c r="M85" s="224"/>
      <c r="N85" s="1353" t="s">
        <v>2259</v>
      </c>
      <c r="O85" s="1354"/>
      <c r="P85" s="1354"/>
      <c r="Q85" s="1354"/>
      <c r="R85" s="1354"/>
      <c r="S85" s="1355"/>
      <c r="T85" s="223"/>
    </row>
    <row r="86" spans="1:21" x14ac:dyDescent="0.45">
      <c r="B86" s="118">
        <f t="shared" si="3"/>
        <v>27</v>
      </c>
      <c r="D86" s="126" t="s">
        <v>37</v>
      </c>
      <c r="E86" s="126" t="s">
        <v>437</v>
      </c>
      <c r="F86" s="126" t="s">
        <v>226</v>
      </c>
      <c r="H86" s="224"/>
      <c r="I86" s="224"/>
      <c r="J86" s="224"/>
      <c r="K86" s="224"/>
      <c r="L86" s="224"/>
      <c r="M86" s="224"/>
      <c r="N86" s="1353" t="s">
        <v>2260</v>
      </c>
      <c r="O86" s="1354"/>
      <c r="P86" s="1354"/>
      <c r="Q86" s="1354"/>
      <c r="R86" s="1354"/>
      <c r="S86" s="1355"/>
      <c r="T86" s="223"/>
    </row>
    <row r="87" spans="1:21" x14ac:dyDescent="0.45">
      <c r="B87" s="118">
        <f t="shared" si="3"/>
        <v>28</v>
      </c>
      <c r="D87" s="126" t="s">
        <v>37</v>
      </c>
      <c r="E87" s="126" t="s">
        <v>150</v>
      </c>
      <c r="F87" s="126" t="s">
        <v>226</v>
      </c>
      <c r="H87" s="224"/>
      <c r="I87" s="224"/>
      <c r="J87" s="224"/>
      <c r="K87" s="224"/>
      <c r="L87" s="224"/>
      <c r="M87" s="224"/>
      <c r="N87" s="1353" t="s">
        <v>2261</v>
      </c>
      <c r="O87" s="1354"/>
      <c r="P87" s="1354"/>
      <c r="Q87" s="1354"/>
      <c r="R87" s="1354"/>
      <c r="S87" s="1355"/>
      <c r="T87" s="223"/>
      <c r="U87" s="126"/>
    </row>
    <row r="88" spans="1:21" x14ac:dyDescent="0.45">
      <c r="B88" s="118"/>
      <c r="D88" s="126" t="s">
        <v>37</v>
      </c>
      <c r="E88" s="126" t="s">
        <v>153</v>
      </c>
      <c r="F88" s="126" t="s">
        <v>226</v>
      </c>
      <c r="H88" s="224"/>
      <c r="I88" s="224"/>
      <c r="J88" s="224"/>
      <c r="K88" s="224"/>
      <c r="L88" s="224"/>
      <c r="M88" s="224"/>
      <c r="N88" s="1353" t="s">
        <v>2262</v>
      </c>
      <c r="O88" s="1354"/>
      <c r="P88" s="1354"/>
      <c r="Q88" s="1354"/>
      <c r="R88" s="1354"/>
      <c r="S88" s="1355"/>
      <c r="T88" s="223"/>
      <c r="U88" s="126"/>
    </row>
    <row r="89" spans="1:21" x14ac:dyDescent="0.45">
      <c r="B89" s="118">
        <f>B87+1</f>
        <v>29</v>
      </c>
      <c r="C89" s="55" t="s">
        <v>2791</v>
      </c>
      <c r="D89" s="31"/>
      <c r="E89" s="31"/>
      <c r="F89" s="31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3"/>
    </row>
    <row r="90" spans="1:21" s="212" customFormat="1" x14ac:dyDescent="0.45">
      <c r="A90" s="31"/>
      <c r="B90" s="31"/>
      <c r="C90" s="55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>
        <f>8*12+6*12+8+12+12+12+5</f>
        <v>217</v>
      </c>
      <c r="U90" s="31"/>
    </row>
    <row r="91" spans="1:21" x14ac:dyDescent="0.45">
      <c r="S91" s="126">
        <v>264</v>
      </c>
    </row>
  </sheetData>
  <mergeCells count="91">
    <mergeCell ref="N85:S85"/>
    <mergeCell ref="N86:S86"/>
    <mergeCell ref="N87:S87"/>
    <mergeCell ref="N88:S88"/>
    <mergeCell ref="O4:P4"/>
    <mergeCell ref="J4:N4"/>
    <mergeCell ref="H19:S19"/>
    <mergeCell ref="N79:S79"/>
    <mergeCell ref="N80:S80"/>
    <mergeCell ref="N81:S81"/>
    <mergeCell ref="N82:S82"/>
    <mergeCell ref="N83:S83"/>
    <mergeCell ref="N84:S84"/>
    <mergeCell ref="L73:S73"/>
    <mergeCell ref="L74:S74"/>
    <mergeCell ref="L75:S75"/>
    <mergeCell ref="L76:S76"/>
    <mergeCell ref="N77:S77"/>
    <mergeCell ref="N78:S78"/>
    <mergeCell ref="L67:S67"/>
    <mergeCell ref="L68:S68"/>
    <mergeCell ref="L69:S69"/>
    <mergeCell ref="L70:S70"/>
    <mergeCell ref="L71:S71"/>
    <mergeCell ref="L72:S72"/>
    <mergeCell ref="L66:S66"/>
    <mergeCell ref="H55:S55"/>
    <mergeCell ref="L60:S60"/>
    <mergeCell ref="H61:L61"/>
    <mergeCell ref="M61:S61"/>
    <mergeCell ref="H62:I62"/>
    <mergeCell ref="J62:N62"/>
    <mergeCell ref="O62:S62"/>
    <mergeCell ref="P63:S63"/>
    <mergeCell ref="H64:K64"/>
    <mergeCell ref="L64:O64"/>
    <mergeCell ref="P64:S64"/>
    <mergeCell ref="L65:S65"/>
    <mergeCell ref="H52:S52"/>
    <mergeCell ref="N53:O53"/>
    <mergeCell ref="P53:S53"/>
    <mergeCell ref="H40:S40"/>
    <mergeCell ref="H41:M41"/>
    <mergeCell ref="H44:K44"/>
    <mergeCell ref="N44:O44"/>
    <mergeCell ref="R44:S44"/>
    <mergeCell ref="H45:S45"/>
    <mergeCell ref="L50:M50"/>
    <mergeCell ref="P46:S46"/>
    <mergeCell ref="I50:K50"/>
    <mergeCell ref="K32:S32"/>
    <mergeCell ref="J33:S33"/>
    <mergeCell ref="H29:S29"/>
    <mergeCell ref="H30:S30"/>
    <mergeCell ref="P51:S51"/>
    <mergeCell ref="L38:S38"/>
    <mergeCell ref="I36:S36"/>
    <mergeCell ref="J34:S34"/>
    <mergeCell ref="J35:S35"/>
    <mergeCell ref="H37:S37"/>
    <mergeCell ref="I38:J38"/>
    <mergeCell ref="H28:S28"/>
    <mergeCell ref="H14:S14"/>
    <mergeCell ref="H15:S15"/>
    <mergeCell ref="H16:S16"/>
    <mergeCell ref="H31:M31"/>
    <mergeCell ref="N31:S31"/>
    <mergeCell ref="H20:S20"/>
    <mergeCell ref="H21:S21"/>
    <mergeCell ref="H22:S22"/>
    <mergeCell ref="H23:S23"/>
    <mergeCell ref="H24:S24"/>
    <mergeCell ref="H25:S25"/>
    <mergeCell ref="H13:K13"/>
    <mergeCell ref="L13:O13"/>
    <mergeCell ref="P13:S13"/>
    <mergeCell ref="H26:S26"/>
    <mergeCell ref="H27:S27"/>
    <mergeCell ref="K10:M10"/>
    <mergeCell ref="N10:P10"/>
    <mergeCell ref="Q10:S10"/>
    <mergeCell ref="I9:J9"/>
    <mergeCell ref="K11:M11"/>
    <mergeCell ref="N11:P11"/>
    <mergeCell ref="Q11:S11"/>
    <mergeCell ref="O3:S3"/>
    <mergeCell ref="H6:K6"/>
    <mergeCell ref="L6:S6"/>
    <mergeCell ref="H7:O7"/>
    <mergeCell ref="P7:S7"/>
    <mergeCell ref="O5:S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9F3C-7B40-459D-A1A8-84938E94D3AE}">
  <sheetPr>
    <tabColor rgb="FF0000FF"/>
  </sheetPr>
  <dimension ref="A1:U91"/>
  <sheetViews>
    <sheetView showGridLines="0" topLeftCell="D1" zoomScaleNormal="100" workbookViewId="0">
      <selection activeCell="L9" sqref="L9:M9"/>
    </sheetView>
  </sheetViews>
  <sheetFormatPr defaultColWidth="8.58203125" defaultRowHeight="17" x14ac:dyDescent="0.45"/>
  <cols>
    <col min="1" max="1" width="8.58203125" style="31" customWidth="1"/>
    <col min="2" max="2" width="3.1640625" style="31" bestFit="1" customWidth="1"/>
    <col min="3" max="3" width="19.83203125" style="55" bestFit="1" customWidth="1"/>
    <col min="4" max="4" width="6.4140625" style="126" bestFit="1" customWidth="1"/>
    <col min="5" max="5" width="7.58203125" style="126" bestFit="1" customWidth="1"/>
    <col min="6" max="6" width="6.9140625" style="126" bestFit="1" customWidth="1"/>
    <col min="7" max="7" width="1.58203125" style="126" customWidth="1"/>
    <col min="8" max="8" width="16.33203125" style="126" bestFit="1" customWidth="1"/>
    <col min="9" max="10" width="13.6640625" style="126" bestFit="1" customWidth="1"/>
    <col min="11" max="13" width="12.58203125" style="126" bestFit="1" customWidth="1"/>
    <col min="14" max="14" width="14.4140625" style="126" bestFit="1" customWidth="1"/>
    <col min="15" max="15" width="17.83203125" style="126" bestFit="1" customWidth="1"/>
    <col min="16" max="16" width="13.83203125" style="126" bestFit="1" customWidth="1"/>
    <col min="17" max="17" width="13.6640625" style="126" bestFit="1" customWidth="1"/>
    <col min="18" max="18" width="13.9140625" style="126" bestFit="1" customWidth="1"/>
    <col min="19" max="19" width="13.6640625" style="126" bestFit="1" customWidth="1"/>
    <col min="20" max="20" width="83.25" style="212" bestFit="1" customWidth="1"/>
    <col min="21" max="21" width="8.58203125" style="31" customWidth="1"/>
    <col min="22" max="16384" width="8.58203125" style="31"/>
  </cols>
  <sheetData>
    <row r="1" spans="2:20" x14ac:dyDescent="0.45">
      <c r="D1" s="55"/>
      <c r="E1" s="55"/>
      <c r="F1" s="55"/>
    </row>
    <row r="2" spans="2:20" x14ac:dyDescent="0.45">
      <c r="B2" s="118"/>
      <c r="C2" s="120" t="s">
        <v>19</v>
      </c>
      <c r="D2" s="213" t="s">
        <v>20</v>
      </c>
      <c r="E2" s="213" t="s">
        <v>21</v>
      </c>
      <c r="F2" s="213" t="s">
        <v>22</v>
      </c>
      <c r="G2" s="213"/>
      <c r="H2" s="213" t="s">
        <v>23</v>
      </c>
      <c r="I2" s="213" t="s">
        <v>24</v>
      </c>
      <c r="J2" s="213" t="s">
        <v>25</v>
      </c>
      <c r="K2" s="213" t="s">
        <v>26</v>
      </c>
      <c r="L2" s="213" t="s">
        <v>27</v>
      </c>
      <c r="M2" s="213" t="s">
        <v>28</v>
      </c>
      <c r="N2" s="213" t="s">
        <v>29</v>
      </c>
      <c r="O2" s="213" t="s">
        <v>30</v>
      </c>
      <c r="P2" s="213" t="s">
        <v>31</v>
      </c>
      <c r="Q2" s="213" t="s">
        <v>32</v>
      </c>
      <c r="R2" s="213" t="s">
        <v>33</v>
      </c>
      <c r="S2" s="213" t="s">
        <v>34</v>
      </c>
      <c r="T2" s="214" t="s">
        <v>35</v>
      </c>
    </row>
    <row r="3" spans="2:20" ht="85" x14ac:dyDescent="0.45">
      <c r="B3" s="118">
        <v>1</v>
      </c>
      <c r="C3" s="55" t="s">
        <v>1874</v>
      </c>
      <c r="D3" s="126" t="s">
        <v>37</v>
      </c>
      <c r="E3" s="126" t="s">
        <v>38</v>
      </c>
      <c r="F3" s="126" t="s">
        <v>2698</v>
      </c>
      <c r="H3" s="205" t="s">
        <v>174</v>
      </c>
      <c r="I3" s="205" t="s">
        <v>1146</v>
      </c>
      <c r="J3" s="205" t="s">
        <v>1145</v>
      </c>
      <c r="K3" s="205" t="s">
        <v>2697</v>
      </c>
      <c r="L3" s="127"/>
      <c r="M3" s="127"/>
      <c r="N3" s="127"/>
      <c r="O3" s="1342" t="s">
        <v>40</v>
      </c>
      <c r="P3" s="1343"/>
      <c r="Q3" s="1343"/>
      <c r="R3" s="1343"/>
      <c r="S3" s="1344"/>
      <c r="T3" s="215" t="s">
        <v>2795</v>
      </c>
    </row>
    <row r="4" spans="2:20" ht="119" x14ac:dyDescent="0.45">
      <c r="B4" s="118">
        <f>B3+1</f>
        <v>2</v>
      </c>
      <c r="C4" s="55" t="s">
        <v>897</v>
      </c>
      <c r="D4" s="126" t="s">
        <v>37</v>
      </c>
      <c r="E4" s="126" t="s">
        <v>130</v>
      </c>
      <c r="F4" s="126" t="s">
        <v>39</v>
      </c>
      <c r="H4" s="1234"/>
      <c r="I4" s="1234"/>
      <c r="J4" s="1345" t="s">
        <v>2695</v>
      </c>
      <c r="K4" s="1346"/>
      <c r="L4" s="1346"/>
      <c r="M4" s="1346"/>
      <c r="N4" s="1347"/>
      <c r="P4" s="1233" t="s">
        <v>1987</v>
      </c>
      <c r="Q4" s="690" t="s">
        <v>2668</v>
      </c>
      <c r="R4" s="690" t="s">
        <v>42</v>
      </c>
      <c r="S4" s="207" t="s">
        <v>1986</v>
      </c>
      <c r="T4" s="215" t="s">
        <v>2856</v>
      </c>
    </row>
    <row r="5" spans="2:20" x14ac:dyDescent="0.45">
      <c r="B5" s="118">
        <f t="shared" ref="B5:B41" si="0">B4+1</f>
        <v>3</v>
      </c>
      <c r="C5" s="55" t="s">
        <v>2701</v>
      </c>
      <c r="D5" s="126" t="s">
        <v>37</v>
      </c>
      <c r="E5" s="126" t="s">
        <v>133</v>
      </c>
      <c r="F5" s="126" t="s">
        <v>39</v>
      </c>
      <c r="H5" s="224"/>
      <c r="I5" s="224"/>
      <c r="J5" s="224"/>
      <c r="K5" s="224"/>
      <c r="L5" s="224"/>
      <c r="M5" s="224"/>
      <c r="N5" s="224"/>
      <c r="O5" s="1345" t="s">
        <v>2699</v>
      </c>
      <c r="P5" s="1346"/>
      <c r="Q5" s="1346"/>
      <c r="R5" s="1346"/>
      <c r="S5" s="1347"/>
      <c r="T5" s="78" t="s">
        <v>2700</v>
      </c>
    </row>
    <row r="6" spans="2:20" ht="68" x14ac:dyDescent="0.45">
      <c r="B6" s="118">
        <f t="shared" si="0"/>
        <v>4</v>
      </c>
      <c r="C6" s="55" t="s">
        <v>1849</v>
      </c>
      <c r="D6" s="126" t="s">
        <v>37</v>
      </c>
      <c r="E6" s="126" t="s">
        <v>43</v>
      </c>
      <c r="F6" s="126" t="s">
        <v>39</v>
      </c>
      <c r="H6" s="1305" t="s">
        <v>1845</v>
      </c>
      <c r="I6" s="1306"/>
      <c r="J6" s="1306"/>
      <c r="K6" s="1307"/>
      <c r="L6" s="1305" t="s">
        <v>1844</v>
      </c>
      <c r="M6" s="1306"/>
      <c r="N6" s="1306"/>
      <c r="O6" s="1306"/>
      <c r="P6" s="1306"/>
      <c r="Q6" s="1306"/>
      <c r="R6" s="1306"/>
      <c r="S6" s="1307"/>
      <c r="T6" s="873" t="s">
        <v>2741</v>
      </c>
    </row>
    <row r="7" spans="2:20" x14ac:dyDescent="0.45">
      <c r="B7" s="118">
        <f t="shared" si="0"/>
        <v>5</v>
      </c>
      <c r="C7" s="55" t="s">
        <v>1848</v>
      </c>
      <c r="D7" s="126" t="s">
        <v>37</v>
      </c>
      <c r="E7" s="126" t="s">
        <v>44</v>
      </c>
      <c r="F7" s="126" t="s">
        <v>39</v>
      </c>
      <c r="H7" s="1305" t="s">
        <v>1847</v>
      </c>
      <c r="I7" s="1306"/>
      <c r="J7" s="1306"/>
      <c r="K7" s="1306"/>
      <c r="L7" s="1306"/>
      <c r="M7" s="1306"/>
      <c r="N7" s="1306"/>
      <c r="O7" s="1307"/>
      <c r="P7" s="1305" t="s">
        <v>1846</v>
      </c>
      <c r="Q7" s="1306"/>
      <c r="R7" s="1306"/>
      <c r="S7" s="1307"/>
      <c r="T7" s="972" t="s">
        <v>2669</v>
      </c>
    </row>
    <row r="8" spans="2:20" x14ac:dyDescent="0.45">
      <c r="B8" s="118">
        <f t="shared" si="0"/>
        <v>6</v>
      </c>
      <c r="C8" s="55" t="s">
        <v>1886</v>
      </c>
      <c r="D8" s="126" t="s">
        <v>37</v>
      </c>
      <c r="E8" s="126" t="s">
        <v>137</v>
      </c>
      <c r="F8" s="126" t="s">
        <v>131</v>
      </c>
      <c r="H8" s="219" t="s">
        <v>53</v>
      </c>
      <c r="I8" s="219" t="s">
        <v>54</v>
      </c>
      <c r="J8" s="219" t="s">
        <v>55</v>
      </c>
      <c r="K8" s="219" t="s">
        <v>56</v>
      </c>
      <c r="L8" s="219" t="s">
        <v>57</v>
      </c>
      <c r="M8" s="219" t="s">
        <v>58</v>
      </c>
      <c r="N8" s="219" t="s">
        <v>59</v>
      </c>
      <c r="O8" s="219" t="s">
        <v>60</v>
      </c>
      <c r="P8" s="219" t="s">
        <v>61</v>
      </c>
      <c r="Q8" s="219" t="s">
        <v>62</v>
      </c>
      <c r="R8" s="219" t="s">
        <v>63</v>
      </c>
      <c r="S8" s="219" t="s">
        <v>64</v>
      </c>
      <c r="T8" s="220"/>
    </row>
    <row r="9" spans="2:20" ht="102" x14ac:dyDescent="0.45">
      <c r="B9" s="118">
        <f t="shared" si="0"/>
        <v>7</v>
      </c>
      <c r="C9" s="55" t="s">
        <v>219</v>
      </c>
      <c r="D9" s="126" t="s">
        <v>37</v>
      </c>
      <c r="E9" s="126" t="s">
        <v>46</v>
      </c>
      <c r="F9" s="126" t="s">
        <v>39</v>
      </c>
      <c r="H9" s="1164" t="s">
        <v>2709</v>
      </c>
      <c r="I9" s="1319" t="s">
        <v>1988</v>
      </c>
      <c r="J9" s="1321"/>
      <c r="K9" s="205" t="s">
        <v>2180</v>
      </c>
      <c r="L9" s="1305"/>
      <c r="M9" s="1307"/>
      <c r="N9" s="64" t="s">
        <v>2692</v>
      </c>
      <c r="O9" s="205" t="s">
        <v>325</v>
      </c>
      <c r="P9" s="205" t="s">
        <v>893</v>
      </c>
      <c r="Q9" s="219" t="s">
        <v>223</v>
      </c>
      <c r="R9" s="219" t="s">
        <v>222</v>
      </c>
      <c r="S9" s="205" t="s">
        <v>221</v>
      </c>
      <c r="T9" s="220" t="s">
        <v>2787</v>
      </c>
    </row>
    <row r="10" spans="2:20" x14ac:dyDescent="0.45">
      <c r="B10" s="118">
        <f t="shared" si="0"/>
        <v>8</v>
      </c>
      <c r="C10" s="55" t="s">
        <v>2275</v>
      </c>
      <c r="D10" s="126" t="s">
        <v>37</v>
      </c>
      <c r="E10" s="126" t="s">
        <v>140</v>
      </c>
      <c r="F10" s="126" t="s">
        <v>39</v>
      </c>
      <c r="H10" s="76"/>
      <c r="I10" s="76"/>
      <c r="J10" s="76"/>
      <c r="K10" s="1308" t="s">
        <v>1881</v>
      </c>
      <c r="L10" s="1309"/>
      <c r="M10" s="1310"/>
      <c r="N10" s="1308" t="s">
        <v>1880</v>
      </c>
      <c r="O10" s="1309"/>
      <c r="P10" s="1310"/>
      <c r="Q10" s="1308" t="s">
        <v>1879</v>
      </c>
      <c r="R10" s="1309"/>
      <c r="S10" s="1310"/>
      <c r="T10" s="215"/>
    </row>
    <row r="11" spans="2:20" ht="17.149999999999999" customHeight="1" x14ac:dyDescent="0.45">
      <c r="B11" s="118">
        <f t="shared" si="0"/>
        <v>9</v>
      </c>
      <c r="C11" s="55" t="s">
        <v>2276</v>
      </c>
      <c r="D11" s="126" t="s">
        <v>37</v>
      </c>
      <c r="E11" s="126" t="s">
        <v>49</v>
      </c>
      <c r="F11" s="126" t="s">
        <v>39</v>
      </c>
      <c r="H11" s="76"/>
      <c r="I11" s="76"/>
      <c r="J11" s="76"/>
      <c r="K11" s="1308" t="s">
        <v>2265</v>
      </c>
      <c r="L11" s="1309"/>
      <c r="M11" s="1310"/>
      <c r="N11" s="1308" t="s">
        <v>2264</v>
      </c>
      <c r="O11" s="1309"/>
      <c r="P11" s="1310"/>
      <c r="Q11" s="1308" t="s">
        <v>2263</v>
      </c>
      <c r="R11" s="1309"/>
      <c r="S11" s="1310"/>
      <c r="T11" s="215"/>
    </row>
    <row r="12" spans="2:20" x14ac:dyDescent="0.45">
      <c r="B12" s="118">
        <f t="shared" si="0"/>
        <v>10</v>
      </c>
      <c r="C12" s="55" t="s">
        <v>65</v>
      </c>
      <c r="D12" s="126" t="s">
        <v>66</v>
      </c>
      <c r="E12" s="126" t="s">
        <v>52</v>
      </c>
      <c r="F12" s="126" t="s">
        <v>47</v>
      </c>
      <c r="H12" s="205" t="s">
        <v>2189</v>
      </c>
      <c r="I12" s="1164" t="s">
        <v>2742</v>
      </c>
      <c r="J12" s="127"/>
      <c r="K12" s="127"/>
      <c r="L12" s="127"/>
      <c r="M12" s="127"/>
      <c r="N12" s="219" t="s">
        <v>68</v>
      </c>
      <c r="O12" s="205" t="s">
        <v>69</v>
      </c>
      <c r="P12" s="205" t="s">
        <v>70</v>
      </c>
      <c r="Q12" s="219" t="s">
        <v>1878</v>
      </c>
      <c r="R12" s="219" t="s">
        <v>1877</v>
      </c>
      <c r="S12" s="219" t="s">
        <v>1876</v>
      </c>
      <c r="T12" s="220" t="s">
        <v>1989</v>
      </c>
    </row>
    <row r="13" spans="2:20" ht="17.149999999999999" customHeight="1" x14ac:dyDescent="0.45">
      <c r="B13" s="118">
        <f t="shared" si="0"/>
        <v>11</v>
      </c>
      <c r="C13" s="55" t="s">
        <v>1885</v>
      </c>
      <c r="D13" s="126" t="s">
        <v>37</v>
      </c>
      <c r="E13" s="126" t="s">
        <v>144</v>
      </c>
      <c r="F13" s="126" t="s">
        <v>47</v>
      </c>
      <c r="H13" s="1348" t="s">
        <v>1884</v>
      </c>
      <c r="I13" s="1349"/>
      <c r="J13" s="1349"/>
      <c r="K13" s="1350"/>
      <c r="L13" s="1348" t="s">
        <v>1883</v>
      </c>
      <c r="M13" s="1349"/>
      <c r="N13" s="1349"/>
      <c r="O13" s="1350"/>
      <c r="P13" s="1348" t="s">
        <v>1882</v>
      </c>
      <c r="Q13" s="1349"/>
      <c r="R13" s="1349"/>
      <c r="S13" s="1350"/>
      <c r="T13" s="215" t="s">
        <v>2794</v>
      </c>
    </row>
    <row r="14" spans="2:20" x14ac:dyDescent="0.45">
      <c r="B14" s="118">
        <f t="shared" si="0"/>
        <v>12</v>
      </c>
      <c r="C14" s="55" t="s">
        <v>1837</v>
      </c>
      <c r="D14" s="126" t="s">
        <v>37</v>
      </c>
      <c r="E14" s="126" t="s">
        <v>67</v>
      </c>
      <c r="F14" s="126" t="s">
        <v>47</v>
      </c>
      <c r="H14" s="1342" t="s">
        <v>1840</v>
      </c>
      <c r="I14" s="1343"/>
      <c r="J14" s="1343"/>
      <c r="K14" s="1343"/>
      <c r="L14" s="1343"/>
      <c r="M14" s="1343"/>
      <c r="N14" s="1343"/>
      <c r="O14" s="1343"/>
      <c r="P14" s="1343"/>
      <c r="Q14" s="1343"/>
      <c r="R14" s="1343"/>
      <c r="S14" s="1344"/>
      <c r="T14" s="972" t="s">
        <v>2693</v>
      </c>
    </row>
    <row r="15" spans="2:20" x14ac:dyDescent="0.45">
      <c r="B15" s="118">
        <f t="shared" si="0"/>
        <v>13</v>
      </c>
      <c r="C15" s="55" t="s">
        <v>1838</v>
      </c>
      <c r="D15" s="126" t="s">
        <v>37</v>
      </c>
      <c r="E15" s="126" t="s">
        <v>72</v>
      </c>
      <c r="F15" s="126" t="s">
        <v>47</v>
      </c>
      <c r="H15" s="1342" t="s">
        <v>1841</v>
      </c>
      <c r="I15" s="1343"/>
      <c r="J15" s="1343"/>
      <c r="K15" s="1343"/>
      <c r="L15" s="1343"/>
      <c r="M15" s="1343"/>
      <c r="N15" s="1343"/>
      <c r="O15" s="1343"/>
      <c r="P15" s="1343"/>
      <c r="Q15" s="1343"/>
      <c r="R15" s="1343"/>
      <c r="S15" s="1344"/>
      <c r="T15" s="972" t="s">
        <v>2693</v>
      </c>
    </row>
    <row r="16" spans="2:20" x14ac:dyDescent="0.45">
      <c r="B16" s="118">
        <f t="shared" si="0"/>
        <v>14</v>
      </c>
      <c r="C16" s="55" t="s">
        <v>1839</v>
      </c>
      <c r="D16" s="126" t="s">
        <v>37</v>
      </c>
      <c r="E16" s="126" t="s">
        <v>76</v>
      </c>
      <c r="F16" s="126" t="s">
        <v>47</v>
      </c>
      <c r="H16" s="1342" t="s">
        <v>1842</v>
      </c>
      <c r="I16" s="1343"/>
      <c r="J16" s="1343"/>
      <c r="K16" s="1343"/>
      <c r="L16" s="1343"/>
      <c r="M16" s="1343"/>
      <c r="N16" s="1343"/>
      <c r="O16" s="1343"/>
      <c r="P16" s="1343"/>
      <c r="Q16" s="1343"/>
      <c r="R16" s="1343"/>
      <c r="S16" s="1344"/>
      <c r="T16" s="972" t="s">
        <v>2693</v>
      </c>
    </row>
    <row r="17" spans="2:20" ht="34" x14ac:dyDescent="0.45">
      <c r="B17" s="118">
        <f t="shared" si="0"/>
        <v>15</v>
      </c>
      <c r="C17" s="55" t="s">
        <v>2710</v>
      </c>
      <c r="D17" s="126" t="s">
        <v>37</v>
      </c>
      <c r="E17" s="126" t="s">
        <v>79</v>
      </c>
      <c r="F17" s="126" t="s">
        <v>47</v>
      </c>
      <c r="H17" s="219" t="s">
        <v>2726</v>
      </c>
      <c r="I17" s="219" t="s">
        <v>2727</v>
      </c>
      <c r="J17" s="219" t="s">
        <v>2728</v>
      </c>
      <c r="K17" s="219" t="s">
        <v>2729</v>
      </c>
      <c r="L17" s="219" t="s">
        <v>2730</v>
      </c>
      <c r="M17" s="219" t="s">
        <v>2731</v>
      </c>
      <c r="N17" s="219" t="s">
        <v>2732</v>
      </c>
      <c r="O17" s="219" t="s">
        <v>2733</v>
      </c>
      <c r="P17" s="219" t="s">
        <v>2734</v>
      </c>
      <c r="Q17" s="219" t="s">
        <v>2735</v>
      </c>
      <c r="R17" s="219" t="s">
        <v>2725</v>
      </c>
      <c r="S17" s="219" t="s">
        <v>2724</v>
      </c>
      <c r="T17" s="1146" t="s">
        <v>2743</v>
      </c>
    </row>
    <row r="18" spans="2:20" x14ac:dyDescent="0.45">
      <c r="B18" s="118"/>
      <c r="T18" s="1146"/>
    </row>
    <row r="19" spans="2:20" x14ac:dyDescent="0.45">
      <c r="B19" s="118">
        <f>B17+1</f>
        <v>16</v>
      </c>
      <c r="C19" s="55" t="s">
        <v>78</v>
      </c>
      <c r="D19" s="126" t="s">
        <v>37</v>
      </c>
      <c r="E19" s="126" t="s">
        <v>83</v>
      </c>
      <c r="F19" s="126" t="s">
        <v>47</v>
      </c>
      <c r="H19" s="1305" t="s">
        <v>183</v>
      </c>
      <c r="I19" s="1306"/>
      <c r="J19" s="1306"/>
      <c r="K19" s="1306"/>
      <c r="L19" s="1306"/>
      <c r="M19" s="1306"/>
      <c r="N19" s="1306"/>
      <c r="O19" s="1306"/>
      <c r="P19" s="1306"/>
      <c r="Q19" s="1306"/>
      <c r="R19" s="1306"/>
      <c r="S19" s="1307"/>
      <c r="T19" s="1144" t="s">
        <v>2696</v>
      </c>
    </row>
    <row r="20" spans="2:20" x14ac:dyDescent="0.45">
      <c r="B20" s="118">
        <f t="shared" si="0"/>
        <v>17</v>
      </c>
      <c r="C20" s="55" t="s">
        <v>80</v>
      </c>
      <c r="D20" s="126" t="s">
        <v>37</v>
      </c>
      <c r="E20" s="126" t="s">
        <v>374</v>
      </c>
      <c r="F20" s="126" t="s">
        <v>47</v>
      </c>
      <c r="H20" s="1305" t="s">
        <v>184</v>
      </c>
      <c r="I20" s="1306"/>
      <c r="J20" s="1306"/>
      <c r="K20" s="1306"/>
      <c r="L20" s="1306"/>
      <c r="M20" s="1306"/>
      <c r="N20" s="1306"/>
      <c r="O20" s="1306"/>
      <c r="P20" s="1306"/>
      <c r="Q20" s="1306"/>
      <c r="R20" s="1306"/>
      <c r="S20" s="1307"/>
      <c r="T20" s="1145" t="s">
        <v>2738</v>
      </c>
    </row>
    <row r="21" spans="2:20" x14ac:dyDescent="0.45">
      <c r="B21" s="118">
        <f t="shared" si="0"/>
        <v>18</v>
      </c>
      <c r="C21" s="55" t="s">
        <v>82</v>
      </c>
      <c r="D21" s="126" t="s">
        <v>37</v>
      </c>
      <c r="E21" s="126" t="s">
        <v>86</v>
      </c>
      <c r="F21" s="126" t="s">
        <v>47</v>
      </c>
      <c r="H21" s="1305" t="s">
        <v>185</v>
      </c>
      <c r="I21" s="1306"/>
      <c r="J21" s="1306"/>
      <c r="K21" s="1306"/>
      <c r="L21" s="1306"/>
      <c r="M21" s="1306"/>
      <c r="N21" s="1306"/>
      <c r="O21" s="1306"/>
      <c r="P21" s="1306"/>
      <c r="Q21" s="1306"/>
      <c r="R21" s="1306"/>
      <c r="S21" s="1307"/>
      <c r="T21" s="1145" t="s">
        <v>2739</v>
      </c>
    </row>
    <row r="22" spans="2:20" x14ac:dyDescent="0.45">
      <c r="B22" s="118">
        <f t="shared" si="0"/>
        <v>19</v>
      </c>
      <c r="C22" s="55" t="s">
        <v>84</v>
      </c>
      <c r="D22" s="126" t="s">
        <v>37</v>
      </c>
      <c r="E22" s="126" t="s">
        <v>88</v>
      </c>
      <c r="F22" s="126" t="s">
        <v>47</v>
      </c>
      <c r="H22" s="1305" t="s">
        <v>186</v>
      </c>
      <c r="I22" s="1306"/>
      <c r="J22" s="1306"/>
      <c r="K22" s="1306"/>
      <c r="L22" s="1306"/>
      <c r="M22" s="1306"/>
      <c r="N22" s="1306"/>
      <c r="O22" s="1306"/>
      <c r="P22" s="1306"/>
      <c r="Q22" s="1306"/>
      <c r="R22" s="1306"/>
      <c r="S22" s="1307"/>
      <c r="T22" s="972"/>
    </row>
    <row r="23" spans="2:20" x14ac:dyDescent="0.45">
      <c r="B23" s="118">
        <f t="shared" si="0"/>
        <v>20</v>
      </c>
      <c r="C23" s="55" t="s">
        <v>85</v>
      </c>
      <c r="D23" s="126" t="s">
        <v>37</v>
      </c>
      <c r="E23" s="126" t="s">
        <v>90</v>
      </c>
      <c r="F23" s="126" t="s">
        <v>47</v>
      </c>
      <c r="H23" s="1305" t="s">
        <v>187</v>
      </c>
      <c r="I23" s="1306"/>
      <c r="J23" s="1306"/>
      <c r="K23" s="1306"/>
      <c r="L23" s="1306"/>
      <c r="M23" s="1306"/>
      <c r="N23" s="1306"/>
      <c r="O23" s="1306"/>
      <c r="P23" s="1306"/>
      <c r="Q23" s="1306"/>
      <c r="R23" s="1306"/>
      <c r="S23" s="1307"/>
      <c r="T23" s="972"/>
    </row>
    <row r="24" spans="2:20" x14ac:dyDescent="0.45">
      <c r="B24" s="118">
        <f t="shared" si="0"/>
        <v>21</v>
      </c>
      <c r="C24" s="55" t="s">
        <v>87</v>
      </c>
      <c r="D24" s="126" t="s">
        <v>37</v>
      </c>
      <c r="E24" s="126" t="s">
        <v>92</v>
      </c>
      <c r="F24" s="126" t="s">
        <v>47</v>
      </c>
      <c r="H24" s="1305" t="s">
        <v>188</v>
      </c>
      <c r="I24" s="1306"/>
      <c r="J24" s="1306"/>
      <c r="K24" s="1306"/>
      <c r="L24" s="1306"/>
      <c r="M24" s="1306"/>
      <c r="N24" s="1306"/>
      <c r="O24" s="1306"/>
      <c r="P24" s="1306"/>
      <c r="Q24" s="1306"/>
      <c r="R24" s="1306"/>
      <c r="S24" s="1307"/>
      <c r="T24" s="972"/>
    </row>
    <row r="25" spans="2:20" x14ac:dyDescent="0.45">
      <c r="B25" s="118">
        <f t="shared" si="0"/>
        <v>22</v>
      </c>
      <c r="C25" s="55" t="s">
        <v>89</v>
      </c>
      <c r="D25" s="126" t="s">
        <v>37</v>
      </c>
      <c r="E25" s="126" t="s">
        <v>94</v>
      </c>
      <c r="F25" s="126" t="s">
        <v>47</v>
      </c>
      <c r="H25" s="1305" t="s">
        <v>189</v>
      </c>
      <c r="I25" s="1306"/>
      <c r="J25" s="1306"/>
      <c r="K25" s="1306"/>
      <c r="L25" s="1306"/>
      <c r="M25" s="1306"/>
      <c r="N25" s="1306"/>
      <c r="O25" s="1306"/>
      <c r="P25" s="1306"/>
      <c r="Q25" s="1306"/>
      <c r="R25" s="1306"/>
      <c r="S25" s="1307"/>
      <c r="T25" s="972"/>
    </row>
    <row r="26" spans="2:20" x14ac:dyDescent="0.45">
      <c r="B26" s="118">
        <f t="shared" si="0"/>
        <v>23</v>
      </c>
      <c r="C26" s="55" t="s">
        <v>91</v>
      </c>
      <c r="D26" s="126" t="s">
        <v>37</v>
      </c>
      <c r="E26" s="126" t="s">
        <v>411</v>
      </c>
      <c r="F26" s="126" t="s">
        <v>47</v>
      </c>
      <c r="H26" s="1305" t="s">
        <v>190</v>
      </c>
      <c r="I26" s="1306"/>
      <c r="J26" s="1306"/>
      <c r="K26" s="1306"/>
      <c r="L26" s="1306"/>
      <c r="M26" s="1306"/>
      <c r="N26" s="1306"/>
      <c r="O26" s="1306"/>
      <c r="P26" s="1306"/>
      <c r="Q26" s="1306"/>
      <c r="R26" s="1306"/>
      <c r="S26" s="1307"/>
      <c r="T26" s="972"/>
    </row>
    <row r="27" spans="2:20" x14ac:dyDescent="0.45">
      <c r="B27" s="118">
        <f t="shared" si="0"/>
        <v>24</v>
      </c>
      <c r="C27" s="55" t="s">
        <v>93</v>
      </c>
      <c r="D27" s="126" t="s">
        <v>37</v>
      </c>
      <c r="E27" s="126" t="s">
        <v>415</v>
      </c>
      <c r="F27" s="126" t="s">
        <v>47</v>
      </c>
      <c r="H27" s="1305" t="s">
        <v>191</v>
      </c>
      <c r="I27" s="1306"/>
      <c r="J27" s="1306"/>
      <c r="K27" s="1306"/>
      <c r="L27" s="1306"/>
      <c r="M27" s="1306"/>
      <c r="N27" s="1306"/>
      <c r="O27" s="1306"/>
      <c r="P27" s="1306"/>
      <c r="Q27" s="1306"/>
      <c r="R27" s="1306"/>
      <c r="S27" s="1307"/>
      <c r="T27" s="972"/>
    </row>
    <row r="28" spans="2:20" x14ac:dyDescent="0.45">
      <c r="B28" s="118">
        <f t="shared" si="0"/>
        <v>25</v>
      </c>
      <c r="C28" s="55" t="s">
        <v>95</v>
      </c>
      <c r="D28" s="126" t="s">
        <v>37</v>
      </c>
      <c r="E28" s="126" t="s">
        <v>427</v>
      </c>
      <c r="F28" s="126" t="s">
        <v>47</v>
      </c>
      <c r="H28" s="1305" t="s">
        <v>192</v>
      </c>
      <c r="I28" s="1306"/>
      <c r="J28" s="1306"/>
      <c r="K28" s="1306"/>
      <c r="L28" s="1306"/>
      <c r="M28" s="1306"/>
      <c r="N28" s="1306"/>
      <c r="O28" s="1306"/>
      <c r="P28" s="1306"/>
      <c r="Q28" s="1306"/>
      <c r="R28" s="1306"/>
      <c r="S28" s="1307"/>
      <c r="T28" s="972"/>
    </row>
    <row r="29" spans="2:20" x14ac:dyDescent="0.45">
      <c r="B29" s="118">
        <f t="shared" si="0"/>
        <v>26</v>
      </c>
      <c r="C29" s="55" t="s">
        <v>96</v>
      </c>
      <c r="D29" s="126" t="s">
        <v>37</v>
      </c>
      <c r="E29" s="126" t="s">
        <v>437</v>
      </c>
      <c r="F29" s="126" t="s">
        <v>47</v>
      </c>
      <c r="H29" s="1305" t="s">
        <v>193</v>
      </c>
      <c r="I29" s="1306"/>
      <c r="J29" s="1306"/>
      <c r="K29" s="1306"/>
      <c r="L29" s="1306"/>
      <c r="M29" s="1306"/>
      <c r="N29" s="1306"/>
      <c r="O29" s="1306"/>
      <c r="P29" s="1306"/>
      <c r="Q29" s="1306"/>
      <c r="R29" s="1306"/>
      <c r="S29" s="1307"/>
      <c r="T29" s="223"/>
    </row>
    <row r="30" spans="2:20" x14ac:dyDescent="0.45">
      <c r="B30" s="118">
        <f t="shared" si="0"/>
        <v>27</v>
      </c>
      <c r="C30" s="55" t="s">
        <v>97</v>
      </c>
      <c r="D30" s="126" t="s">
        <v>37</v>
      </c>
      <c r="E30" s="126" t="s">
        <v>150</v>
      </c>
      <c r="F30" s="126" t="s">
        <v>47</v>
      </c>
      <c r="H30" s="1305" t="s">
        <v>194</v>
      </c>
      <c r="I30" s="1306"/>
      <c r="J30" s="1306"/>
      <c r="K30" s="1306"/>
      <c r="L30" s="1306"/>
      <c r="M30" s="1306"/>
      <c r="N30" s="1306"/>
      <c r="O30" s="1306"/>
      <c r="P30" s="1306"/>
      <c r="Q30" s="1306"/>
      <c r="R30" s="1306"/>
      <c r="S30" s="1307"/>
      <c r="T30" s="223"/>
    </row>
    <row r="31" spans="2:20" x14ac:dyDescent="0.45">
      <c r="B31" s="118">
        <f t="shared" si="0"/>
        <v>28</v>
      </c>
      <c r="C31" s="55" t="s">
        <v>214</v>
      </c>
      <c r="D31" s="126" t="s">
        <v>37</v>
      </c>
      <c r="E31" s="126" t="s">
        <v>153</v>
      </c>
      <c r="F31" s="126" t="s">
        <v>888</v>
      </c>
      <c r="H31" s="1305" t="s">
        <v>890</v>
      </c>
      <c r="I31" s="1306"/>
      <c r="J31" s="1306"/>
      <c r="K31" s="1306"/>
      <c r="L31" s="1306"/>
      <c r="M31" s="1307"/>
      <c r="N31" s="1305" t="s">
        <v>891</v>
      </c>
      <c r="O31" s="1306"/>
      <c r="P31" s="1306"/>
      <c r="Q31" s="1306"/>
      <c r="R31" s="1306"/>
      <c r="S31" s="1307"/>
      <c r="T31" s="215" t="s">
        <v>2702</v>
      </c>
    </row>
    <row r="32" spans="2:20" ht="21" x14ac:dyDescent="0.45">
      <c r="B32" s="118">
        <f t="shared" si="0"/>
        <v>29</v>
      </c>
      <c r="C32" s="55" t="s">
        <v>324</v>
      </c>
      <c r="D32" s="126" t="s">
        <v>37</v>
      </c>
      <c r="E32" s="126" t="s">
        <v>155</v>
      </c>
      <c r="F32" s="126" t="s">
        <v>1993</v>
      </c>
      <c r="H32" s="127"/>
      <c r="I32" s="127"/>
      <c r="J32" s="127"/>
      <c r="K32" s="1305" t="s">
        <v>1992</v>
      </c>
      <c r="L32" s="1306"/>
      <c r="M32" s="1306"/>
      <c r="N32" s="1306"/>
      <c r="O32" s="1306"/>
      <c r="P32" s="1306"/>
      <c r="Q32" s="1306"/>
      <c r="R32" s="1306"/>
      <c r="S32" s="1307"/>
      <c r="T32" s="215" t="s">
        <v>2703</v>
      </c>
    </row>
    <row r="33" spans="2:20" ht="34" x14ac:dyDescent="0.45">
      <c r="B33" s="118">
        <f t="shared" si="0"/>
        <v>30</v>
      </c>
      <c r="C33" s="55" t="s">
        <v>2126</v>
      </c>
      <c r="D33" s="126" t="s">
        <v>37</v>
      </c>
      <c r="E33" s="126" t="s">
        <v>157</v>
      </c>
      <c r="F33" s="126" t="s">
        <v>39</v>
      </c>
      <c r="H33" s="127"/>
      <c r="I33" s="127"/>
      <c r="J33" s="1305" t="s">
        <v>2195</v>
      </c>
      <c r="K33" s="1306"/>
      <c r="L33" s="1306"/>
      <c r="M33" s="1306"/>
      <c r="N33" s="1306"/>
      <c r="O33" s="1306"/>
      <c r="P33" s="1306"/>
      <c r="Q33" s="1306"/>
      <c r="R33" s="1306"/>
      <c r="S33" s="1307"/>
      <c r="T33" s="215" t="s">
        <v>2196</v>
      </c>
    </row>
    <row r="34" spans="2:20" ht="34" x14ac:dyDescent="0.45">
      <c r="B34" s="118">
        <f t="shared" si="0"/>
        <v>31</v>
      </c>
      <c r="C34" s="55" t="s">
        <v>2127</v>
      </c>
      <c r="D34" s="126" t="s">
        <v>37</v>
      </c>
      <c r="E34" s="126" t="s">
        <v>159</v>
      </c>
      <c r="F34" s="126" t="s">
        <v>39</v>
      </c>
      <c r="H34" s="205" t="s">
        <v>2193</v>
      </c>
      <c r="I34" s="127"/>
      <c r="J34" s="1305" t="s">
        <v>2194</v>
      </c>
      <c r="K34" s="1306"/>
      <c r="L34" s="1306"/>
      <c r="M34" s="1306"/>
      <c r="N34" s="1306"/>
      <c r="O34" s="1306"/>
      <c r="P34" s="1306"/>
      <c r="Q34" s="1306"/>
      <c r="R34" s="1306"/>
      <c r="S34" s="1307"/>
      <c r="T34" s="215" t="s">
        <v>2196</v>
      </c>
    </row>
    <row r="35" spans="2:20" x14ac:dyDescent="0.45">
      <c r="B35" s="118">
        <f t="shared" si="0"/>
        <v>32</v>
      </c>
      <c r="C35" s="55" t="s">
        <v>2006</v>
      </c>
      <c r="D35" s="126" t="s">
        <v>37</v>
      </c>
      <c r="E35" s="126" t="s">
        <v>440</v>
      </c>
      <c r="F35" s="126" t="s">
        <v>39</v>
      </c>
      <c r="H35" s="128"/>
      <c r="I35" s="128"/>
      <c r="J35" s="1305" t="s">
        <v>2007</v>
      </c>
      <c r="K35" s="1306"/>
      <c r="L35" s="1306"/>
      <c r="M35" s="1306"/>
      <c r="N35" s="1306"/>
      <c r="O35" s="1306"/>
      <c r="P35" s="1306"/>
      <c r="Q35" s="1306"/>
      <c r="R35" s="1306"/>
      <c r="S35" s="1307"/>
      <c r="T35" s="215" t="s">
        <v>2272</v>
      </c>
    </row>
    <row r="36" spans="2:20" ht="21" x14ac:dyDescent="0.45">
      <c r="B36" s="118">
        <f t="shared" si="0"/>
        <v>33</v>
      </c>
      <c r="C36" s="55" t="s">
        <v>1952</v>
      </c>
      <c r="D36" s="126" t="s">
        <v>37</v>
      </c>
      <c r="E36" s="126" t="s">
        <v>164</v>
      </c>
      <c r="F36" s="126" t="s">
        <v>323</v>
      </c>
      <c r="H36" s="128"/>
      <c r="I36" s="1305" t="s">
        <v>2708</v>
      </c>
      <c r="J36" s="1306"/>
      <c r="K36" s="1306"/>
      <c r="L36" s="1306"/>
      <c r="M36" s="1306"/>
      <c r="N36" s="1306"/>
      <c r="O36" s="1306"/>
      <c r="P36" s="1306"/>
      <c r="Q36" s="1306"/>
      <c r="R36" s="1306"/>
      <c r="S36" s="1307"/>
      <c r="T36" s="215" t="s">
        <v>2788</v>
      </c>
    </row>
    <row r="37" spans="2:20" ht="21" x14ac:dyDescent="0.45">
      <c r="B37" s="118">
        <f t="shared" si="0"/>
        <v>34</v>
      </c>
      <c r="C37" s="55" t="s">
        <v>1822</v>
      </c>
      <c r="D37" s="126" t="s">
        <v>37</v>
      </c>
      <c r="E37" s="126" t="s">
        <v>166</v>
      </c>
      <c r="F37" s="126" t="s">
        <v>39</v>
      </c>
      <c r="H37" s="1305" t="s">
        <v>2705</v>
      </c>
      <c r="I37" s="1306"/>
      <c r="J37" s="1306"/>
      <c r="K37" s="1306"/>
      <c r="L37" s="1306"/>
      <c r="M37" s="1306"/>
      <c r="N37" s="1306"/>
      <c r="O37" s="1306"/>
      <c r="P37" s="1306"/>
      <c r="Q37" s="1306"/>
      <c r="R37" s="1306"/>
      <c r="S37" s="1307"/>
      <c r="T37" s="215" t="s">
        <v>2703</v>
      </c>
    </row>
    <row r="38" spans="2:20" ht="34" x14ac:dyDescent="0.45">
      <c r="B38" s="118">
        <f t="shared" si="0"/>
        <v>35</v>
      </c>
      <c r="C38" s="55" t="s">
        <v>1843</v>
      </c>
      <c r="D38" s="126" t="s">
        <v>37</v>
      </c>
      <c r="E38" s="126" t="s">
        <v>168</v>
      </c>
      <c r="F38" s="126" t="s">
        <v>39</v>
      </c>
      <c r="H38" s="205" t="s">
        <v>1972</v>
      </c>
      <c r="I38" s="1305" t="s">
        <v>905</v>
      </c>
      <c r="J38" s="1307"/>
      <c r="K38" s="127"/>
      <c r="L38" s="1305" t="s">
        <v>2706</v>
      </c>
      <c r="M38" s="1306"/>
      <c r="N38" s="1306"/>
      <c r="O38" s="1306"/>
      <c r="P38" s="1306"/>
      <c r="Q38" s="1306"/>
      <c r="R38" s="1306"/>
      <c r="S38" s="1307"/>
      <c r="T38" s="215" t="s">
        <v>2704</v>
      </c>
    </row>
    <row r="39" spans="2:20" x14ac:dyDescent="0.45">
      <c r="B39" s="118"/>
      <c r="H39" s="79" t="s">
        <v>2790</v>
      </c>
      <c r="T39" s="215"/>
    </row>
    <row r="40" spans="2:20" ht="85" x14ac:dyDescent="0.45">
      <c r="B40" s="118">
        <f>B38+1</f>
        <v>36</v>
      </c>
      <c r="C40" s="55" t="s">
        <v>1148</v>
      </c>
      <c r="D40" s="126" t="s">
        <v>37</v>
      </c>
      <c r="E40" s="126" t="s">
        <v>170</v>
      </c>
      <c r="F40" s="126" t="s">
        <v>2292</v>
      </c>
      <c r="H40" s="1319" t="s">
        <v>2291</v>
      </c>
      <c r="I40" s="1306"/>
      <c r="J40" s="1306"/>
      <c r="K40" s="1306"/>
      <c r="L40" s="1306"/>
      <c r="M40" s="1306"/>
      <c r="N40" s="1306"/>
      <c r="O40" s="1306"/>
      <c r="P40" s="1306"/>
      <c r="Q40" s="1306"/>
      <c r="R40" s="1306"/>
      <c r="S40" s="1307"/>
      <c r="T40" s="873" t="s">
        <v>2707</v>
      </c>
    </row>
    <row r="41" spans="2:20" ht="102" x14ac:dyDescent="0.45">
      <c r="B41" s="118">
        <f t="shared" si="0"/>
        <v>37</v>
      </c>
      <c r="C41" s="55" t="s">
        <v>2052</v>
      </c>
      <c r="D41" s="126" t="s">
        <v>37</v>
      </c>
      <c r="E41" s="126" t="s">
        <v>172</v>
      </c>
      <c r="F41" s="126" t="s">
        <v>39</v>
      </c>
      <c r="H41" s="1305" t="s">
        <v>2053</v>
      </c>
      <c r="I41" s="1306"/>
      <c r="J41" s="1306"/>
      <c r="K41" s="1306"/>
      <c r="L41" s="1306"/>
      <c r="M41" s="1307"/>
      <c r="N41" s="127"/>
      <c r="O41" s="219" t="s">
        <v>2267</v>
      </c>
      <c r="P41" s="219" t="s">
        <v>2131</v>
      </c>
      <c r="Q41" s="205" t="s">
        <v>2047</v>
      </c>
      <c r="R41" s="205" t="s">
        <v>2132</v>
      </c>
      <c r="S41" s="205" t="s">
        <v>2133</v>
      </c>
      <c r="T41" s="215" t="s">
        <v>2789</v>
      </c>
    </row>
    <row r="42" spans="2:20" x14ac:dyDescent="0.45">
      <c r="B42" s="118"/>
      <c r="C42" s="874"/>
      <c r="D42" s="874"/>
      <c r="E42" s="31"/>
      <c r="F42" s="874"/>
      <c r="G42" s="874"/>
      <c r="H42" s="874"/>
      <c r="I42" s="874"/>
      <c r="J42" s="874"/>
      <c r="K42" s="874"/>
      <c r="L42" s="874"/>
      <c r="M42" s="874"/>
      <c r="N42" s="874"/>
      <c r="O42" s="874"/>
      <c r="P42" s="874"/>
      <c r="Q42" s="874"/>
      <c r="R42" s="874"/>
      <c r="S42" s="874"/>
      <c r="T42" s="873"/>
    </row>
    <row r="43" spans="2:20" x14ac:dyDescent="0.45">
      <c r="B43" s="118">
        <f>B41+1</f>
        <v>38</v>
      </c>
      <c r="C43" s="55" t="s">
        <v>2214</v>
      </c>
      <c r="D43" s="126" t="s">
        <v>37</v>
      </c>
      <c r="E43" s="126" t="s">
        <v>98</v>
      </c>
      <c r="F43" s="126" t="s">
        <v>39</v>
      </c>
      <c r="H43" s="127"/>
      <c r="I43" s="127"/>
      <c r="J43" s="127"/>
      <c r="K43" s="127"/>
      <c r="L43" s="127"/>
      <c r="M43" s="127"/>
      <c r="N43" s="205" t="s">
        <v>2215</v>
      </c>
      <c r="O43" s="205" t="s">
        <v>2216</v>
      </c>
      <c r="P43" s="205" t="s">
        <v>2217</v>
      </c>
      <c r="Q43" s="205" t="s">
        <v>2218</v>
      </c>
      <c r="R43" s="205" t="s">
        <v>2219</v>
      </c>
      <c r="S43" s="205" t="s">
        <v>2220</v>
      </c>
      <c r="T43" s="215"/>
    </row>
    <row r="44" spans="2:20" x14ac:dyDescent="0.45">
      <c r="B44" s="118">
        <f>B43+1</f>
        <v>39</v>
      </c>
      <c r="C44" s="55" t="s">
        <v>327</v>
      </c>
      <c r="D44" s="126" t="s">
        <v>37</v>
      </c>
      <c r="E44" s="126" t="s">
        <v>99</v>
      </c>
      <c r="F44" s="126" t="s">
        <v>909</v>
      </c>
      <c r="H44" s="1305" t="s">
        <v>100</v>
      </c>
      <c r="I44" s="1306"/>
      <c r="J44" s="1306"/>
      <c r="K44" s="1307"/>
      <c r="L44" s="205" t="s">
        <v>2293</v>
      </c>
      <c r="M44" s="205" t="s">
        <v>906</v>
      </c>
      <c r="N44" s="1305" t="s">
        <v>907</v>
      </c>
      <c r="O44" s="1307"/>
      <c r="P44" s="127"/>
      <c r="Q44" s="127"/>
      <c r="R44" s="1305" t="s">
        <v>229</v>
      </c>
      <c r="S44" s="1307"/>
      <c r="T44" s="215"/>
    </row>
    <row r="45" spans="2:20" x14ac:dyDescent="0.45">
      <c r="B45" s="118">
        <f t="shared" ref="B45:B46" si="1">B44+1</f>
        <v>40</v>
      </c>
      <c r="C45" s="55" t="s">
        <v>230</v>
      </c>
      <c r="D45" s="126" t="s">
        <v>37</v>
      </c>
      <c r="E45" s="126" t="s">
        <v>101</v>
      </c>
      <c r="F45" s="126" t="s">
        <v>39</v>
      </c>
      <c r="H45" s="1305" t="s">
        <v>227</v>
      </c>
      <c r="I45" s="1306"/>
      <c r="J45" s="1306"/>
      <c r="K45" s="1306"/>
      <c r="L45" s="1306"/>
      <c r="M45" s="1306"/>
      <c r="N45" s="1306"/>
      <c r="O45" s="1306"/>
      <c r="P45" s="1306"/>
      <c r="Q45" s="1306"/>
      <c r="R45" s="1306"/>
      <c r="S45" s="1307"/>
      <c r="T45" s="215"/>
    </row>
    <row r="46" spans="2:20" x14ac:dyDescent="0.45">
      <c r="B46" s="118">
        <f t="shared" si="1"/>
        <v>41</v>
      </c>
      <c r="C46" s="55" t="s">
        <v>231</v>
      </c>
      <c r="D46" s="126" t="s">
        <v>37</v>
      </c>
      <c r="E46" s="126" t="s">
        <v>1708</v>
      </c>
      <c r="F46" s="126" t="s">
        <v>904</v>
      </c>
      <c r="H46" s="205" t="s">
        <v>2221</v>
      </c>
      <c r="I46" s="127"/>
      <c r="J46" s="127"/>
      <c r="K46" s="127"/>
      <c r="L46" s="127"/>
      <c r="M46" s="127"/>
      <c r="N46" s="127"/>
      <c r="O46" s="127"/>
      <c r="P46" s="1305" t="s">
        <v>889</v>
      </c>
      <c r="Q46" s="1306"/>
      <c r="R46" s="1306"/>
      <c r="S46" s="1307"/>
      <c r="T46" s="215"/>
    </row>
    <row r="47" spans="2:20" x14ac:dyDescent="0.45">
      <c r="B47" s="118"/>
    </row>
    <row r="48" spans="2:20" x14ac:dyDescent="0.45">
      <c r="B48" s="118"/>
      <c r="C48" s="708" t="s">
        <v>1888</v>
      </c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222"/>
    </row>
    <row r="49" spans="2:20" x14ac:dyDescent="0.45">
      <c r="B49" s="118"/>
    </row>
    <row r="50" spans="2:20" ht="153.5" x14ac:dyDescent="0.45">
      <c r="B50" s="118">
        <v>1</v>
      </c>
      <c r="C50" s="55" t="s">
        <v>106</v>
      </c>
      <c r="D50" s="126" t="s">
        <v>37</v>
      </c>
      <c r="E50" s="1147" t="s">
        <v>107</v>
      </c>
      <c r="F50" s="126" t="s">
        <v>39</v>
      </c>
      <c r="H50" s="205" t="s">
        <v>108</v>
      </c>
      <c r="I50" s="1345" t="s">
        <v>2222</v>
      </c>
      <c r="J50" s="1346"/>
      <c r="K50" s="1347"/>
      <c r="L50" s="1351" t="s">
        <v>2543</v>
      </c>
      <c r="M50" s="1352"/>
      <c r="N50" s="205" t="s">
        <v>1924</v>
      </c>
      <c r="O50" s="205" t="s">
        <v>1818</v>
      </c>
      <c r="P50" s="127"/>
      <c r="Q50" s="973" t="s">
        <v>2224</v>
      </c>
      <c r="R50" s="205" t="s">
        <v>2223</v>
      </c>
      <c r="S50" s="205" t="s">
        <v>109</v>
      </c>
      <c r="T50" s="215" t="s">
        <v>2294</v>
      </c>
    </row>
    <row r="51" spans="2:20" x14ac:dyDescent="0.45">
      <c r="B51" s="118">
        <f>B50+1</f>
        <v>2</v>
      </c>
      <c r="C51" s="55" t="s">
        <v>110</v>
      </c>
      <c r="D51" s="126" t="s">
        <v>37</v>
      </c>
      <c r="E51" s="1147" t="s">
        <v>111</v>
      </c>
      <c r="F51" s="126" t="s">
        <v>39</v>
      </c>
      <c r="H51" s="127"/>
      <c r="I51" s="127"/>
      <c r="J51" s="127"/>
      <c r="K51" s="127"/>
      <c r="L51" s="127"/>
      <c r="M51" s="127"/>
      <c r="N51" s="127"/>
      <c r="O51" s="127"/>
      <c r="P51" s="1305" t="s">
        <v>112</v>
      </c>
      <c r="Q51" s="1306"/>
      <c r="R51" s="1306"/>
      <c r="S51" s="1307"/>
      <c r="T51" s="976" t="s">
        <v>2054</v>
      </c>
    </row>
    <row r="52" spans="2:20" x14ac:dyDescent="0.45">
      <c r="B52" s="118">
        <f t="shared" ref="B52:B55" si="2">B51+1</f>
        <v>3</v>
      </c>
      <c r="C52" s="55" t="s">
        <v>113</v>
      </c>
      <c r="D52" s="126" t="s">
        <v>37</v>
      </c>
      <c r="E52" s="1147" t="s">
        <v>114</v>
      </c>
      <c r="F52" s="126" t="s">
        <v>323</v>
      </c>
      <c r="H52" s="1305" t="s">
        <v>115</v>
      </c>
      <c r="I52" s="1306"/>
      <c r="J52" s="1306"/>
      <c r="K52" s="1306"/>
      <c r="L52" s="1306"/>
      <c r="M52" s="1306"/>
      <c r="N52" s="1306"/>
      <c r="O52" s="1306"/>
      <c r="P52" s="1306"/>
      <c r="Q52" s="1306"/>
      <c r="R52" s="1306"/>
      <c r="S52" s="1307"/>
      <c r="T52" s="976" t="s">
        <v>2054</v>
      </c>
    </row>
    <row r="53" spans="2:20" x14ac:dyDescent="0.45">
      <c r="B53" s="118">
        <f t="shared" si="2"/>
        <v>4</v>
      </c>
      <c r="C53" s="55" t="s">
        <v>116</v>
      </c>
      <c r="D53" s="126" t="s">
        <v>37</v>
      </c>
      <c r="E53" s="1147" t="s">
        <v>117</v>
      </c>
      <c r="F53" s="126" t="s">
        <v>118</v>
      </c>
      <c r="H53" s="127"/>
      <c r="I53" s="127"/>
      <c r="J53" s="127"/>
      <c r="K53" s="127"/>
      <c r="L53" s="127"/>
      <c r="M53" s="127"/>
      <c r="N53" s="1305" t="s">
        <v>2225</v>
      </c>
      <c r="O53" s="1307"/>
      <c r="P53" s="1305" t="s">
        <v>119</v>
      </c>
      <c r="Q53" s="1306"/>
      <c r="R53" s="1306"/>
      <c r="S53" s="1307"/>
      <c r="T53" s="976" t="s">
        <v>2054</v>
      </c>
    </row>
    <row r="54" spans="2:20" x14ac:dyDescent="0.45">
      <c r="B54" s="118">
        <f t="shared" si="2"/>
        <v>5</v>
      </c>
      <c r="C54" s="55" t="s">
        <v>120</v>
      </c>
      <c r="D54" s="126" t="s">
        <v>37</v>
      </c>
      <c r="E54" s="1147" t="s">
        <v>121</v>
      </c>
      <c r="F54" s="126" t="s">
        <v>39</v>
      </c>
      <c r="H54" s="205" t="s">
        <v>1222</v>
      </c>
      <c r="I54" s="127"/>
      <c r="J54" s="127"/>
      <c r="K54" s="127"/>
      <c r="L54" s="127"/>
      <c r="M54" s="127"/>
      <c r="N54" s="127"/>
      <c r="O54" s="127"/>
      <c r="P54" s="127"/>
      <c r="Q54" s="127"/>
      <c r="R54" s="205" t="s">
        <v>122</v>
      </c>
      <c r="S54" s="205" t="s">
        <v>123</v>
      </c>
      <c r="T54" s="975"/>
    </row>
    <row r="55" spans="2:20" x14ac:dyDescent="0.45">
      <c r="B55" s="118">
        <f t="shared" si="2"/>
        <v>6</v>
      </c>
      <c r="C55" s="55" t="s">
        <v>124</v>
      </c>
      <c r="D55" s="126" t="s">
        <v>37</v>
      </c>
      <c r="E55" s="1147" t="s">
        <v>125</v>
      </c>
      <c r="F55" s="126" t="s">
        <v>899</v>
      </c>
      <c r="H55" s="1305" t="s">
        <v>1969</v>
      </c>
      <c r="I55" s="1306"/>
      <c r="J55" s="1306"/>
      <c r="K55" s="1306"/>
      <c r="L55" s="1306"/>
      <c r="M55" s="1306"/>
      <c r="N55" s="1306"/>
      <c r="O55" s="1306"/>
      <c r="P55" s="1306"/>
      <c r="Q55" s="1306"/>
      <c r="R55" s="1306"/>
      <c r="S55" s="1307"/>
      <c r="T55" s="226"/>
    </row>
    <row r="56" spans="2:20" x14ac:dyDescent="0.45">
      <c r="B56" s="118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226"/>
    </row>
    <row r="57" spans="2:20" x14ac:dyDescent="0.45">
      <c r="B57" s="118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226"/>
    </row>
    <row r="58" spans="2:20" x14ac:dyDescent="0.45">
      <c r="B58" s="118"/>
      <c r="C58" s="708" t="s">
        <v>1887</v>
      </c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223"/>
    </row>
    <row r="59" spans="2:20" x14ac:dyDescent="0.45">
      <c r="B59" s="118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223"/>
    </row>
    <row r="60" spans="2:20" x14ac:dyDescent="0.45">
      <c r="B60" s="118">
        <v>1</v>
      </c>
      <c r="D60" s="126" t="s">
        <v>37</v>
      </c>
      <c r="E60" s="126" t="s">
        <v>38</v>
      </c>
      <c r="F60" s="126" t="s">
        <v>39</v>
      </c>
      <c r="H60" s="224"/>
      <c r="I60" s="224"/>
      <c r="J60" s="224"/>
      <c r="K60" s="224"/>
      <c r="L60" s="1353" t="s">
        <v>128</v>
      </c>
      <c r="M60" s="1354"/>
      <c r="N60" s="1354"/>
      <c r="O60" s="1354"/>
      <c r="P60" s="1354"/>
      <c r="Q60" s="1354"/>
      <c r="R60" s="1354"/>
      <c r="S60" s="1355"/>
      <c r="T60" s="223"/>
    </row>
    <row r="61" spans="2:20" x14ac:dyDescent="0.45">
      <c r="B61" s="118">
        <f>B60+1</f>
        <v>2</v>
      </c>
      <c r="D61" s="126" t="s">
        <v>37</v>
      </c>
      <c r="E61" s="126" t="s">
        <v>130</v>
      </c>
      <c r="F61" s="126" t="s">
        <v>226</v>
      </c>
      <c r="H61" s="1353" t="s">
        <v>2226</v>
      </c>
      <c r="I61" s="1354"/>
      <c r="J61" s="1354"/>
      <c r="K61" s="1354"/>
      <c r="L61" s="1355"/>
      <c r="M61" s="1353" t="s">
        <v>2227</v>
      </c>
      <c r="N61" s="1354"/>
      <c r="O61" s="1354"/>
      <c r="P61" s="1354"/>
      <c r="Q61" s="1354"/>
      <c r="R61" s="1354"/>
      <c r="S61" s="1355"/>
      <c r="T61" s="223"/>
    </row>
    <row r="62" spans="2:20" x14ac:dyDescent="0.45">
      <c r="B62" s="118">
        <f t="shared" ref="B62:B87" si="3">B61+1</f>
        <v>3</v>
      </c>
      <c r="D62" s="126" t="s">
        <v>37</v>
      </c>
      <c r="E62" s="126" t="s">
        <v>133</v>
      </c>
      <c r="F62" s="126" t="s">
        <v>2228</v>
      </c>
      <c r="H62" s="1353" t="s">
        <v>2229</v>
      </c>
      <c r="I62" s="1356"/>
      <c r="J62" s="1353" t="s">
        <v>2230</v>
      </c>
      <c r="K62" s="1356"/>
      <c r="L62" s="1356"/>
      <c r="M62" s="1356"/>
      <c r="N62" s="1357"/>
      <c r="O62" s="1353" t="s">
        <v>2231</v>
      </c>
      <c r="P62" s="1356"/>
      <c r="Q62" s="1356"/>
      <c r="R62" s="1356"/>
      <c r="S62" s="1357"/>
      <c r="T62" s="223"/>
    </row>
    <row r="63" spans="2:20" s="129" customFormat="1" x14ac:dyDescent="0.45">
      <c r="B63" s="118">
        <f t="shared" si="3"/>
        <v>4</v>
      </c>
      <c r="C63" s="55"/>
      <c r="D63" s="126" t="s">
        <v>37</v>
      </c>
      <c r="E63" s="126" t="s">
        <v>43</v>
      </c>
      <c r="F63" s="126" t="s">
        <v>2232</v>
      </c>
      <c r="G63" s="126"/>
      <c r="H63" s="974" t="s">
        <v>2233</v>
      </c>
      <c r="I63" s="224"/>
      <c r="J63" s="224"/>
      <c r="K63" s="224"/>
      <c r="L63" s="224"/>
      <c r="M63" s="224"/>
      <c r="N63" s="224"/>
      <c r="O63" s="224"/>
      <c r="P63" s="1353" t="s">
        <v>2234</v>
      </c>
      <c r="Q63" s="1354"/>
      <c r="R63" s="1354"/>
      <c r="S63" s="1355"/>
      <c r="T63" s="223"/>
    </row>
    <row r="64" spans="2:20" s="129" customFormat="1" x14ac:dyDescent="0.45">
      <c r="B64" s="118">
        <f t="shared" si="3"/>
        <v>5</v>
      </c>
      <c r="C64" s="55"/>
      <c r="D64" s="126" t="s">
        <v>37</v>
      </c>
      <c r="E64" s="126" t="s">
        <v>44</v>
      </c>
      <c r="F64" s="126" t="s">
        <v>2235</v>
      </c>
      <c r="G64" s="126"/>
      <c r="H64" s="1353" t="s">
        <v>2236</v>
      </c>
      <c r="I64" s="1354"/>
      <c r="J64" s="1354"/>
      <c r="K64" s="1355"/>
      <c r="L64" s="1353" t="s">
        <v>2237</v>
      </c>
      <c r="M64" s="1354"/>
      <c r="N64" s="1354"/>
      <c r="O64" s="1355"/>
      <c r="P64" s="1353" t="s">
        <v>2238</v>
      </c>
      <c r="Q64" s="1354"/>
      <c r="R64" s="1354"/>
      <c r="S64" s="1355"/>
      <c r="T64" s="223"/>
    </row>
    <row r="65" spans="2:20" s="129" customFormat="1" x14ac:dyDescent="0.45">
      <c r="B65" s="118">
        <f t="shared" si="3"/>
        <v>6</v>
      </c>
      <c r="C65" s="55"/>
      <c r="D65" s="126" t="s">
        <v>37</v>
      </c>
      <c r="E65" s="126" t="s">
        <v>137</v>
      </c>
      <c r="F65" s="126" t="s">
        <v>1993</v>
      </c>
      <c r="G65" s="126"/>
      <c r="H65" s="224"/>
      <c r="I65" s="224"/>
      <c r="J65" s="224"/>
      <c r="K65" s="224"/>
      <c r="L65" s="1353" t="s">
        <v>2239</v>
      </c>
      <c r="M65" s="1354"/>
      <c r="N65" s="1354"/>
      <c r="O65" s="1354"/>
      <c r="P65" s="1354"/>
      <c r="Q65" s="1354"/>
      <c r="R65" s="1354"/>
      <c r="S65" s="1355"/>
      <c r="T65" s="223"/>
    </row>
    <row r="66" spans="2:20" s="129" customFormat="1" x14ac:dyDescent="0.45">
      <c r="B66" s="118">
        <f t="shared" si="3"/>
        <v>7</v>
      </c>
      <c r="C66" s="55"/>
      <c r="D66" s="126" t="s">
        <v>37</v>
      </c>
      <c r="E66" s="126" t="s">
        <v>46</v>
      </c>
      <c r="F66" s="126" t="s">
        <v>1993</v>
      </c>
      <c r="G66" s="126"/>
      <c r="H66" s="224"/>
      <c r="I66" s="224"/>
      <c r="J66" s="224"/>
      <c r="K66" s="224"/>
      <c r="L66" s="1353" t="s">
        <v>2240</v>
      </c>
      <c r="M66" s="1354"/>
      <c r="N66" s="1354"/>
      <c r="O66" s="1354"/>
      <c r="P66" s="1354"/>
      <c r="Q66" s="1354"/>
      <c r="R66" s="1354"/>
      <c r="S66" s="1355"/>
      <c r="T66" s="223"/>
    </row>
    <row r="67" spans="2:20" s="129" customFormat="1" x14ac:dyDescent="0.45">
      <c r="B67" s="118">
        <f t="shared" si="3"/>
        <v>8</v>
      </c>
      <c r="C67" s="55"/>
      <c r="D67" s="126" t="s">
        <v>37</v>
      </c>
      <c r="E67" s="126" t="s">
        <v>140</v>
      </c>
      <c r="F67" s="126" t="s">
        <v>1993</v>
      </c>
      <c r="G67" s="126"/>
      <c r="H67" s="224"/>
      <c r="I67" s="224"/>
      <c r="J67" s="224"/>
      <c r="K67" s="224"/>
      <c r="L67" s="1353" t="s">
        <v>2241</v>
      </c>
      <c r="M67" s="1354"/>
      <c r="N67" s="1354"/>
      <c r="O67" s="1354"/>
      <c r="P67" s="1354"/>
      <c r="Q67" s="1354"/>
      <c r="R67" s="1354"/>
      <c r="S67" s="1355"/>
      <c r="T67" s="223"/>
    </row>
    <row r="68" spans="2:20" s="129" customFormat="1" x14ac:dyDescent="0.45">
      <c r="B68" s="118">
        <f t="shared" si="3"/>
        <v>9</v>
      </c>
      <c r="C68" s="55"/>
      <c r="D68" s="126" t="s">
        <v>37</v>
      </c>
      <c r="E68" s="126" t="s">
        <v>49</v>
      </c>
      <c r="F68" s="126" t="s">
        <v>1993</v>
      </c>
      <c r="G68" s="126"/>
      <c r="H68" s="224"/>
      <c r="I68" s="224"/>
      <c r="J68" s="224"/>
      <c r="K68" s="224"/>
      <c r="L68" s="1353" t="s">
        <v>2242</v>
      </c>
      <c r="M68" s="1354"/>
      <c r="N68" s="1354"/>
      <c r="O68" s="1354"/>
      <c r="P68" s="1354"/>
      <c r="Q68" s="1354"/>
      <c r="R68" s="1354"/>
      <c r="S68" s="1355"/>
      <c r="T68" s="223"/>
    </row>
    <row r="69" spans="2:20" s="129" customFormat="1" x14ac:dyDescent="0.45">
      <c r="B69" s="118">
        <f t="shared" si="3"/>
        <v>10</v>
      </c>
      <c r="C69" s="55"/>
      <c r="D69" s="126" t="s">
        <v>37</v>
      </c>
      <c r="E69" s="126" t="s">
        <v>52</v>
      </c>
      <c r="F69" s="126" t="s">
        <v>1993</v>
      </c>
      <c r="G69" s="126"/>
      <c r="H69" s="224"/>
      <c r="I69" s="224"/>
      <c r="J69" s="224"/>
      <c r="K69" s="224"/>
      <c r="L69" s="1353" t="s">
        <v>2243</v>
      </c>
      <c r="M69" s="1354"/>
      <c r="N69" s="1354"/>
      <c r="O69" s="1354"/>
      <c r="P69" s="1354"/>
      <c r="Q69" s="1354"/>
      <c r="R69" s="1354"/>
      <c r="S69" s="1355"/>
      <c r="T69" s="223"/>
    </row>
    <row r="70" spans="2:20" s="129" customFormat="1" x14ac:dyDescent="0.45">
      <c r="B70" s="118">
        <f t="shared" si="3"/>
        <v>11</v>
      </c>
      <c r="C70" s="55"/>
      <c r="D70" s="126" t="s">
        <v>37</v>
      </c>
      <c r="E70" s="126" t="s">
        <v>144</v>
      </c>
      <c r="F70" s="126" t="s">
        <v>1993</v>
      </c>
      <c r="G70" s="126"/>
      <c r="H70" s="224"/>
      <c r="I70" s="224"/>
      <c r="J70" s="224"/>
      <c r="K70" s="224"/>
      <c r="L70" s="1353" t="s">
        <v>2244</v>
      </c>
      <c r="M70" s="1354"/>
      <c r="N70" s="1354"/>
      <c r="O70" s="1354"/>
      <c r="P70" s="1354"/>
      <c r="Q70" s="1354"/>
      <c r="R70" s="1354"/>
      <c r="S70" s="1355"/>
      <c r="T70" s="223"/>
    </row>
    <row r="71" spans="2:20" s="129" customFormat="1" x14ac:dyDescent="0.45">
      <c r="B71" s="118">
        <f t="shared" si="3"/>
        <v>12</v>
      </c>
      <c r="C71" s="55"/>
      <c r="D71" s="126" t="s">
        <v>37</v>
      </c>
      <c r="E71" s="126" t="s">
        <v>67</v>
      </c>
      <c r="F71" s="126" t="s">
        <v>1993</v>
      </c>
      <c r="G71" s="126"/>
      <c r="H71" s="224"/>
      <c r="I71" s="224"/>
      <c r="J71" s="224"/>
      <c r="K71" s="224"/>
      <c r="L71" s="1353" t="s">
        <v>2245</v>
      </c>
      <c r="M71" s="1354"/>
      <c r="N71" s="1354"/>
      <c r="O71" s="1354"/>
      <c r="P71" s="1354"/>
      <c r="Q71" s="1354"/>
      <c r="R71" s="1354"/>
      <c r="S71" s="1355"/>
      <c r="T71" s="223"/>
    </row>
    <row r="72" spans="2:20" s="129" customFormat="1" x14ac:dyDescent="0.45">
      <c r="B72" s="118">
        <f t="shared" si="3"/>
        <v>13</v>
      </c>
      <c r="C72" s="55"/>
      <c r="D72" s="126" t="s">
        <v>37</v>
      </c>
      <c r="E72" s="126" t="s">
        <v>72</v>
      </c>
      <c r="F72" s="126" t="s">
        <v>1993</v>
      </c>
      <c r="G72" s="126"/>
      <c r="H72" s="224"/>
      <c r="I72" s="224"/>
      <c r="J72" s="224"/>
      <c r="K72" s="224"/>
      <c r="L72" s="1353" t="s">
        <v>2246</v>
      </c>
      <c r="M72" s="1354"/>
      <c r="N72" s="1354"/>
      <c r="O72" s="1354"/>
      <c r="P72" s="1354"/>
      <c r="Q72" s="1354"/>
      <c r="R72" s="1354"/>
      <c r="S72" s="1355"/>
      <c r="T72" s="223"/>
    </row>
    <row r="73" spans="2:20" s="129" customFormat="1" x14ac:dyDescent="0.45">
      <c r="B73" s="118">
        <f t="shared" si="3"/>
        <v>14</v>
      </c>
      <c r="C73" s="55"/>
      <c r="D73" s="126" t="s">
        <v>37</v>
      </c>
      <c r="E73" s="126" t="s">
        <v>76</v>
      </c>
      <c r="F73" s="126" t="s">
        <v>1993</v>
      </c>
      <c r="G73" s="126"/>
      <c r="H73" s="224"/>
      <c r="I73" s="224"/>
      <c r="J73" s="224"/>
      <c r="K73" s="224"/>
      <c r="L73" s="1353" t="s">
        <v>2247</v>
      </c>
      <c r="M73" s="1354"/>
      <c r="N73" s="1354"/>
      <c r="O73" s="1354"/>
      <c r="P73" s="1354"/>
      <c r="Q73" s="1354"/>
      <c r="R73" s="1354"/>
      <c r="S73" s="1355"/>
      <c r="T73" s="223"/>
    </row>
    <row r="74" spans="2:20" s="129" customFormat="1" x14ac:dyDescent="0.45">
      <c r="B74" s="118">
        <f t="shared" si="3"/>
        <v>15</v>
      </c>
      <c r="C74" s="55"/>
      <c r="D74" s="126" t="s">
        <v>37</v>
      </c>
      <c r="E74" s="126" t="s">
        <v>79</v>
      </c>
      <c r="F74" s="126" t="s">
        <v>1993</v>
      </c>
      <c r="G74" s="126"/>
      <c r="H74" s="224"/>
      <c r="I74" s="224"/>
      <c r="J74" s="224"/>
      <c r="K74" s="224"/>
      <c r="L74" s="1353" t="s">
        <v>2248</v>
      </c>
      <c r="M74" s="1354"/>
      <c r="N74" s="1354"/>
      <c r="O74" s="1354"/>
      <c r="P74" s="1354"/>
      <c r="Q74" s="1354"/>
      <c r="R74" s="1354"/>
      <c r="S74" s="1355"/>
      <c r="T74" s="223"/>
    </row>
    <row r="75" spans="2:20" s="129" customFormat="1" x14ac:dyDescent="0.45">
      <c r="B75" s="118">
        <f t="shared" si="3"/>
        <v>16</v>
      </c>
      <c r="C75" s="55"/>
      <c r="D75" s="126" t="s">
        <v>37</v>
      </c>
      <c r="E75" s="126" t="s">
        <v>81</v>
      </c>
      <c r="F75" s="126" t="s">
        <v>1993</v>
      </c>
      <c r="G75" s="55"/>
      <c r="H75" s="970"/>
      <c r="I75" s="970"/>
      <c r="J75" s="970"/>
      <c r="K75" s="970"/>
      <c r="L75" s="1359" t="s">
        <v>2249</v>
      </c>
      <c r="M75" s="1360"/>
      <c r="N75" s="1360"/>
      <c r="O75" s="1360"/>
      <c r="P75" s="1360"/>
      <c r="Q75" s="1360"/>
      <c r="R75" s="1360"/>
      <c r="S75" s="1361"/>
      <c r="T75" s="223"/>
    </row>
    <row r="76" spans="2:20" s="129" customFormat="1" x14ac:dyDescent="0.45">
      <c r="B76" s="118">
        <f t="shared" si="3"/>
        <v>17</v>
      </c>
      <c r="C76" s="55"/>
      <c r="D76" s="126" t="s">
        <v>37</v>
      </c>
      <c r="E76" s="126" t="s">
        <v>83</v>
      </c>
      <c r="F76" s="126" t="s">
        <v>1993</v>
      </c>
      <c r="G76" s="126"/>
      <c r="H76" s="224"/>
      <c r="I76" s="224"/>
      <c r="J76" s="224"/>
      <c r="K76" s="224"/>
      <c r="L76" s="1358" t="s">
        <v>2250</v>
      </c>
      <c r="M76" s="1358"/>
      <c r="N76" s="1358"/>
      <c r="O76" s="1358"/>
      <c r="P76" s="1358"/>
      <c r="Q76" s="1358"/>
      <c r="R76" s="1358"/>
      <c r="S76" s="1358"/>
      <c r="T76" s="223"/>
    </row>
    <row r="77" spans="2:20" s="129" customFormat="1" x14ac:dyDescent="0.45">
      <c r="B77" s="118">
        <f t="shared" si="3"/>
        <v>18</v>
      </c>
      <c r="C77" s="55"/>
      <c r="D77" s="126" t="s">
        <v>37</v>
      </c>
      <c r="E77" s="126" t="s">
        <v>374</v>
      </c>
      <c r="F77" s="126" t="s">
        <v>226</v>
      </c>
      <c r="G77" s="126"/>
      <c r="H77" s="224"/>
      <c r="I77" s="224"/>
      <c r="J77" s="224"/>
      <c r="K77" s="224"/>
      <c r="L77" s="224"/>
      <c r="M77" s="224"/>
      <c r="N77" s="1353" t="s">
        <v>2251</v>
      </c>
      <c r="O77" s="1354"/>
      <c r="P77" s="1354"/>
      <c r="Q77" s="1354"/>
      <c r="R77" s="1354"/>
      <c r="S77" s="1355"/>
      <c r="T77" s="223"/>
    </row>
    <row r="78" spans="2:20" s="129" customFormat="1" x14ac:dyDescent="0.45">
      <c r="B78" s="118">
        <f t="shared" si="3"/>
        <v>19</v>
      </c>
      <c r="C78" s="55"/>
      <c r="D78" s="126" t="s">
        <v>37</v>
      </c>
      <c r="E78" s="126" t="s">
        <v>86</v>
      </c>
      <c r="F78" s="126" t="s">
        <v>226</v>
      </c>
      <c r="G78" s="126"/>
      <c r="H78" s="971"/>
      <c r="I78" s="971"/>
      <c r="J78" s="971"/>
      <c r="K78" s="971"/>
      <c r="L78" s="971"/>
      <c r="M78" s="971"/>
      <c r="N78" s="1353" t="s">
        <v>2252</v>
      </c>
      <c r="O78" s="1354"/>
      <c r="P78" s="1354"/>
      <c r="Q78" s="1354"/>
      <c r="R78" s="1354"/>
      <c r="S78" s="1355"/>
      <c r="T78" s="223"/>
    </row>
    <row r="79" spans="2:20" s="129" customFormat="1" x14ac:dyDescent="0.45">
      <c r="B79" s="118">
        <f t="shared" si="3"/>
        <v>20</v>
      </c>
      <c r="C79" s="55"/>
      <c r="D79" s="126" t="s">
        <v>37</v>
      </c>
      <c r="E79" s="126" t="s">
        <v>88</v>
      </c>
      <c r="F79" s="126" t="s">
        <v>226</v>
      </c>
      <c r="G79" s="126"/>
      <c r="H79" s="224"/>
      <c r="I79" s="224"/>
      <c r="J79" s="224"/>
      <c r="K79" s="224"/>
      <c r="L79" s="224"/>
      <c r="M79" s="224"/>
      <c r="N79" s="1353" t="s">
        <v>2253</v>
      </c>
      <c r="O79" s="1354"/>
      <c r="P79" s="1354"/>
      <c r="Q79" s="1354"/>
      <c r="R79" s="1354"/>
      <c r="S79" s="1355"/>
      <c r="T79" s="223"/>
    </row>
    <row r="80" spans="2:20" s="129" customFormat="1" x14ac:dyDescent="0.45">
      <c r="B80" s="118">
        <f t="shared" si="3"/>
        <v>21</v>
      </c>
      <c r="C80" s="55"/>
      <c r="D80" s="126" t="s">
        <v>37</v>
      </c>
      <c r="E80" s="126" t="s">
        <v>90</v>
      </c>
      <c r="F80" s="126" t="s">
        <v>226</v>
      </c>
      <c r="G80" s="126"/>
      <c r="H80" s="224"/>
      <c r="I80" s="224"/>
      <c r="J80" s="224"/>
      <c r="K80" s="224"/>
      <c r="L80" s="224"/>
      <c r="M80" s="224"/>
      <c r="N80" s="1353" t="s">
        <v>2254</v>
      </c>
      <c r="O80" s="1354"/>
      <c r="P80" s="1354"/>
      <c r="Q80" s="1354"/>
      <c r="R80" s="1354"/>
      <c r="S80" s="1355"/>
      <c r="T80" s="223"/>
    </row>
    <row r="81" spans="1:21" s="129" customFormat="1" x14ac:dyDescent="0.45">
      <c r="A81" s="129" t="s">
        <v>162</v>
      </c>
      <c r="B81" s="118">
        <f t="shared" si="3"/>
        <v>22</v>
      </c>
      <c r="C81" s="55"/>
      <c r="D81" s="126" t="s">
        <v>37</v>
      </c>
      <c r="E81" s="126" t="s">
        <v>92</v>
      </c>
      <c r="F81" s="126" t="s">
        <v>226</v>
      </c>
      <c r="G81" s="126"/>
      <c r="H81" s="224"/>
      <c r="I81" s="224"/>
      <c r="J81" s="224"/>
      <c r="K81" s="224"/>
      <c r="L81" s="224"/>
      <c r="M81" s="224"/>
      <c r="N81" s="1353" t="s">
        <v>2255</v>
      </c>
      <c r="O81" s="1354"/>
      <c r="P81" s="1354"/>
      <c r="Q81" s="1354"/>
      <c r="R81" s="1354"/>
      <c r="S81" s="1355"/>
      <c r="T81" s="223"/>
    </row>
    <row r="82" spans="1:21" s="129" customFormat="1" x14ac:dyDescent="0.45">
      <c r="B82" s="118">
        <f t="shared" si="3"/>
        <v>23</v>
      </c>
      <c r="C82" s="55"/>
      <c r="D82" s="126" t="s">
        <v>37</v>
      </c>
      <c r="E82" s="126" t="s">
        <v>94</v>
      </c>
      <c r="F82" s="126" t="s">
        <v>226</v>
      </c>
      <c r="G82" s="126"/>
      <c r="H82" s="224"/>
      <c r="I82" s="224"/>
      <c r="J82" s="224"/>
      <c r="K82" s="224"/>
      <c r="L82" s="224"/>
      <c r="M82" s="224"/>
      <c r="N82" s="1353" t="s">
        <v>2256</v>
      </c>
      <c r="O82" s="1354"/>
      <c r="P82" s="1354"/>
      <c r="Q82" s="1354"/>
      <c r="R82" s="1354"/>
      <c r="S82" s="1355"/>
      <c r="T82" s="223"/>
    </row>
    <row r="83" spans="1:21" s="129" customFormat="1" x14ac:dyDescent="0.45">
      <c r="B83" s="118">
        <f t="shared" si="3"/>
        <v>24</v>
      </c>
      <c r="C83" s="55"/>
      <c r="D83" s="126" t="s">
        <v>37</v>
      </c>
      <c r="E83" s="126" t="s">
        <v>411</v>
      </c>
      <c r="F83" s="126" t="s">
        <v>226</v>
      </c>
      <c r="G83" s="126"/>
      <c r="H83" s="224"/>
      <c r="I83" s="224"/>
      <c r="J83" s="224"/>
      <c r="K83" s="224"/>
      <c r="L83" s="224"/>
      <c r="M83" s="224"/>
      <c r="N83" s="1353" t="s">
        <v>2257</v>
      </c>
      <c r="O83" s="1354"/>
      <c r="P83" s="1354"/>
      <c r="Q83" s="1354"/>
      <c r="R83" s="1354"/>
      <c r="S83" s="1355"/>
      <c r="T83" s="223"/>
    </row>
    <row r="84" spans="1:21" s="129" customFormat="1" x14ac:dyDescent="0.45">
      <c r="B84" s="118">
        <f t="shared" si="3"/>
        <v>25</v>
      </c>
      <c r="C84" s="55"/>
      <c r="D84" s="126" t="s">
        <v>37</v>
      </c>
      <c r="E84" s="126" t="s">
        <v>415</v>
      </c>
      <c r="F84" s="126" t="s">
        <v>226</v>
      </c>
      <c r="G84" s="126"/>
      <c r="H84" s="224"/>
      <c r="I84" s="224"/>
      <c r="J84" s="224"/>
      <c r="K84" s="224"/>
      <c r="L84" s="224"/>
      <c r="M84" s="224"/>
      <c r="N84" s="1353" t="s">
        <v>2258</v>
      </c>
      <c r="O84" s="1354"/>
      <c r="P84" s="1354"/>
      <c r="Q84" s="1354"/>
      <c r="R84" s="1354"/>
      <c r="S84" s="1355"/>
      <c r="T84" s="223"/>
    </row>
    <row r="85" spans="1:21" x14ac:dyDescent="0.45">
      <c r="B85" s="118">
        <f t="shared" si="3"/>
        <v>26</v>
      </c>
      <c r="D85" s="126" t="s">
        <v>37</v>
      </c>
      <c r="E85" s="126" t="s">
        <v>427</v>
      </c>
      <c r="F85" s="126" t="s">
        <v>226</v>
      </c>
      <c r="H85" s="224"/>
      <c r="I85" s="224"/>
      <c r="J85" s="224"/>
      <c r="K85" s="224"/>
      <c r="L85" s="224"/>
      <c r="M85" s="224"/>
      <c r="N85" s="1353" t="s">
        <v>2259</v>
      </c>
      <c r="O85" s="1354"/>
      <c r="P85" s="1354"/>
      <c r="Q85" s="1354"/>
      <c r="R85" s="1354"/>
      <c r="S85" s="1355"/>
      <c r="T85" s="223"/>
    </row>
    <row r="86" spans="1:21" x14ac:dyDescent="0.45">
      <c r="B86" s="118">
        <f t="shared" si="3"/>
        <v>27</v>
      </c>
      <c r="D86" s="126" t="s">
        <v>37</v>
      </c>
      <c r="E86" s="126" t="s">
        <v>437</v>
      </c>
      <c r="F86" s="126" t="s">
        <v>226</v>
      </c>
      <c r="H86" s="224"/>
      <c r="I86" s="224"/>
      <c r="J86" s="224"/>
      <c r="K86" s="224"/>
      <c r="L86" s="224"/>
      <c r="M86" s="224"/>
      <c r="N86" s="1353" t="s">
        <v>2260</v>
      </c>
      <c r="O86" s="1354"/>
      <c r="P86" s="1354"/>
      <c r="Q86" s="1354"/>
      <c r="R86" s="1354"/>
      <c r="S86" s="1355"/>
      <c r="T86" s="223"/>
    </row>
    <row r="87" spans="1:21" x14ac:dyDescent="0.45">
      <c r="B87" s="118">
        <f t="shared" si="3"/>
        <v>28</v>
      </c>
      <c r="D87" s="126" t="s">
        <v>37</v>
      </c>
      <c r="E87" s="126" t="s">
        <v>150</v>
      </c>
      <c r="F87" s="126" t="s">
        <v>226</v>
      </c>
      <c r="H87" s="224"/>
      <c r="I87" s="224"/>
      <c r="J87" s="224"/>
      <c r="K87" s="224"/>
      <c r="L87" s="224"/>
      <c r="M87" s="224"/>
      <c r="N87" s="1353" t="s">
        <v>2261</v>
      </c>
      <c r="O87" s="1354"/>
      <c r="P87" s="1354"/>
      <c r="Q87" s="1354"/>
      <c r="R87" s="1354"/>
      <c r="S87" s="1355"/>
      <c r="T87" s="223"/>
      <c r="U87" s="126"/>
    </row>
    <row r="88" spans="1:21" x14ac:dyDescent="0.45">
      <c r="B88" s="118"/>
      <c r="D88" s="126" t="s">
        <v>37</v>
      </c>
      <c r="E88" s="126" t="s">
        <v>153</v>
      </c>
      <c r="F88" s="126" t="s">
        <v>226</v>
      </c>
      <c r="H88" s="224"/>
      <c r="I88" s="224"/>
      <c r="J88" s="224"/>
      <c r="K88" s="224"/>
      <c r="L88" s="224"/>
      <c r="M88" s="224"/>
      <c r="N88" s="1353" t="s">
        <v>2262</v>
      </c>
      <c r="O88" s="1354"/>
      <c r="P88" s="1354"/>
      <c r="Q88" s="1354"/>
      <c r="R88" s="1354"/>
      <c r="S88" s="1355"/>
      <c r="T88" s="223"/>
      <c r="U88" s="126"/>
    </row>
    <row r="89" spans="1:21" x14ac:dyDescent="0.45">
      <c r="B89" s="118">
        <f>B87+1</f>
        <v>29</v>
      </c>
      <c r="C89" s="55" t="s">
        <v>2791</v>
      </c>
      <c r="D89" s="31"/>
      <c r="E89" s="31"/>
      <c r="F89" s="31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3"/>
    </row>
    <row r="90" spans="1:21" s="212" customFormat="1" x14ac:dyDescent="0.45">
      <c r="A90" s="31"/>
      <c r="B90" s="31"/>
      <c r="C90" s="55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>
        <f>8*12+6*12+8+12+12+12+5</f>
        <v>217</v>
      </c>
      <c r="U90" s="31"/>
    </row>
    <row r="91" spans="1:21" x14ac:dyDescent="0.45">
      <c r="S91" s="126">
        <v>264</v>
      </c>
    </row>
  </sheetData>
  <mergeCells count="91">
    <mergeCell ref="O3:S3"/>
    <mergeCell ref="J4:N4"/>
    <mergeCell ref="O5:S5"/>
    <mergeCell ref="H6:K6"/>
    <mergeCell ref="L6:S6"/>
    <mergeCell ref="H7:O7"/>
    <mergeCell ref="P7:S7"/>
    <mergeCell ref="I9:J9"/>
    <mergeCell ref="K10:M10"/>
    <mergeCell ref="N10:P10"/>
    <mergeCell ref="Q10:S10"/>
    <mergeCell ref="K11:M11"/>
    <mergeCell ref="N11:P11"/>
    <mergeCell ref="Q11:S11"/>
    <mergeCell ref="H13:K13"/>
    <mergeCell ref="L13:O13"/>
    <mergeCell ref="P13:S13"/>
    <mergeCell ref="H27:S27"/>
    <mergeCell ref="H14:S14"/>
    <mergeCell ref="H15:S15"/>
    <mergeCell ref="H16:S16"/>
    <mergeCell ref="H19:S19"/>
    <mergeCell ref="H20:S20"/>
    <mergeCell ref="H21:S21"/>
    <mergeCell ref="H22:S22"/>
    <mergeCell ref="H23:S23"/>
    <mergeCell ref="H24:S24"/>
    <mergeCell ref="H25:S25"/>
    <mergeCell ref="H26:S26"/>
    <mergeCell ref="I38:J38"/>
    <mergeCell ref="L38:S38"/>
    <mergeCell ref="H28:S28"/>
    <mergeCell ref="H29:S29"/>
    <mergeCell ref="H30:S30"/>
    <mergeCell ref="H31:M31"/>
    <mergeCell ref="N31:S31"/>
    <mergeCell ref="K32:S32"/>
    <mergeCell ref="J33:S33"/>
    <mergeCell ref="J34:S34"/>
    <mergeCell ref="J35:S35"/>
    <mergeCell ref="I36:S36"/>
    <mergeCell ref="H37:S37"/>
    <mergeCell ref="N53:O53"/>
    <mergeCell ref="P53:S53"/>
    <mergeCell ref="H40:S40"/>
    <mergeCell ref="H41:M41"/>
    <mergeCell ref="H44:K44"/>
    <mergeCell ref="N44:O44"/>
    <mergeCell ref="R44:S44"/>
    <mergeCell ref="H45:S45"/>
    <mergeCell ref="P46:S46"/>
    <mergeCell ref="I50:K50"/>
    <mergeCell ref="L50:M50"/>
    <mergeCell ref="P51:S51"/>
    <mergeCell ref="H52:S52"/>
    <mergeCell ref="L66:S66"/>
    <mergeCell ref="H55:S55"/>
    <mergeCell ref="L60:S60"/>
    <mergeCell ref="H61:L61"/>
    <mergeCell ref="M61:S61"/>
    <mergeCell ref="H62:I62"/>
    <mergeCell ref="J62:N62"/>
    <mergeCell ref="O62:S62"/>
    <mergeCell ref="P63:S63"/>
    <mergeCell ref="H64:K64"/>
    <mergeCell ref="L64:O64"/>
    <mergeCell ref="P64:S64"/>
    <mergeCell ref="L65:S65"/>
    <mergeCell ref="N78:S78"/>
    <mergeCell ref="L67:S67"/>
    <mergeCell ref="L68:S68"/>
    <mergeCell ref="L69:S69"/>
    <mergeCell ref="L70:S70"/>
    <mergeCell ref="L71:S71"/>
    <mergeCell ref="L72:S72"/>
    <mergeCell ref="N85:S85"/>
    <mergeCell ref="N86:S86"/>
    <mergeCell ref="N87:S87"/>
    <mergeCell ref="N88:S88"/>
    <mergeCell ref="L9:M9"/>
    <mergeCell ref="N79:S79"/>
    <mergeCell ref="N80:S80"/>
    <mergeCell ref="N81:S81"/>
    <mergeCell ref="N82:S82"/>
    <mergeCell ref="N83:S83"/>
    <mergeCell ref="N84:S84"/>
    <mergeCell ref="L73:S73"/>
    <mergeCell ref="L74:S74"/>
    <mergeCell ref="L75:S75"/>
    <mergeCell ref="L76:S76"/>
    <mergeCell ref="N77:S7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55CB-55FD-4EE4-9B00-A9281BA0116A}">
  <sheetPr>
    <tabColor rgb="FF0000FF"/>
  </sheetPr>
  <dimension ref="A2:AE82"/>
  <sheetViews>
    <sheetView workbookViewId="0"/>
  </sheetViews>
  <sheetFormatPr defaultRowHeight="17" customHeight="1" x14ac:dyDescent="0.45"/>
  <cols>
    <col min="2" max="2" width="9.1640625" bestFit="1" customWidth="1"/>
    <col min="3" max="3" width="11.4140625" style="8" customWidth="1"/>
    <col min="4" max="15" width="6.58203125" style="8" customWidth="1"/>
    <col min="17" max="18" width="12.58203125" customWidth="1"/>
    <col min="19" max="19" width="7.4140625" customWidth="1"/>
    <col min="20" max="30" width="6.58203125" customWidth="1"/>
    <col min="31" max="31" width="23.33203125" bestFit="1" customWidth="1"/>
  </cols>
  <sheetData>
    <row r="2" spans="2:31" ht="17" customHeight="1" x14ac:dyDescent="0.45">
      <c r="B2" s="1149"/>
      <c r="C2" s="1150" t="s">
        <v>2711</v>
      </c>
      <c r="D2" s="61">
        <v>1</v>
      </c>
      <c r="E2" s="61">
        <v>2</v>
      </c>
      <c r="F2" s="61">
        <v>3</v>
      </c>
      <c r="G2" s="61">
        <v>4</v>
      </c>
      <c r="H2" s="61">
        <v>5</v>
      </c>
      <c r="I2" s="61">
        <v>6</v>
      </c>
      <c r="J2" s="61">
        <v>7</v>
      </c>
      <c r="K2" s="61">
        <v>8</v>
      </c>
      <c r="L2" s="61">
        <v>9</v>
      </c>
      <c r="M2" s="61">
        <v>10</v>
      </c>
      <c r="N2" s="61">
        <v>11</v>
      </c>
      <c r="O2" s="61">
        <v>12</v>
      </c>
      <c r="Q2" s="1370" t="s">
        <v>2711</v>
      </c>
      <c r="R2" s="1370"/>
      <c r="S2" s="61">
        <v>1</v>
      </c>
      <c r="T2" s="61">
        <v>2</v>
      </c>
      <c r="U2" s="61">
        <v>3</v>
      </c>
      <c r="V2" s="61">
        <v>4</v>
      </c>
      <c r="W2" s="61">
        <v>5</v>
      </c>
      <c r="X2" s="61">
        <v>6</v>
      </c>
      <c r="Y2" s="61">
        <v>7</v>
      </c>
      <c r="Z2" s="61">
        <v>8</v>
      </c>
      <c r="AA2" s="61">
        <v>9</v>
      </c>
      <c r="AB2" s="61">
        <v>10</v>
      </c>
      <c r="AC2" s="61">
        <v>11</v>
      </c>
      <c r="AD2" s="61">
        <v>12</v>
      </c>
      <c r="AE2" s="3" t="s">
        <v>924</v>
      </c>
    </row>
    <row r="3" spans="2:31" ht="17" customHeight="1" x14ac:dyDescent="0.45">
      <c r="B3" s="8"/>
      <c r="D3" s="1162"/>
      <c r="E3" s="1162"/>
      <c r="F3" s="1162"/>
      <c r="G3" s="1162"/>
      <c r="H3" s="1162"/>
      <c r="I3" s="1162"/>
      <c r="J3" s="1162"/>
      <c r="K3" s="1162"/>
      <c r="L3" s="1162"/>
      <c r="M3" s="1162"/>
      <c r="N3" s="1162"/>
      <c r="O3" s="1162"/>
      <c r="Q3" s="1370" t="s">
        <v>2740</v>
      </c>
      <c r="R3" s="1370"/>
      <c r="S3" s="61">
        <v>1</v>
      </c>
      <c r="T3" s="61">
        <v>1</v>
      </c>
      <c r="U3" s="61">
        <v>1</v>
      </c>
      <c r="V3" s="61">
        <v>1</v>
      </c>
      <c r="W3" s="61">
        <v>1</v>
      </c>
      <c r="X3" s="61">
        <v>1</v>
      </c>
      <c r="Y3" s="61">
        <v>1</v>
      </c>
      <c r="Z3" s="61">
        <v>1</v>
      </c>
      <c r="AA3" s="61">
        <v>1</v>
      </c>
      <c r="AB3" s="61">
        <v>1</v>
      </c>
      <c r="AC3" s="61">
        <v>0</v>
      </c>
      <c r="AD3" s="61">
        <v>0</v>
      </c>
      <c r="AE3" s="3"/>
    </row>
    <row r="4" spans="2:31" ht="17" customHeight="1" x14ac:dyDescent="0.45">
      <c r="B4" s="1368" t="s">
        <v>2721</v>
      </c>
      <c r="C4" s="1151">
        <v>1</v>
      </c>
      <c r="D4" s="1153" t="s">
        <v>2757</v>
      </c>
      <c r="E4" s="1153"/>
      <c r="F4" s="1153"/>
      <c r="G4" s="1153"/>
      <c r="H4" s="1153"/>
      <c r="I4" s="1153"/>
      <c r="J4" s="1153"/>
      <c r="K4" s="1153"/>
      <c r="L4" s="1153"/>
      <c r="M4" s="1153"/>
      <c r="N4" s="1153"/>
      <c r="O4" s="1153"/>
      <c r="Q4" s="1370" t="s">
        <v>2723</v>
      </c>
      <c r="R4" s="1370"/>
      <c r="S4" s="1371">
        <v>0</v>
      </c>
      <c r="T4" s="1372"/>
      <c r="U4" s="1372"/>
      <c r="V4" s="1372"/>
      <c r="W4" s="1372"/>
      <c r="X4" s="1372"/>
      <c r="Y4" s="1372"/>
      <c r="Z4" s="1372"/>
      <c r="AA4" s="1372"/>
      <c r="AB4" s="1372"/>
      <c r="AC4" s="1372"/>
      <c r="AD4" s="1373"/>
      <c r="AE4" s="3"/>
    </row>
    <row r="5" spans="2:31" ht="17" customHeight="1" x14ac:dyDescent="0.45">
      <c r="B5" s="1369"/>
      <c r="C5" s="1152">
        <v>2</v>
      </c>
      <c r="D5" s="1153" t="s">
        <v>2757</v>
      </c>
      <c r="E5" s="1153"/>
      <c r="F5" s="1153"/>
      <c r="G5" s="1153"/>
      <c r="H5" s="1153"/>
      <c r="I5" s="1153"/>
      <c r="J5" s="1153"/>
      <c r="K5" s="1153"/>
      <c r="L5" s="1153"/>
      <c r="M5" s="1153"/>
      <c r="N5" s="1153"/>
      <c r="O5" s="1153"/>
      <c r="Q5" s="1370" t="s">
        <v>2710</v>
      </c>
      <c r="R5" s="1370"/>
      <c r="S5" s="61">
        <v>0</v>
      </c>
      <c r="T5" s="61">
        <v>0</v>
      </c>
      <c r="U5" s="61">
        <v>0</v>
      </c>
      <c r="V5" s="61">
        <v>0</v>
      </c>
      <c r="W5" s="61">
        <v>0</v>
      </c>
      <c r="X5" s="61">
        <v>0</v>
      </c>
      <c r="Y5" s="61">
        <v>0</v>
      </c>
      <c r="Z5" s="61">
        <v>0</v>
      </c>
      <c r="AA5" s="61">
        <v>0</v>
      </c>
      <c r="AB5" s="61">
        <v>0</v>
      </c>
      <c r="AC5" s="61" t="s">
        <v>1940</v>
      </c>
      <c r="AD5" s="61" t="s">
        <v>1940</v>
      </c>
      <c r="AE5" s="3"/>
    </row>
    <row r="6" spans="2:31" ht="17" customHeight="1" x14ac:dyDescent="0.45">
      <c r="B6" s="8"/>
      <c r="D6" s="1162"/>
      <c r="E6" s="1162"/>
      <c r="F6" s="1162"/>
      <c r="G6" s="1162"/>
      <c r="H6" s="1162"/>
      <c r="I6" s="1162"/>
      <c r="J6" s="1162"/>
      <c r="K6" s="1162"/>
      <c r="L6" s="1162"/>
      <c r="M6" s="1162"/>
      <c r="N6" s="1162"/>
      <c r="O6" s="1162"/>
      <c r="Q6" s="1370" t="s">
        <v>2720</v>
      </c>
      <c r="R6" s="1370"/>
      <c r="S6" s="1153">
        <v>1</v>
      </c>
      <c r="T6" s="1153">
        <v>2</v>
      </c>
      <c r="U6" s="1153">
        <v>3</v>
      </c>
      <c r="V6" s="1153">
        <v>4</v>
      </c>
      <c r="W6" s="1153">
        <v>5</v>
      </c>
      <c r="X6" s="1153">
        <v>6</v>
      </c>
      <c r="Y6" s="1153">
        <v>7</v>
      </c>
      <c r="Z6" s="1153">
        <v>8</v>
      </c>
      <c r="AA6" s="1153">
        <v>9</v>
      </c>
      <c r="AB6" s="1153">
        <v>10</v>
      </c>
      <c r="AC6" s="1148"/>
      <c r="AD6" s="1148"/>
    </row>
    <row r="7" spans="2:31" ht="17" customHeight="1" x14ac:dyDescent="0.45">
      <c r="B7" s="1368" t="s">
        <v>2722</v>
      </c>
      <c r="C7" s="1151">
        <v>12</v>
      </c>
      <c r="D7" s="1153" t="s">
        <v>2757</v>
      </c>
      <c r="E7" s="1153"/>
      <c r="F7" s="1153"/>
      <c r="G7" s="1153"/>
      <c r="H7" s="1153"/>
      <c r="I7" s="1153"/>
      <c r="J7" s="1153"/>
      <c r="K7" s="1153"/>
      <c r="L7" s="1153"/>
      <c r="M7" s="1153"/>
      <c r="N7" s="1153"/>
      <c r="O7" s="1153"/>
      <c r="P7" s="8"/>
      <c r="Q7" s="1256" t="s">
        <v>2758</v>
      </c>
      <c r="R7" s="1258"/>
      <c r="S7" s="1165">
        <v>1</v>
      </c>
      <c r="T7" s="1165">
        <v>1</v>
      </c>
      <c r="U7" s="1165">
        <v>1</v>
      </c>
      <c r="V7" s="1165">
        <v>1</v>
      </c>
      <c r="W7" s="1165">
        <v>1</v>
      </c>
      <c r="X7" s="1165">
        <v>1</v>
      </c>
      <c r="Y7" s="1165">
        <v>1</v>
      </c>
      <c r="Z7" s="1165">
        <v>1</v>
      </c>
      <c r="AA7" s="1165">
        <v>1</v>
      </c>
      <c r="AB7" s="1165">
        <v>1</v>
      </c>
      <c r="AC7" s="1165"/>
      <c r="AD7" s="1165"/>
    </row>
    <row r="8" spans="2:31" ht="17" customHeight="1" x14ac:dyDescent="0.45">
      <c r="B8" s="1369"/>
      <c r="C8" s="1152">
        <v>12</v>
      </c>
      <c r="D8" s="1153" t="s">
        <v>2757</v>
      </c>
      <c r="E8" s="1153"/>
      <c r="F8" s="1153"/>
      <c r="G8" s="1153"/>
      <c r="H8" s="1153"/>
      <c r="I8" s="1153"/>
      <c r="J8" s="1153"/>
      <c r="K8" s="1153"/>
      <c r="L8" s="1153"/>
      <c r="M8" s="1153"/>
      <c r="N8" s="1153"/>
      <c r="O8" s="1153"/>
      <c r="P8" s="8"/>
      <c r="Q8" s="1256" t="s">
        <v>2754</v>
      </c>
      <c r="R8" s="1258"/>
      <c r="S8" s="1165">
        <v>1</v>
      </c>
      <c r="T8" s="1165">
        <v>2</v>
      </c>
      <c r="U8" s="1165">
        <v>3</v>
      </c>
      <c r="V8" s="1165">
        <v>4</v>
      </c>
      <c r="W8" s="1165">
        <v>5</v>
      </c>
      <c r="X8" s="1165">
        <v>6</v>
      </c>
      <c r="Y8" s="1165">
        <v>7</v>
      </c>
      <c r="Z8" s="1165">
        <v>8</v>
      </c>
      <c r="AA8" s="1165">
        <v>9</v>
      </c>
      <c r="AB8" s="1165">
        <v>10</v>
      </c>
      <c r="AC8" s="1165"/>
      <c r="AD8" s="1165"/>
      <c r="AE8" s="1167" t="s">
        <v>2750</v>
      </c>
    </row>
    <row r="9" spans="2:31" ht="17" customHeight="1" x14ac:dyDescent="0.45">
      <c r="Q9" s="1256" t="s">
        <v>2759</v>
      </c>
      <c r="R9" s="1258"/>
      <c r="S9" s="1165">
        <v>1</v>
      </c>
      <c r="T9" s="1165">
        <v>1</v>
      </c>
      <c r="U9" s="1165">
        <v>1</v>
      </c>
      <c r="V9" s="1165">
        <v>1</v>
      </c>
      <c r="W9" s="1165">
        <v>1</v>
      </c>
      <c r="X9" s="1165">
        <v>1</v>
      </c>
      <c r="Y9" s="1165">
        <v>1</v>
      </c>
      <c r="Z9" s="1165">
        <v>1</v>
      </c>
      <c r="AA9" s="1165">
        <v>1</v>
      </c>
      <c r="AB9" s="1165">
        <v>1</v>
      </c>
      <c r="AC9" s="1165"/>
      <c r="AD9" s="1165"/>
    </row>
    <row r="10" spans="2:31" ht="17" customHeight="1" x14ac:dyDescent="0.45">
      <c r="P10" s="8"/>
      <c r="Q10" s="1256" t="s">
        <v>2760</v>
      </c>
      <c r="R10" s="1258"/>
      <c r="S10" s="1165">
        <v>1</v>
      </c>
      <c r="T10" s="1165">
        <v>1</v>
      </c>
      <c r="U10" s="1165">
        <v>1</v>
      </c>
      <c r="V10" s="1165">
        <v>1</v>
      </c>
      <c r="W10" s="1165">
        <v>1</v>
      </c>
      <c r="X10" s="1165">
        <v>1</v>
      </c>
      <c r="Y10" s="1165">
        <v>1</v>
      </c>
      <c r="Z10" s="1165">
        <v>1</v>
      </c>
      <c r="AA10" s="1165">
        <v>1</v>
      </c>
      <c r="AB10" s="1165">
        <v>1</v>
      </c>
      <c r="AC10" s="1165"/>
      <c r="AD10" s="1165"/>
    </row>
    <row r="11" spans="2:31" ht="17" customHeight="1" x14ac:dyDescent="0.45">
      <c r="P11" s="8"/>
      <c r="Q11" s="1256" t="s">
        <v>2761</v>
      </c>
      <c r="R11" s="1258"/>
      <c r="S11" s="1165">
        <v>1</v>
      </c>
      <c r="T11" s="1165">
        <v>1</v>
      </c>
      <c r="U11" s="1165">
        <v>1</v>
      </c>
      <c r="V11" s="1165">
        <v>1</v>
      </c>
      <c r="W11" s="1165">
        <v>1</v>
      </c>
      <c r="X11" s="1165">
        <v>1</v>
      </c>
      <c r="Y11" s="1165">
        <v>1</v>
      </c>
      <c r="Z11" s="1165">
        <v>1</v>
      </c>
      <c r="AA11" s="1165">
        <v>1</v>
      </c>
      <c r="AB11" s="1165">
        <v>1</v>
      </c>
      <c r="AC11" s="1165"/>
      <c r="AD11" s="1165"/>
    </row>
    <row r="12" spans="2:31" ht="17" customHeight="1" x14ac:dyDescent="0.45">
      <c r="P12" s="8"/>
      <c r="Q12" s="1256" t="s">
        <v>2762</v>
      </c>
      <c r="R12" s="1258"/>
      <c r="S12" s="1165">
        <v>1</v>
      </c>
      <c r="T12" s="1165">
        <v>1</v>
      </c>
      <c r="U12" s="1165">
        <v>1</v>
      </c>
      <c r="V12" s="1165">
        <v>1</v>
      </c>
      <c r="W12" s="1165">
        <v>1</v>
      </c>
      <c r="X12" s="1165">
        <v>1</v>
      </c>
      <c r="Y12" s="1165">
        <v>1</v>
      </c>
      <c r="Z12" s="1165">
        <v>1</v>
      </c>
      <c r="AA12" s="1165">
        <v>1</v>
      </c>
      <c r="AB12" s="1165">
        <v>1</v>
      </c>
      <c r="AC12" s="1165"/>
      <c r="AD12" s="1165"/>
    </row>
    <row r="13" spans="2:31" ht="17" customHeight="1" x14ac:dyDescent="0.45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2:31" ht="17" customHeight="1" thickBot="1" x14ac:dyDescent="0.5">
      <c r="P14" s="8"/>
    </row>
    <row r="15" spans="2:31" ht="17" customHeight="1" thickTop="1" thickBot="1" x14ac:dyDescent="0.5">
      <c r="B15" s="1362" t="s">
        <v>2710</v>
      </c>
      <c r="C15" s="1363"/>
      <c r="D15" s="1155">
        <v>0</v>
      </c>
      <c r="E15" s="1156">
        <v>1</v>
      </c>
      <c r="F15" s="1155">
        <v>0</v>
      </c>
      <c r="G15" s="1156">
        <v>1</v>
      </c>
      <c r="H15" s="1155">
        <v>0</v>
      </c>
      <c r="I15" s="1156">
        <v>1</v>
      </c>
      <c r="J15" s="1155">
        <v>0</v>
      </c>
      <c r="K15" s="1156">
        <v>1</v>
      </c>
      <c r="L15" s="1155">
        <v>0</v>
      </c>
      <c r="M15" s="1156">
        <v>1</v>
      </c>
      <c r="N15" s="1155">
        <v>0</v>
      </c>
      <c r="O15" s="1156">
        <v>1</v>
      </c>
      <c r="Q15" s="1370" t="s">
        <v>2711</v>
      </c>
      <c r="R15" s="1370"/>
      <c r="S15" s="61">
        <v>1</v>
      </c>
      <c r="T15" s="61">
        <v>2</v>
      </c>
      <c r="U15" s="61">
        <v>3</v>
      </c>
      <c r="V15" s="61">
        <v>4</v>
      </c>
      <c r="W15" s="61">
        <v>5</v>
      </c>
      <c r="X15" s="61">
        <v>6</v>
      </c>
      <c r="Y15" s="61">
        <v>7</v>
      </c>
      <c r="Z15" s="61">
        <v>8</v>
      </c>
      <c r="AA15" s="61">
        <v>9</v>
      </c>
      <c r="AB15" s="61">
        <v>10</v>
      </c>
      <c r="AC15" s="61">
        <v>11</v>
      </c>
      <c r="AD15" s="61">
        <v>12</v>
      </c>
      <c r="AE15" s="3" t="s">
        <v>924</v>
      </c>
    </row>
    <row r="16" spans="2:31" ht="17" customHeight="1" thickTop="1" x14ac:dyDescent="0.45">
      <c r="B16" s="1364" t="s">
        <v>2712</v>
      </c>
      <c r="C16" s="1365"/>
      <c r="D16" s="1154">
        <v>1</v>
      </c>
      <c r="E16" s="1154">
        <v>2</v>
      </c>
      <c r="F16" s="1154">
        <v>4</v>
      </c>
      <c r="G16" s="1153">
        <v>5</v>
      </c>
      <c r="H16" s="1153">
        <v>7</v>
      </c>
      <c r="I16" s="1153">
        <v>8</v>
      </c>
      <c r="J16" s="1153">
        <v>10</v>
      </c>
      <c r="K16" s="1153">
        <v>11</v>
      </c>
      <c r="L16" s="1153">
        <v>13</v>
      </c>
      <c r="M16" s="1153">
        <v>14</v>
      </c>
      <c r="N16" s="1153">
        <v>16</v>
      </c>
      <c r="O16" s="1153">
        <v>17</v>
      </c>
      <c r="Q16" s="1370" t="s">
        <v>2740</v>
      </c>
      <c r="R16" s="1370"/>
      <c r="S16" s="61">
        <v>1</v>
      </c>
      <c r="T16" s="61">
        <v>1</v>
      </c>
      <c r="U16" s="61">
        <v>1</v>
      </c>
      <c r="V16" s="61">
        <v>1</v>
      </c>
      <c r="W16" s="61">
        <v>1</v>
      </c>
      <c r="X16" s="61">
        <v>1</v>
      </c>
      <c r="Y16" s="61">
        <v>1</v>
      </c>
      <c r="Z16" s="61">
        <v>1</v>
      </c>
      <c r="AA16" s="61">
        <v>1</v>
      </c>
      <c r="AB16" s="61">
        <v>1</v>
      </c>
      <c r="AC16" s="61">
        <v>0</v>
      </c>
      <c r="AD16" s="61">
        <v>0</v>
      </c>
      <c r="AE16" s="3"/>
    </row>
    <row r="17" spans="2:31" x14ac:dyDescent="0.45">
      <c r="B17" s="1366" t="s">
        <v>2713</v>
      </c>
      <c r="C17" s="1367"/>
      <c r="D17" s="1148"/>
      <c r="E17" s="1153">
        <v>3</v>
      </c>
      <c r="F17" s="1148"/>
      <c r="G17" s="1153">
        <v>6</v>
      </c>
      <c r="H17" s="1148"/>
      <c r="I17" s="1153">
        <v>9</v>
      </c>
      <c r="J17" s="1148"/>
      <c r="K17" s="1153">
        <v>12</v>
      </c>
      <c r="L17" s="1148"/>
      <c r="M17" s="1153">
        <v>15</v>
      </c>
      <c r="N17" s="1148"/>
      <c r="O17" s="1153">
        <v>18</v>
      </c>
      <c r="Q17" s="1370" t="s">
        <v>2723</v>
      </c>
      <c r="R17" s="1370"/>
      <c r="S17" s="1371">
        <v>1</v>
      </c>
      <c r="T17" s="1372"/>
      <c r="U17" s="1372"/>
      <c r="V17" s="1372"/>
      <c r="W17" s="1372"/>
      <c r="X17" s="1372"/>
      <c r="Y17" s="1372"/>
      <c r="Z17" s="1372"/>
      <c r="AA17" s="1372"/>
      <c r="AB17" s="1372"/>
      <c r="AC17" s="1372"/>
      <c r="AD17" s="1373"/>
      <c r="AE17" s="3"/>
    </row>
    <row r="18" spans="2:31" ht="17" customHeight="1" thickBot="1" x14ac:dyDescent="0.5">
      <c r="C18"/>
      <c r="D18"/>
      <c r="E18"/>
      <c r="F18"/>
      <c r="G18"/>
      <c r="H18"/>
      <c r="I18"/>
      <c r="J18"/>
      <c r="K18"/>
      <c r="L18"/>
      <c r="M18"/>
      <c r="N18"/>
      <c r="O18"/>
      <c r="Q18" s="1370" t="s">
        <v>2710</v>
      </c>
      <c r="R18" s="1370"/>
      <c r="S18" s="61">
        <v>0</v>
      </c>
      <c r="T18" s="61">
        <v>1</v>
      </c>
      <c r="U18" s="61">
        <v>1</v>
      </c>
      <c r="V18" s="61">
        <v>0</v>
      </c>
      <c r="W18" s="61">
        <v>1</v>
      </c>
      <c r="X18" s="61">
        <v>0</v>
      </c>
      <c r="Y18" s="61">
        <v>0</v>
      </c>
      <c r="Z18" s="61">
        <v>1</v>
      </c>
      <c r="AA18" s="61">
        <v>0</v>
      </c>
      <c r="AB18" s="61">
        <v>1</v>
      </c>
      <c r="AC18" s="61" t="s">
        <v>1940</v>
      </c>
      <c r="AD18" s="61" t="s">
        <v>1940</v>
      </c>
      <c r="AE18" s="3"/>
    </row>
    <row r="19" spans="2:31" ht="17" customHeight="1" thickTop="1" thickBot="1" x14ac:dyDescent="0.5">
      <c r="B19" s="1362" t="s">
        <v>2710</v>
      </c>
      <c r="C19" s="1363"/>
      <c r="D19" s="1155">
        <v>0</v>
      </c>
      <c r="E19" s="1156">
        <v>1</v>
      </c>
      <c r="F19" s="1155">
        <v>1</v>
      </c>
      <c r="G19" s="1156">
        <v>0</v>
      </c>
      <c r="H19" s="1155">
        <v>1</v>
      </c>
      <c r="I19" s="1156">
        <v>0</v>
      </c>
      <c r="J19" s="1155">
        <v>0</v>
      </c>
      <c r="K19" s="1156">
        <v>1</v>
      </c>
      <c r="L19" s="1155">
        <v>0</v>
      </c>
      <c r="M19" s="1156">
        <v>1</v>
      </c>
      <c r="N19" s="1155">
        <v>1</v>
      </c>
      <c r="O19" s="1156">
        <v>0</v>
      </c>
      <c r="Q19" s="1362" t="s">
        <v>2716</v>
      </c>
      <c r="R19" s="1374"/>
      <c r="S19" s="1154">
        <v>1</v>
      </c>
      <c r="T19" s="1154">
        <v>2</v>
      </c>
      <c r="U19" s="1153">
        <v>4</v>
      </c>
      <c r="V19" s="1153">
        <v>6</v>
      </c>
      <c r="W19" s="1153">
        <v>7</v>
      </c>
      <c r="X19" s="1153">
        <v>9</v>
      </c>
      <c r="Y19" s="1153">
        <v>10</v>
      </c>
      <c r="Z19" s="1153">
        <v>11</v>
      </c>
      <c r="AA19" s="1153">
        <v>13</v>
      </c>
      <c r="AB19" s="1153">
        <v>14</v>
      </c>
      <c r="AC19" s="1160"/>
      <c r="AD19" s="1160"/>
    </row>
    <row r="20" spans="2:31" ht="17" customHeight="1" thickTop="1" x14ac:dyDescent="0.45">
      <c r="B20" s="1364" t="s">
        <v>2712</v>
      </c>
      <c r="C20" s="1365"/>
      <c r="D20" s="1154">
        <v>1</v>
      </c>
      <c r="E20" s="1154">
        <v>2</v>
      </c>
      <c r="F20" s="1153">
        <v>4</v>
      </c>
      <c r="G20" s="1153">
        <v>6</v>
      </c>
      <c r="H20" s="1153">
        <v>7</v>
      </c>
      <c r="I20" s="1153">
        <v>9</v>
      </c>
      <c r="J20" s="1153">
        <v>10</v>
      </c>
      <c r="K20" s="1153">
        <v>11</v>
      </c>
      <c r="L20" s="1153">
        <v>13</v>
      </c>
      <c r="M20" s="1153">
        <v>14</v>
      </c>
      <c r="N20" s="1153">
        <v>16</v>
      </c>
      <c r="O20" s="1153">
        <v>18</v>
      </c>
      <c r="Q20" s="1362"/>
      <c r="R20" s="1374"/>
      <c r="S20" s="1148"/>
      <c r="T20" s="1153">
        <v>3</v>
      </c>
      <c r="U20" s="1153">
        <v>5</v>
      </c>
      <c r="V20" s="1148"/>
      <c r="W20" s="1153">
        <v>8</v>
      </c>
      <c r="X20" s="1148"/>
      <c r="Y20" s="1148"/>
      <c r="Z20" s="1153">
        <v>12</v>
      </c>
      <c r="AA20" s="1148"/>
      <c r="AB20" s="1153">
        <v>15</v>
      </c>
      <c r="AC20" s="1148"/>
      <c r="AD20" s="1148"/>
    </row>
    <row r="21" spans="2:31" ht="17" customHeight="1" x14ac:dyDescent="0.45">
      <c r="B21" s="1366" t="s">
        <v>2713</v>
      </c>
      <c r="C21" s="1367"/>
      <c r="D21" s="1148"/>
      <c r="E21" s="1153">
        <v>3</v>
      </c>
      <c r="F21" s="1153">
        <v>5</v>
      </c>
      <c r="G21" s="1148"/>
      <c r="H21" s="1153">
        <v>8</v>
      </c>
      <c r="I21" s="1148"/>
      <c r="J21" s="1148"/>
      <c r="K21" s="1153">
        <v>12</v>
      </c>
      <c r="L21" s="1148"/>
      <c r="M21" s="1153">
        <v>15</v>
      </c>
      <c r="N21" s="1153">
        <v>17</v>
      </c>
      <c r="O21" s="1148"/>
      <c r="Q21" s="1256" t="s">
        <v>2745</v>
      </c>
      <c r="R21" s="1258"/>
      <c r="S21" s="1165">
        <v>1</v>
      </c>
      <c r="T21" s="1166" t="s">
        <v>2752</v>
      </c>
      <c r="U21" s="1166" t="s">
        <v>2752</v>
      </c>
      <c r="V21" s="1165">
        <v>1</v>
      </c>
      <c r="W21" s="1166" t="s">
        <v>2752</v>
      </c>
      <c r="X21" s="1165">
        <v>1</v>
      </c>
      <c r="Y21" s="1165">
        <v>1</v>
      </c>
      <c r="Z21" s="1166" t="s">
        <v>2752</v>
      </c>
      <c r="AA21" s="1165">
        <v>1</v>
      </c>
      <c r="AB21" s="1166" t="s">
        <v>2752</v>
      </c>
      <c r="AC21" s="1165"/>
      <c r="AD21" s="1165"/>
    </row>
    <row r="22" spans="2:31" ht="17" customHeight="1" thickBot="1" x14ac:dyDescent="0.5">
      <c r="Q22" s="1256" t="s">
        <v>2755</v>
      </c>
      <c r="R22" s="1258"/>
      <c r="S22" s="1165">
        <v>1</v>
      </c>
      <c r="T22" s="1165">
        <v>2</v>
      </c>
      <c r="U22" s="1165">
        <v>3</v>
      </c>
      <c r="V22" s="1165">
        <v>4</v>
      </c>
      <c r="W22" s="1165">
        <v>5</v>
      </c>
      <c r="X22" s="1165">
        <v>6</v>
      </c>
      <c r="Y22" s="1165">
        <v>7</v>
      </c>
      <c r="Z22" s="1165">
        <v>8</v>
      </c>
      <c r="AA22" s="1165">
        <v>9</v>
      </c>
      <c r="AB22" s="1165">
        <v>10</v>
      </c>
      <c r="AC22" s="1165"/>
      <c r="AD22" s="1165"/>
      <c r="AE22" s="1167" t="s">
        <v>2753</v>
      </c>
    </row>
    <row r="23" spans="2:31" ht="17" customHeight="1" thickTop="1" thickBot="1" x14ac:dyDescent="0.5">
      <c r="B23" s="1362" t="s">
        <v>2710</v>
      </c>
      <c r="C23" s="1363"/>
      <c r="D23" s="1155">
        <v>0</v>
      </c>
      <c r="E23" s="1156">
        <v>1</v>
      </c>
      <c r="F23" s="1155">
        <v>1</v>
      </c>
      <c r="G23" s="1156">
        <v>0</v>
      </c>
      <c r="H23" s="1155">
        <v>1</v>
      </c>
      <c r="I23" s="1156">
        <v>0</v>
      </c>
      <c r="J23" s="1155">
        <v>0</v>
      </c>
      <c r="K23" s="1156">
        <v>1</v>
      </c>
      <c r="L23" s="1155">
        <v>0</v>
      </c>
      <c r="M23" s="1156">
        <v>1</v>
      </c>
      <c r="N23" s="1161" t="s">
        <v>1940</v>
      </c>
      <c r="O23" s="61" t="s">
        <v>1940</v>
      </c>
      <c r="Q23" s="1256" t="s">
        <v>2746</v>
      </c>
      <c r="R23" s="1258"/>
      <c r="S23" s="1165">
        <v>1</v>
      </c>
      <c r="T23" s="1166" t="s">
        <v>2752</v>
      </c>
      <c r="U23" s="1166" t="s">
        <v>2752</v>
      </c>
      <c r="V23" s="1165">
        <v>1</v>
      </c>
      <c r="W23" s="1166" t="s">
        <v>2752</v>
      </c>
      <c r="X23" s="1165">
        <v>1</v>
      </c>
      <c r="Y23" s="1165">
        <v>1</v>
      </c>
      <c r="Z23" s="1166" t="s">
        <v>2752</v>
      </c>
      <c r="AA23" s="1165">
        <v>1</v>
      </c>
      <c r="AB23" s="1166" t="s">
        <v>2752</v>
      </c>
      <c r="AC23" s="1165"/>
      <c r="AD23" s="1165"/>
    </row>
    <row r="24" spans="2:31" ht="17" customHeight="1" thickTop="1" x14ac:dyDescent="0.45">
      <c r="B24" s="1364" t="s">
        <v>2712</v>
      </c>
      <c r="C24" s="1365"/>
      <c r="D24" s="1154">
        <v>1</v>
      </c>
      <c r="E24" s="1154">
        <v>2</v>
      </c>
      <c r="F24" s="1153">
        <v>4</v>
      </c>
      <c r="G24" s="1153">
        <v>6</v>
      </c>
      <c r="H24" s="1153">
        <v>7</v>
      </c>
      <c r="I24" s="1153">
        <v>9</v>
      </c>
      <c r="J24" s="1153">
        <v>10</v>
      </c>
      <c r="K24" s="1153">
        <v>11</v>
      </c>
      <c r="L24" s="1153">
        <v>13</v>
      </c>
      <c r="M24" s="1153">
        <v>14</v>
      </c>
      <c r="N24" s="1160"/>
      <c r="O24" s="1160"/>
      <c r="Q24" s="1256" t="s">
        <v>2747</v>
      </c>
      <c r="R24" s="1258"/>
      <c r="S24" s="1165">
        <v>1</v>
      </c>
      <c r="T24" s="1166" t="s">
        <v>2752</v>
      </c>
      <c r="U24" s="1166" t="s">
        <v>2752</v>
      </c>
      <c r="V24" s="1165">
        <v>1</v>
      </c>
      <c r="W24" s="1166" t="s">
        <v>2752</v>
      </c>
      <c r="X24" s="1165">
        <v>1</v>
      </c>
      <c r="Y24" s="1165">
        <v>1</v>
      </c>
      <c r="Z24" s="1166" t="s">
        <v>2752</v>
      </c>
      <c r="AA24" s="1165">
        <v>1</v>
      </c>
      <c r="AB24" s="1166" t="s">
        <v>2752</v>
      </c>
      <c r="AC24" s="1165"/>
      <c r="AD24" s="1165"/>
    </row>
    <row r="25" spans="2:31" ht="17" customHeight="1" x14ac:dyDescent="0.45">
      <c r="B25" s="1366" t="s">
        <v>2716</v>
      </c>
      <c r="C25" s="1367"/>
      <c r="D25" s="1148"/>
      <c r="E25" s="1153">
        <v>3</v>
      </c>
      <c r="F25" s="1153">
        <v>5</v>
      </c>
      <c r="G25" s="1148"/>
      <c r="H25" s="1153">
        <v>8</v>
      </c>
      <c r="I25" s="1148"/>
      <c r="J25" s="1148"/>
      <c r="K25" s="1153">
        <v>12</v>
      </c>
      <c r="L25" s="1148"/>
      <c r="M25" s="1153">
        <v>15</v>
      </c>
      <c r="N25" s="1148"/>
      <c r="O25" s="1148"/>
      <c r="Q25" s="1256" t="s">
        <v>2748</v>
      </c>
      <c r="R25" s="1258"/>
      <c r="S25" s="1165">
        <v>1</v>
      </c>
      <c r="T25" s="1166" t="s">
        <v>2752</v>
      </c>
      <c r="U25" s="1166" t="s">
        <v>2752</v>
      </c>
      <c r="V25" s="1165">
        <v>1</v>
      </c>
      <c r="W25" s="1166" t="s">
        <v>2752</v>
      </c>
      <c r="X25" s="1165">
        <v>1</v>
      </c>
      <c r="Y25" s="1165">
        <v>1</v>
      </c>
      <c r="Z25" s="1166" t="s">
        <v>2752</v>
      </c>
      <c r="AA25" s="1165">
        <v>1</v>
      </c>
      <c r="AB25" s="1166" t="s">
        <v>2752</v>
      </c>
      <c r="AC25" s="1165"/>
      <c r="AD25" s="1165"/>
    </row>
    <row r="26" spans="2:31" ht="17" customHeight="1" x14ac:dyDescent="0.45">
      <c r="O26" s="1" t="s">
        <v>2744</v>
      </c>
      <c r="Q26" s="1256" t="s">
        <v>2749</v>
      </c>
      <c r="R26" s="1258"/>
      <c r="S26" s="1165">
        <v>1</v>
      </c>
      <c r="T26" s="1166" t="s">
        <v>2752</v>
      </c>
      <c r="U26" s="1166" t="s">
        <v>2752</v>
      </c>
      <c r="V26" s="1165">
        <v>1</v>
      </c>
      <c r="W26" s="1166" t="s">
        <v>2752</v>
      </c>
      <c r="X26" s="1165">
        <v>1</v>
      </c>
      <c r="Y26" s="1165">
        <v>1</v>
      </c>
      <c r="Z26" s="1166" t="s">
        <v>2752</v>
      </c>
      <c r="AA26" s="1165">
        <v>1</v>
      </c>
      <c r="AB26" s="1166" t="s">
        <v>2752</v>
      </c>
      <c r="AC26" s="1165"/>
      <c r="AD26" s="1165"/>
    </row>
    <row r="28" spans="2:31" ht="17" customHeight="1" thickBot="1" x14ac:dyDescent="0.5"/>
    <row r="29" spans="2:31" ht="17" customHeight="1" thickTop="1" thickBot="1" x14ac:dyDescent="0.5">
      <c r="B29" s="1362" t="s">
        <v>2710</v>
      </c>
      <c r="C29" s="1363"/>
      <c r="D29" s="1155">
        <v>0</v>
      </c>
      <c r="E29" s="1157">
        <v>0</v>
      </c>
      <c r="F29" s="1156">
        <v>1</v>
      </c>
      <c r="G29" s="1155">
        <v>0</v>
      </c>
      <c r="H29" s="1157">
        <v>0</v>
      </c>
      <c r="I29" s="1156">
        <v>1</v>
      </c>
      <c r="J29" s="1155">
        <v>0</v>
      </c>
      <c r="K29" s="1157">
        <v>0</v>
      </c>
      <c r="L29" s="1156">
        <v>2</v>
      </c>
      <c r="M29" s="1155">
        <v>0</v>
      </c>
      <c r="N29" s="1157">
        <v>0</v>
      </c>
      <c r="O29" s="1156">
        <v>1</v>
      </c>
      <c r="Q29" s="1370" t="s">
        <v>2711</v>
      </c>
      <c r="R29" s="1370"/>
      <c r="S29" s="61">
        <v>1</v>
      </c>
      <c r="T29" s="61">
        <v>2</v>
      </c>
      <c r="U29" s="61">
        <v>3</v>
      </c>
      <c r="V29" s="61">
        <v>4</v>
      </c>
      <c r="W29" s="61">
        <v>5</v>
      </c>
      <c r="X29" s="61">
        <v>6</v>
      </c>
      <c r="Y29" s="61">
        <v>7</v>
      </c>
      <c r="Z29" s="61">
        <v>8</v>
      </c>
      <c r="AA29" s="61">
        <v>9</v>
      </c>
      <c r="AB29" s="61">
        <v>10</v>
      </c>
      <c r="AC29" s="61">
        <v>11</v>
      </c>
      <c r="AD29" s="61">
        <v>12</v>
      </c>
      <c r="AE29" s="3" t="s">
        <v>924</v>
      </c>
    </row>
    <row r="30" spans="2:31" ht="17" customHeight="1" thickTop="1" x14ac:dyDescent="0.45">
      <c r="B30" s="1364" t="s">
        <v>2712</v>
      </c>
      <c r="C30" s="1365"/>
      <c r="D30" s="1154">
        <v>1</v>
      </c>
      <c r="E30" s="1154">
        <v>2</v>
      </c>
      <c r="F30" s="1154">
        <v>3</v>
      </c>
      <c r="G30" s="1153">
        <v>5</v>
      </c>
      <c r="H30" s="1153">
        <v>6</v>
      </c>
      <c r="I30" s="1153">
        <v>7</v>
      </c>
      <c r="J30" s="1153">
        <v>9</v>
      </c>
      <c r="K30" s="1153">
        <v>10</v>
      </c>
      <c r="L30" s="1153">
        <v>11</v>
      </c>
      <c r="M30" s="1153">
        <v>13</v>
      </c>
      <c r="N30" s="1153">
        <v>14</v>
      </c>
      <c r="O30" s="1153">
        <v>15</v>
      </c>
      <c r="Q30" s="1370" t="s">
        <v>2740</v>
      </c>
      <c r="R30" s="1370"/>
      <c r="S30" s="61">
        <v>1</v>
      </c>
      <c r="T30" s="61">
        <v>1</v>
      </c>
      <c r="U30" s="61">
        <v>1</v>
      </c>
      <c r="V30" s="61">
        <v>1</v>
      </c>
      <c r="W30" s="61">
        <v>1</v>
      </c>
      <c r="X30" s="61">
        <v>1</v>
      </c>
      <c r="Y30" s="61">
        <v>1</v>
      </c>
      <c r="Z30" s="61">
        <v>1</v>
      </c>
      <c r="AA30" s="61">
        <v>1</v>
      </c>
      <c r="AB30" s="61">
        <v>1</v>
      </c>
      <c r="AC30" s="61">
        <v>0</v>
      </c>
      <c r="AD30" s="61">
        <v>0</v>
      </c>
      <c r="AE30" s="3"/>
    </row>
    <row r="31" spans="2:31" ht="17" customHeight="1" x14ac:dyDescent="0.45">
      <c r="B31" s="1366" t="s">
        <v>2717</v>
      </c>
      <c r="C31" s="1367"/>
      <c r="D31" s="1148"/>
      <c r="E31" s="1148"/>
      <c r="F31" s="1153">
        <v>4</v>
      </c>
      <c r="G31" s="1148"/>
      <c r="H31" s="1148"/>
      <c r="I31" s="1153">
        <v>8</v>
      </c>
      <c r="J31" s="1148"/>
      <c r="K31" s="1148"/>
      <c r="L31" s="1153">
        <v>12</v>
      </c>
      <c r="M31" s="1148"/>
      <c r="N31" s="1148"/>
      <c r="O31" s="1153">
        <v>16</v>
      </c>
      <c r="Q31" s="1370" t="s">
        <v>2723</v>
      </c>
      <c r="R31" s="1370"/>
      <c r="S31" s="1371">
        <v>1</v>
      </c>
      <c r="T31" s="1372"/>
      <c r="U31" s="1372"/>
      <c r="V31" s="1372"/>
      <c r="W31" s="1372"/>
      <c r="X31" s="1372"/>
      <c r="Y31" s="1372"/>
      <c r="Z31" s="1372"/>
      <c r="AA31" s="1372"/>
      <c r="AB31" s="1372"/>
      <c r="AC31" s="1372"/>
      <c r="AD31" s="1373"/>
      <c r="AE31" s="3"/>
    </row>
    <row r="32" spans="2:31" ht="17" customHeight="1" thickBot="1" x14ac:dyDescent="0.5">
      <c r="C32"/>
      <c r="Q32" s="1370" t="s">
        <v>2710</v>
      </c>
      <c r="R32" s="1370"/>
      <c r="S32" s="61">
        <v>1</v>
      </c>
      <c r="T32" s="61">
        <v>1</v>
      </c>
      <c r="U32" s="61">
        <v>1</v>
      </c>
      <c r="V32" s="61">
        <v>1</v>
      </c>
      <c r="W32" s="61">
        <v>1</v>
      </c>
      <c r="X32" s="61">
        <v>1</v>
      </c>
      <c r="Y32" s="61">
        <v>1</v>
      </c>
      <c r="Z32" s="61">
        <v>1</v>
      </c>
      <c r="AA32" s="61">
        <v>1</v>
      </c>
      <c r="AB32" s="61">
        <v>1</v>
      </c>
      <c r="AC32" s="61" t="s">
        <v>1940</v>
      </c>
      <c r="AD32" s="61" t="s">
        <v>1940</v>
      </c>
      <c r="AE32" s="3"/>
    </row>
    <row r="33" spans="1:31" ht="17" customHeight="1" thickTop="1" thickBot="1" x14ac:dyDescent="0.5">
      <c r="B33" s="1362" t="s">
        <v>2710</v>
      </c>
      <c r="C33" s="1363"/>
      <c r="D33" s="1155">
        <v>1</v>
      </c>
      <c r="E33" s="1157">
        <v>0</v>
      </c>
      <c r="F33" s="1156">
        <v>0</v>
      </c>
      <c r="G33" s="1155">
        <v>0</v>
      </c>
      <c r="H33" s="1157">
        <v>0</v>
      </c>
      <c r="I33" s="1156">
        <v>1</v>
      </c>
      <c r="J33" s="1155">
        <v>0</v>
      </c>
      <c r="K33" s="1157">
        <v>1</v>
      </c>
      <c r="L33" s="1156">
        <v>0</v>
      </c>
      <c r="M33" s="1155">
        <v>1</v>
      </c>
      <c r="N33" s="1157">
        <v>0</v>
      </c>
      <c r="O33" s="1156">
        <v>0</v>
      </c>
      <c r="Q33" s="1362" t="s">
        <v>2719</v>
      </c>
      <c r="R33" s="1374"/>
      <c r="S33" s="1154">
        <v>1</v>
      </c>
      <c r="T33" s="1153">
        <v>3</v>
      </c>
      <c r="U33" s="1154">
        <v>5</v>
      </c>
      <c r="V33" s="1153">
        <v>7</v>
      </c>
      <c r="W33" s="1154">
        <v>9</v>
      </c>
      <c r="X33" s="1153">
        <v>11</v>
      </c>
      <c r="Y33" s="1154">
        <v>13</v>
      </c>
      <c r="Z33" s="1153">
        <v>15</v>
      </c>
      <c r="AA33" s="1154">
        <v>17</v>
      </c>
      <c r="AB33" s="1153">
        <v>19</v>
      </c>
      <c r="AC33" s="1160"/>
      <c r="AD33" s="1148"/>
    </row>
    <row r="34" spans="1:31" ht="17" customHeight="1" thickTop="1" x14ac:dyDescent="0.45">
      <c r="B34" s="1364" t="s">
        <v>2712</v>
      </c>
      <c r="C34" s="1365"/>
      <c r="D34" s="1154">
        <v>1</v>
      </c>
      <c r="E34" s="1154">
        <v>3</v>
      </c>
      <c r="F34" s="1154">
        <v>4</v>
      </c>
      <c r="G34" s="1154">
        <v>5</v>
      </c>
      <c r="H34" s="1154">
        <v>6</v>
      </c>
      <c r="I34" s="1154">
        <v>7</v>
      </c>
      <c r="J34" s="1154">
        <v>9</v>
      </c>
      <c r="K34" s="1154">
        <v>10</v>
      </c>
      <c r="L34" s="1154">
        <v>12</v>
      </c>
      <c r="M34" s="1154">
        <v>13</v>
      </c>
      <c r="N34" s="1154">
        <v>15</v>
      </c>
      <c r="O34" s="1154">
        <v>16</v>
      </c>
      <c r="Q34" s="1362"/>
      <c r="R34" s="1374"/>
      <c r="S34" s="1154">
        <v>2</v>
      </c>
      <c r="T34" s="1153">
        <v>4</v>
      </c>
      <c r="U34" s="1154">
        <v>6</v>
      </c>
      <c r="V34" s="1153">
        <v>8</v>
      </c>
      <c r="W34" s="1154">
        <v>10</v>
      </c>
      <c r="X34" s="1153">
        <v>12</v>
      </c>
      <c r="Y34" s="1154">
        <v>14</v>
      </c>
      <c r="Z34" s="1153">
        <v>16</v>
      </c>
      <c r="AA34" s="1154">
        <v>18</v>
      </c>
      <c r="AB34" s="1153">
        <v>20</v>
      </c>
      <c r="AC34" s="1160"/>
      <c r="AD34" s="1148"/>
    </row>
    <row r="35" spans="1:31" ht="17" customHeight="1" x14ac:dyDescent="0.45">
      <c r="B35" s="1366" t="s">
        <v>2717</v>
      </c>
      <c r="C35" s="1367"/>
      <c r="D35" s="1153">
        <v>2</v>
      </c>
      <c r="E35" s="1148"/>
      <c r="F35" s="1148"/>
      <c r="G35" s="1148"/>
      <c r="H35" s="1148"/>
      <c r="I35" s="1153">
        <v>8</v>
      </c>
      <c r="J35" s="1148"/>
      <c r="K35" s="1153">
        <v>11</v>
      </c>
      <c r="L35" s="1148"/>
      <c r="M35" s="1153">
        <v>14</v>
      </c>
      <c r="N35" s="1148"/>
      <c r="O35" s="1148"/>
      <c r="Q35" s="1256" t="s">
        <v>2745</v>
      </c>
      <c r="R35" s="1258"/>
      <c r="S35" s="1166" t="s">
        <v>2751</v>
      </c>
      <c r="T35" s="1166" t="s">
        <v>2752</v>
      </c>
      <c r="U35" s="1166" t="s">
        <v>2751</v>
      </c>
      <c r="V35" s="1166" t="s">
        <v>2751</v>
      </c>
      <c r="W35" s="1166" t="s">
        <v>2751</v>
      </c>
      <c r="X35" s="1166" t="s">
        <v>2751</v>
      </c>
      <c r="Y35" s="1166" t="s">
        <v>2751</v>
      </c>
      <c r="Z35" s="1166" t="s">
        <v>2751</v>
      </c>
      <c r="AA35" s="1166" t="s">
        <v>2751</v>
      </c>
      <c r="AB35" s="1166" t="s">
        <v>2751</v>
      </c>
      <c r="AC35" s="1165"/>
      <c r="AD35" s="1165"/>
    </row>
    <row r="36" spans="1:31" ht="17" customHeight="1" thickBot="1" x14ac:dyDescent="0.5">
      <c r="Q36" s="1256" t="s">
        <v>2755</v>
      </c>
      <c r="R36" s="1258"/>
      <c r="S36" s="1165">
        <v>1</v>
      </c>
      <c r="T36" s="1165">
        <v>2</v>
      </c>
      <c r="U36" s="1165">
        <v>3</v>
      </c>
      <c r="V36" s="1165">
        <v>4</v>
      </c>
      <c r="W36" s="1165">
        <v>5</v>
      </c>
      <c r="X36" s="1165">
        <v>6</v>
      </c>
      <c r="Y36" s="1165">
        <v>7</v>
      </c>
      <c r="Z36" s="1165">
        <v>8</v>
      </c>
      <c r="AA36" s="1165">
        <v>9</v>
      </c>
      <c r="AB36" s="1165">
        <v>10</v>
      </c>
      <c r="AC36" s="1165"/>
      <c r="AD36" s="1165"/>
      <c r="AE36" s="1167" t="s">
        <v>2753</v>
      </c>
    </row>
    <row r="37" spans="1:31" ht="17" customHeight="1" thickTop="1" thickBot="1" x14ac:dyDescent="0.5">
      <c r="B37" s="1362" t="s">
        <v>2710</v>
      </c>
      <c r="C37" s="1363"/>
      <c r="D37" s="1155">
        <v>1</v>
      </c>
      <c r="E37" s="1157">
        <v>0</v>
      </c>
      <c r="F37" s="1156">
        <v>0</v>
      </c>
      <c r="G37" s="1155">
        <v>0</v>
      </c>
      <c r="H37" s="1157">
        <v>0</v>
      </c>
      <c r="I37" s="1156">
        <v>1</v>
      </c>
      <c r="J37" s="1155">
        <v>0</v>
      </c>
      <c r="K37" s="1157">
        <v>1</v>
      </c>
      <c r="L37" s="1156">
        <v>0</v>
      </c>
      <c r="M37" s="1161" t="s">
        <v>1940</v>
      </c>
      <c r="N37" s="61" t="s">
        <v>1940</v>
      </c>
      <c r="O37" s="61" t="s">
        <v>1940</v>
      </c>
      <c r="Q37" s="1256" t="s">
        <v>2746</v>
      </c>
      <c r="R37" s="1258"/>
      <c r="S37" s="1166" t="s">
        <v>2751</v>
      </c>
      <c r="T37" s="1166" t="s">
        <v>2752</v>
      </c>
      <c r="U37" s="1166" t="s">
        <v>2751</v>
      </c>
      <c r="V37" s="1166" t="s">
        <v>2751</v>
      </c>
      <c r="W37" s="1166" t="s">
        <v>2751</v>
      </c>
      <c r="X37" s="1166" t="s">
        <v>2751</v>
      </c>
      <c r="Y37" s="1166" t="s">
        <v>2751</v>
      </c>
      <c r="Z37" s="1166" t="s">
        <v>2751</v>
      </c>
      <c r="AA37" s="1166" t="s">
        <v>2751</v>
      </c>
      <c r="AB37" s="1166" t="s">
        <v>2751</v>
      </c>
      <c r="AC37" s="1165"/>
      <c r="AD37" s="1165"/>
    </row>
    <row r="38" spans="1:31" ht="17" customHeight="1" thickTop="1" x14ac:dyDescent="0.45">
      <c r="B38" s="1364" t="s">
        <v>2712</v>
      </c>
      <c r="C38" s="1365"/>
      <c r="D38" s="1154">
        <v>1</v>
      </c>
      <c r="E38" s="1154">
        <v>3</v>
      </c>
      <c r="F38" s="1154">
        <v>4</v>
      </c>
      <c r="G38" s="1154">
        <v>5</v>
      </c>
      <c r="H38" s="1154">
        <v>6</v>
      </c>
      <c r="I38" s="1154">
        <v>7</v>
      </c>
      <c r="J38" s="1154">
        <v>9</v>
      </c>
      <c r="K38" s="1154">
        <v>10</v>
      </c>
      <c r="L38" s="1154">
        <v>12</v>
      </c>
      <c r="M38" s="1160"/>
      <c r="N38" s="1160"/>
      <c r="O38" s="1160"/>
      <c r="Q38" s="1256" t="s">
        <v>2747</v>
      </c>
      <c r="R38" s="1258"/>
      <c r="S38" s="1166" t="s">
        <v>2751</v>
      </c>
      <c r="T38" s="1166" t="s">
        <v>2752</v>
      </c>
      <c r="U38" s="1166" t="s">
        <v>2751</v>
      </c>
      <c r="V38" s="1166" t="s">
        <v>2751</v>
      </c>
      <c r="W38" s="1166" t="s">
        <v>2751</v>
      </c>
      <c r="X38" s="1166" t="s">
        <v>2751</v>
      </c>
      <c r="Y38" s="1166" t="s">
        <v>2751</v>
      </c>
      <c r="Z38" s="1166" t="s">
        <v>2751</v>
      </c>
      <c r="AA38" s="1166" t="s">
        <v>2751</v>
      </c>
      <c r="AB38" s="1166" t="s">
        <v>2751</v>
      </c>
      <c r="AC38" s="1165"/>
      <c r="AD38" s="1165"/>
    </row>
    <row r="39" spans="1:31" ht="17" customHeight="1" x14ac:dyDescent="0.45">
      <c r="B39" s="1366" t="s">
        <v>2714</v>
      </c>
      <c r="C39" s="1367"/>
      <c r="D39" s="1153">
        <v>2</v>
      </c>
      <c r="E39" s="1148"/>
      <c r="F39" s="1148"/>
      <c r="G39" s="1148"/>
      <c r="H39" s="1148"/>
      <c r="I39" s="1153">
        <v>8</v>
      </c>
      <c r="J39" s="1148"/>
      <c r="K39" s="1153">
        <v>11</v>
      </c>
      <c r="L39" s="1148"/>
      <c r="M39" s="1148"/>
      <c r="N39" s="1148"/>
      <c r="O39" s="1148"/>
      <c r="Q39" s="1256" t="s">
        <v>2748</v>
      </c>
      <c r="R39" s="1258"/>
      <c r="S39" s="1166" t="s">
        <v>2751</v>
      </c>
      <c r="T39" s="1166" t="s">
        <v>2752</v>
      </c>
      <c r="U39" s="1166" t="s">
        <v>2751</v>
      </c>
      <c r="V39" s="1166" t="s">
        <v>2751</v>
      </c>
      <c r="W39" s="1166" t="s">
        <v>2751</v>
      </c>
      <c r="X39" s="1166" t="s">
        <v>2751</v>
      </c>
      <c r="Y39" s="1166" t="s">
        <v>2751</v>
      </c>
      <c r="Z39" s="1166" t="s">
        <v>2751</v>
      </c>
      <c r="AA39" s="1166" t="s">
        <v>2751</v>
      </c>
      <c r="AB39" s="1166" t="s">
        <v>2751</v>
      </c>
      <c r="AC39" s="1165"/>
      <c r="AD39" s="1165"/>
    </row>
    <row r="40" spans="1:31" ht="17" customHeight="1" x14ac:dyDescent="0.45">
      <c r="O40" s="1" t="s">
        <v>2744</v>
      </c>
      <c r="Q40" s="1256" t="s">
        <v>2749</v>
      </c>
      <c r="R40" s="1258"/>
      <c r="S40" s="1166" t="s">
        <v>2751</v>
      </c>
      <c r="T40" s="1166" t="s">
        <v>2752</v>
      </c>
      <c r="U40" s="1166" t="s">
        <v>2751</v>
      </c>
      <c r="V40" s="1166" t="s">
        <v>2751</v>
      </c>
      <c r="W40" s="1166" t="s">
        <v>2751</v>
      </c>
      <c r="X40" s="1166" t="s">
        <v>2751</v>
      </c>
      <c r="Y40" s="1166" t="s">
        <v>2751</v>
      </c>
      <c r="Z40" s="1166" t="s">
        <v>2751</v>
      </c>
      <c r="AA40" s="1166" t="s">
        <v>2751</v>
      </c>
      <c r="AB40" s="1166" t="s">
        <v>2751</v>
      </c>
      <c r="AC40" s="1165"/>
      <c r="AD40" s="1165"/>
    </row>
    <row r="42" spans="1:31" ht="17" customHeight="1" thickBot="1" x14ac:dyDescent="0.5">
      <c r="O42"/>
    </row>
    <row r="43" spans="1:31" ht="17" customHeight="1" thickTop="1" thickBot="1" x14ac:dyDescent="0.5">
      <c r="B43" s="1362" t="s">
        <v>2710</v>
      </c>
      <c r="C43" s="1363"/>
      <c r="D43" s="1155">
        <v>0</v>
      </c>
      <c r="E43" s="1157">
        <v>0</v>
      </c>
      <c r="F43" s="1157">
        <v>1</v>
      </c>
      <c r="G43" s="1156">
        <v>1</v>
      </c>
      <c r="H43" s="1155">
        <v>0</v>
      </c>
      <c r="I43" s="1157">
        <v>0</v>
      </c>
      <c r="J43" s="1157">
        <v>1</v>
      </c>
      <c r="K43" s="1156">
        <v>1</v>
      </c>
      <c r="L43" s="1155">
        <v>0</v>
      </c>
      <c r="M43" s="1157">
        <v>0</v>
      </c>
      <c r="N43" s="1157">
        <v>1</v>
      </c>
      <c r="O43" s="1156">
        <v>1</v>
      </c>
      <c r="Q43" s="1265" t="s">
        <v>2763</v>
      </c>
      <c r="R43" s="1265"/>
      <c r="S43" s="1170" t="s">
        <v>1876</v>
      </c>
      <c r="T43" s="1170" t="s">
        <v>2766</v>
      </c>
      <c r="U43" s="1170" t="s">
        <v>2767</v>
      </c>
      <c r="V43" s="1170" t="s">
        <v>2768</v>
      </c>
      <c r="W43" s="1170" t="s">
        <v>2769</v>
      </c>
      <c r="X43" s="1170" t="s">
        <v>2770</v>
      </c>
      <c r="Y43" s="1170" t="s">
        <v>2771</v>
      </c>
      <c r="Z43" s="1170" t="s">
        <v>2772</v>
      </c>
      <c r="AA43" s="1170" t="s">
        <v>2773</v>
      </c>
      <c r="AB43" s="1170" t="s">
        <v>2774</v>
      </c>
      <c r="AC43" s="1170" t="s">
        <v>2775</v>
      </c>
      <c r="AD43" s="1170" t="s">
        <v>2776</v>
      </c>
    </row>
    <row r="44" spans="1:31" ht="17" customHeight="1" thickTop="1" x14ac:dyDescent="0.45">
      <c r="B44" s="1364" t="s">
        <v>2712</v>
      </c>
      <c r="C44" s="1365"/>
      <c r="D44" s="1154">
        <v>1</v>
      </c>
      <c r="E44" s="1154">
        <v>2</v>
      </c>
      <c r="F44" s="1154">
        <v>3</v>
      </c>
      <c r="G44" s="1153">
        <v>5</v>
      </c>
      <c r="H44" s="1153">
        <v>7</v>
      </c>
      <c r="I44" s="1153">
        <v>8</v>
      </c>
      <c r="J44" s="1153">
        <v>9</v>
      </c>
      <c r="K44" s="1153">
        <v>11</v>
      </c>
      <c r="L44" s="1153">
        <v>13</v>
      </c>
      <c r="M44" s="1153">
        <v>14</v>
      </c>
      <c r="N44" s="1153">
        <v>15</v>
      </c>
      <c r="O44" s="1153">
        <v>17</v>
      </c>
      <c r="Q44" s="1265" t="s">
        <v>2764</v>
      </c>
      <c r="R44" s="1265"/>
      <c r="S44" t="s">
        <v>2780</v>
      </c>
      <c r="T44" t="s">
        <v>2777</v>
      </c>
    </row>
    <row r="45" spans="1:31" x14ac:dyDescent="0.45">
      <c r="B45" s="1366" t="s">
        <v>2713</v>
      </c>
      <c r="C45" s="1367"/>
      <c r="D45" s="1148"/>
      <c r="E45" s="1148"/>
      <c r="F45" s="1153">
        <v>4</v>
      </c>
      <c r="G45" s="1153">
        <v>6</v>
      </c>
      <c r="H45" s="1148"/>
      <c r="I45" s="1148"/>
      <c r="J45" s="1153">
        <v>10</v>
      </c>
      <c r="K45" s="1153">
        <v>12</v>
      </c>
      <c r="L45" s="1148"/>
      <c r="M45" s="1148"/>
      <c r="N45" s="1153">
        <v>16</v>
      </c>
      <c r="O45" s="1153">
        <v>18</v>
      </c>
      <c r="Q45" s="1265" t="s">
        <v>2765</v>
      </c>
      <c r="R45" s="1265"/>
      <c r="S45" t="s">
        <v>2781</v>
      </c>
      <c r="T45" t="s">
        <v>2778</v>
      </c>
    </row>
    <row r="46" spans="1:31" ht="17" customHeight="1" thickBot="1" x14ac:dyDescent="0.5">
      <c r="C46"/>
      <c r="Q46" s="1265" t="s">
        <v>68</v>
      </c>
      <c r="R46" s="1265"/>
      <c r="S46" t="s">
        <v>2782</v>
      </c>
      <c r="T46" t="s">
        <v>2779</v>
      </c>
    </row>
    <row r="47" spans="1:31" ht="17" customHeight="1" thickTop="1" thickBot="1" x14ac:dyDescent="0.5">
      <c r="B47" s="1362" t="s">
        <v>2710</v>
      </c>
      <c r="C47" s="1363"/>
      <c r="D47" s="1155">
        <v>1</v>
      </c>
      <c r="E47" s="1157">
        <v>1</v>
      </c>
      <c r="F47" s="1157">
        <v>0</v>
      </c>
      <c r="G47" s="1156">
        <v>0</v>
      </c>
      <c r="H47" s="1155">
        <v>0</v>
      </c>
      <c r="I47" s="1157">
        <v>0</v>
      </c>
      <c r="J47" s="1157">
        <v>1</v>
      </c>
      <c r="K47" s="1156">
        <v>1</v>
      </c>
      <c r="L47" s="1155">
        <v>0</v>
      </c>
      <c r="M47" s="1157">
        <v>1</v>
      </c>
      <c r="N47" s="1157">
        <v>1</v>
      </c>
      <c r="O47" s="1156">
        <v>0</v>
      </c>
      <c r="S47" t="s">
        <v>2783</v>
      </c>
    </row>
    <row r="48" spans="1:31" ht="17" customHeight="1" thickTop="1" x14ac:dyDescent="0.45">
      <c r="A48" t="s">
        <v>2756</v>
      </c>
      <c r="B48" s="1364" t="s">
        <v>2712</v>
      </c>
      <c r="C48" s="1365"/>
      <c r="D48" s="1154">
        <v>1</v>
      </c>
      <c r="E48" s="1154">
        <v>3</v>
      </c>
      <c r="F48" s="1154">
        <v>5</v>
      </c>
      <c r="G48" s="1154">
        <v>6</v>
      </c>
      <c r="H48" s="1154">
        <v>7</v>
      </c>
      <c r="I48" s="1153">
        <v>8</v>
      </c>
      <c r="J48" s="1154">
        <v>9</v>
      </c>
      <c r="K48" s="1153">
        <v>11</v>
      </c>
      <c r="L48" s="1154">
        <v>13</v>
      </c>
      <c r="M48" s="1153">
        <v>14</v>
      </c>
      <c r="N48" s="1154">
        <v>16</v>
      </c>
      <c r="O48" s="1153">
        <v>18</v>
      </c>
      <c r="S48" t="s">
        <v>2784</v>
      </c>
    </row>
    <row r="49" spans="2:31" x14ac:dyDescent="0.45">
      <c r="B49" s="1366" t="s">
        <v>2713</v>
      </c>
      <c r="C49" s="1367"/>
      <c r="D49" s="1153">
        <v>2</v>
      </c>
      <c r="E49" s="1154">
        <v>4</v>
      </c>
      <c r="F49" s="1148"/>
      <c r="G49" s="1148"/>
      <c r="H49" s="1148"/>
      <c r="I49" s="1148"/>
      <c r="J49" s="1154">
        <v>10</v>
      </c>
      <c r="K49" s="1154">
        <v>12</v>
      </c>
      <c r="L49" s="1148"/>
      <c r="M49" s="1154">
        <v>15</v>
      </c>
      <c r="N49" s="1153">
        <v>17</v>
      </c>
      <c r="O49" s="1148"/>
      <c r="S49" t="s">
        <v>2785</v>
      </c>
    </row>
    <row r="50" spans="2:31" ht="17" customHeight="1" thickBot="1" x14ac:dyDescent="0.5">
      <c r="O50"/>
    </row>
    <row r="51" spans="2:31" ht="17" customHeight="1" thickTop="1" thickBot="1" x14ac:dyDescent="0.5">
      <c r="B51" s="1362" t="s">
        <v>2710</v>
      </c>
      <c r="C51" s="1363"/>
      <c r="D51" s="1155">
        <v>1</v>
      </c>
      <c r="E51" s="1157">
        <v>2</v>
      </c>
      <c r="F51" s="1157">
        <v>0</v>
      </c>
      <c r="G51" s="1156">
        <v>0</v>
      </c>
      <c r="H51" s="1155">
        <v>0</v>
      </c>
      <c r="I51" s="1157">
        <v>0</v>
      </c>
      <c r="J51" s="1157">
        <v>1</v>
      </c>
      <c r="K51" s="1156">
        <v>1</v>
      </c>
      <c r="L51" s="1161" t="s">
        <v>1940</v>
      </c>
      <c r="M51" s="61" t="s">
        <v>1940</v>
      </c>
      <c r="N51" s="61" t="s">
        <v>1940</v>
      </c>
      <c r="O51" s="61" t="s">
        <v>1940</v>
      </c>
      <c r="Q51" s="1265" t="s">
        <v>2692</v>
      </c>
      <c r="R51" s="1265"/>
    </row>
    <row r="52" spans="2:31" ht="17" customHeight="1" thickTop="1" x14ac:dyDescent="0.45">
      <c r="B52" s="1364" t="s">
        <v>2712</v>
      </c>
      <c r="C52" s="1365"/>
      <c r="D52" s="1154">
        <v>1</v>
      </c>
      <c r="E52" s="1154">
        <v>3</v>
      </c>
      <c r="F52" s="1154">
        <v>5</v>
      </c>
      <c r="G52" s="1154">
        <v>6</v>
      </c>
      <c r="H52" s="1154">
        <v>7</v>
      </c>
      <c r="I52" s="1153">
        <v>8</v>
      </c>
      <c r="J52" s="1154">
        <v>9</v>
      </c>
      <c r="K52" s="1153">
        <v>11</v>
      </c>
      <c r="L52" s="1160"/>
      <c r="M52" s="1160"/>
      <c r="N52" s="1160"/>
      <c r="O52" s="1160"/>
    </row>
    <row r="53" spans="2:31" x14ac:dyDescent="0.45">
      <c r="B53" s="1366" t="s">
        <v>2714</v>
      </c>
      <c r="C53" s="1367"/>
      <c r="D53" s="1153">
        <v>2</v>
      </c>
      <c r="E53" s="1154">
        <v>4</v>
      </c>
      <c r="F53" s="1148"/>
      <c r="G53" s="1148"/>
      <c r="H53" s="1148"/>
      <c r="I53" s="1148"/>
      <c r="J53" s="1154">
        <v>10</v>
      </c>
      <c r="K53" s="1154">
        <v>12</v>
      </c>
      <c r="L53" s="1148"/>
      <c r="M53" s="1148"/>
      <c r="N53" s="1148"/>
      <c r="O53" s="1148"/>
    </row>
    <row r="54" spans="2:31" ht="17" customHeight="1" thickBot="1" x14ac:dyDescent="0.5">
      <c r="O54"/>
    </row>
    <row r="55" spans="2:31" ht="17" customHeight="1" thickTop="1" thickBot="1" x14ac:dyDescent="0.5">
      <c r="B55" s="1362" t="s">
        <v>2710</v>
      </c>
      <c r="C55" s="1363"/>
      <c r="D55" s="1155">
        <v>0</v>
      </c>
      <c r="E55" s="1157">
        <v>0</v>
      </c>
      <c r="F55" s="1157">
        <v>0</v>
      </c>
      <c r="G55" s="1157">
        <v>1</v>
      </c>
      <c r="H55" s="1156">
        <v>1</v>
      </c>
      <c r="I55" s="1155">
        <v>1</v>
      </c>
      <c r="J55" s="1157">
        <v>1</v>
      </c>
      <c r="K55" s="1157">
        <v>0</v>
      </c>
      <c r="L55" s="1157">
        <v>0</v>
      </c>
      <c r="M55" s="1156">
        <v>0</v>
      </c>
      <c r="N55" s="1161" t="s">
        <v>1940</v>
      </c>
      <c r="O55" s="61" t="s">
        <v>1940</v>
      </c>
    </row>
    <row r="56" spans="2:31" ht="17" customHeight="1" thickTop="1" x14ac:dyDescent="0.45">
      <c r="B56" s="1364" t="s">
        <v>2712</v>
      </c>
      <c r="C56" s="1365"/>
      <c r="D56" s="1154">
        <v>1</v>
      </c>
      <c r="E56" s="1154">
        <v>2</v>
      </c>
      <c r="F56" s="1154">
        <v>3</v>
      </c>
      <c r="G56" s="1153">
        <v>4</v>
      </c>
      <c r="H56" s="1153">
        <v>6</v>
      </c>
      <c r="I56" s="1153">
        <v>8</v>
      </c>
      <c r="J56" s="1153">
        <v>10</v>
      </c>
      <c r="K56" s="1153">
        <v>12</v>
      </c>
      <c r="L56" s="1153">
        <v>13</v>
      </c>
      <c r="M56" s="1153">
        <v>14</v>
      </c>
      <c r="N56" s="1160"/>
      <c r="O56" s="1160"/>
    </row>
    <row r="57" spans="2:31" ht="17" customHeight="1" x14ac:dyDescent="0.45">
      <c r="B57" s="1366" t="s">
        <v>2715</v>
      </c>
      <c r="C57" s="1367"/>
      <c r="D57" s="1148"/>
      <c r="E57" s="1148"/>
      <c r="F57" s="1148"/>
      <c r="G57" s="1153">
        <v>5</v>
      </c>
      <c r="H57" s="1153">
        <v>7</v>
      </c>
      <c r="I57" s="1153">
        <v>9</v>
      </c>
      <c r="J57" s="1153">
        <v>11</v>
      </c>
      <c r="K57" s="1148"/>
      <c r="L57" s="1148"/>
      <c r="M57" s="1148"/>
      <c r="N57" s="1148"/>
      <c r="O57" s="1148"/>
    </row>
    <row r="58" spans="2:31" ht="17" customHeight="1" x14ac:dyDescent="0.45">
      <c r="B58" s="8"/>
      <c r="O58" s="1" t="s">
        <v>2744</v>
      </c>
    </row>
    <row r="59" spans="2:31" ht="17" customHeight="1" x14ac:dyDescent="0.45">
      <c r="B59" s="8"/>
    </row>
    <row r="60" spans="2:31" ht="17" customHeight="1" thickBot="1" x14ac:dyDescent="0.5">
      <c r="B60" s="8"/>
    </row>
    <row r="61" spans="2:31" ht="17" customHeight="1" thickTop="1" thickBot="1" x14ac:dyDescent="0.5">
      <c r="B61" s="1362" t="s">
        <v>2710</v>
      </c>
      <c r="C61" s="1363"/>
      <c r="D61" s="1158">
        <v>1</v>
      </c>
      <c r="E61" s="1158">
        <v>1</v>
      </c>
      <c r="F61" s="1158">
        <v>1</v>
      </c>
      <c r="G61" s="1158">
        <v>1</v>
      </c>
      <c r="H61" s="1158">
        <v>1</v>
      </c>
      <c r="I61" s="1158">
        <v>1</v>
      </c>
      <c r="J61" s="1158">
        <v>1</v>
      </c>
      <c r="K61" s="1158">
        <v>1</v>
      </c>
      <c r="L61" s="1158">
        <v>1</v>
      </c>
      <c r="M61" s="1158">
        <v>1</v>
      </c>
      <c r="N61" s="1158">
        <v>1</v>
      </c>
      <c r="O61" s="1158">
        <v>1</v>
      </c>
      <c r="Q61" s="1370" t="s">
        <v>2711</v>
      </c>
      <c r="R61" s="1370"/>
      <c r="S61" s="61">
        <v>1</v>
      </c>
      <c r="T61" s="61">
        <v>2</v>
      </c>
      <c r="U61" s="61">
        <v>3</v>
      </c>
      <c r="V61" s="61">
        <v>4</v>
      </c>
      <c r="W61" s="61">
        <v>5</v>
      </c>
      <c r="X61" s="61">
        <v>6</v>
      </c>
      <c r="Y61" s="61">
        <v>7</v>
      </c>
      <c r="Z61" s="61">
        <v>8</v>
      </c>
      <c r="AA61" s="61">
        <v>9</v>
      </c>
      <c r="AB61" s="61">
        <v>10</v>
      </c>
      <c r="AC61" s="61">
        <v>11</v>
      </c>
      <c r="AD61" s="61">
        <v>12</v>
      </c>
      <c r="AE61" s="3" t="s">
        <v>924</v>
      </c>
    </row>
    <row r="62" spans="2:31" ht="17" customHeight="1" thickTop="1" x14ac:dyDescent="0.45">
      <c r="B62" s="1364" t="s">
        <v>2712</v>
      </c>
      <c r="C62" s="1365"/>
      <c r="D62" s="1159">
        <v>1</v>
      </c>
      <c r="E62" s="1159">
        <v>3</v>
      </c>
      <c r="F62" s="1159">
        <v>5</v>
      </c>
      <c r="G62" s="1159">
        <v>7</v>
      </c>
      <c r="H62" s="1159">
        <v>9</v>
      </c>
      <c r="I62" s="1159">
        <v>11</v>
      </c>
      <c r="J62" s="1159">
        <v>13</v>
      </c>
      <c r="K62" s="1159">
        <v>15</v>
      </c>
      <c r="L62" s="1159">
        <v>17</v>
      </c>
      <c r="M62" s="1159">
        <v>19</v>
      </c>
      <c r="N62" s="1159">
        <v>21</v>
      </c>
      <c r="O62" s="1159">
        <v>23</v>
      </c>
      <c r="Q62" s="1370" t="s">
        <v>2740</v>
      </c>
      <c r="R62" s="1370"/>
      <c r="S62" s="61">
        <v>1</v>
      </c>
      <c r="T62" s="61">
        <v>1</v>
      </c>
      <c r="U62" s="61">
        <v>1</v>
      </c>
      <c r="V62" s="61">
        <v>1</v>
      </c>
      <c r="W62" s="61">
        <v>1</v>
      </c>
      <c r="X62" s="61">
        <v>1</v>
      </c>
      <c r="Y62" s="61">
        <v>1</v>
      </c>
      <c r="Z62" s="61">
        <v>1</v>
      </c>
      <c r="AA62" s="61">
        <v>1</v>
      </c>
      <c r="AB62" s="61">
        <v>1</v>
      </c>
      <c r="AC62" s="61">
        <v>0</v>
      </c>
      <c r="AD62" s="61">
        <v>0</v>
      </c>
      <c r="AE62" s="3"/>
    </row>
    <row r="63" spans="2:31" ht="17" customHeight="1" x14ac:dyDescent="0.45">
      <c r="B63" s="1366" t="s">
        <v>2718</v>
      </c>
      <c r="C63" s="1367"/>
      <c r="D63" s="1153">
        <v>2</v>
      </c>
      <c r="E63" s="1153">
        <v>4</v>
      </c>
      <c r="F63" s="1153">
        <v>6</v>
      </c>
      <c r="G63" s="1153">
        <v>8</v>
      </c>
      <c r="H63" s="1153">
        <v>10</v>
      </c>
      <c r="I63" s="1153">
        <v>12</v>
      </c>
      <c r="J63" s="1153">
        <v>14</v>
      </c>
      <c r="K63" s="1153">
        <v>16</v>
      </c>
      <c r="L63" s="1153">
        <v>18</v>
      </c>
      <c r="M63" s="1153">
        <v>20</v>
      </c>
      <c r="N63" s="1153">
        <v>22</v>
      </c>
      <c r="O63" s="1153">
        <v>24</v>
      </c>
      <c r="Q63" s="1381" t="s">
        <v>108</v>
      </c>
      <c r="R63" s="1381"/>
      <c r="S63" s="1371">
        <v>1</v>
      </c>
      <c r="T63" s="1372"/>
      <c r="U63" s="1372"/>
      <c r="V63" s="1372"/>
      <c r="W63" s="1372"/>
      <c r="X63" s="1372"/>
      <c r="Y63" s="1372"/>
      <c r="Z63" s="1372"/>
      <c r="AA63" s="1372"/>
      <c r="AB63" s="1372"/>
      <c r="AC63" s="1372"/>
      <c r="AD63" s="1373"/>
      <c r="AE63" s="3"/>
    </row>
    <row r="64" spans="2:31" ht="17" customHeight="1" thickBot="1" x14ac:dyDescent="0.5">
      <c r="C64"/>
      <c r="Q64" s="1370" t="s">
        <v>1924</v>
      </c>
      <c r="R64" s="1370"/>
      <c r="S64" s="1375" t="s">
        <v>2792</v>
      </c>
      <c r="T64" s="1376"/>
      <c r="U64" s="1376"/>
      <c r="V64" s="1376"/>
      <c r="W64" s="1376"/>
      <c r="X64" s="1376"/>
      <c r="Y64" s="1376"/>
      <c r="Z64" s="1376"/>
      <c r="AA64" s="1376"/>
      <c r="AB64" s="1376"/>
      <c r="AC64" s="1376"/>
      <c r="AD64" s="1377"/>
    </row>
    <row r="65" spans="2:31" ht="17" customHeight="1" thickTop="1" thickBot="1" x14ac:dyDescent="0.5">
      <c r="B65" s="1362" t="s">
        <v>2710</v>
      </c>
      <c r="C65" s="1363"/>
      <c r="D65" s="1158">
        <v>1</v>
      </c>
      <c r="E65" s="1158">
        <v>1</v>
      </c>
      <c r="F65" s="1158">
        <v>1</v>
      </c>
      <c r="G65" s="1158">
        <v>1</v>
      </c>
      <c r="H65" s="1158">
        <v>1</v>
      </c>
      <c r="I65" s="1158">
        <v>1</v>
      </c>
      <c r="J65" s="1158">
        <v>1</v>
      </c>
      <c r="K65" s="1158">
        <v>1</v>
      </c>
      <c r="L65" s="1158">
        <v>1</v>
      </c>
      <c r="M65" s="1158">
        <v>1</v>
      </c>
      <c r="N65" s="1158">
        <v>1</v>
      </c>
      <c r="O65" s="61" t="s">
        <v>1940</v>
      </c>
      <c r="Q65" s="1370" t="s">
        <v>1818</v>
      </c>
      <c r="R65" s="1370"/>
      <c r="S65" s="1375" t="s">
        <v>2792</v>
      </c>
      <c r="T65" s="1376"/>
      <c r="U65" s="1376"/>
      <c r="V65" s="1376"/>
      <c r="W65" s="1376"/>
      <c r="X65" s="1376"/>
      <c r="Y65" s="1376"/>
      <c r="Z65" s="1376"/>
      <c r="AA65" s="1376"/>
      <c r="AB65" s="1376"/>
      <c r="AC65" s="1376"/>
      <c r="AD65" s="1377"/>
    </row>
    <row r="66" spans="2:31" ht="17" customHeight="1" thickTop="1" x14ac:dyDescent="0.45">
      <c r="B66" s="1364" t="s">
        <v>2712</v>
      </c>
      <c r="C66" s="1365"/>
      <c r="D66" s="1159">
        <v>1</v>
      </c>
      <c r="E66" s="1159">
        <v>3</v>
      </c>
      <c r="F66" s="1159">
        <v>5</v>
      </c>
      <c r="G66" s="1159">
        <v>7</v>
      </c>
      <c r="H66" s="1159">
        <v>9</v>
      </c>
      <c r="I66" s="1159">
        <v>11</v>
      </c>
      <c r="J66" s="1159">
        <v>13</v>
      </c>
      <c r="K66" s="1159">
        <v>15</v>
      </c>
      <c r="L66" s="1159">
        <v>17</v>
      </c>
      <c r="M66" s="1159">
        <v>19</v>
      </c>
      <c r="N66" s="1159">
        <v>21</v>
      </c>
      <c r="O66" s="1160"/>
      <c r="Q66" s="1370" t="s">
        <v>2543</v>
      </c>
      <c r="R66" s="1370"/>
      <c r="S66" s="1378" t="s">
        <v>2793</v>
      </c>
      <c r="T66" s="1379"/>
      <c r="U66" s="1379"/>
      <c r="V66" s="1379"/>
      <c r="W66" s="1379"/>
      <c r="X66" s="1379"/>
      <c r="Y66" s="1379"/>
      <c r="Z66" s="1379"/>
      <c r="AA66" s="1379"/>
      <c r="AB66" s="1379"/>
      <c r="AC66" s="1379"/>
      <c r="AD66" s="1380"/>
      <c r="AE66" s="1168"/>
    </row>
    <row r="67" spans="2:31" ht="17" customHeight="1" x14ac:dyDescent="0.45">
      <c r="B67" s="1366" t="s">
        <v>2736</v>
      </c>
      <c r="C67" s="1367"/>
      <c r="D67" s="1153">
        <v>2</v>
      </c>
      <c r="E67" s="1153">
        <v>4</v>
      </c>
      <c r="F67" s="1153">
        <v>6</v>
      </c>
      <c r="G67" s="1153">
        <v>8</v>
      </c>
      <c r="H67" s="1153">
        <v>10</v>
      </c>
      <c r="I67" s="1153">
        <v>12</v>
      </c>
      <c r="J67" s="1153">
        <v>14</v>
      </c>
      <c r="K67" s="1153">
        <v>16</v>
      </c>
      <c r="L67" s="1153">
        <v>18</v>
      </c>
      <c r="M67" s="1153">
        <v>20</v>
      </c>
      <c r="N67" s="1153">
        <v>22</v>
      </c>
      <c r="O67" s="1148"/>
      <c r="Q67" s="1256" t="s">
        <v>2746</v>
      </c>
      <c r="R67" s="1258"/>
      <c r="S67" s="1169" t="s">
        <v>1940</v>
      </c>
      <c r="T67" s="1169" t="s">
        <v>1940</v>
      </c>
      <c r="U67" s="1169" t="s">
        <v>1940</v>
      </c>
      <c r="V67" s="1169" t="s">
        <v>1940</v>
      </c>
      <c r="W67" s="1169" t="s">
        <v>1940</v>
      </c>
      <c r="X67" s="1169" t="s">
        <v>1940</v>
      </c>
      <c r="Y67" s="1169" t="s">
        <v>1940</v>
      </c>
      <c r="Z67" s="1169" t="s">
        <v>1940</v>
      </c>
      <c r="AA67" s="1169" t="s">
        <v>1940</v>
      </c>
      <c r="AB67" s="1169" t="s">
        <v>1940</v>
      </c>
      <c r="AC67" s="1169"/>
      <c r="AD67" s="1169"/>
    </row>
    <row r="68" spans="2:31" ht="17" customHeight="1" thickBot="1" x14ac:dyDescent="0.5">
      <c r="Q68" s="1256" t="s">
        <v>2747</v>
      </c>
      <c r="R68" s="1258"/>
      <c r="S68" s="1169" t="s">
        <v>1940</v>
      </c>
      <c r="T68" s="1169" t="s">
        <v>1940</v>
      </c>
      <c r="U68" s="1169" t="s">
        <v>1940</v>
      </c>
      <c r="V68" s="1169" t="s">
        <v>1940</v>
      </c>
      <c r="W68" s="1169" t="s">
        <v>1940</v>
      </c>
      <c r="X68" s="1169" t="s">
        <v>1940</v>
      </c>
      <c r="Y68" s="1169" t="s">
        <v>1940</v>
      </c>
      <c r="Z68" s="1169" t="s">
        <v>1940</v>
      </c>
      <c r="AA68" s="1169" t="s">
        <v>1940</v>
      </c>
      <c r="AB68" s="1169" t="s">
        <v>1940</v>
      </c>
      <c r="AC68" s="1169"/>
      <c r="AD68" s="1169"/>
    </row>
    <row r="69" spans="2:31" ht="17" customHeight="1" thickTop="1" thickBot="1" x14ac:dyDescent="0.5">
      <c r="B69" s="1362" t="s">
        <v>2710</v>
      </c>
      <c r="C69" s="1363"/>
      <c r="D69" s="1155">
        <v>1</v>
      </c>
      <c r="E69" s="1157">
        <v>1</v>
      </c>
      <c r="F69" s="1156">
        <v>1</v>
      </c>
      <c r="G69" s="1155">
        <v>1</v>
      </c>
      <c r="H69" s="1157">
        <v>1</v>
      </c>
      <c r="I69" s="1156">
        <v>1</v>
      </c>
      <c r="J69" s="1155">
        <v>1</v>
      </c>
      <c r="K69" s="1157">
        <v>1</v>
      </c>
      <c r="L69" s="1156">
        <v>1</v>
      </c>
      <c r="M69" s="1161" t="s">
        <v>1940</v>
      </c>
      <c r="N69" s="61" t="s">
        <v>1940</v>
      </c>
      <c r="O69" s="61" t="s">
        <v>1940</v>
      </c>
      <c r="Q69" s="1256" t="s">
        <v>2748</v>
      </c>
      <c r="R69" s="1258"/>
      <c r="S69" s="1169" t="s">
        <v>1940</v>
      </c>
      <c r="T69" s="1169" t="s">
        <v>1940</v>
      </c>
      <c r="U69" s="1169" t="s">
        <v>1940</v>
      </c>
      <c r="V69" s="1169" t="s">
        <v>1940</v>
      </c>
      <c r="W69" s="1169" t="s">
        <v>1940</v>
      </c>
      <c r="X69" s="1169" t="s">
        <v>1940</v>
      </c>
      <c r="Y69" s="1169" t="s">
        <v>1940</v>
      </c>
      <c r="Z69" s="1169" t="s">
        <v>1940</v>
      </c>
      <c r="AA69" s="1169" t="s">
        <v>1940</v>
      </c>
      <c r="AB69" s="1169" t="s">
        <v>1940</v>
      </c>
      <c r="AC69" s="1169"/>
      <c r="AD69" s="1169"/>
    </row>
    <row r="70" spans="2:31" ht="17" customHeight="1" thickTop="1" x14ac:dyDescent="0.45">
      <c r="B70" s="1364" t="s">
        <v>2712</v>
      </c>
      <c r="C70" s="1365"/>
      <c r="D70" s="1159">
        <v>1</v>
      </c>
      <c r="E70" s="1159">
        <v>3</v>
      </c>
      <c r="F70" s="1159">
        <v>5</v>
      </c>
      <c r="G70" s="1159">
        <v>7</v>
      </c>
      <c r="H70" s="1159">
        <v>9</v>
      </c>
      <c r="I70" s="1159">
        <v>11</v>
      </c>
      <c r="J70" s="1159">
        <v>13</v>
      </c>
      <c r="K70" s="1159">
        <v>15</v>
      </c>
      <c r="L70" s="1159">
        <v>17</v>
      </c>
      <c r="M70" s="1160"/>
      <c r="N70" s="1160"/>
      <c r="O70" s="1160"/>
      <c r="Q70" s="1256" t="s">
        <v>2749</v>
      </c>
      <c r="R70" s="1258"/>
      <c r="S70" s="1169" t="s">
        <v>1940</v>
      </c>
      <c r="T70" s="1169" t="s">
        <v>1940</v>
      </c>
      <c r="U70" s="1169" t="s">
        <v>1940</v>
      </c>
      <c r="V70" s="1169" t="s">
        <v>1940</v>
      </c>
      <c r="W70" s="1169" t="s">
        <v>1940</v>
      </c>
      <c r="X70" s="1169" t="s">
        <v>1940</v>
      </c>
      <c r="Y70" s="1169" t="s">
        <v>1940</v>
      </c>
      <c r="Z70" s="1169" t="s">
        <v>1940</v>
      </c>
      <c r="AA70" s="1169" t="s">
        <v>1940</v>
      </c>
      <c r="AB70" s="1169" t="s">
        <v>1940</v>
      </c>
      <c r="AC70" s="1169"/>
      <c r="AD70" s="1169"/>
    </row>
    <row r="71" spans="2:31" ht="17" customHeight="1" x14ac:dyDescent="0.45">
      <c r="B71" s="1366" t="s">
        <v>2713</v>
      </c>
      <c r="C71" s="1367"/>
      <c r="D71" s="1153">
        <v>2</v>
      </c>
      <c r="E71" s="1153">
        <v>4</v>
      </c>
      <c r="F71" s="1153">
        <v>6</v>
      </c>
      <c r="G71" s="1153">
        <v>8</v>
      </c>
      <c r="H71" s="1153">
        <v>10</v>
      </c>
      <c r="I71" s="1153">
        <v>12</v>
      </c>
      <c r="J71" s="1153">
        <v>14</v>
      </c>
      <c r="K71" s="1153">
        <v>16</v>
      </c>
      <c r="L71" s="1153">
        <v>18</v>
      </c>
      <c r="M71" s="1148"/>
      <c r="N71" s="1148"/>
      <c r="O71" s="1148"/>
    </row>
    <row r="72" spans="2:31" ht="17" customHeight="1" x14ac:dyDescent="0.45">
      <c r="O72" s="1" t="s">
        <v>2744</v>
      </c>
    </row>
    <row r="74" spans="2:31" ht="17" customHeight="1" thickBot="1" x14ac:dyDescent="0.5"/>
    <row r="75" spans="2:31" ht="17" customHeight="1" thickTop="1" thickBot="1" x14ac:dyDescent="0.5">
      <c r="B75" s="1362" t="s">
        <v>2710</v>
      </c>
      <c r="C75" s="1363"/>
      <c r="D75" s="1158">
        <v>0</v>
      </c>
      <c r="E75" s="1158">
        <v>0</v>
      </c>
      <c r="F75" s="1158">
        <v>0</v>
      </c>
      <c r="G75" s="1158">
        <v>0</v>
      </c>
      <c r="H75" s="1158">
        <v>0</v>
      </c>
      <c r="I75" s="1158">
        <v>0</v>
      </c>
      <c r="J75" s="1158">
        <v>0</v>
      </c>
      <c r="K75" s="1158">
        <v>0</v>
      </c>
      <c r="L75" s="1158">
        <v>0</v>
      </c>
      <c r="M75" s="1158">
        <v>0</v>
      </c>
      <c r="N75" s="1158">
        <v>0</v>
      </c>
      <c r="O75" s="1158">
        <v>0</v>
      </c>
    </row>
    <row r="76" spans="2:31" ht="17" customHeight="1" thickTop="1" x14ac:dyDescent="0.45">
      <c r="B76" s="1364" t="s">
        <v>2712</v>
      </c>
      <c r="C76" s="1365"/>
      <c r="D76" s="1159">
        <v>1</v>
      </c>
      <c r="E76" s="1153">
        <v>2</v>
      </c>
      <c r="F76" s="1159">
        <v>3</v>
      </c>
      <c r="G76" s="1153">
        <v>4</v>
      </c>
      <c r="H76" s="1159">
        <v>5</v>
      </c>
      <c r="I76" s="1153">
        <v>6</v>
      </c>
      <c r="J76" s="1159">
        <v>7</v>
      </c>
      <c r="K76" s="1153">
        <v>8</v>
      </c>
      <c r="L76" s="1159">
        <v>9</v>
      </c>
      <c r="M76" s="1153">
        <v>10</v>
      </c>
      <c r="N76" s="1159">
        <v>11</v>
      </c>
      <c r="O76" s="1153">
        <v>12</v>
      </c>
    </row>
    <row r="77" spans="2:31" ht="17" customHeight="1" x14ac:dyDescent="0.45">
      <c r="B77" s="1366" t="s">
        <v>2714</v>
      </c>
      <c r="C77" s="1367"/>
      <c r="D77" s="1148"/>
      <c r="E77" s="1148"/>
      <c r="F77" s="1148"/>
      <c r="G77" s="1148"/>
      <c r="H77" s="1148"/>
      <c r="I77" s="1148"/>
      <c r="J77" s="1148"/>
      <c r="K77" s="1148"/>
      <c r="L77" s="1148"/>
      <c r="M77" s="1148"/>
      <c r="N77" s="1148"/>
      <c r="O77" s="1148"/>
    </row>
    <row r="78" spans="2:31" ht="17" customHeight="1" thickBot="1" x14ac:dyDescent="0.5"/>
    <row r="79" spans="2:31" ht="17" customHeight="1" thickTop="1" thickBot="1" x14ac:dyDescent="0.5">
      <c r="B79" s="1362" t="s">
        <v>2710</v>
      </c>
      <c r="C79" s="1363"/>
      <c r="D79" s="1158">
        <v>0</v>
      </c>
      <c r="E79" s="1158">
        <v>0</v>
      </c>
      <c r="F79" s="1158">
        <v>0</v>
      </c>
      <c r="G79" s="1158">
        <v>0</v>
      </c>
      <c r="H79" s="1158">
        <v>0</v>
      </c>
      <c r="I79" s="1158">
        <v>0</v>
      </c>
      <c r="J79" s="1158">
        <v>0</v>
      </c>
      <c r="K79" s="1158">
        <v>0</v>
      </c>
      <c r="L79" s="1158">
        <v>0</v>
      </c>
      <c r="M79" s="1158">
        <v>0</v>
      </c>
      <c r="N79" s="1158">
        <v>0</v>
      </c>
      <c r="O79" s="61" t="s">
        <v>1940</v>
      </c>
    </row>
    <row r="80" spans="2:31" ht="17" customHeight="1" thickTop="1" x14ac:dyDescent="0.45">
      <c r="B80" s="1364" t="s">
        <v>2712</v>
      </c>
      <c r="C80" s="1365"/>
      <c r="D80" s="1159">
        <v>1</v>
      </c>
      <c r="E80" s="1153">
        <v>2</v>
      </c>
      <c r="F80" s="1159">
        <v>3</v>
      </c>
      <c r="G80" s="1153">
        <v>4</v>
      </c>
      <c r="H80" s="1159">
        <v>5</v>
      </c>
      <c r="I80" s="1153">
        <v>6</v>
      </c>
      <c r="J80" s="1159">
        <v>7</v>
      </c>
      <c r="K80" s="1153">
        <v>8</v>
      </c>
      <c r="L80" s="1159">
        <v>9</v>
      </c>
      <c r="M80" s="1153">
        <v>10</v>
      </c>
      <c r="N80" s="1153">
        <v>11</v>
      </c>
      <c r="O80" s="1148"/>
    </row>
    <row r="81" spans="2:15" ht="17" customHeight="1" x14ac:dyDescent="0.45">
      <c r="B81" s="1366" t="s">
        <v>2737</v>
      </c>
      <c r="C81" s="1367"/>
      <c r="D81" s="1148"/>
      <c r="E81" s="1148"/>
      <c r="F81" s="1148"/>
      <c r="G81" s="1148"/>
      <c r="H81" s="1148"/>
      <c r="I81" s="1148"/>
      <c r="J81" s="1148"/>
      <c r="K81" s="1148"/>
      <c r="L81" s="1148"/>
      <c r="M81" s="1148"/>
      <c r="N81" s="1148"/>
      <c r="O81" s="1148"/>
    </row>
    <row r="82" spans="2:15" ht="17" customHeight="1" x14ac:dyDescent="0.45">
      <c r="O82" s="1" t="s">
        <v>2744</v>
      </c>
    </row>
  </sheetData>
  <mergeCells count="102">
    <mergeCell ref="S65:AD65"/>
    <mergeCell ref="S66:AD66"/>
    <mergeCell ref="Q70:R70"/>
    <mergeCell ref="Q65:R65"/>
    <mergeCell ref="Q43:R43"/>
    <mergeCell ref="Q44:R44"/>
    <mergeCell ref="Q45:R45"/>
    <mergeCell ref="Q46:R46"/>
    <mergeCell ref="Q51:R51"/>
    <mergeCell ref="Q61:R61"/>
    <mergeCell ref="Q62:R62"/>
    <mergeCell ref="Q63:R63"/>
    <mergeCell ref="S63:AD63"/>
    <mergeCell ref="Q64:R64"/>
    <mergeCell ref="S64:AD64"/>
    <mergeCell ref="Q66:R66"/>
    <mergeCell ref="Q67:R67"/>
    <mergeCell ref="Q68:R68"/>
    <mergeCell ref="Q69:R69"/>
    <mergeCell ref="Q40:R40"/>
    <mergeCell ref="Q33:R34"/>
    <mergeCell ref="Q35:R35"/>
    <mergeCell ref="Q36:R36"/>
    <mergeCell ref="Q37:R37"/>
    <mergeCell ref="Q38:R38"/>
    <mergeCell ref="Q39:R39"/>
    <mergeCell ref="Q26:R26"/>
    <mergeCell ref="Q29:R29"/>
    <mergeCell ref="Q30:R30"/>
    <mergeCell ref="Q31:R31"/>
    <mergeCell ref="S31:AD31"/>
    <mergeCell ref="Q32:R32"/>
    <mergeCell ref="Q12:R12"/>
    <mergeCell ref="Q21:R21"/>
    <mergeCell ref="Q22:R22"/>
    <mergeCell ref="Q23:R23"/>
    <mergeCell ref="Q24:R24"/>
    <mergeCell ref="Q25:R25"/>
    <mergeCell ref="S4:AD4"/>
    <mergeCell ref="Q7:R7"/>
    <mergeCell ref="Q8:R8"/>
    <mergeCell ref="Q9:R9"/>
    <mergeCell ref="Q10:R10"/>
    <mergeCell ref="Q11:R11"/>
    <mergeCell ref="Q15:R15"/>
    <mergeCell ref="Q16:R16"/>
    <mergeCell ref="Q17:R17"/>
    <mergeCell ref="Q18:R18"/>
    <mergeCell ref="Q19:R20"/>
    <mergeCell ref="S17:AD17"/>
    <mergeCell ref="Q6:R6"/>
    <mergeCell ref="Q5:R5"/>
    <mergeCell ref="Q4:R4"/>
    <mergeCell ref="Q3:R3"/>
    <mergeCell ref="Q2:R2"/>
    <mergeCell ref="B75:C75"/>
    <mergeCell ref="B76:C76"/>
    <mergeCell ref="B77:C77"/>
    <mergeCell ref="B79:C79"/>
    <mergeCell ref="B80:C80"/>
    <mergeCell ref="B81:C81"/>
    <mergeCell ref="B65:C65"/>
    <mergeCell ref="B66:C66"/>
    <mergeCell ref="B67:C67"/>
    <mergeCell ref="B69:C69"/>
    <mergeCell ref="B70:C70"/>
    <mergeCell ref="B71:C71"/>
    <mergeCell ref="B51:C51"/>
    <mergeCell ref="B52:C52"/>
    <mergeCell ref="B53:C53"/>
    <mergeCell ref="B61:C61"/>
    <mergeCell ref="B62:C62"/>
    <mergeCell ref="B63:C63"/>
    <mergeCell ref="B55:C55"/>
    <mergeCell ref="B56:C56"/>
    <mergeCell ref="B57:C57"/>
    <mergeCell ref="B43:C43"/>
    <mergeCell ref="B44:C44"/>
    <mergeCell ref="B45:C45"/>
    <mergeCell ref="B47:C47"/>
    <mergeCell ref="B48:C48"/>
    <mergeCell ref="B49:C49"/>
    <mergeCell ref="B33:C33"/>
    <mergeCell ref="B34:C34"/>
    <mergeCell ref="B35:C35"/>
    <mergeCell ref="B37:C37"/>
    <mergeCell ref="B38:C38"/>
    <mergeCell ref="B39:C39"/>
    <mergeCell ref="B19:C19"/>
    <mergeCell ref="B20:C20"/>
    <mergeCell ref="B21:C21"/>
    <mergeCell ref="B29:C29"/>
    <mergeCell ref="B30:C30"/>
    <mergeCell ref="B31:C31"/>
    <mergeCell ref="B4:B5"/>
    <mergeCell ref="B7:B8"/>
    <mergeCell ref="B25:C25"/>
    <mergeCell ref="B24:C24"/>
    <mergeCell ref="B23:C23"/>
    <mergeCell ref="B15:C15"/>
    <mergeCell ref="B16:C16"/>
    <mergeCell ref="B17:C17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E54E-B78D-431E-A51E-233AC0FE6458}">
  <sheetPr>
    <tabColor rgb="FFFFFF00"/>
  </sheetPr>
  <dimension ref="A1:U81"/>
  <sheetViews>
    <sheetView showGridLines="0" zoomScaleNormal="100" workbookViewId="0"/>
  </sheetViews>
  <sheetFormatPr defaultColWidth="8.58203125" defaultRowHeight="17" x14ac:dyDescent="0.45"/>
  <cols>
    <col min="1" max="1" width="8.58203125" style="31" customWidth="1"/>
    <col min="2" max="2" width="3.08203125" style="31" bestFit="1" customWidth="1"/>
    <col min="3" max="3" width="21.25" style="55" bestFit="1" customWidth="1"/>
    <col min="4" max="4" width="6.75" style="126" bestFit="1" customWidth="1"/>
    <col min="5" max="5" width="7.83203125" style="126" bestFit="1" customWidth="1"/>
    <col min="6" max="6" width="7.5" style="126" bestFit="1" customWidth="1"/>
    <col min="7" max="7" width="1.58203125" style="126" customWidth="1"/>
    <col min="8" max="8" width="17.83203125" style="126" bestFit="1" customWidth="1"/>
    <col min="9" max="10" width="9.25" style="126" bestFit="1" customWidth="1"/>
    <col min="11" max="11" width="8.25" style="126" bestFit="1" customWidth="1"/>
    <col min="12" max="12" width="9" style="126" bestFit="1" customWidth="1"/>
    <col min="13" max="13" width="10.58203125" style="126" bestFit="1" customWidth="1"/>
    <col min="14" max="14" width="15.25" style="126" bestFit="1" customWidth="1"/>
    <col min="15" max="15" width="19" style="126" bestFit="1" customWidth="1"/>
    <col min="16" max="16" width="14.83203125" style="126" bestFit="1" customWidth="1"/>
    <col min="17" max="17" width="14.58203125" style="126" bestFit="1" customWidth="1"/>
    <col min="18" max="18" width="15" style="126" bestFit="1" customWidth="1"/>
    <col min="19" max="19" width="14.75" style="126" bestFit="1" customWidth="1"/>
    <col min="20" max="20" width="69.58203125" style="212" customWidth="1"/>
    <col min="21" max="16384" width="8.58203125" style="31"/>
  </cols>
  <sheetData>
    <row r="1" spans="2:20" x14ac:dyDescent="0.45">
      <c r="D1" s="55"/>
      <c r="E1" s="55"/>
      <c r="F1" s="55"/>
    </row>
    <row r="2" spans="2:20" x14ac:dyDescent="0.45">
      <c r="B2" s="118"/>
      <c r="C2" s="120" t="s">
        <v>19</v>
      </c>
      <c r="D2" s="213" t="s">
        <v>20</v>
      </c>
      <c r="E2" s="213" t="s">
        <v>21</v>
      </c>
      <c r="F2" s="213" t="s">
        <v>22</v>
      </c>
      <c r="G2" s="213"/>
      <c r="H2" s="213" t="s">
        <v>23</v>
      </c>
      <c r="I2" s="213" t="s">
        <v>24</v>
      </c>
      <c r="J2" s="213" t="s">
        <v>25</v>
      </c>
      <c r="K2" s="213" t="s">
        <v>26</v>
      </c>
      <c r="L2" s="213" t="s">
        <v>27</v>
      </c>
      <c r="M2" s="213" t="s">
        <v>28</v>
      </c>
      <c r="N2" s="213" t="s">
        <v>29</v>
      </c>
      <c r="O2" s="213" t="s">
        <v>30</v>
      </c>
      <c r="P2" s="213" t="s">
        <v>31</v>
      </c>
      <c r="Q2" s="213" t="s">
        <v>32</v>
      </c>
      <c r="R2" s="213" t="s">
        <v>33</v>
      </c>
      <c r="S2" s="213" t="s">
        <v>34</v>
      </c>
      <c r="T2" s="214" t="s">
        <v>35</v>
      </c>
    </row>
    <row r="3" spans="2:20" ht="68" x14ac:dyDescent="0.45">
      <c r="B3" s="118">
        <v>1</v>
      </c>
      <c r="C3" s="55" t="s">
        <v>1874</v>
      </c>
      <c r="D3" s="126" t="s">
        <v>37</v>
      </c>
      <c r="E3" s="126" t="s">
        <v>38</v>
      </c>
      <c r="F3" s="126" t="s">
        <v>39</v>
      </c>
      <c r="H3" s="205" t="s">
        <v>174</v>
      </c>
      <c r="I3" s="205" t="s">
        <v>1146</v>
      </c>
      <c r="J3" s="205" t="s">
        <v>1145</v>
      </c>
      <c r="K3" s="127"/>
      <c r="L3" s="127"/>
      <c r="M3" s="127"/>
      <c r="N3" s="127"/>
      <c r="O3" s="1342" t="s">
        <v>40</v>
      </c>
      <c r="P3" s="1343"/>
      <c r="Q3" s="1343"/>
      <c r="R3" s="1343"/>
      <c r="S3" s="1344"/>
      <c r="T3" s="215" t="s">
        <v>2111</v>
      </c>
    </row>
    <row r="4" spans="2:20" ht="119" x14ac:dyDescent="0.45">
      <c r="B4" s="118">
        <f>B3+1</f>
        <v>2</v>
      </c>
      <c r="C4" s="55" t="s">
        <v>897</v>
      </c>
      <c r="D4" s="126" t="s">
        <v>37</v>
      </c>
      <c r="E4" s="126" t="s">
        <v>130</v>
      </c>
      <c r="F4" s="126" t="s">
        <v>39</v>
      </c>
      <c r="H4" s="1305" t="s">
        <v>1875</v>
      </c>
      <c r="I4" s="1306"/>
      <c r="J4" s="1306"/>
      <c r="K4" s="1307"/>
      <c r="M4" s="207" t="s">
        <v>2186</v>
      </c>
      <c r="N4" s="207" t="s">
        <v>1987</v>
      </c>
      <c r="O4" s="690" t="s">
        <v>175</v>
      </c>
      <c r="P4" s="1319" t="s">
        <v>1941</v>
      </c>
      <c r="Q4" s="1321"/>
      <c r="R4" s="690" t="s">
        <v>42</v>
      </c>
      <c r="S4" s="207" t="s">
        <v>1986</v>
      </c>
      <c r="T4" s="215" t="s">
        <v>2187</v>
      </c>
    </row>
    <row r="5" spans="2:20" ht="68" x14ac:dyDescent="0.45">
      <c r="B5" s="118">
        <f t="shared" ref="B5:B33" si="0">B4+1</f>
        <v>3</v>
      </c>
      <c r="C5" s="55" t="s">
        <v>1932</v>
      </c>
      <c r="D5" s="126" t="s">
        <v>37</v>
      </c>
      <c r="E5" s="126" t="s">
        <v>133</v>
      </c>
      <c r="F5" s="126" t="s">
        <v>39</v>
      </c>
      <c r="H5" s="205" t="s">
        <v>2183</v>
      </c>
      <c r="I5" s="127"/>
      <c r="J5" s="127"/>
      <c r="K5" s="127"/>
      <c r="L5" s="127"/>
      <c r="M5" s="127"/>
      <c r="N5" s="1345" t="s">
        <v>2129</v>
      </c>
      <c r="O5" s="1346"/>
      <c r="P5" s="1346"/>
      <c r="Q5" s="1346"/>
      <c r="R5" s="1346"/>
      <c r="S5" s="1347"/>
      <c r="T5" s="206" t="s">
        <v>2188</v>
      </c>
    </row>
    <row r="6" spans="2:20" x14ac:dyDescent="0.45">
      <c r="B6" s="118">
        <f t="shared" si="0"/>
        <v>4</v>
      </c>
      <c r="C6" s="55" t="s">
        <v>1849</v>
      </c>
      <c r="D6" s="126" t="s">
        <v>37</v>
      </c>
      <c r="E6" s="126" t="s">
        <v>43</v>
      </c>
      <c r="F6" s="126" t="s">
        <v>39</v>
      </c>
      <c r="H6" s="1305" t="s">
        <v>1845</v>
      </c>
      <c r="I6" s="1306"/>
      <c r="J6" s="1306"/>
      <c r="K6" s="1307"/>
      <c r="L6" s="1305" t="s">
        <v>1844</v>
      </c>
      <c r="M6" s="1306"/>
      <c r="N6" s="1306"/>
      <c r="O6" s="1306"/>
      <c r="P6" s="1306"/>
      <c r="Q6" s="1306"/>
      <c r="R6" s="1306"/>
      <c r="S6" s="1307"/>
      <c r="T6" s="215" t="s">
        <v>2271</v>
      </c>
    </row>
    <row r="7" spans="2:20" x14ac:dyDescent="0.45">
      <c r="B7" s="118">
        <f t="shared" si="0"/>
        <v>5</v>
      </c>
      <c r="C7" s="55" t="s">
        <v>1848</v>
      </c>
      <c r="D7" s="126" t="s">
        <v>37</v>
      </c>
      <c r="E7" s="126" t="s">
        <v>44</v>
      </c>
      <c r="F7" s="126" t="s">
        <v>39</v>
      </c>
      <c r="H7" s="1305" t="s">
        <v>1847</v>
      </c>
      <c r="I7" s="1306"/>
      <c r="J7" s="1306"/>
      <c r="K7" s="1306"/>
      <c r="L7" s="1306"/>
      <c r="M7" s="1306"/>
      <c r="N7" s="1306"/>
      <c r="O7" s="1307"/>
      <c r="P7" s="1305" t="s">
        <v>1846</v>
      </c>
      <c r="Q7" s="1306"/>
      <c r="R7" s="1306"/>
      <c r="S7" s="1307"/>
      <c r="T7" s="215" t="s">
        <v>2271</v>
      </c>
    </row>
    <row r="8" spans="2:20" x14ac:dyDescent="0.45">
      <c r="B8" s="118">
        <f t="shared" si="0"/>
        <v>6</v>
      </c>
      <c r="C8" s="55" t="s">
        <v>1886</v>
      </c>
      <c r="D8" s="126" t="s">
        <v>37</v>
      </c>
      <c r="E8" s="126" t="s">
        <v>137</v>
      </c>
      <c r="F8" s="126" t="s">
        <v>39</v>
      </c>
      <c r="H8" s="219" t="s">
        <v>53</v>
      </c>
      <c r="I8" s="219" t="s">
        <v>54</v>
      </c>
      <c r="J8" s="219" t="s">
        <v>55</v>
      </c>
      <c r="K8" s="219" t="s">
        <v>56</v>
      </c>
      <c r="L8" s="219" t="s">
        <v>57</v>
      </c>
      <c r="M8" s="219" t="s">
        <v>58</v>
      </c>
      <c r="N8" s="219" t="s">
        <v>59</v>
      </c>
      <c r="O8" s="219" t="s">
        <v>60</v>
      </c>
      <c r="P8" s="219" t="s">
        <v>61</v>
      </c>
      <c r="Q8" s="219" t="s">
        <v>62</v>
      </c>
      <c r="R8" s="219" t="s">
        <v>63</v>
      </c>
      <c r="S8" s="219" t="s">
        <v>64</v>
      </c>
      <c r="T8" s="220"/>
    </row>
    <row r="9" spans="2:20" ht="34" x14ac:dyDescent="0.45">
      <c r="B9" s="118">
        <f t="shared" si="0"/>
        <v>7</v>
      </c>
      <c r="C9" s="55" t="s">
        <v>219</v>
      </c>
      <c r="D9" s="126" t="s">
        <v>37</v>
      </c>
      <c r="E9" s="126" t="s">
        <v>46</v>
      </c>
      <c r="F9" s="126" t="s">
        <v>131</v>
      </c>
      <c r="H9" s="1008" t="s">
        <v>2184</v>
      </c>
      <c r="I9" s="76"/>
      <c r="J9" s="76"/>
      <c r="K9" s="76"/>
      <c r="L9" s="1319" t="s">
        <v>1988</v>
      </c>
      <c r="M9" s="1307"/>
      <c r="N9" s="205" t="s">
        <v>2180</v>
      </c>
      <c r="O9" s="205" t="s">
        <v>325</v>
      </c>
      <c r="P9" s="205" t="s">
        <v>893</v>
      </c>
      <c r="Q9" s="219" t="s">
        <v>223</v>
      </c>
      <c r="R9" s="219" t="s">
        <v>222</v>
      </c>
      <c r="S9" s="205" t="s">
        <v>221</v>
      </c>
      <c r="T9" s="220" t="s">
        <v>2185</v>
      </c>
    </row>
    <row r="10" spans="2:20" x14ac:dyDescent="0.45">
      <c r="B10" s="118">
        <f t="shared" si="0"/>
        <v>8</v>
      </c>
      <c r="C10" s="55" t="s">
        <v>2275</v>
      </c>
      <c r="D10" s="126" t="s">
        <v>37</v>
      </c>
      <c r="E10" s="126" t="s">
        <v>140</v>
      </c>
      <c r="F10" s="126" t="s">
        <v>39</v>
      </c>
      <c r="H10" s="76"/>
      <c r="I10" s="76"/>
      <c r="J10" s="76"/>
      <c r="K10" s="1308" t="s">
        <v>1881</v>
      </c>
      <c r="L10" s="1309"/>
      <c r="M10" s="1310"/>
      <c r="N10" s="1308" t="s">
        <v>1880</v>
      </c>
      <c r="O10" s="1309"/>
      <c r="P10" s="1310"/>
      <c r="Q10" s="1308" t="s">
        <v>1879</v>
      </c>
      <c r="R10" s="1309"/>
      <c r="S10" s="1310"/>
      <c r="T10" s="215"/>
    </row>
    <row r="11" spans="2:20" ht="17.149999999999999" customHeight="1" x14ac:dyDescent="0.45">
      <c r="B11" s="118">
        <f t="shared" si="0"/>
        <v>9</v>
      </c>
      <c r="C11" s="55" t="s">
        <v>2276</v>
      </c>
      <c r="D11" s="126" t="s">
        <v>37</v>
      </c>
      <c r="E11" s="126" t="s">
        <v>49</v>
      </c>
      <c r="F11" s="126" t="s">
        <v>39</v>
      </c>
      <c r="H11" s="76"/>
      <c r="I11" s="76"/>
      <c r="J11" s="76"/>
      <c r="K11" s="1308" t="s">
        <v>2265</v>
      </c>
      <c r="L11" s="1309"/>
      <c r="M11" s="1310"/>
      <c r="N11" s="1308" t="s">
        <v>2264</v>
      </c>
      <c r="O11" s="1309"/>
      <c r="P11" s="1310"/>
      <c r="Q11" s="1308" t="s">
        <v>2263</v>
      </c>
      <c r="R11" s="1309"/>
      <c r="S11" s="1310"/>
      <c r="T11" s="215"/>
    </row>
    <row r="12" spans="2:20" x14ac:dyDescent="0.45">
      <c r="B12" s="118">
        <f t="shared" si="0"/>
        <v>10</v>
      </c>
      <c r="C12" s="55" t="s">
        <v>65</v>
      </c>
      <c r="D12" s="126" t="s">
        <v>66</v>
      </c>
      <c r="E12" s="126" t="s">
        <v>52</v>
      </c>
      <c r="F12" s="126" t="s">
        <v>39</v>
      </c>
      <c r="H12" s="205" t="s">
        <v>2189</v>
      </c>
      <c r="I12" s="127"/>
      <c r="J12" s="127"/>
      <c r="K12" s="127"/>
      <c r="L12" s="127"/>
      <c r="M12" s="127"/>
      <c r="N12" s="219" t="s">
        <v>68</v>
      </c>
      <c r="O12" s="205" t="s">
        <v>69</v>
      </c>
      <c r="P12" s="205" t="s">
        <v>70</v>
      </c>
      <c r="Q12" s="219" t="s">
        <v>1878</v>
      </c>
      <c r="R12" s="219" t="s">
        <v>1877</v>
      </c>
      <c r="S12" s="219" t="s">
        <v>1876</v>
      </c>
      <c r="T12" s="220" t="s">
        <v>1989</v>
      </c>
    </row>
    <row r="13" spans="2:20" ht="17.149999999999999" customHeight="1" x14ac:dyDescent="0.45">
      <c r="B13" s="118">
        <f t="shared" si="0"/>
        <v>11</v>
      </c>
      <c r="C13" s="55" t="s">
        <v>1885</v>
      </c>
      <c r="D13" s="126" t="s">
        <v>37</v>
      </c>
      <c r="E13" s="126" t="s">
        <v>144</v>
      </c>
      <c r="F13" s="126" t="s">
        <v>47</v>
      </c>
      <c r="H13" s="1348" t="s">
        <v>1884</v>
      </c>
      <c r="I13" s="1349"/>
      <c r="J13" s="1349"/>
      <c r="K13" s="1350"/>
      <c r="L13" s="1348" t="s">
        <v>1883</v>
      </c>
      <c r="M13" s="1349"/>
      <c r="N13" s="1349"/>
      <c r="O13" s="1350"/>
      <c r="P13" s="1348" t="s">
        <v>1882</v>
      </c>
      <c r="Q13" s="1349"/>
      <c r="R13" s="1349"/>
      <c r="S13" s="1350"/>
      <c r="T13" s="215" t="s">
        <v>2295</v>
      </c>
    </row>
    <row r="14" spans="2:20" x14ac:dyDescent="0.45">
      <c r="B14" s="118">
        <f t="shared" si="0"/>
        <v>12</v>
      </c>
      <c r="C14" s="55" t="s">
        <v>1837</v>
      </c>
      <c r="D14" s="126" t="s">
        <v>37</v>
      </c>
      <c r="E14" s="126" t="s">
        <v>67</v>
      </c>
      <c r="F14" s="126" t="s">
        <v>47</v>
      </c>
      <c r="H14" s="1342" t="s">
        <v>1840</v>
      </c>
      <c r="I14" s="1343"/>
      <c r="J14" s="1343"/>
      <c r="K14" s="1343"/>
      <c r="L14" s="1343"/>
      <c r="M14" s="1343"/>
      <c r="N14" s="1343"/>
      <c r="O14" s="1343"/>
      <c r="P14" s="1343"/>
      <c r="Q14" s="1343"/>
      <c r="R14" s="1343"/>
      <c r="S14" s="1344"/>
      <c r="T14" s="972" t="s">
        <v>1970</v>
      </c>
    </row>
    <row r="15" spans="2:20" x14ac:dyDescent="0.45">
      <c r="B15" s="118">
        <f t="shared" si="0"/>
        <v>13</v>
      </c>
      <c r="C15" s="55" t="s">
        <v>1838</v>
      </c>
      <c r="D15" s="126" t="s">
        <v>37</v>
      </c>
      <c r="E15" s="126" t="s">
        <v>72</v>
      </c>
      <c r="F15" s="126" t="s">
        <v>47</v>
      </c>
      <c r="H15" s="1342" t="s">
        <v>1841</v>
      </c>
      <c r="I15" s="1343"/>
      <c r="J15" s="1343"/>
      <c r="K15" s="1343"/>
      <c r="L15" s="1343"/>
      <c r="M15" s="1343"/>
      <c r="N15" s="1343"/>
      <c r="O15" s="1343"/>
      <c r="P15" s="1343"/>
      <c r="Q15" s="1343"/>
      <c r="R15" s="1343"/>
      <c r="S15" s="1344"/>
      <c r="T15" s="972" t="s">
        <v>1970</v>
      </c>
    </row>
    <row r="16" spans="2:20" x14ac:dyDescent="0.45">
      <c r="B16" s="118">
        <f t="shared" si="0"/>
        <v>14</v>
      </c>
      <c r="C16" s="55" t="s">
        <v>1839</v>
      </c>
      <c r="D16" s="126" t="s">
        <v>37</v>
      </c>
      <c r="E16" s="126" t="s">
        <v>76</v>
      </c>
      <c r="F16" s="126" t="s">
        <v>47</v>
      </c>
      <c r="H16" s="1342" t="s">
        <v>1842</v>
      </c>
      <c r="I16" s="1343"/>
      <c r="J16" s="1343"/>
      <c r="K16" s="1343"/>
      <c r="L16" s="1343"/>
      <c r="M16" s="1343"/>
      <c r="N16" s="1343"/>
      <c r="O16" s="1343"/>
      <c r="P16" s="1343"/>
      <c r="Q16" s="1343"/>
      <c r="R16" s="1343"/>
      <c r="S16" s="1344"/>
      <c r="T16" s="972" t="s">
        <v>1970</v>
      </c>
    </row>
    <row r="17" spans="2:20" x14ac:dyDescent="0.45">
      <c r="B17" s="118">
        <f t="shared" si="0"/>
        <v>15</v>
      </c>
      <c r="C17" s="55" t="s">
        <v>1866</v>
      </c>
      <c r="D17" s="126" t="s">
        <v>37</v>
      </c>
      <c r="E17" s="126" t="s">
        <v>79</v>
      </c>
      <c r="F17" s="126" t="s">
        <v>47</v>
      </c>
      <c r="H17" s="128"/>
      <c r="I17" s="128"/>
      <c r="J17" s="1305" t="s">
        <v>1855</v>
      </c>
      <c r="K17" s="1306"/>
      <c r="L17" s="1306"/>
      <c r="M17" s="1306"/>
      <c r="N17" s="1307"/>
      <c r="O17" s="1305" t="s">
        <v>1854</v>
      </c>
      <c r="P17" s="1306"/>
      <c r="Q17" s="1306"/>
      <c r="R17" s="1306"/>
      <c r="S17" s="1307"/>
      <c r="T17" s="223" t="s">
        <v>1971</v>
      </c>
    </row>
    <row r="18" spans="2:20" x14ac:dyDescent="0.45">
      <c r="B18" s="118">
        <f t="shared" si="0"/>
        <v>16</v>
      </c>
      <c r="C18" s="55" t="s">
        <v>1867</v>
      </c>
      <c r="D18" s="126" t="s">
        <v>37</v>
      </c>
      <c r="E18" s="126" t="s">
        <v>81</v>
      </c>
      <c r="F18" s="126" t="s">
        <v>47</v>
      </c>
      <c r="H18" s="128"/>
      <c r="I18" s="128"/>
      <c r="J18" s="1305" t="s">
        <v>1857</v>
      </c>
      <c r="K18" s="1306"/>
      <c r="L18" s="1306"/>
      <c r="M18" s="1306"/>
      <c r="N18" s="1307"/>
      <c r="O18" s="1305" t="s">
        <v>1856</v>
      </c>
      <c r="P18" s="1306"/>
      <c r="Q18" s="1306"/>
      <c r="R18" s="1306"/>
      <c r="S18" s="1307"/>
      <c r="T18" s="223" t="s">
        <v>1873</v>
      </c>
    </row>
    <row r="19" spans="2:20" x14ac:dyDescent="0.45">
      <c r="B19" s="118">
        <f t="shared" si="0"/>
        <v>17</v>
      </c>
      <c r="C19" s="55" t="s">
        <v>1868</v>
      </c>
      <c r="D19" s="126" t="s">
        <v>37</v>
      </c>
      <c r="E19" s="126" t="s">
        <v>83</v>
      </c>
      <c r="F19" s="126" t="s">
        <v>47</v>
      </c>
      <c r="H19" s="128"/>
      <c r="I19" s="128"/>
      <c r="J19" s="1305" t="s">
        <v>1859</v>
      </c>
      <c r="K19" s="1306"/>
      <c r="L19" s="1306"/>
      <c r="M19" s="1306"/>
      <c r="N19" s="1307"/>
      <c r="O19" s="1305" t="s">
        <v>1858</v>
      </c>
      <c r="P19" s="1306"/>
      <c r="Q19" s="1306"/>
      <c r="R19" s="1306"/>
      <c r="S19" s="1307"/>
      <c r="T19" s="223"/>
    </row>
    <row r="20" spans="2:20" x14ac:dyDescent="0.45">
      <c r="B20" s="118">
        <f t="shared" si="0"/>
        <v>18</v>
      </c>
      <c r="C20" s="55" t="s">
        <v>1869</v>
      </c>
      <c r="D20" s="126" t="s">
        <v>37</v>
      </c>
      <c r="E20" s="126" t="s">
        <v>374</v>
      </c>
      <c r="F20" s="126" t="s">
        <v>47</v>
      </c>
      <c r="H20" s="128"/>
      <c r="I20" s="128"/>
      <c r="J20" s="1305" t="s">
        <v>1861</v>
      </c>
      <c r="K20" s="1306"/>
      <c r="L20" s="1306"/>
      <c r="M20" s="1306"/>
      <c r="N20" s="1307"/>
      <c r="O20" s="1305" t="s">
        <v>1860</v>
      </c>
      <c r="P20" s="1306"/>
      <c r="Q20" s="1306"/>
      <c r="R20" s="1306"/>
      <c r="S20" s="1307"/>
      <c r="T20" s="223"/>
    </row>
    <row r="21" spans="2:20" x14ac:dyDescent="0.45">
      <c r="B21" s="118">
        <f t="shared" si="0"/>
        <v>19</v>
      </c>
      <c r="C21" s="55" t="s">
        <v>1870</v>
      </c>
      <c r="D21" s="126" t="s">
        <v>37</v>
      </c>
      <c r="E21" s="126" t="s">
        <v>86</v>
      </c>
      <c r="F21" s="126" t="s">
        <v>47</v>
      </c>
      <c r="H21" s="128"/>
      <c r="I21" s="128"/>
      <c r="J21" s="1305" t="s">
        <v>1863</v>
      </c>
      <c r="K21" s="1306"/>
      <c r="L21" s="1306"/>
      <c r="M21" s="1306"/>
      <c r="N21" s="1307"/>
      <c r="O21" s="1305" t="s">
        <v>1862</v>
      </c>
      <c r="P21" s="1306"/>
      <c r="Q21" s="1306"/>
      <c r="R21" s="1306"/>
      <c r="S21" s="1307"/>
      <c r="T21" s="223"/>
    </row>
    <row r="22" spans="2:20" x14ac:dyDescent="0.45">
      <c r="B22" s="118">
        <f t="shared" si="0"/>
        <v>20</v>
      </c>
      <c r="C22" s="55" t="s">
        <v>1871</v>
      </c>
      <c r="D22" s="126" t="s">
        <v>37</v>
      </c>
      <c r="E22" s="126" t="s">
        <v>88</v>
      </c>
      <c r="F22" s="126" t="s">
        <v>47</v>
      </c>
      <c r="H22" s="128"/>
      <c r="I22" s="128"/>
      <c r="J22" s="1305" t="s">
        <v>1865</v>
      </c>
      <c r="K22" s="1306"/>
      <c r="L22" s="1306"/>
      <c r="M22" s="1306"/>
      <c r="N22" s="1307"/>
      <c r="O22" s="1305" t="s">
        <v>1864</v>
      </c>
      <c r="P22" s="1306"/>
      <c r="Q22" s="1306"/>
      <c r="R22" s="1306"/>
      <c r="S22" s="1307"/>
      <c r="T22" s="223"/>
    </row>
    <row r="23" spans="2:20" x14ac:dyDescent="0.45">
      <c r="B23" s="118">
        <f t="shared" si="0"/>
        <v>21</v>
      </c>
      <c r="C23" s="55" t="s">
        <v>214</v>
      </c>
      <c r="D23" s="126" t="s">
        <v>37</v>
      </c>
      <c r="E23" s="126" t="s">
        <v>90</v>
      </c>
      <c r="F23" s="126" t="s">
        <v>888</v>
      </c>
      <c r="H23" s="1305" t="s">
        <v>890</v>
      </c>
      <c r="I23" s="1306"/>
      <c r="J23" s="1306"/>
      <c r="K23" s="1306"/>
      <c r="L23" s="1306"/>
      <c r="M23" s="1307"/>
      <c r="N23" s="1305" t="s">
        <v>891</v>
      </c>
      <c r="O23" s="1306"/>
      <c r="P23" s="1306"/>
      <c r="Q23" s="1306"/>
      <c r="R23" s="1306"/>
      <c r="S23" s="1307"/>
      <c r="T23" s="215" t="s">
        <v>2268</v>
      </c>
    </row>
    <row r="24" spans="2:20" x14ac:dyDescent="0.45">
      <c r="B24" s="118">
        <f t="shared" si="0"/>
        <v>22</v>
      </c>
      <c r="C24" s="55" t="s">
        <v>324</v>
      </c>
      <c r="D24" s="126" t="s">
        <v>37</v>
      </c>
      <c r="E24" s="126" t="s">
        <v>2130</v>
      </c>
      <c r="F24" s="126" t="s">
        <v>1993</v>
      </c>
      <c r="H24" s="127"/>
      <c r="I24" s="127"/>
      <c r="J24" s="127"/>
      <c r="K24" s="1305" t="s">
        <v>1992</v>
      </c>
      <c r="L24" s="1306"/>
      <c r="M24" s="1306"/>
      <c r="N24" s="1306"/>
      <c r="O24" s="1306"/>
      <c r="P24" s="1306"/>
      <c r="Q24" s="1306"/>
      <c r="R24" s="1306"/>
      <c r="S24" s="1307"/>
      <c r="T24" s="215" t="s">
        <v>2191</v>
      </c>
    </row>
    <row r="25" spans="2:20" ht="34" x14ac:dyDescent="0.45">
      <c r="B25" s="118">
        <f t="shared" si="0"/>
        <v>23</v>
      </c>
      <c r="C25" s="55" t="s">
        <v>2126</v>
      </c>
      <c r="D25" s="126" t="s">
        <v>37</v>
      </c>
      <c r="E25" s="126" t="s">
        <v>94</v>
      </c>
      <c r="F25" s="126" t="s">
        <v>39</v>
      </c>
      <c r="H25" s="127"/>
      <c r="I25" s="127"/>
      <c r="J25" s="1305" t="s">
        <v>2195</v>
      </c>
      <c r="K25" s="1306"/>
      <c r="L25" s="1306"/>
      <c r="M25" s="1306"/>
      <c r="N25" s="1306"/>
      <c r="O25" s="1306"/>
      <c r="P25" s="1306"/>
      <c r="Q25" s="1306"/>
      <c r="R25" s="1306"/>
      <c r="S25" s="1307"/>
      <c r="T25" s="215" t="s">
        <v>2196</v>
      </c>
    </row>
    <row r="26" spans="2:20" ht="34" x14ac:dyDescent="0.45">
      <c r="B26" s="118">
        <f t="shared" si="0"/>
        <v>24</v>
      </c>
      <c r="C26" s="55" t="s">
        <v>2127</v>
      </c>
      <c r="D26" s="126" t="s">
        <v>37</v>
      </c>
      <c r="E26" s="126" t="s">
        <v>411</v>
      </c>
      <c r="F26" s="126" t="s">
        <v>39</v>
      </c>
      <c r="H26" s="205" t="s">
        <v>2193</v>
      </c>
      <c r="I26" s="127"/>
      <c r="J26" s="1305" t="s">
        <v>2194</v>
      </c>
      <c r="K26" s="1306"/>
      <c r="L26" s="1306"/>
      <c r="M26" s="1306"/>
      <c r="N26" s="1306"/>
      <c r="O26" s="1306"/>
      <c r="P26" s="1306"/>
      <c r="Q26" s="1306"/>
      <c r="R26" s="1306"/>
      <c r="S26" s="1307"/>
      <c r="T26" s="215" t="s">
        <v>2196</v>
      </c>
    </row>
    <row r="27" spans="2:20" x14ac:dyDescent="0.45">
      <c r="B27" s="118"/>
      <c r="T27" s="215"/>
    </row>
    <row r="28" spans="2:20" x14ac:dyDescent="0.45">
      <c r="B28" s="118">
        <f>B26+1</f>
        <v>25</v>
      </c>
      <c r="C28" s="55" t="s">
        <v>2006</v>
      </c>
      <c r="D28" s="126" t="s">
        <v>37</v>
      </c>
      <c r="E28" s="126" t="s">
        <v>415</v>
      </c>
      <c r="F28" s="126" t="s">
        <v>39</v>
      </c>
      <c r="H28" s="128"/>
      <c r="I28" s="128"/>
      <c r="J28" s="1305" t="s">
        <v>2007</v>
      </c>
      <c r="K28" s="1306"/>
      <c r="L28" s="1306"/>
      <c r="M28" s="1306"/>
      <c r="N28" s="1306"/>
      <c r="O28" s="1306"/>
      <c r="P28" s="1306"/>
      <c r="Q28" s="1306"/>
      <c r="R28" s="1306"/>
      <c r="S28" s="1307"/>
      <c r="T28" s="215" t="s">
        <v>2272</v>
      </c>
    </row>
    <row r="29" spans="2:20" x14ac:dyDescent="0.45">
      <c r="B29" s="118">
        <f t="shared" si="0"/>
        <v>26</v>
      </c>
      <c r="C29" s="55" t="s">
        <v>1952</v>
      </c>
      <c r="D29" s="126" t="s">
        <v>37</v>
      </c>
      <c r="E29" s="126" t="s">
        <v>427</v>
      </c>
      <c r="F29" s="126" t="s">
        <v>323</v>
      </c>
      <c r="H29" s="128"/>
      <c r="I29" s="128"/>
      <c r="J29" s="1305" t="s">
        <v>2190</v>
      </c>
      <c r="K29" s="1306"/>
      <c r="L29" s="1306"/>
      <c r="M29" s="1306"/>
      <c r="N29" s="1306"/>
      <c r="O29" s="1306"/>
      <c r="P29" s="1306"/>
      <c r="Q29" s="1306"/>
      <c r="R29" s="1306"/>
      <c r="S29" s="1307"/>
      <c r="T29" s="215" t="s">
        <v>2192</v>
      </c>
    </row>
    <row r="30" spans="2:20" x14ac:dyDescent="0.45">
      <c r="B30" s="118">
        <f t="shared" si="0"/>
        <v>27</v>
      </c>
      <c r="C30" s="55" t="s">
        <v>1822</v>
      </c>
      <c r="D30" s="126" t="s">
        <v>37</v>
      </c>
      <c r="E30" s="126" t="s">
        <v>437</v>
      </c>
      <c r="F30" s="126" t="s">
        <v>39</v>
      </c>
      <c r="H30" s="1305" t="s">
        <v>2270</v>
      </c>
      <c r="I30" s="1306"/>
      <c r="J30" s="1306"/>
      <c r="K30" s="1306"/>
      <c r="L30" s="1306"/>
      <c r="M30" s="1306"/>
      <c r="N30" s="1306"/>
      <c r="O30" s="1306"/>
      <c r="P30" s="1306"/>
      <c r="Q30" s="1306"/>
      <c r="R30" s="1306"/>
      <c r="S30" s="1307"/>
      <c r="T30" s="215" t="s">
        <v>2191</v>
      </c>
    </row>
    <row r="31" spans="2:20" ht="34" x14ac:dyDescent="0.45">
      <c r="B31" s="118">
        <f t="shared" si="0"/>
        <v>28</v>
      </c>
      <c r="C31" s="55" t="s">
        <v>1843</v>
      </c>
      <c r="D31" s="126" t="s">
        <v>37</v>
      </c>
      <c r="E31" s="126" t="s">
        <v>150</v>
      </c>
      <c r="F31" s="126" t="s">
        <v>39</v>
      </c>
      <c r="H31" s="205" t="s">
        <v>1972</v>
      </c>
      <c r="I31" s="1305" t="s">
        <v>905</v>
      </c>
      <c r="J31" s="1307"/>
      <c r="K31" s="1305" t="s">
        <v>2269</v>
      </c>
      <c r="L31" s="1306"/>
      <c r="M31" s="1306"/>
      <c r="N31" s="1306"/>
      <c r="O31" s="1306"/>
      <c r="P31" s="1306"/>
      <c r="Q31" s="1306"/>
      <c r="R31" s="1306"/>
      <c r="S31" s="1307"/>
      <c r="T31" s="215" t="s">
        <v>2273</v>
      </c>
    </row>
    <row r="32" spans="2:20" ht="51" x14ac:dyDescent="0.45">
      <c r="B32" s="118">
        <f t="shared" si="0"/>
        <v>29</v>
      </c>
      <c r="C32" s="55" t="s">
        <v>1148</v>
      </c>
      <c r="D32" s="126" t="s">
        <v>37</v>
      </c>
      <c r="E32" s="126" t="s">
        <v>153</v>
      </c>
      <c r="F32" s="126" t="s">
        <v>2292</v>
      </c>
      <c r="H32" s="1319" t="s">
        <v>2291</v>
      </c>
      <c r="I32" s="1306"/>
      <c r="J32" s="1306"/>
      <c r="K32" s="1306"/>
      <c r="L32" s="1306"/>
      <c r="M32" s="1306"/>
      <c r="N32" s="1306"/>
      <c r="O32" s="1306"/>
      <c r="P32" s="1306"/>
      <c r="Q32" s="1306"/>
      <c r="R32" s="1306"/>
      <c r="S32" s="1307"/>
      <c r="T32" s="873" t="s">
        <v>2290</v>
      </c>
    </row>
    <row r="33" spans="2:20" ht="119" x14ac:dyDescent="0.45">
      <c r="B33" s="118">
        <f t="shared" si="0"/>
        <v>30</v>
      </c>
      <c r="C33" s="55" t="s">
        <v>2052</v>
      </c>
      <c r="D33" s="126" t="s">
        <v>37</v>
      </c>
      <c r="E33" s="126" t="s">
        <v>155</v>
      </c>
      <c r="F33" s="126" t="s">
        <v>39</v>
      </c>
      <c r="H33" s="1305" t="s">
        <v>2053</v>
      </c>
      <c r="I33" s="1306"/>
      <c r="J33" s="1306"/>
      <c r="K33" s="1306"/>
      <c r="L33" s="1306"/>
      <c r="M33" s="1307"/>
      <c r="N33" s="127"/>
      <c r="O33" s="219" t="s">
        <v>2267</v>
      </c>
      <c r="P33" s="219" t="s">
        <v>2131</v>
      </c>
      <c r="Q33" s="205" t="s">
        <v>2047</v>
      </c>
      <c r="R33" s="205" t="s">
        <v>2132</v>
      </c>
      <c r="S33" s="205" t="s">
        <v>2133</v>
      </c>
      <c r="T33" s="215" t="s">
        <v>2274</v>
      </c>
    </row>
    <row r="34" spans="2:20" x14ac:dyDescent="0.45">
      <c r="B34" s="118"/>
      <c r="C34" s="874"/>
      <c r="D34" s="874"/>
      <c r="E34" s="874"/>
      <c r="F34" s="874"/>
      <c r="G34" s="874"/>
      <c r="H34" s="874"/>
      <c r="I34" s="874"/>
      <c r="J34" s="874"/>
      <c r="K34" s="874"/>
      <c r="L34" s="874"/>
      <c r="M34" s="874"/>
      <c r="N34" s="874"/>
      <c r="O34" s="874"/>
      <c r="P34" s="874"/>
      <c r="Q34" s="874"/>
      <c r="R34" s="874"/>
      <c r="S34" s="874"/>
      <c r="T34" s="873"/>
    </row>
    <row r="35" spans="2:20" x14ac:dyDescent="0.45">
      <c r="B35" s="118">
        <f>B33+1</f>
        <v>31</v>
      </c>
      <c r="C35" s="55" t="s">
        <v>2214</v>
      </c>
      <c r="D35" s="126" t="s">
        <v>37</v>
      </c>
      <c r="E35" s="126" t="s">
        <v>440</v>
      </c>
      <c r="F35" s="126" t="s">
        <v>39</v>
      </c>
      <c r="H35" s="127"/>
      <c r="I35" s="127"/>
      <c r="J35" s="127"/>
      <c r="K35" s="127"/>
      <c r="L35" s="127"/>
      <c r="M35" s="127"/>
      <c r="N35" s="205" t="s">
        <v>2215</v>
      </c>
      <c r="O35" s="205" t="s">
        <v>2216</v>
      </c>
      <c r="P35" s="205" t="s">
        <v>2217</v>
      </c>
      <c r="Q35" s="205" t="s">
        <v>2218</v>
      </c>
      <c r="R35" s="205" t="s">
        <v>2219</v>
      </c>
      <c r="S35" s="205" t="s">
        <v>2220</v>
      </c>
      <c r="T35" s="215"/>
    </row>
    <row r="36" spans="2:20" x14ac:dyDescent="0.45">
      <c r="B36" s="118">
        <f>B35+1</f>
        <v>32</v>
      </c>
      <c r="C36" s="55" t="s">
        <v>327</v>
      </c>
      <c r="D36" s="126" t="s">
        <v>37</v>
      </c>
      <c r="E36" s="126" t="s">
        <v>164</v>
      </c>
      <c r="F36" s="126" t="s">
        <v>909</v>
      </c>
      <c r="H36" s="1305" t="s">
        <v>100</v>
      </c>
      <c r="I36" s="1306"/>
      <c r="J36" s="1306"/>
      <c r="K36" s="1307"/>
      <c r="L36" s="205" t="s">
        <v>2293</v>
      </c>
      <c r="M36" s="205" t="s">
        <v>906</v>
      </c>
      <c r="N36" s="1305" t="s">
        <v>907</v>
      </c>
      <c r="O36" s="1307"/>
      <c r="P36" s="127"/>
      <c r="Q36" s="127"/>
      <c r="R36" s="1305" t="s">
        <v>229</v>
      </c>
      <c r="S36" s="1307"/>
      <c r="T36" s="215"/>
    </row>
    <row r="37" spans="2:20" x14ac:dyDescent="0.45">
      <c r="B37" s="118">
        <f t="shared" ref="B37:B38" si="1">B36+1</f>
        <v>33</v>
      </c>
      <c r="C37" s="55" t="s">
        <v>230</v>
      </c>
      <c r="D37" s="126" t="s">
        <v>37</v>
      </c>
      <c r="E37" s="126" t="s">
        <v>166</v>
      </c>
      <c r="F37" s="126" t="s">
        <v>39</v>
      </c>
      <c r="H37" s="1305" t="s">
        <v>227</v>
      </c>
      <c r="I37" s="1306"/>
      <c r="J37" s="1306"/>
      <c r="K37" s="1306"/>
      <c r="L37" s="1306"/>
      <c r="M37" s="1306"/>
      <c r="N37" s="1306"/>
      <c r="O37" s="1306"/>
      <c r="P37" s="1306"/>
      <c r="Q37" s="1306"/>
      <c r="R37" s="1306"/>
      <c r="S37" s="1307"/>
      <c r="T37" s="215"/>
    </row>
    <row r="38" spans="2:20" x14ac:dyDescent="0.45">
      <c r="B38" s="118">
        <f t="shared" si="1"/>
        <v>34</v>
      </c>
      <c r="C38" s="55" t="s">
        <v>231</v>
      </c>
      <c r="D38" s="126" t="s">
        <v>37</v>
      </c>
      <c r="E38" s="126" t="s">
        <v>168</v>
      </c>
      <c r="F38" s="126" t="s">
        <v>904</v>
      </c>
      <c r="H38" s="205" t="s">
        <v>2221</v>
      </c>
      <c r="I38" s="127"/>
      <c r="J38" s="127"/>
      <c r="K38" s="127"/>
      <c r="L38" s="127"/>
      <c r="M38" s="127"/>
      <c r="N38" s="127"/>
      <c r="O38" s="127"/>
      <c r="P38" s="1305" t="s">
        <v>889</v>
      </c>
      <c r="Q38" s="1306"/>
      <c r="R38" s="1306"/>
      <c r="S38" s="1307"/>
      <c r="T38" s="215"/>
    </row>
    <row r="39" spans="2:20" x14ac:dyDescent="0.45">
      <c r="B39" s="118"/>
    </row>
    <row r="40" spans="2:20" x14ac:dyDescent="0.45">
      <c r="B40" s="118"/>
      <c r="C40" s="708" t="s">
        <v>1888</v>
      </c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222"/>
    </row>
    <row r="41" spans="2:20" x14ac:dyDescent="0.45">
      <c r="B41" s="118"/>
    </row>
    <row r="42" spans="2:20" ht="153.5" x14ac:dyDescent="0.45">
      <c r="B42" s="118">
        <v>1</v>
      </c>
      <c r="C42" s="55" t="s">
        <v>106</v>
      </c>
      <c r="D42" s="126" t="s">
        <v>37</v>
      </c>
      <c r="E42" s="225" t="s">
        <v>107</v>
      </c>
      <c r="F42" s="126" t="s">
        <v>39</v>
      </c>
      <c r="H42" s="205" t="s">
        <v>108</v>
      </c>
      <c r="I42" s="1345" t="s">
        <v>2222</v>
      </c>
      <c r="J42" s="1346"/>
      <c r="K42" s="1347"/>
      <c r="L42" s="127"/>
      <c r="M42" s="127"/>
      <c r="N42" s="205" t="s">
        <v>1924</v>
      </c>
      <c r="O42" s="205" t="s">
        <v>1818</v>
      </c>
      <c r="P42" s="127"/>
      <c r="Q42" s="973" t="s">
        <v>2224</v>
      </c>
      <c r="R42" s="205" t="s">
        <v>2223</v>
      </c>
      <c r="S42" s="205" t="s">
        <v>109</v>
      </c>
      <c r="T42" s="215" t="s">
        <v>2294</v>
      </c>
    </row>
    <row r="43" spans="2:20" x14ac:dyDescent="0.45">
      <c r="B43" s="118">
        <f>B42+1</f>
        <v>2</v>
      </c>
      <c r="C43" s="55" t="s">
        <v>110</v>
      </c>
      <c r="D43" s="126" t="s">
        <v>37</v>
      </c>
      <c r="E43" s="225" t="s">
        <v>111</v>
      </c>
      <c r="F43" s="126" t="s">
        <v>39</v>
      </c>
      <c r="H43" s="127"/>
      <c r="I43" s="127"/>
      <c r="J43" s="127"/>
      <c r="K43" s="127"/>
      <c r="L43" s="127"/>
      <c r="M43" s="127"/>
      <c r="N43" s="127"/>
      <c r="O43" s="127"/>
      <c r="P43" s="1305" t="s">
        <v>112</v>
      </c>
      <c r="Q43" s="1306"/>
      <c r="R43" s="1306"/>
      <c r="S43" s="1307"/>
      <c r="T43" s="976" t="s">
        <v>2054</v>
      </c>
    </row>
    <row r="44" spans="2:20" x14ac:dyDescent="0.45">
      <c r="B44" s="118">
        <f t="shared" ref="B44:B47" si="2">B43+1</f>
        <v>3</v>
      </c>
      <c r="C44" s="55" t="s">
        <v>113</v>
      </c>
      <c r="D44" s="126" t="s">
        <v>37</v>
      </c>
      <c r="E44" s="225" t="s">
        <v>114</v>
      </c>
      <c r="F44" s="126" t="s">
        <v>323</v>
      </c>
      <c r="H44" s="1305" t="s">
        <v>115</v>
      </c>
      <c r="I44" s="1306"/>
      <c r="J44" s="1306"/>
      <c r="K44" s="1306"/>
      <c r="L44" s="1306"/>
      <c r="M44" s="1306"/>
      <c r="N44" s="1306"/>
      <c r="O44" s="1306"/>
      <c r="P44" s="1306"/>
      <c r="Q44" s="1306"/>
      <c r="R44" s="1306"/>
      <c r="S44" s="1307"/>
      <c r="T44" s="976" t="s">
        <v>2054</v>
      </c>
    </row>
    <row r="45" spans="2:20" x14ac:dyDescent="0.45">
      <c r="B45" s="118">
        <f t="shared" si="2"/>
        <v>4</v>
      </c>
      <c r="C45" s="55" t="s">
        <v>116</v>
      </c>
      <c r="D45" s="126" t="s">
        <v>37</v>
      </c>
      <c r="E45" s="225" t="s">
        <v>117</v>
      </c>
      <c r="F45" s="126" t="s">
        <v>118</v>
      </c>
      <c r="H45" s="127"/>
      <c r="I45" s="127"/>
      <c r="J45" s="127"/>
      <c r="K45" s="127"/>
      <c r="L45" s="127"/>
      <c r="M45" s="127"/>
      <c r="N45" s="1305" t="s">
        <v>2225</v>
      </c>
      <c r="O45" s="1307"/>
      <c r="P45" s="1305" t="s">
        <v>119</v>
      </c>
      <c r="Q45" s="1306"/>
      <c r="R45" s="1306"/>
      <c r="S45" s="1307"/>
      <c r="T45" s="976" t="s">
        <v>2054</v>
      </c>
    </row>
    <row r="46" spans="2:20" x14ac:dyDescent="0.45">
      <c r="B46" s="118">
        <f t="shared" si="2"/>
        <v>5</v>
      </c>
      <c r="C46" s="55" t="s">
        <v>120</v>
      </c>
      <c r="D46" s="126" t="s">
        <v>37</v>
      </c>
      <c r="E46" s="225" t="s">
        <v>121</v>
      </c>
      <c r="F46" s="126" t="s">
        <v>39</v>
      </c>
      <c r="H46" s="205" t="s">
        <v>1222</v>
      </c>
      <c r="I46" s="127"/>
      <c r="J46" s="127"/>
      <c r="K46" s="127"/>
      <c r="L46" s="127"/>
      <c r="M46" s="127"/>
      <c r="N46" s="127"/>
      <c r="O46" s="127"/>
      <c r="P46" s="127"/>
      <c r="Q46" s="127"/>
      <c r="R46" s="205" t="s">
        <v>122</v>
      </c>
      <c r="S46" s="205" t="s">
        <v>123</v>
      </c>
      <c r="T46" s="975"/>
    </row>
    <row r="47" spans="2:20" x14ac:dyDescent="0.45">
      <c r="B47" s="118">
        <f t="shared" si="2"/>
        <v>6</v>
      </c>
      <c r="C47" s="55" t="s">
        <v>124</v>
      </c>
      <c r="D47" s="126" t="s">
        <v>37</v>
      </c>
      <c r="E47" s="225" t="s">
        <v>125</v>
      </c>
      <c r="F47" s="126" t="s">
        <v>899</v>
      </c>
      <c r="H47" s="1305" t="s">
        <v>1969</v>
      </c>
      <c r="I47" s="1306"/>
      <c r="J47" s="1306"/>
      <c r="K47" s="1306"/>
      <c r="L47" s="1306"/>
      <c r="M47" s="1306"/>
      <c r="N47" s="1306"/>
      <c r="O47" s="1306"/>
      <c r="P47" s="1306"/>
      <c r="Q47" s="1306"/>
      <c r="R47" s="1306"/>
      <c r="S47" s="1307"/>
      <c r="T47" s="226"/>
    </row>
    <row r="48" spans="2:20" x14ac:dyDescent="0.45">
      <c r="B48" s="118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226"/>
    </row>
    <row r="49" spans="2:20" x14ac:dyDescent="0.45">
      <c r="B49" s="118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226"/>
    </row>
    <row r="50" spans="2:20" x14ac:dyDescent="0.45">
      <c r="B50" s="118"/>
      <c r="C50" s="708" t="s">
        <v>1887</v>
      </c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223"/>
    </row>
    <row r="51" spans="2:20" x14ac:dyDescent="0.45">
      <c r="B51" s="118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223"/>
    </row>
    <row r="52" spans="2:20" x14ac:dyDescent="0.45">
      <c r="B52" s="118">
        <v>1</v>
      </c>
      <c r="D52" s="126" t="s">
        <v>37</v>
      </c>
      <c r="E52" s="126" t="s">
        <v>38</v>
      </c>
      <c r="F52" s="126" t="s">
        <v>39</v>
      </c>
      <c r="H52" s="224"/>
      <c r="I52" s="224"/>
      <c r="J52" s="224"/>
      <c r="K52" s="224"/>
      <c r="L52" s="1353" t="s">
        <v>128</v>
      </c>
      <c r="M52" s="1354"/>
      <c r="N52" s="1354"/>
      <c r="O52" s="1354"/>
      <c r="P52" s="1354"/>
      <c r="Q52" s="1354"/>
      <c r="R52" s="1354"/>
      <c r="S52" s="1355"/>
      <c r="T52" s="223"/>
    </row>
    <row r="53" spans="2:20" x14ac:dyDescent="0.45">
      <c r="B53" s="118">
        <f>B52+1</f>
        <v>2</v>
      </c>
      <c r="D53" s="126" t="s">
        <v>37</v>
      </c>
      <c r="E53" s="126" t="s">
        <v>130</v>
      </c>
      <c r="F53" s="126" t="s">
        <v>226</v>
      </c>
      <c r="H53" s="1353" t="s">
        <v>2226</v>
      </c>
      <c r="I53" s="1354"/>
      <c r="J53" s="1354"/>
      <c r="K53" s="1354"/>
      <c r="L53" s="1355"/>
      <c r="M53" s="1353" t="s">
        <v>2227</v>
      </c>
      <c r="N53" s="1354"/>
      <c r="O53" s="1354"/>
      <c r="P53" s="1354"/>
      <c r="Q53" s="1354"/>
      <c r="R53" s="1354"/>
      <c r="S53" s="1355"/>
      <c r="T53" s="223"/>
    </row>
    <row r="54" spans="2:20" x14ac:dyDescent="0.45">
      <c r="B54" s="118">
        <f t="shared" ref="B54:B80" si="3">B53+1</f>
        <v>3</v>
      </c>
      <c r="D54" s="126" t="s">
        <v>37</v>
      </c>
      <c r="E54" s="126" t="s">
        <v>133</v>
      </c>
      <c r="F54" s="126" t="s">
        <v>2228</v>
      </c>
      <c r="H54" s="1353" t="s">
        <v>2229</v>
      </c>
      <c r="I54" s="1356"/>
      <c r="J54" s="1353" t="s">
        <v>2230</v>
      </c>
      <c r="K54" s="1356"/>
      <c r="L54" s="1356"/>
      <c r="M54" s="1356"/>
      <c r="N54" s="1357"/>
      <c r="O54" s="1353" t="s">
        <v>2231</v>
      </c>
      <c r="P54" s="1356"/>
      <c r="Q54" s="1356"/>
      <c r="R54" s="1356"/>
      <c r="S54" s="1357"/>
      <c r="T54" s="223"/>
    </row>
    <row r="55" spans="2:20" s="129" customFormat="1" x14ac:dyDescent="0.45">
      <c r="B55" s="118">
        <f t="shared" si="3"/>
        <v>4</v>
      </c>
      <c r="C55" s="55"/>
      <c r="D55" s="126" t="s">
        <v>37</v>
      </c>
      <c r="E55" s="126" t="s">
        <v>43</v>
      </c>
      <c r="F55" s="126" t="s">
        <v>2232</v>
      </c>
      <c r="G55" s="126"/>
      <c r="H55" s="974" t="s">
        <v>2233</v>
      </c>
      <c r="I55" s="224"/>
      <c r="J55" s="224"/>
      <c r="K55" s="224"/>
      <c r="L55" s="224"/>
      <c r="M55" s="224"/>
      <c r="N55" s="224"/>
      <c r="O55" s="224"/>
      <c r="P55" s="1353" t="s">
        <v>2234</v>
      </c>
      <c r="Q55" s="1354"/>
      <c r="R55" s="1354"/>
      <c r="S55" s="1355"/>
      <c r="T55" s="223"/>
    </row>
    <row r="56" spans="2:20" s="129" customFormat="1" x14ac:dyDescent="0.45">
      <c r="B56" s="118">
        <f t="shared" si="3"/>
        <v>5</v>
      </c>
      <c r="C56" s="55"/>
      <c r="D56" s="126" t="s">
        <v>37</v>
      </c>
      <c r="E56" s="126" t="s">
        <v>44</v>
      </c>
      <c r="F56" s="126" t="s">
        <v>2235</v>
      </c>
      <c r="G56" s="126"/>
      <c r="H56" s="1353" t="s">
        <v>2236</v>
      </c>
      <c r="I56" s="1354"/>
      <c r="J56" s="1354"/>
      <c r="K56" s="1355"/>
      <c r="L56" s="1353" t="s">
        <v>2237</v>
      </c>
      <c r="M56" s="1354"/>
      <c r="N56" s="1354"/>
      <c r="O56" s="1355"/>
      <c r="P56" s="1353" t="s">
        <v>2238</v>
      </c>
      <c r="Q56" s="1354"/>
      <c r="R56" s="1354"/>
      <c r="S56" s="1355"/>
      <c r="T56" s="223"/>
    </row>
    <row r="57" spans="2:20" s="129" customFormat="1" x14ac:dyDescent="0.45">
      <c r="B57" s="118">
        <f t="shared" si="3"/>
        <v>6</v>
      </c>
      <c r="C57" s="55"/>
      <c r="D57" s="126" t="s">
        <v>37</v>
      </c>
      <c r="E57" s="126" t="s">
        <v>137</v>
      </c>
      <c r="F57" s="126" t="s">
        <v>1993</v>
      </c>
      <c r="G57" s="126"/>
      <c r="H57" s="224"/>
      <c r="I57" s="224"/>
      <c r="J57" s="224"/>
      <c r="K57" s="224"/>
      <c r="L57" s="1353" t="s">
        <v>2239</v>
      </c>
      <c r="M57" s="1354"/>
      <c r="N57" s="1354"/>
      <c r="O57" s="1354"/>
      <c r="P57" s="1354"/>
      <c r="Q57" s="1354"/>
      <c r="R57" s="1354"/>
      <c r="S57" s="1355"/>
      <c r="T57" s="223"/>
    </row>
    <row r="58" spans="2:20" s="129" customFormat="1" x14ac:dyDescent="0.45">
      <c r="B58" s="118">
        <f t="shared" si="3"/>
        <v>7</v>
      </c>
      <c r="C58" s="55"/>
      <c r="D58" s="126" t="s">
        <v>37</v>
      </c>
      <c r="E58" s="126" t="s">
        <v>46</v>
      </c>
      <c r="F58" s="126" t="s">
        <v>1993</v>
      </c>
      <c r="G58" s="126"/>
      <c r="H58" s="224"/>
      <c r="I58" s="224"/>
      <c r="J58" s="224"/>
      <c r="K58" s="224"/>
      <c r="L58" s="1353" t="s">
        <v>2240</v>
      </c>
      <c r="M58" s="1354"/>
      <c r="N58" s="1354"/>
      <c r="O58" s="1354"/>
      <c r="P58" s="1354"/>
      <c r="Q58" s="1354"/>
      <c r="R58" s="1354"/>
      <c r="S58" s="1355"/>
      <c r="T58" s="223"/>
    </row>
    <row r="59" spans="2:20" s="129" customFormat="1" x14ac:dyDescent="0.45">
      <c r="B59" s="118">
        <f t="shared" si="3"/>
        <v>8</v>
      </c>
      <c r="C59" s="55"/>
      <c r="D59" s="126" t="s">
        <v>37</v>
      </c>
      <c r="E59" s="126" t="s">
        <v>140</v>
      </c>
      <c r="F59" s="126" t="s">
        <v>1993</v>
      </c>
      <c r="G59" s="126"/>
      <c r="H59" s="224"/>
      <c r="I59" s="224"/>
      <c r="J59" s="224"/>
      <c r="K59" s="224"/>
      <c r="L59" s="1353" t="s">
        <v>2241</v>
      </c>
      <c r="M59" s="1354"/>
      <c r="N59" s="1354"/>
      <c r="O59" s="1354"/>
      <c r="P59" s="1354"/>
      <c r="Q59" s="1354"/>
      <c r="R59" s="1354"/>
      <c r="S59" s="1355"/>
      <c r="T59" s="223"/>
    </row>
    <row r="60" spans="2:20" s="129" customFormat="1" x14ac:dyDescent="0.45">
      <c r="B60" s="118">
        <f t="shared" si="3"/>
        <v>9</v>
      </c>
      <c r="C60" s="55"/>
      <c r="D60" s="126" t="s">
        <v>37</v>
      </c>
      <c r="E60" s="126" t="s">
        <v>49</v>
      </c>
      <c r="F60" s="126" t="s">
        <v>1993</v>
      </c>
      <c r="G60" s="126"/>
      <c r="H60" s="224"/>
      <c r="I60" s="224"/>
      <c r="J60" s="224"/>
      <c r="K60" s="224"/>
      <c r="L60" s="1353" t="s">
        <v>2242</v>
      </c>
      <c r="M60" s="1354"/>
      <c r="N60" s="1354"/>
      <c r="O60" s="1354"/>
      <c r="P60" s="1354"/>
      <c r="Q60" s="1354"/>
      <c r="R60" s="1354"/>
      <c r="S60" s="1355"/>
      <c r="T60" s="223"/>
    </row>
    <row r="61" spans="2:20" s="129" customFormat="1" x14ac:dyDescent="0.45">
      <c r="B61" s="118">
        <f t="shared" si="3"/>
        <v>10</v>
      </c>
      <c r="C61" s="55"/>
      <c r="D61" s="126" t="s">
        <v>37</v>
      </c>
      <c r="E61" s="126" t="s">
        <v>52</v>
      </c>
      <c r="F61" s="126" t="s">
        <v>1993</v>
      </c>
      <c r="G61" s="126"/>
      <c r="H61" s="224"/>
      <c r="I61" s="224"/>
      <c r="J61" s="224"/>
      <c r="K61" s="224"/>
      <c r="L61" s="1353" t="s">
        <v>2243</v>
      </c>
      <c r="M61" s="1354"/>
      <c r="N61" s="1354"/>
      <c r="O61" s="1354"/>
      <c r="P61" s="1354"/>
      <c r="Q61" s="1354"/>
      <c r="R61" s="1354"/>
      <c r="S61" s="1355"/>
      <c r="T61" s="223"/>
    </row>
    <row r="62" spans="2:20" s="129" customFormat="1" x14ac:dyDescent="0.45">
      <c r="B62" s="118">
        <f t="shared" si="3"/>
        <v>11</v>
      </c>
      <c r="C62" s="55"/>
      <c r="D62" s="126" t="s">
        <v>37</v>
      </c>
      <c r="E62" s="126" t="s">
        <v>144</v>
      </c>
      <c r="F62" s="126" t="s">
        <v>1993</v>
      </c>
      <c r="G62" s="126"/>
      <c r="H62" s="224"/>
      <c r="I62" s="224"/>
      <c r="J62" s="224"/>
      <c r="K62" s="224"/>
      <c r="L62" s="1353" t="s">
        <v>2244</v>
      </c>
      <c r="M62" s="1354"/>
      <c r="N62" s="1354"/>
      <c r="O62" s="1354"/>
      <c r="P62" s="1354"/>
      <c r="Q62" s="1354"/>
      <c r="R62" s="1354"/>
      <c r="S62" s="1355"/>
      <c r="T62" s="223"/>
    </row>
    <row r="63" spans="2:20" s="129" customFormat="1" x14ac:dyDescent="0.45">
      <c r="B63" s="118">
        <f t="shared" si="3"/>
        <v>12</v>
      </c>
      <c r="C63" s="55"/>
      <c r="D63" s="126" t="s">
        <v>37</v>
      </c>
      <c r="E63" s="126" t="s">
        <v>67</v>
      </c>
      <c r="F63" s="126" t="s">
        <v>1993</v>
      </c>
      <c r="G63" s="126"/>
      <c r="H63" s="224"/>
      <c r="I63" s="224"/>
      <c r="J63" s="224"/>
      <c r="K63" s="224"/>
      <c r="L63" s="1353" t="s">
        <v>2245</v>
      </c>
      <c r="M63" s="1354"/>
      <c r="N63" s="1354"/>
      <c r="O63" s="1354"/>
      <c r="P63" s="1354"/>
      <c r="Q63" s="1354"/>
      <c r="R63" s="1354"/>
      <c r="S63" s="1355"/>
      <c r="T63" s="223"/>
    </row>
    <row r="64" spans="2:20" s="129" customFormat="1" x14ac:dyDescent="0.45">
      <c r="B64" s="118">
        <f t="shared" si="3"/>
        <v>13</v>
      </c>
      <c r="C64" s="55"/>
      <c r="D64" s="126" t="s">
        <v>37</v>
      </c>
      <c r="E64" s="126" t="s">
        <v>72</v>
      </c>
      <c r="F64" s="126" t="s">
        <v>1993</v>
      </c>
      <c r="G64" s="126"/>
      <c r="H64" s="224"/>
      <c r="I64" s="224"/>
      <c r="J64" s="224"/>
      <c r="K64" s="224"/>
      <c r="L64" s="1353" t="s">
        <v>2246</v>
      </c>
      <c r="M64" s="1354"/>
      <c r="N64" s="1354"/>
      <c r="O64" s="1354"/>
      <c r="P64" s="1354"/>
      <c r="Q64" s="1354"/>
      <c r="R64" s="1354"/>
      <c r="S64" s="1355"/>
      <c r="T64" s="223"/>
    </row>
    <row r="65" spans="1:21" s="129" customFormat="1" x14ac:dyDescent="0.45">
      <c r="B65" s="118">
        <f t="shared" si="3"/>
        <v>14</v>
      </c>
      <c r="C65" s="55"/>
      <c r="D65" s="126" t="s">
        <v>37</v>
      </c>
      <c r="E65" s="126" t="s">
        <v>76</v>
      </c>
      <c r="F65" s="126" t="s">
        <v>1993</v>
      </c>
      <c r="G65" s="126"/>
      <c r="H65" s="224"/>
      <c r="I65" s="224"/>
      <c r="J65" s="224"/>
      <c r="K65" s="224"/>
      <c r="L65" s="1353" t="s">
        <v>2247</v>
      </c>
      <c r="M65" s="1354"/>
      <c r="N65" s="1354"/>
      <c r="O65" s="1354"/>
      <c r="P65" s="1354"/>
      <c r="Q65" s="1354"/>
      <c r="R65" s="1354"/>
      <c r="S65" s="1355"/>
      <c r="T65" s="223"/>
    </row>
    <row r="66" spans="1:21" s="129" customFormat="1" x14ac:dyDescent="0.45">
      <c r="B66" s="118">
        <f t="shared" si="3"/>
        <v>15</v>
      </c>
      <c r="C66" s="55"/>
      <c r="D66" s="126" t="s">
        <v>37</v>
      </c>
      <c r="E66" s="126" t="s">
        <v>79</v>
      </c>
      <c r="F66" s="126" t="s">
        <v>1993</v>
      </c>
      <c r="G66" s="126"/>
      <c r="H66" s="224"/>
      <c r="I66" s="224"/>
      <c r="J66" s="224"/>
      <c r="K66" s="224"/>
      <c r="L66" s="1353" t="s">
        <v>2248</v>
      </c>
      <c r="M66" s="1354"/>
      <c r="N66" s="1354"/>
      <c r="O66" s="1354"/>
      <c r="P66" s="1354"/>
      <c r="Q66" s="1354"/>
      <c r="R66" s="1354"/>
      <c r="S66" s="1355"/>
      <c r="T66" s="223"/>
    </row>
    <row r="67" spans="1:21" s="129" customFormat="1" x14ac:dyDescent="0.45">
      <c r="B67" s="118">
        <f t="shared" si="3"/>
        <v>16</v>
      </c>
      <c r="C67" s="55"/>
      <c r="D67" s="126" t="s">
        <v>37</v>
      </c>
      <c r="E67" s="126" t="s">
        <v>81</v>
      </c>
      <c r="F67" s="126" t="s">
        <v>1993</v>
      </c>
      <c r="G67" s="55"/>
      <c r="H67" s="970"/>
      <c r="I67" s="970"/>
      <c r="J67" s="970"/>
      <c r="K67" s="970"/>
      <c r="L67" s="1359" t="s">
        <v>2249</v>
      </c>
      <c r="M67" s="1360"/>
      <c r="N67" s="1360"/>
      <c r="O67" s="1360"/>
      <c r="P67" s="1360"/>
      <c r="Q67" s="1360"/>
      <c r="R67" s="1360"/>
      <c r="S67" s="1361"/>
      <c r="T67" s="223"/>
    </row>
    <row r="68" spans="1:21" s="129" customFormat="1" x14ac:dyDescent="0.45">
      <c r="B68" s="118">
        <f t="shared" si="3"/>
        <v>17</v>
      </c>
      <c r="C68" s="55"/>
      <c r="D68" s="126" t="s">
        <v>37</v>
      </c>
      <c r="E68" s="126" t="s">
        <v>83</v>
      </c>
      <c r="F68" s="126" t="s">
        <v>1993</v>
      </c>
      <c r="G68" s="126"/>
      <c r="H68" s="224"/>
      <c r="I68" s="224"/>
      <c r="J68" s="224"/>
      <c r="K68" s="224"/>
      <c r="L68" s="1358" t="s">
        <v>2250</v>
      </c>
      <c r="M68" s="1358"/>
      <c r="N68" s="1358"/>
      <c r="O68" s="1358"/>
      <c r="P68" s="1358"/>
      <c r="Q68" s="1358"/>
      <c r="R68" s="1358"/>
      <c r="S68" s="1358"/>
      <c r="T68" s="223"/>
    </row>
    <row r="69" spans="1:21" s="129" customFormat="1" x14ac:dyDescent="0.45">
      <c r="B69" s="118">
        <f t="shared" si="3"/>
        <v>18</v>
      </c>
      <c r="C69" s="55"/>
      <c r="D69" s="126" t="s">
        <v>37</v>
      </c>
      <c r="E69" s="126" t="s">
        <v>374</v>
      </c>
      <c r="F69" s="126" t="s">
        <v>226</v>
      </c>
      <c r="G69" s="126"/>
      <c r="H69" s="224"/>
      <c r="I69" s="224"/>
      <c r="J69" s="224"/>
      <c r="K69" s="224"/>
      <c r="L69" s="224"/>
      <c r="M69" s="224"/>
      <c r="N69" s="1353" t="s">
        <v>2251</v>
      </c>
      <c r="O69" s="1354"/>
      <c r="P69" s="1354"/>
      <c r="Q69" s="1354"/>
      <c r="R69" s="1354"/>
      <c r="S69" s="1355"/>
      <c r="T69" s="223"/>
    </row>
    <row r="70" spans="1:21" s="129" customFormat="1" x14ac:dyDescent="0.45">
      <c r="B70" s="118">
        <f t="shared" si="3"/>
        <v>19</v>
      </c>
      <c r="C70" s="55"/>
      <c r="D70" s="126" t="s">
        <v>37</v>
      </c>
      <c r="E70" s="126" t="s">
        <v>86</v>
      </c>
      <c r="F70" s="126" t="s">
        <v>226</v>
      </c>
      <c r="G70" s="126"/>
      <c r="H70" s="971"/>
      <c r="I70" s="971"/>
      <c r="J70" s="971"/>
      <c r="K70" s="971"/>
      <c r="L70" s="971"/>
      <c r="M70" s="971"/>
      <c r="N70" s="1353" t="s">
        <v>2252</v>
      </c>
      <c r="O70" s="1354"/>
      <c r="P70" s="1354"/>
      <c r="Q70" s="1354"/>
      <c r="R70" s="1354"/>
      <c r="S70" s="1355"/>
      <c r="T70" s="223"/>
    </row>
    <row r="71" spans="1:21" s="129" customFormat="1" x14ac:dyDescent="0.45">
      <c r="B71" s="118">
        <f t="shared" si="3"/>
        <v>20</v>
      </c>
      <c r="C71" s="55"/>
      <c r="D71" s="126" t="s">
        <v>37</v>
      </c>
      <c r="E71" s="126" t="s">
        <v>88</v>
      </c>
      <c r="F71" s="126" t="s">
        <v>226</v>
      </c>
      <c r="G71" s="126"/>
      <c r="H71" s="224"/>
      <c r="I71" s="224"/>
      <c r="J71" s="224"/>
      <c r="K71" s="224"/>
      <c r="L71" s="224"/>
      <c r="M71" s="224"/>
      <c r="N71" s="1353" t="s">
        <v>2253</v>
      </c>
      <c r="O71" s="1354"/>
      <c r="P71" s="1354"/>
      <c r="Q71" s="1354"/>
      <c r="R71" s="1354"/>
      <c r="S71" s="1355"/>
      <c r="T71" s="223"/>
    </row>
    <row r="72" spans="1:21" s="129" customFormat="1" x14ac:dyDescent="0.45">
      <c r="B72" s="118">
        <f t="shared" si="3"/>
        <v>21</v>
      </c>
      <c r="C72" s="55"/>
      <c r="D72" s="126" t="s">
        <v>37</v>
      </c>
      <c r="E72" s="126" t="s">
        <v>90</v>
      </c>
      <c r="F72" s="126" t="s">
        <v>226</v>
      </c>
      <c r="G72" s="126"/>
      <c r="H72" s="224"/>
      <c r="I72" s="224"/>
      <c r="J72" s="224"/>
      <c r="K72" s="224"/>
      <c r="L72" s="224"/>
      <c r="M72" s="224"/>
      <c r="N72" s="1353" t="s">
        <v>2254</v>
      </c>
      <c r="O72" s="1354"/>
      <c r="P72" s="1354"/>
      <c r="Q72" s="1354"/>
      <c r="R72" s="1354"/>
      <c r="S72" s="1355"/>
      <c r="T72" s="223"/>
    </row>
    <row r="73" spans="1:21" s="129" customFormat="1" x14ac:dyDescent="0.45">
      <c r="A73" s="129" t="s">
        <v>162</v>
      </c>
      <c r="B73" s="118">
        <f t="shared" si="3"/>
        <v>22</v>
      </c>
      <c r="C73" s="55"/>
      <c r="D73" s="126" t="s">
        <v>37</v>
      </c>
      <c r="E73" s="126" t="s">
        <v>92</v>
      </c>
      <c r="F73" s="126" t="s">
        <v>226</v>
      </c>
      <c r="G73" s="126"/>
      <c r="H73" s="224"/>
      <c r="I73" s="224"/>
      <c r="J73" s="224"/>
      <c r="K73" s="224"/>
      <c r="L73" s="224"/>
      <c r="M73" s="224"/>
      <c r="N73" s="1353" t="s">
        <v>2255</v>
      </c>
      <c r="O73" s="1354"/>
      <c r="P73" s="1354"/>
      <c r="Q73" s="1354"/>
      <c r="R73" s="1354"/>
      <c r="S73" s="1355"/>
      <c r="T73" s="223"/>
    </row>
    <row r="74" spans="1:21" s="129" customFormat="1" x14ac:dyDescent="0.45">
      <c r="B74" s="118">
        <f t="shared" si="3"/>
        <v>23</v>
      </c>
      <c r="C74" s="55"/>
      <c r="D74" s="126" t="s">
        <v>37</v>
      </c>
      <c r="E74" s="126" t="s">
        <v>94</v>
      </c>
      <c r="F74" s="126" t="s">
        <v>226</v>
      </c>
      <c r="G74" s="126"/>
      <c r="H74" s="224"/>
      <c r="I74" s="224"/>
      <c r="J74" s="224"/>
      <c r="K74" s="224"/>
      <c r="L74" s="224"/>
      <c r="M74" s="224"/>
      <c r="N74" s="1353" t="s">
        <v>2256</v>
      </c>
      <c r="O74" s="1354"/>
      <c r="P74" s="1354"/>
      <c r="Q74" s="1354"/>
      <c r="R74" s="1354"/>
      <c r="S74" s="1355"/>
      <c r="T74" s="223"/>
    </row>
    <row r="75" spans="1:21" s="129" customFormat="1" x14ac:dyDescent="0.45">
      <c r="B75" s="118">
        <f t="shared" si="3"/>
        <v>24</v>
      </c>
      <c r="C75" s="55"/>
      <c r="D75" s="126" t="s">
        <v>37</v>
      </c>
      <c r="E75" s="126" t="s">
        <v>411</v>
      </c>
      <c r="F75" s="126" t="s">
        <v>226</v>
      </c>
      <c r="G75" s="126"/>
      <c r="H75" s="224"/>
      <c r="I75" s="224"/>
      <c r="J75" s="224"/>
      <c r="K75" s="224"/>
      <c r="L75" s="224"/>
      <c r="M75" s="224"/>
      <c r="N75" s="1353" t="s">
        <v>2257</v>
      </c>
      <c r="O75" s="1354"/>
      <c r="P75" s="1354"/>
      <c r="Q75" s="1354"/>
      <c r="R75" s="1354"/>
      <c r="S75" s="1355"/>
      <c r="T75" s="223"/>
    </row>
    <row r="76" spans="1:21" s="129" customFormat="1" x14ac:dyDescent="0.45">
      <c r="B76" s="118">
        <f t="shared" si="3"/>
        <v>25</v>
      </c>
      <c r="C76" s="55"/>
      <c r="D76" s="126" t="s">
        <v>37</v>
      </c>
      <c r="E76" s="126" t="s">
        <v>415</v>
      </c>
      <c r="F76" s="126" t="s">
        <v>226</v>
      </c>
      <c r="G76" s="126"/>
      <c r="H76" s="224"/>
      <c r="I76" s="224"/>
      <c r="J76" s="224"/>
      <c r="K76" s="224"/>
      <c r="L76" s="224"/>
      <c r="M76" s="224"/>
      <c r="N76" s="1353" t="s">
        <v>2258</v>
      </c>
      <c r="O76" s="1354"/>
      <c r="P76" s="1354"/>
      <c r="Q76" s="1354"/>
      <c r="R76" s="1354"/>
      <c r="S76" s="1355"/>
      <c r="T76" s="223"/>
    </row>
    <row r="77" spans="1:21" x14ac:dyDescent="0.45">
      <c r="B77" s="118">
        <f t="shared" si="3"/>
        <v>26</v>
      </c>
      <c r="D77" s="126" t="s">
        <v>37</v>
      </c>
      <c r="E77" s="126" t="s">
        <v>427</v>
      </c>
      <c r="F77" s="126" t="s">
        <v>226</v>
      </c>
      <c r="H77" s="224"/>
      <c r="I77" s="224"/>
      <c r="J77" s="224"/>
      <c r="K77" s="224"/>
      <c r="L77" s="224"/>
      <c r="M77" s="224"/>
      <c r="N77" s="1353" t="s">
        <v>2259</v>
      </c>
      <c r="O77" s="1354"/>
      <c r="P77" s="1354"/>
      <c r="Q77" s="1354"/>
      <c r="R77" s="1354"/>
      <c r="S77" s="1355"/>
      <c r="T77" s="223"/>
    </row>
    <row r="78" spans="1:21" x14ac:dyDescent="0.45">
      <c r="B78" s="118">
        <f t="shared" si="3"/>
        <v>27</v>
      </c>
      <c r="D78" s="126" t="s">
        <v>37</v>
      </c>
      <c r="E78" s="126" t="s">
        <v>437</v>
      </c>
      <c r="F78" s="126" t="s">
        <v>226</v>
      </c>
      <c r="H78" s="224"/>
      <c r="I78" s="224"/>
      <c r="J78" s="224"/>
      <c r="K78" s="224"/>
      <c r="L78" s="224"/>
      <c r="M78" s="224"/>
      <c r="N78" s="1353" t="s">
        <v>2260</v>
      </c>
      <c r="O78" s="1354"/>
      <c r="P78" s="1354"/>
      <c r="Q78" s="1354"/>
      <c r="R78" s="1354"/>
      <c r="S78" s="1355"/>
      <c r="T78" s="223"/>
    </row>
    <row r="79" spans="1:21" x14ac:dyDescent="0.45">
      <c r="B79" s="118">
        <f t="shared" si="3"/>
        <v>28</v>
      </c>
      <c r="D79" s="126" t="s">
        <v>37</v>
      </c>
      <c r="E79" s="126" t="s">
        <v>150</v>
      </c>
      <c r="F79" s="126" t="s">
        <v>226</v>
      </c>
      <c r="H79" s="224"/>
      <c r="I79" s="224"/>
      <c r="J79" s="224"/>
      <c r="K79" s="224"/>
      <c r="L79" s="224"/>
      <c r="M79" s="224"/>
      <c r="N79" s="1353" t="s">
        <v>2261</v>
      </c>
      <c r="O79" s="1354"/>
      <c r="P79" s="1354"/>
      <c r="Q79" s="1354"/>
      <c r="R79" s="1354"/>
      <c r="S79" s="1355"/>
      <c r="T79" s="223"/>
      <c r="U79" s="126"/>
    </row>
    <row r="80" spans="1:21" x14ac:dyDescent="0.45">
      <c r="B80" s="118">
        <f t="shared" si="3"/>
        <v>29</v>
      </c>
      <c r="D80" s="126" t="s">
        <v>37</v>
      </c>
      <c r="E80" s="126" t="s">
        <v>153</v>
      </c>
      <c r="F80" s="126" t="s">
        <v>226</v>
      </c>
      <c r="H80" s="224"/>
      <c r="I80" s="224"/>
      <c r="J80" s="224"/>
      <c r="K80" s="224"/>
      <c r="L80" s="224"/>
      <c r="M80" s="224"/>
      <c r="N80" s="1353" t="s">
        <v>2262</v>
      </c>
      <c r="O80" s="1354"/>
      <c r="P80" s="1354"/>
      <c r="Q80" s="1354"/>
      <c r="R80" s="1354"/>
      <c r="S80" s="1355"/>
      <c r="T80" s="223"/>
    </row>
    <row r="81" spans="19:19" x14ac:dyDescent="0.45">
      <c r="S81" s="126">
        <f>8*12+6*12+8+12+12+12+5</f>
        <v>217</v>
      </c>
    </row>
  </sheetData>
  <mergeCells count="90">
    <mergeCell ref="L57:S57"/>
    <mergeCell ref="L58:S58"/>
    <mergeCell ref="L59:S59"/>
    <mergeCell ref="L60:S60"/>
    <mergeCell ref="L61:S61"/>
    <mergeCell ref="N77:S77"/>
    <mergeCell ref="N78:S78"/>
    <mergeCell ref="N79:S79"/>
    <mergeCell ref="L64:S64"/>
    <mergeCell ref="L65:S65"/>
    <mergeCell ref="L66:S66"/>
    <mergeCell ref="N80:S80"/>
    <mergeCell ref="K11:M11"/>
    <mergeCell ref="N11:P11"/>
    <mergeCell ref="Q11:S11"/>
    <mergeCell ref="N72:S72"/>
    <mergeCell ref="N73:S73"/>
    <mergeCell ref="N74:S74"/>
    <mergeCell ref="N75:S75"/>
    <mergeCell ref="N76:S76"/>
    <mergeCell ref="L67:S67"/>
    <mergeCell ref="L68:S68"/>
    <mergeCell ref="N69:S69"/>
    <mergeCell ref="N70:S70"/>
    <mergeCell ref="N71:S71"/>
    <mergeCell ref="L62:S62"/>
    <mergeCell ref="L63:S63"/>
    <mergeCell ref="P55:S55"/>
    <mergeCell ref="H56:K56"/>
    <mergeCell ref="L56:O56"/>
    <mergeCell ref="P56:S56"/>
    <mergeCell ref="P38:S38"/>
    <mergeCell ref="I42:K42"/>
    <mergeCell ref="N45:O45"/>
    <mergeCell ref="L52:S52"/>
    <mergeCell ref="H53:L53"/>
    <mergeCell ref="M53:S53"/>
    <mergeCell ref="H47:S47"/>
    <mergeCell ref="H54:I54"/>
    <mergeCell ref="J54:N54"/>
    <mergeCell ref="O54:S54"/>
    <mergeCell ref="N10:P10"/>
    <mergeCell ref="K10:M10"/>
    <mergeCell ref="O18:S18"/>
    <mergeCell ref="J19:N19"/>
    <mergeCell ref="J18:N18"/>
    <mergeCell ref="Q10:S10"/>
    <mergeCell ref="H14:S14"/>
    <mergeCell ref="H15:S15"/>
    <mergeCell ref="H16:S16"/>
    <mergeCell ref="O17:S17"/>
    <mergeCell ref="P13:S13"/>
    <mergeCell ref="L13:O13"/>
    <mergeCell ref="H13:K13"/>
    <mergeCell ref="J17:N17"/>
    <mergeCell ref="O19:S19"/>
    <mergeCell ref="O3:S3"/>
    <mergeCell ref="H4:K4"/>
    <mergeCell ref="N5:S5"/>
    <mergeCell ref="L9:M9"/>
    <mergeCell ref="P4:Q4"/>
    <mergeCell ref="L6:S6"/>
    <mergeCell ref="H7:O7"/>
    <mergeCell ref="H6:K6"/>
    <mergeCell ref="P7:S7"/>
    <mergeCell ref="H30:S30"/>
    <mergeCell ref="P45:S45"/>
    <mergeCell ref="P43:S43"/>
    <mergeCell ref="H44:S44"/>
    <mergeCell ref="H32:S32"/>
    <mergeCell ref="H33:M33"/>
    <mergeCell ref="H36:K36"/>
    <mergeCell ref="N36:O36"/>
    <mergeCell ref="R36:S36"/>
    <mergeCell ref="H37:S37"/>
    <mergeCell ref="I31:J31"/>
    <mergeCell ref="K31:S31"/>
    <mergeCell ref="J21:N21"/>
    <mergeCell ref="J20:N20"/>
    <mergeCell ref="O20:S20"/>
    <mergeCell ref="O21:S21"/>
    <mergeCell ref="J22:N22"/>
    <mergeCell ref="O22:S22"/>
    <mergeCell ref="K24:S24"/>
    <mergeCell ref="N23:S23"/>
    <mergeCell ref="H23:M23"/>
    <mergeCell ref="J28:S28"/>
    <mergeCell ref="J29:S29"/>
    <mergeCell ref="J25:S25"/>
    <mergeCell ref="J26:S2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AB8-26ED-43BC-B111-F2154D366221}">
  <sheetPr>
    <tabColor rgb="FF0000FF"/>
  </sheetPr>
  <dimension ref="B1:AQ76"/>
  <sheetViews>
    <sheetView showGridLines="0" topLeftCell="B1" zoomScale="85" zoomScaleNormal="85" workbookViewId="0">
      <selection activeCell="B1" sqref="B1"/>
    </sheetView>
  </sheetViews>
  <sheetFormatPr defaultRowHeight="16.399999999999999" customHeight="1" x14ac:dyDescent="0.45"/>
  <cols>
    <col min="2" max="2" width="8.58203125" style="8"/>
    <col min="3" max="17" width="5.58203125" style="8" customWidth="1"/>
    <col min="18" max="19" width="8.58203125" customWidth="1"/>
    <col min="20" max="20" width="9.75" bestFit="1" customWidth="1"/>
    <col min="21" max="23" width="9.75" customWidth="1"/>
    <col min="24" max="24" width="9.08203125" bestFit="1" customWidth="1"/>
    <col min="25" max="26" width="4.08203125" bestFit="1" customWidth="1"/>
    <col min="27" max="27" width="5.08203125" bestFit="1" customWidth="1"/>
    <col min="28" max="28" width="4.83203125" bestFit="1" customWidth="1"/>
    <col min="29" max="29" width="4.08203125" bestFit="1" customWidth="1"/>
    <col min="30" max="30" width="5.08203125" bestFit="1" customWidth="1"/>
    <col min="31" max="31" width="8.58203125" style="8"/>
    <col min="32" max="32" width="4.5" style="8" bestFit="1" customWidth="1"/>
    <col min="33" max="33" width="12.33203125" style="8" bestFit="1" customWidth="1"/>
    <col min="34" max="34" width="6.33203125" style="4" bestFit="1" customWidth="1"/>
    <col min="35" max="35" width="20.83203125" style="8" bestFit="1" customWidth="1"/>
    <col min="36" max="36" width="6.83203125" bestFit="1" customWidth="1"/>
    <col min="37" max="37" width="15.58203125" bestFit="1" customWidth="1"/>
    <col min="38" max="38" width="8.58203125" style="8"/>
    <col min="39" max="39" width="3.83203125" style="8" bestFit="1" customWidth="1"/>
    <col min="40" max="40" width="12.33203125" style="8" bestFit="1" customWidth="1"/>
    <col min="41" max="41" width="6.33203125" style="4" bestFit="1" customWidth="1"/>
    <col min="42" max="42" width="20.83203125" style="8" bestFit="1" customWidth="1"/>
    <col min="43" max="43" width="6.83203125" bestFit="1" customWidth="1"/>
  </cols>
  <sheetData>
    <row r="1" spans="2:43" ht="16.399999999999999" customHeight="1" x14ac:dyDescent="0.45">
      <c r="Z1" s="8"/>
      <c r="AA1" s="8"/>
      <c r="AB1" s="8"/>
      <c r="AC1" s="8"/>
    </row>
    <row r="2" spans="2:43" s="1228" customFormat="1" ht="26" thickBot="1" x14ac:dyDescent="0.5">
      <c r="B2" s="1226"/>
      <c r="C2" s="1227" t="s">
        <v>2848</v>
      </c>
      <c r="D2" s="1226"/>
      <c r="E2" s="1226"/>
      <c r="F2" s="1226"/>
      <c r="G2" s="1226"/>
      <c r="H2" s="1226"/>
      <c r="I2" s="1226"/>
      <c r="J2" s="1226"/>
      <c r="K2" s="1226"/>
      <c r="L2" s="1226"/>
      <c r="M2" s="1226"/>
      <c r="N2" s="1226"/>
      <c r="O2" s="1226"/>
      <c r="P2" s="1226"/>
      <c r="Q2" s="1226"/>
      <c r="AE2" s="1226"/>
      <c r="AF2" s="1226"/>
      <c r="AG2" s="1226"/>
      <c r="AH2" s="1229"/>
      <c r="AI2" s="1226"/>
      <c r="AL2" s="1226"/>
      <c r="AM2" s="1226"/>
      <c r="AN2" s="1226"/>
      <c r="AO2" s="1229"/>
      <c r="AP2" s="1226"/>
    </row>
    <row r="3" spans="2:43" ht="16.399999999999999" customHeight="1" x14ac:dyDescent="0.45">
      <c r="C3" s="12"/>
      <c r="D3" s="13"/>
      <c r="E3" s="17" t="s">
        <v>10</v>
      </c>
      <c r="F3" s="13"/>
      <c r="G3" s="17" t="s">
        <v>10</v>
      </c>
      <c r="H3" s="13"/>
      <c r="I3" s="17" t="s">
        <v>10</v>
      </c>
      <c r="J3" s="13"/>
      <c r="K3" s="17" t="s">
        <v>10</v>
      </c>
      <c r="L3" s="13"/>
      <c r="M3" s="17" t="s">
        <v>10</v>
      </c>
      <c r="N3" s="13"/>
      <c r="O3" s="17" t="s">
        <v>10</v>
      </c>
      <c r="P3" s="13"/>
      <c r="Q3" s="14"/>
      <c r="AE3"/>
      <c r="AH3" s="8"/>
      <c r="AI3" s="4"/>
      <c r="AJ3" s="8"/>
      <c r="AK3" s="8"/>
      <c r="AL3"/>
      <c r="AO3" s="8"/>
      <c r="AP3" s="4"/>
      <c r="AQ3" s="8"/>
    </row>
    <row r="4" spans="2:43" ht="16.399999999999999" customHeight="1" thickBot="1" x14ac:dyDescent="0.5">
      <c r="C4" s="15"/>
      <c r="E4" s="1231">
        <v>1</v>
      </c>
      <c r="F4" s="132"/>
      <c r="G4" s="1231">
        <v>2</v>
      </c>
      <c r="H4" s="132"/>
      <c r="I4" s="1231">
        <v>3</v>
      </c>
      <c r="J4" s="132"/>
      <c r="K4" s="1231">
        <v>4</v>
      </c>
      <c r="L4" s="132"/>
      <c r="M4" s="1231">
        <v>5</v>
      </c>
      <c r="N4" s="132"/>
      <c r="O4" s="1231">
        <v>6</v>
      </c>
      <c r="Q4" s="16"/>
      <c r="X4" s="2" t="s">
        <v>10</v>
      </c>
      <c r="Y4" s="3">
        <v>4</v>
      </c>
      <c r="Z4" s="3">
        <v>6</v>
      </c>
      <c r="AA4" s="21">
        <v>10</v>
      </c>
      <c r="AB4" s="3" t="s">
        <v>1289</v>
      </c>
      <c r="AC4" s="3"/>
      <c r="AD4" s="3"/>
      <c r="AE4"/>
      <c r="AF4" s="60"/>
      <c r="AG4" s="682"/>
      <c r="AH4" s="682"/>
      <c r="AI4" s="56"/>
      <c r="AJ4" s="60"/>
      <c r="AK4" s="60"/>
      <c r="AL4"/>
      <c r="AM4" s="60"/>
      <c r="AN4" s="682"/>
      <c r="AO4" s="682"/>
      <c r="AP4" s="56"/>
      <c r="AQ4" s="60"/>
    </row>
    <row r="5" spans="2:43" ht="16.399999999999999" customHeight="1" x14ac:dyDescent="0.45">
      <c r="C5" s="15"/>
      <c r="E5" s="8">
        <v>24</v>
      </c>
      <c r="G5" s="8">
        <v>23</v>
      </c>
      <c r="I5" s="8">
        <v>22</v>
      </c>
      <c r="K5" s="8">
        <v>21</v>
      </c>
      <c r="M5" s="8">
        <v>20</v>
      </c>
      <c r="O5" s="8">
        <v>19</v>
      </c>
      <c r="Q5" s="16"/>
      <c r="X5" s="2" t="s">
        <v>1285</v>
      </c>
      <c r="Y5">
        <v>36</v>
      </c>
      <c r="Z5">
        <v>36</v>
      </c>
      <c r="AA5">
        <v>36</v>
      </c>
      <c r="AE5"/>
      <c r="AF5" s="57" t="s">
        <v>1578</v>
      </c>
      <c r="AG5" s="60" t="s">
        <v>1613</v>
      </c>
      <c r="AH5" s="60" t="s">
        <v>1616</v>
      </c>
      <c r="AI5" s="60" t="s">
        <v>1612</v>
      </c>
      <c r="AJ5" s="60" t="s">
        <v>1611</v>
      </c>
      <c r="AK5" s="60" t="s">
        <v>1968</v>
      </c>
      <c r="AL5"/>
      <c r="AM5" s="57" t="s">
        <v>1625</v>
      </c>
      <c r="AN5" s="60" t="s">
        <v>1613</v>
      </c>
      <c r="AO5" s="60" t="s">
        <v>1616</v>
      </c>
      <c r="AP5" s="60" t="s">
        <v>1612</v>
      </c>
      <c r="AQ5" s="60" t="s">
        <v>1611</v>
      </c>
    </row>
    <row r="6" spans="2:43" ht="16.399999999999999" customHeight="1" thickBot="1" x14ac:dyDescent="0.5">
      <c r="C6" s="15"/>
      <c r="Q6" s="16"/>
      <c r="X6" s="2" t="s">
        <v>1286</v>
      </c>
      <c r="Y6">
        <v>1</v>
      </c>
      <c r="Z6">
        <v>1</v>
      </c>
      <c r="AA6">
        <v>1</v>
      </c>
      <c r="AE6"/>
      <c r="AF6" s="60">
        <v>1</v>
      </c>
      <c r="AG6" s="8" t="s">
        <v>1577</v>
      </c>
      <c r="AH6" s="8" t="s">
        <v>1617</v>
      </c>
      <c r="AI6" s="4" t="s">
        <v>1609</v>
      </c>
      <c r="AJ6" s="8"/>
      <c r="AK6" s="8"/>
      <c r="AL6"/>
      <c r="AM6" s="60">
        <v>1</v>
      </c>
      <c r="AN6" s="8" t="s">
        <v>1626</v>
      </c>
      <c r="AO6" s="8" t="s">
        <v>1619</v>
      </c>
      <c r="AP6" s="4" t="s">
        <v>1615</v>
      </c>
      <c r="AQ6" s="8" t="s">
        <v>1610</v>
      </c>
    </row>
    <row r="7" spans="2:43" ht="16.399999999999999" customHeight="1" x14ac:dyDescent="0.45">
      <c r="C7" s="403" t="s">
        <v>11</v>
      </c>
      <c r="D7" s="4">
        <v>1</v>
      </c>
      <c r="P7" s="1">
        <v>18</v>
      </c>
      <c r="Q7" s="403" t="s">
        <v>11</v>
      </c>
      <c r="X7" s="2" t="s">
        <v>1287</v>
      </c>
      <c r="Y7">
        <f>Y5*Y6</f>
        <v>36</v>
      </c>
      <c r="Z7">
        <f>Z5*Z6</f>
        <v>36</v>
      </c>
      <c r="AA7">
        <f>AA5*AA6</f>
        <v>36</v>
      </c>
      <c r="AE7"/>
      <c r="AF7" s="60">
        <v>2</v>
      </c>
      <c r="AG7" s="8" t="s">
        <v>1579</v>
      </c>
      <c r="AH7" s="8" t="s">
        <v>1617</v>
      </c>
      <c r="AI7" s="4" t="s">
        <v>1609</v>
      </c>
      <c r="AJ7" s="8"/>
      <c r="AK7" s="8"/>
      <c r="AL7"/>
      <c r="AM7" s="60">
        <v>2</v>
      </c>
      <c r="AN7" s="8" t="s">
        <v>1627</v>
      </c>
      <c r="AO7" s="8" t="s">
        <v>1619</v>
      </c>
      <c r="AP7" s="4" t="s">
        <v>1615</v>
      </c>
      <c r="AQ7" s="8" t="s">
        <v>1610</v>
      </c>
    </row>
    <row r="8" spans="2:43" ht="16.399999999999999" customHeight="1" thickBot="1" x14ac:dyDescent="0.5">
      <c r="C8" s="404"/>
      <c r="D8" s="4"/>
      <c r="P8" s="1"/>
      <c r="Q8" s="404"/>
      <c r="X8" s="2" t="s">
        <v>1284</v>
      </c>
      <c r="Y8">
        <f>+Y4*Y7</f>
        <v>144</v>
      </c>
      <c r="Z8">
        <f>+Z4*Z7</f>
        <v>216</v>
      </c>
      <c r="AA8">
        <f>+AA4*AA7</f>
        <v>360</v>
      </c>
      <c r="AB8">
        <f>Y8/$Y$8</f>
        <v>1</v>
      </c>
      <c r="AC8">
        <f>Z8/$Y$8</f>
        <v>1.5</v>
      </c>
      <c r="AD8">
        <f>AA8/$Y$8</f>
        <v>2.5</v>
      </c>
      <c r="AE8"/>
      <c r="AF8" s="60">
        <v>3</v>
      </c>
      <c r="AG8" s="8" t="s">
        <v>1580</v>
      </c>
      <c r="AH8" s="8" t="s">
        <v>1617</v>
      </c>
      <c r="AI8" s="4" t="s">
        <v>1609</v>
      </c>
      <c r="AJ8" s="8"/>
      <c r="AK8" s="8"/>
      <c r="AL8"/>
      <c r="AM8" s="60">
        <v>3</v>
      </c>
      <c r="AN8" s="8" t="s">
        <v>1923</v>
      </c>
      <c r="AO8" s="8" t="s">
        <v>1617</v>
      </c>
      <c r="AP8" s="4" t="s">
        <v>1609</v>
      </c>
      <c r="AQ8" s="8"/>
    </row>
    <row r="9" spans="2:43" ht="16.399999999999999" customHeight="1" x14ac:dyDescent="0.45">
      <c r="C9" s="15"/>
      <c r="D9" s="4"/>
      <c r="P9" s="1"/>
      <c r="Q9" s="16"/>
      <c r="X9" s="2" t="s">
        <v>1288</v>
      </c>
      <c r="Y9">
        <f>1*1</f>
        <v>1</v>
      </c>
      <c r="Z9">
        <f>1*1</f>
        <v>1</v>
      </c>
      <c r="AA9">
        <f>1.8*1.8</f>
        <v>3.24</v>
      </c>
      <c r="AB9">
        <f>Y9/$Y$9</f>
        <v>1</v>
      </c>
      <c r="AC9">
        <f>Z9/$Y$9</f>
        <v>1</v>
      </c>
      <c r="AD9">
        <f>AA9/$Y$9</f>
        <v>3.24</v>
      </c>
      <c r="AE9" s="1"/>
      <c r="AF9" s="60">
        <v>4</v>
      </c>
      <c r="AG9" s="8" t="s">
        <v>1581</v>
      </c>
      <c r="AH9" s="8" t="s">
        <v>1618</v>
      </c>
      <c r="AI9" s="4"/>
      <c r="AJ9" s="8" t="s">
        <v>1610</v>
      </c>
      <c r="AK9" s="8"/>
      <c r="AL9" s="1"/>
      <c r="AM9" s="60">
        <v>4</v>
      </c>
      <c r="AN9" s="8" t="s">
        <v>1851</v>
      </c>
      <c r="AO9" s="8" t="s">
        <v>1618</v>
      </c>
      <c r="AP9" s="4"/>
      <c r="AQ9" s="8" t="s">
        <v>1610</v>
      </c>
    </row>
    <row r="10" spans="2:43" ht="16.399999999999999" customHeight="1" thickBot="1" x14ac:dyDescent="0.5">
      <c r="C10" s="15"/>
      <c r="D10" s="4"/>
      <c r="P10" s="1"/>
      <c r="Q10" s="16"/>
      <c r="X10" s="2" t="s">
        <v>1293</v>
      </c>
      <c r="Y10">
        <f>2*2</f>
        <v>4</v>
      </c>
      <c r="Z10">
        <f>2*2</f>
        <v>4</v>
      </c>
      <c r="AA10">
        <f>3*3</f>
        <v>9</v>
      </c>
      <c r="AB10">
        <f>Y10/$Y$10</f>
        <v>1</v>
      </c>
      <c r="AC10">
        <f>Z10/$Y$10</f>
        <v>1</v>
      </c>
      <c r="AD10">
        <f>AA10/$Y$10</f>
        <v>2.25</v>
      </c>
      <c r="AE10" s="1"/>
      <c r="AF10" s="60">
        <v>5</v>
      </c>
      <c r="AG10" s="8" t="s">
        <v>1582</v>
      </c>
      <c r="AH10" s="8" t="s">
        <v>1617</v>
      </c>
      <c r="AI10" s="4"/>
      <c r="AJ10" s="8"/>
      <c r="AK10" s="8"/>
      <c r="AL10" s="1"/>
      <c r="AM10" s="60">
        <v>5</v>
      </c>
      <c r="AN10" s="8" t="s">
        <v>1448</v>
      </c>
      <c r="AO10" s="8" t="s">
        <v>1624</v>
      </c>
      <c r="AP10" s="4"/>
      <c r="AQ10" s="8"/>
    </row>
    <row r="11" spans="2:43" ht="16.399999999999999" customHeight="1" x14ac:dyDescent="0.45">
      <c r="C11" s="401" t="s">
        <v>14</v>
      </c>
      <c r="D11" s="4">
        <v>2</v>
      </c>
      <c r="P11" s="1">
        <v>17</v>
      </c>
      <c r="Q11" s="401" t="s">
        <v>14</v>
      </c>
      <c r="AE11" s="1"/>
      <c r="AF11" s="60">
        <v>6</v>
      </c>
      <c r="AG11" s="8" t="s">
        <v>1583</v>
      </c>
      <c r="AH11" s="8" t="s">
        <v>1617</v>
      </c>
      <c r="AI11" s="4" t="s">
        <v>1609</v>
      </c>
      <c r="AJ11" s="8"/>
      <c r="AK11" s="8"/>
      <c r="AL11" s="1"/>
      <c r="AM11" s="60">
        <v>6</v>
      </c>
      <c r="AN11" s="8" t="s">
        <v>1449</v>
      </c>
      <c r="AO11" s="8" t="s">
        <v>1624</v>
      </c>
      <c r="AP11" s="4"/>
      <c r="AQ11" s="8"/>
    </row>
    <row r="12" spans="2:43" ht="16.399999999999999" customHeight="1" thickBot="1" x14ac:dyDescent="0.5">
      <c r="C12" s="402"/>
      <c r="D12" s="4"/>
      <c r="P12" s="1"/>
      <c r="Q12" s="402"/>
      <c r="X12" s="1"/>
      <c r="Z12" s="1"/>
      <c r="AA12" s="1"/>
      <c r="AB12" s="1"/>
      <c r="AC12" s="1"/>
      <c r="AD12" s="1"/>
      <c r="AE12" s="1"/>
      <c r="AF12" s="60">
        <v>7</v>
      </c>
      <c r="AG12" s="104" t="s">
        <v>1584</v>
      </c>
      <c r="AH12" s="8" t="s">
        <v>1617</v>
      </c>
      <c r="AI12" s="4" t="s">
        <v>1609</v>
      </c>
      <c r="AJ12" s="8"/>
      <c r="AK12" s="8"/>
      <c r="AL12" s="1"/>
      <c r="AM12" s="60">
        <v>7</v>
      </c>
      <c r="AN12" s="8" t="s">
        <v>1452</v>
      </c>
      <c r="AO12" s="8" t="s">
        <v>1624</v>
      </c>
      <c r="AP12" s="4"/>
      <c r="AQ12" s="8"/>
    </row>
    <row r="13" spans="2:43" ht="16.399999999999999" customHeight="1" x14ac:dyDescent="0.45">
      <c r="C13" s="15"/>
      <c r="D13" s="4"/>
      <c r="P13" s="1"/>
      <c r="Q13" s="16"/>
      <c r="X13" s="1"/>
      <c r="Z13" s="1"/>
      <c r="AA13" s="1"/>
      <c r="AB13" s="1"/>
      <c r="AC13" s="1"/>
      <c r="AD13" s="1"/>
      <c r="AE13" s="1"/>
      <c r="AF13" s="60">
        <v>8</v>
      </c>
      <c r="AG13" s="8" t="s">
        <v>1585</v>
      </c>
      <c r="AH13" s="8" t="s">
        <v>1619</v>
      </c>
      <c r="AI13" s="4" t="s">
        <v>1615</v>
      </c>
      <c r="AJ13" s="8" t="s">
        <v>1610</v>
      </c>
      <c r="AK13" s="8"/>
      <c r="AL13" s="1"/>
      <c r="AM13" s="60">
        <v>8</v>
      </c>
      <c r="AN13" s="8" t="s">
        <v>1453</v>
      </c>
      <c r="AO13" s="8" t="s">
        <v>1624</v>
      </c>
      <c r="AP13" s="4"/>
      <c r="AQ13" s="8"/>
    </row>
    <row r="14" spans="2:43" ht="16.399999999999999" customHeight="1" thickBot="1" x14ac:dyDescent="0.5">
      <c r="C14" s="15"/>
      <c r="D14" s="4"/>
      <c r="P14" s="1"/>
      <c r="Q14" s="16"/>
      <c r="X14" s="1"/>
      <c r="Z14" s="1"/>
      <c r="AA14" s="1"/>
      <c r="AB14" s="1"/>
      <c r="AC14" s="1"/>
      <c r="AD14" s="1"/>
      <c r="AE14" s="1"/>
      <c r="AF14" s="60">
        <v>9</v>
      </c>
      <c r="AG14" s="8" t="s">
        <v>1586</v>
      </c>
      <c r="AH14" s="8" t="s">
        <v>1619</v>
      </c>
      <c r="AI14" s="4" t="s">
        <v>1615</v>
      </c>
      <c r="AJ14" s="8" t="s">
        <v>1610</v>
      </c>
      <c r="AK14" s="8"/>
      <c r="AL14" s="1"/>
      <c r="AM14" s="60">
        <v>9</v>
      </c>
      <c r="AN14" s="8" t="s">
        <v>1454</v>
      </c>
      <c r="AO14" s="8" t="s">
        <v>1624</v>
      </c>
      <c r="AP14" s="4"/>
      <c r="AQ14" s="8"/>
    </row>
    <row r="15" spans="2:43" ht="16.399999999999999" customHeight="1" x14ac:dyDescent="0.45">
      <c r="C15" s="401" t="s">
        <v>14</v>
      </c>
      <c r="D15" s="4">
        <v>3</v>
      </c>
      <c r="P15" s="1">
        <v>16</v>
      </c>
      <c r="Q15" s="401" t="s">
        <v>14</v>
      </c>
      <c r="X15" s="1"/>
      <c r="Z15" s="1"/>
      <c r="AA15" s="1"/>
      <c r="AB15" s="1"/>
      <c r="AC15" s="1"/>
      <c r="AD15" s="1"/>
      <c r="AE15" s="1"/>
      <c r="AF15" s="60">
        <v>10</v>
      </c>
      <c r="AG15" s="8" t="s">
        <v>1587</v>
      </c>
      <c r="AH15" s="8" t="s">
        <v>1619</v>
      </c>
      <c r="AI15" s="4" t="s">
        <v>1614</v>
      </c>
      <c r="AJ15" s="8" t="s">
        <v>1610</v>
      </c>
      <c r="AK15" s="8"/>
      <c r="AL15" s="1"/>
      <c r="AM15" s="60">
        <v>10</v>
      </c>
      <c r="AN15" s="8" t="s">
        <v>1455</v>
      </c>
      <c r="AO15" s="8" t="s">
        <v>1624</v>
      </c>
      <c r="AP15" s="4"/>
      <c r="AQ15" s="8"/>
    </row>
    <row r="16" spans="2:43" ht="16.399999999999999" customHeight="1" thickBot="1" x14ac:dyDescent="0.5">
      <c r="C16" s="402"/>
      <c r="D16" s="4"/>
      <c r="P16" s="1"/>
      <c r="Q16" s="402"/>
      <c r="X16" s="1"/>
      <c r="Z16" s="1"/>
      <c r="AA16" s="1"/>
      <c r="AB16" s="1"/>
      <c r="AC16" s="1"/>
      <c r="AD16" s="1"/>
      <c r="AE16" s="1"/>
      <c r="AF16" s="60">
        <v>11</v>
      </c>
      <c r="AG16" s="8" t="s">
        <v>1588</v>
      </c>
      <c r="AH16" s="8" t="s">
        <v>1619</v>
      </c>
      <c r="AI16" s="4" t="s">
        <v>1614</v>
      </c>
      <c r="AJ16" s="8" t="s">
        <v>1610</v>
      </c>
      <c r="AK16" s="8"/>
      <c r="AL16" s="1"/>
      <c r="AM16" s="60">
        <v>11</v>
      </c>
      <c r="AN16" s="8" t="s">
        <v>1641</v>
      </c>
      <c r="AO16" s="8" t="s">
        <v>1624</v>
      </c>
      <c r="AP16" s="4"/>
      <c r="AQ16" s="8"/>
    </row>
    <row r="17" spans="3:43" ht="16.399999999999999" customHeight="1" x14ac:dyDescent="0.45">
      <c r="C17" s="15"/>
      <c r="D17" s="4"/>
      <c r="P17" s="1"/>
      <c r="Q17" s="16"/>
      <c r="X17" s="1"/>
      <c r="Z17" s="1"/>
      <c r="AA17" s="1"/>
      <c r="AB17" s="1"/>
      <c r="AC17" s="1"/>
      <c r="AD17" s="1"/>
      <c r="AE17" s="1"/>
      <c r="AF17" s="60">
        <v>12</v>
      </c>
      <c r="AG17" s="8" t="s">
        <v>1589</v>
      </c>
      <c r="AH17" s="8" t="s">
        <v>1619</v>
      </c>
      <c r="AI17" s="4" t="s">
        <v>1614</v>
      </c>
      <c r="AJ17" s="8" t="s">
        <v>1610</v>
      </c>
      <c r="AK17" s="8"/>
      <c r="AL17" s="1"/>
      <c r="AM17" s="60">
        <v>12</v>
      </c>
      <c r="AN17" s="8" t="s">
        <v>1642</v>
      </c>
      <c r="AO17" s="8" t="s">
        <v>1624</v>
      </c>
      <c r="AP17" s="4"/>
      <c r="AQ17" s="8"/>
    </row>
    <row r="18" spans="3:43" ht="16.399999999999999" customHeight="1" thickBot="1" x14ac:dyDescent="0.5">
      <c r="C18" s="15"/>
      <c r="D18" s="4"/>
      <c r="P18" s="1"/>
      <c r="Q18" s="16"/>
      <c r="Z18" s="1"/>
      <c r="AA18" s="1"/>
      <c r="AB18" s="1"/>
      <c r="AC18" s="1"/>
      <c r="AD18" s="1"/>
      <c r="AE18" s="1"/>
      <c r="AF18" s="60">
        <v>13</v>
      </c>
      <c r="AG18" s="8" t="s">
        <v>1590</v>
      </c>
      <c r="AH18" s="8" t="s">
        <v>1619</v>
      </c>
      <c r="AI18" s="4" t="s">
        <v>1614</v>
      </c>
      <c r="AJ18" s="8" t="s">
        <v>1610</v>
      </c>
      <c r="AK18" s="8"/>
      <c r="AL18" s="1"/>
      <c r="AM18" s="60">
        <v>13</v>
      </c>
      <c r="AN18" s="8" t="s">
        <v>1628</v>
      </c>
      <c r="AO18" s="8" t="s">
        <v>1617</v>
      </c>
      <c r="AP18" s="1"/>
      <c r="AQ18" s="8" t="s">
        <v>1640</v>
      </c>
    </row>
    <row r="19" spans="3:43" ht="16.399999999999999" customHeight="1" x14ac:dyDescent="0.45">
      <c r="C19" s="401" t="s">
        <v>14</v>
      </c>
      <c r="D19" s="4">
        <v>4</v>
      </c>
      <c r="P19" s="1">
        <v>15</v>
      </c>
      <c r="Q19" s="401" t="s">
        <v>14</v>
      </c>
      <c r="Z19" s="1"/>
      <c r="AA19" s="1"/>
      <c r="AB19" s="1"/>
      <c r="AC19" s="1"/>
      <c r="AD19" s="1"/>
      <c r="AE19" s="1"/>
      <c r="AF19" s="60">
        <v>14</v>
      </c>
      <c r="AG19" s="8" t="s">
        <v>1591</v>
      </c>
      <c r="AH19" s="8" t="s">
        <v>1619</v>
      </c>
      <c r="AI19" s="4" t="s">
        <v>1614</v>
      </c>
      <c r="AJ19" s="8" t="s">
        <v>1610</v>
      </c>
      <c r="AK19" s="8"/>
      <c r="AL19" s="1"/>
      <c r="AM19" s="60">
        <v>14</v>
      </c>
      <c r="AN19" s="8" t="s">
        <v>1629</v>
      </c>
      <c r="AO19" s="8" t="s">
        <v>1617</v>
      </c>
      <c r="AP19" s="4"/>
      <c r="AQ19" s="8" t="s">
        <v>1640</v>
      </c>
    </row>
    <row r="20" spans="3:43" ht="16.399999999999999" customHeight="1" thickBot="1" x14ac:dyDescent="0.5">
      <c r="C20" s="402"/>
      <c r="D20" s="4"/>
      <c r="P20" s="1"/>
      <c r="Q20" s="402"/>
      <c r="Z20" s="1"/>
      <c r="AA20" s="1"/>
      <c r="AB20" s="1"/>
      <c r="AC20" s="1"/>
      <c r="AD20" s="1"/>
      <c r="AE20" s="1"/>
      <c r="AF20" s="60">
        <v>15</v>
      </c>
      <c r="AG20" s="8" t="s">
        <v>1592</v>
      </c>
      <c r="AH20" s="8" t="s">
        <v>1619</v>
      </c>
      <c r="AI20" s="4" t="s">
        <v>1614</v>
      </c>
      <c r="AJ20" s="8" t="s">
        <v>1610</v>
      </c>
      <c r="AK20" s="8"/>
      <c r="AL20" s="1"/>
      <c r="AM20" s="60">
        <v>15</v>
      </c>
      <c r="AN20" s="8" t="s">
        <v>1630</v>
      </c>
      <c r="AO20" s="8" t="s">
        <v>1617</v>
      </c>
      <c r="AP20" s="4"/>
      <c r="AQ20" s="8" t="s">
        <v>1640</v>
      </c>
    </row>
    <row r="21" spans="3:43" ht="16.399999999999999" customHeight="1" x14ac:dyDescent="0.45">
      <c r="C21" s="15"/>
      <c r="D21" s="4"/>
      <c r="P21" s="1"/>
      <c r="Q21" s="16"/>
      <c r="Z21" s="1"/>
      <c r="AA21" s="1"/>
      <c r="AB21" s="1"/>
      <c r="AC21" s="1"/>
      <c r="AD21" s="1"/>
      <c r="AE21" s="1"/>
      <c r="AF21" s="60">
        <v>16</v>
      </c>
      <c r="AG21" s="8" t="s">
        <v>1593</v>
      </c>
      <c r="AH21" s="8" t="s">
        <v>1619</v>
      </c>
      <c r="AI21" s="4" t="s">
        <v>1614</v>
      </c>
      <c r="AJ21" s="8" t="s">
        <v>1610</v>
      </c>
      <c r="AK21" s="8"/>
      <c r="AL21" s="1"/>
      <c r="AM21" s="60">
        <v>16</v>
      </c>
      <c r="AN21" s="8" t="s">
        <v>1631</v>
      </c>
      <c r="AO21" s="8" t="s">
        <v>1617</v>
      </c>
      <c r="AP21" s="1"/>
      <c r="AQ21" s="8" t="s">
        <v>1640</v>
      </c>
    </row>
    <row r="22" spans="3:43" ht="16.399999999999999" customHeight="1" thickBot="1" x14ac:dyDescent="0.5">
      <c r="C22" s="15"/>
      <c r="D22" s="4"/>
      <c r="P22" s="1"/>
      <c r="Q22" s="16"/>
      <c r="Z22" s="1"/>
      <c r="AA22" s="1"/>
      <c r="AB22" s="1"/>
      <c r="AC22" s="1"/>
      <c r="AD22" s="1"/>
      <c r="AE22" s="1"/>
      <c r="AF22" s="60">
        <v>17</v>
      </c>
      <c r="AG22" s="8" t="s">
        <v>1594</v>
      </c>
      <c r="AH22" s="8" t="s">
        <v>1619</v>
      </c>
      <c r="AI22" s="4" t="s">
        <v>1614</v>
      </c>
      <c r="AJ22" s="8" t="s">
        <v>1610</v>
      </c>
      <c r="AK22" s="8"/>
      <c r="AL22" s="1"/>
      <c r="AM22" s="60">
        <v>17</v>
      </c>
      <c r="AN22" s="8" t="s">
        <v>1632</v>
      </c>
      <c r="AO22" s="8" t="s">
        <v>1617</v>
      </c>
      <c r="AP22" s="1"/>
      <c r="AQ22" s="8" t="s">
        <v>1640</v>
      </c>
    </row>
    <row r="23" spans="3:43" ht="16.399999999999999" customHeight="1" x14ac:dyDescent="0.45">
      <c r="C23" s="405" t="s">
        <v>12</v>
      </c>
      <c r="D23" s="4">
        <v>5</v>
      </c>
      <c r="P23" s="1">
        <v>14</v>
      </c>
      <c r="Q23" s="405" t="s">
        <v>13</v>
      </c>
      <c r="Z23" s="1"/>
      <c r="AA23" s="1"/>
      <c r="AB23" s="1"/>
      <c r="AC23" s="1"/>
      <c r="AD23" s="1"/>
      <c r="AE23" s="1"/>
      <c r="AF23" s="60">
        <v>18</v>
      </c>
      <c r="AG23" s="8" t="s">
        <v>1595</v>
      </c>
      <c r="AH23" s="8" t="s">
        <v>1619</v>
      </c>
      <c r="AI23" s="4" t="s">
        <v>1614</v>
      </c>
      <c r="AJ23" s="8" t="s">
        <v>1610</v>
      </c>
      <c r="AK23" s="8"/>
      <c r="AL23" s="1"/>
      <c r="AM23" s="60">
        <v>18</v>
      </c>
      <c r="AN23" s="8" t="s">
        <v>1633</v>
      </c>
      <c r="AO23" s="8" t="s">
        <v>1617</v>
      </c>
      <c r="AP23" s="1"/>
      <c r="AQ23" s="8" t="s">
        <v>1640</v>
      </c>
    </row>
    <row r="24" spans="3:43" ht="16.399999999999999" customHeight="1" thickBot="1" x14ac:dyDescent="0.5">
      <c r="C24" s="406"/>
      <c r="D24" s="4"/>
      <c r="P24" s="1"/>
      <c r="Q24" s="406"/>
      <c r="Z24" s="1"/>
      <c r="AA24" s="1"/>
      <c r="AB24" s="1"/>
      <c r="AC24" s="1"/>
      <c r="AD24" s="1"/>
      <c r="AE24" s="1"/>
      <c r="AF24" s="60">
        <v>19</v>
      </c>
      <c r="AG24" s="8" t="s">
        <v>1596</v>
      </c>
      <c r="AH24" s="8" t="s">
        <v>1619</v>
      </c>
      <c r="AI24" s="4" t="s">
        <v>1614</v>
      </c>
      <c r="AJ24" s="8" t="s">
        <v>1610</v>
      </c>
      <c r="AK24" s="8"/>
      <c r="AL24" s="1"/>
      <c r="AM24" s="60">
        <v>19</v>
      </c>
      <c r="AN24" s="8" t="s">
        <v>1634</v>
      </c>
      <c r="AO24" s="8" t="s">
        <v>1617</v>
      </c>
      <c r="AP24" s="1"/>
      <c r="AQ24" s="8" t="s">
        <v>1640</v>
      </c>
    </row>
    <row r="25" spans="3:43" ht="16.399999999999999" customHeight="1" x14ac:dyDescent="0.45">
      <c r="C25" s="15"/>
      <c r="D25" s="4"/>
      <c r="P25" s="1"/>
      <c r="Q25" s="16"/>
      <c r="AE25"/>
      <c r="AF25" s="60">
        <v>20</v>
      </c>
      <c r="AG25" s="8" t="s">
        <v>1597</v>
      </c>
      <c r="AH25" s="8" t="s">
        <v>1619</v>
      </c>
      <c r="AI25" s="4" t="s">
        <v>1614</v>
      </c>
      <c r="AJ25" s="8" t="s">
        <v>1610</v>
      </c>
      <c r="AK25" s="8"/>
      <c r="AL25"/>
      <c r="AM25" s="60">
        <v>20</v>
      </c>
      <c r="AN25" s="8" t="s">
        <v>1635</v>
      </c>
      <c r="AO25" s="8" t="s">
        <v>1617</v>
      </c>
      <c r="AP25" s="4"/>
      <c r="AQ25" s="8" t="s">
        <v>1640</v>
      </c>
    </row>
    <row r="26" spans="3:43" ht="16.399999999999999" customHeight="1" thickBot="1" x14ac:dyDescent="0.5">
      <c r="C26" s="15"/>
      <c r="D26" s="4"/>
      <c r="P26" s="1"/>
      <c r="Q26" s="16"/>
      <c r="AE26"/>
      <c r="AF26" s="60">
        <v>21</v>
      </c>
      <c r="AG26" s="8" t="s">
        <v>1598</v>
      </c>
      <c r="AH26" s="8" t="s">
        <v>1619</v>
      </c>
      <c r="AI26" s="4" t="s">
        <v>1614</v>
      </c>
      <c r="AJ26" s="8" t="s">
        <v>1610</v>
      </c>
      <c r="AK26" s="8"/>
      <c r="AL26"/>
      <c r="AM26" s="60">
        <v>21</v>
      </c>
      <c r="AN26" s="8" t="s">
        <v>1636</v>
      </c>
      <c r="AO26" s="8" t="s">
        <v>1617</v>
      </c>
      <c r="AP26" s="4"/>
      <c r="AQ26" s="8" t="s">
        <v>1640</v>
      </c>
    </row>
    <row r="27" spans="3:43" ht="16.399999999999999" customHeight="1" x14ac:dyDescent="0.45">
      <c r="C27" s="408" t="s">
        <v>1923</v>
      </c>
      <c r="D27" s="4">
        <v>6</v>
      </c>
      <c r="P27" s="1">
        <v>13</v>
      </c>
      <c r="Q27" s="408" t="s">
        <v>1851</v>
      </c>
      <c r="AE27"/>
      <c r="AF27" s="60">
        <v>22</v>
      </c>
      <c r="AG27" s="8" t="s">
        <v>1599</v>
      </c>
      <c r="AH27" s="8" t="s">
        <v>1619</v>
      </c>
      <c r="AI27" s="4" t="s">
        <v>1614</v>
      </c>
      <c r="AJ27" s="8" t="s">
        <v>1610</v>
      </c>
      <c r="AK27" s="8"/>
      <c r="AL27"/>
      <c r="AM27" s="60">
        <v>22</v>
      </c>
      <c r="AN27" s="8" t="s">
        <v>1637</v>
      </c>
      <c r="AO27" s="8" t="s">
        <v>1617</v>
      </c>
      <c r="AP27" s="4"/>
      <c r="AQ27" s="8" t="s">
        <v>1640</v>
      </c>
    </row>
    <row r="28" spans="3:43" ht="16.399999999999999" customHeight="1" thickBot="1" x14ac:dyDescent="0.5">
      <c r="C28" s="407"/>
      <c r="D28" s="4"/>
      <c r="P28" s="1"/>
      <c r="Q28" s="407"/>
      <c r="AE28"/>
      <c r="AF28" s="60">
        <v>23</v>
      </c>
      <c r="AG28" s="8" t="s">
        <v>1600</v>
      </c>
      <c r="AH28" s="8" t="s">
        <v>1619</v>
      </c>
      <c r="AI28" s="4" t="s">
        <v>1614</v>
      </c>
      <c r="AJ28" s="8" t="s">
        <v>1610</v>
      </c>
      <c r="AK28" s="8"/>
      <c r="AL28"/>
      <c r="AM28" s="60">
        <v>23</v>
      </c>
      <c r="AN28" s="8" t="s">
        <v>1638</v>
      </c>
      <c r="AO28" s="8" t="s">
        <v>1617</v>
      </c>
      <c r="AP28" s="4"/>
      <c r="AQ28" s="8" t="s">
        <v>1640</v>
      </c>
    </row>
    <row r="29" spans="3:43" ht="16.399999999999999" customHeight="1" x14ac:dyDescent="0.45">
      <c r="C29" s="15"/>
      <c r="Q29" s="16"/>
      <c r="AE29"/>
      <c r="AF29" s="60">
        <v>24</v>
      </c>
      <c r="AG29" s="8" t="s">
        <v>1601</v>
      </c>
      <c r="AH29" s="8" t="s">
        <v>1619</v>
      </c>
      <c r="AI29" s="4" t="s">
        <v>1614</v>
      </c>
      <c r="AJ29" s="8" t="s">
        <v>1610</v>
      </c>
      <c r="AK29" s="8"/>
      <c r="AL29"/>
      <c r="AM29" s="60">
        <v>24</v>
      </c>
      <c r="AN29" s="8" t="s">
        <v>1639</v>
      </c>
      <c r="AO29" s="8" t="s">
        <v>1617</v>
      </c>
      <c r="AP29" s="4"/>
      <c r="AQ29" s="8" t="s">
        <v>1640</v>
      </c>
    </row>
    <row r="30" spans="3:43" ht="16.399999999999999" customHeight="1" thickBot="1" x14ac:dyDescent="0.5">
      <c r="C30" s="15"/>
      <c r="E30" s="8">
        <v>7</v>
      </c>
      <c r="G30" s="8">
        <v>8</v>
      </c>
      <c r="I30" s="8">
        <v>9</v>
      </c>
      <c r="K30" s="8">
        <v>10</v>
      </c>
      <c r="M30" s="8">
        <v>11</v>
      </c>
      <c r="O30" s="8">
        <v>12</v>
      </c>
      <c r="Q30" s="16"/>
      <c r="AE30"/>
      <c r="AF30" s="60">
        <v>25</v>
      </c>
      <c r="AG30" s="8" t="s">
        <v>1602</v>
      </c>
      <c r="AH30" s="8" t="s">
        <v>1619</v>
      </c>
      <c r="AI30" s="4" t="s">
        <v>1614</v>
      </c>
      <c r="AJ30" s="8" t="s">
        <v>1610</v>
      </c>
      <c r="AK30" s="8"/>
      <c r="AL30"/>
      <c r="AO30" s="8"/>
      <c r="AP30" s="4"/>
      <c r="AQ30" s="8"/>
    </row>
    <row r="31" spans="3:43" ht="16.399999999999999" customHeight="1" x14ac:dyDescent="0.45">
      <c r="C31" s="15"/>
      <c r="E31" s="17" t="s">
        <v>10</v>
      </c>
      <c r="G31" s="17" t="s">
        <v>10</v>
      </c>
      <c r="I31" s="17" t="s">
        <v>10</v>
      </c>
      <c r="K31" s="17" t="s">
        <v>10</v>
      </c>
      <c r="M31" s="17" t="s">
        <v>10</v>
      </c>
      <c r="O31" s="17" t="s">
        <v>10</v>
      </c>
      <c r="Q31" s="16"/>
      <c r="AE31"/>
      <c r="AF31" s="60">
        <v>26</v>
      </c>
      <c r="AG31" s="8" t="s">
        <v>1603</v>
      </c>
      <c r="AH31" s="8" t="s">
        <v>1619</v>
      </c>
      <c r="AI31" s="4" t="s">
        <v>1614</v>
      </c>
      <c r="AJ31" s="8" t="s">
        <v>1610</v>
      </c>
      <c r="AK31" s="8"/>
      <c r="AL31"/>
      <c r="AO31" s="8"/>
      <c r="AP31" s="4"/>
      <c r="AQ31" s="8"/>
    </row>
    <row r="32" spans="3:43" ht="16.399999999999999" customHeight="1" thickBot="1" x14ac:dyDescent="0.5">
      <c r="C32" s="18"/>
      <c r="D32" s="19"/>
      <c r="E32" s="1231">
        <v>12</v>
      </c>
      <c r="F32" s="1232"/>
      <c r="G32" s="1231">
        <v>11</v>
      </c>
      <c r="H32" s="1232"/>
      <c r="I32" s="1231">
        <v>10</v>
      </c>
      <c r="J32" s="1232"/>
      <c r="K32" s="1231">
        <v>9</v>
      </c>
      <c r="L32" s="1232"/>
      <c r="M32" s="1231">
        <v>8</v>
      </c>
      <c r="N32" s="1232"/>
      <c r="O32" s="1231">
        <v>7</v>
      </c>
      <c r="P32" s="19"/>
      <c r="Q32" s="20"/>
      <c r="AE32"/>
      <c r="AF32" s="60">
        <v>27</v>
      </c>
      <c r="AG32" s="8" t="s">
        <v>1604</v>
      </c>
      <c r="AH32" s="8" t="s">
        <v>1619</v>
      </c>
      <c r="AI32" s="4" t="s">
        <v>1614</v>
      </c>
      <c r="AJ32" s="8" t="s">
        <v>1610</v>
      </c>
      <c r="AK32" s="8"/>
      <c r="AL32"/>
      <c r="AO32" s="8"/>
      <c r="AP32" s="4"/>
      <c r="AQ32" s="8"/>
    </row>
    <row r="33" spans="2:43" ht="16.399999999999999" customHeight="1" x14ac:dyDescent="0.45">
      <c r="AE33"/>
      <c r="AF33" s="60">
        <v>28</v>
      </c>
      <c r="AG33" s="8" t="s">
        <v>1605</v>
      </c>
      <c r="AH33" s="8" t="s">
        <v>1619</v>
      </c>
      <c r="AI33" s="4" t="s">
        <v>1614</v>
      </c>
      <c r="AJ33" s="8" t="s">
        <v>1610</v>
      </c>
      <c r="AK33" s="8"/>
      <c r="AL33"/>
      <c r="AO33" s="8"/>
      <c r="AP33" s="4"/>
      <c r="AQ33" s="8"/>
    </row>
    <row r="34" spans="2:43" ht="16.399999999999999" customHeight="1" x14ac:dyDescent="0.45">
      <c r="AE34"/>
      <c r="AF34" s="60">
        <v>29</v>
      </c>
      <c r="AG34" s="8" t="s">
        <v>1606</v>
      </c>
      <c r="AH34" s="8" t="s">
        <v>1619</v>
      </c>
      <c r="AI34" s="4" t="s">
        <v>1614</v>
      </c>
      <c r="AJ34" s="8" t="s">
        <v>1610</v>
      </c>
      <c r="AK34" s="8"/>
      <c r="AL34"/>
      <c r="AO34" s="8"/>
      <c r="AP34" s="4"/>
      <c r="AQ34" s="8"/>
    </row>
    <row r="35" spans="2:43" ht="16.399999999999999" customHeight="1" x14ac:dyDescent="0.45">
      <c r="AE35"/>
      <c r="AF35" s="60">
        <v>30</v>
      </c>
      <c r="AG35" s="8" t="s">
        <v>1607</v>
      </c>
      <c r="AH35" s="8" t="s">
        <v>1619</v>
      </c>
      <c r="AI35" s="4" t="s">
        <v>1614</v>
      </c>
      <c r="AJ35" s="8" t="s">
        <v>1610</v>
      </c>
      <c r="AK35" s="8"/>
      <c r="AL35"/>
      <c r="AO35" s="8"/>
      <c r="AP35" s="4"/>
      <c r="AQ35" s="8"/>
    </row>
    <row r="36" spans="2:43" s="1228" customFormat="1" ht="26" thickBot="1" x14ac:dyDescent="0.5">
      <c r="B36" s="1226"/>
      <c r="C36" s="1227" t="s">
        <v>2847</v>
      </c>
      <c r="D36" s="1226"/>
      <c r="E36" s="1226"/>
      <c r="F36" s="1226"/>
      <c r="G36" s="1226"/>
      <c r="H36" s="1226"/>
      <c r="I36" s="1226"/>
      <c r="J36" s="1226"/>
      <c r="K36" s="1226"/>
      <c r="L36" s="1226"/>
      <c r="M36" s="1226"/>
      <c r="N36" s="1226"/>
      <c r="O36" s="1226"/>
      <c r="P36" s="1226"/>
      <c r="Q36" s="1226"/>
      <c r="AF36" s="1230">
        <v>31</v>
      </c>
      <c r="AG36" s="126" t="s">
        <v>1608</v>
      </c>
      <c r="AH36" s="126" t="s">
        <v>1619</v>
      </c>
      <c r="AI36" s="129" t="s">
        <v>1614</v>
      </c>
      <c r="AJ36" s="126" t="s">
        <v>1610</v>
      </c>
      <c r="AK36" s="1226"/>
      <c r="AM36" s="1226"/>
      <c r="AN36" s="1226"/>
      <c r="AO36" s="1226"/>
      <c r="AP36" s="1229"/>
      <c r="AQ36" s="1226"/>
    </row>
    <row r="37" spans="2:43" ht="16.399999999999999" customHeight="1" x14ac:dyDescent="0.45">
      <c r="C37" s="12"/>
      <c r="D37" s="13"/>
      <c r="E37" s="17" t="s">
        <v>10</v>
      </c>
      <c r="F37" s="13"/>
      <c r="G37" s="17" t="s">
        <v>10</v>
      </c>
      <c r="H37" s="13"/>
      <c r="I37" s="17" t="s">
        <v>10</v>
      </c>
      <c r="J37" s="13"/>
      <c r="K37" s="17" t="s">
        <v>10</v>
      </c>
      <c r="L37" s="13"/>
      <c r="M37" s="17" t="s">
        <v>10</v>
      </c>
      <c r="N37" s="13"/>
      <c r="O37" s="17" t="s">
        <v>10</v>
      </c>
      <c r="P37" s="13"/>
      <c r="Q37" s="14"/>
      <c r="AE37"/>
      <c r="AF37" s="60">
        <v>32</v>
      </c>
      <c r="AG37" s="8" t="s">
        <v>1620</v>
      </c>
      <c r="AH37" s="8" t="s">
        <v>1624</v>
      </c>
      <c r="AI37" s="4"/>
      <c r="AJ37" s="8"/>
      <c r="AK37" s="8"/>
      <c r="AL37"/>
      <c r="AO37" s="8"/>
      <c r="AP37" s="4"/>
      <c r="AQ37" s="8"/>
    </row>
    <row r="38" spans="2:43" ht="16.399999999999999" customHeight="1" thickBot="1" x14ac:dyDescent="0.5">
      <c r="C38" s="15"/>
      <c r="E38" s="1231">
        <v>1</v>
      </c>
      <c r="F38" s="132"/>
      <c r="G38" s="1231">
        <v>2</v>
      </c>
      <c r="H38" s="132"/>
      <c r="I38" s="1231">
        <v>3</v>
      </c>
      <c r="J38" s="132"/>
      <c r="K38" s="1231">
        <v>4</v>
      </c>
      <c r="L38" s="132"/>
      <c r="M38" s="1231">
        <v>5</v>
      </c>
      <c r="N38" s="132"/>
      <c r="O38" s="1231">
        <v>6</v>
      </c>
      <c r="Q38" s="16"/>
      <c r="AE38"/>
      <c r="AF38" s="60">
        <v>33</v>
      </c>
      <c r="AG38" s="8" t="s">
        <v>1621</v>
      </c>
      <c r="AH38" s="8" t="s">
        <v>1624</v>
      </c>
      <c r="AI38" s="4"/>
      <c r="AJ38" s="8"/>
      <c r="AK38" s="8"/>
      <c r="AL38"/>
      <c r="AO38" s="8"/>
      <c r="AP38" s="4"/>
      <c r="AQ38" s="8"/>
    </row>
    <row r="39" spans="2:43" ht="16.399999999999999" customHeight="1" x14ac:dyDescent="0.45">
      <c r="C39" s="15"/>
      <c r="E39" s="8">
        <v>24</v>
      </c>
      <c r="G39" s="8">
        <v>23</v>
      </c>
      <c r="I39" s="8">
        <v>22</v>
      </c>
      <c r="K39" s="8">
        <v>21</v>
      </c>
      <c r="M39" s="8">
        <v>20</v>
      </c>
      <c r="O39" s="8">
        <v>19</v>
      </c>
      <c r="Q39" s="16"/>
      <c r="AE39"/>
      <c r="AF39" s="60">
        <v>34</v>
      </c>
      <c r="AG39" s="1171" t="s">
        <v>2798</v>
      </c>
      <c r="AH39" s="8" t="s">
        <v>1618</v>
      </c>
      <c r="AI39" s="4"/>
      <c r="AJ39" s="8" t="s">
        <v>1610</v>
      </c>
      <c r="AK39" s="8"/>
      <c r="AL39"/>
      <c r="AO39" s="8"/>
      <c r="AP39" s="4"/>
      <c r="AQ39" s="8"/>
    </row>
    <row r="40" spans="2:43" ht="16.399999999999999" customHeight="1" thickBot="1" x14ac:dyDescent="0.5">
      <c r="C40" s="15"/>
      <c r="Q40" s="16"/>
      <c r="AE40"/>
      <c r="AF40" s="60">
        <v>35</v>
      </c>
      <c r="AG40" s="1171" t="s">
        <v>2799</v>
      </c>
      <c r="AH40" s="8" t="s">
        <v>1618</v>
      </c>
      <c r="AI40" s="4"/>
      <c r="AJ40" s="8" t="s">
        <v>1610</v>
      </c>
      <c r="AK40" s="8"/>
      <c r="AL40"/>
      <c r="AO40" s="8"/>
      <c r="AP40" s="4"/>
      <c r="AQ40" s="8"/>
    </row>
    <row r="41" spans="2:43" ht="16.399999999999999" customHeight="1" x14ac:dyDescent="0.45">
      <c r="C41" s="403" t="s">
        <v>11</v>
      </c>
      <c r="D41" s="4">
        <v>1</v>
      </c>
      <c r="P41" s="1">
        <v>18</v>
      </c>
      <c r="Q41" s="403" t="s">
        <v>11</v>
      </c>
      <c r="AE41"/>
      <c r="AF41" s="60">
        <v>36</v>
      </c>
      <c r="AG41" s="1171" t="s">
        <v>2800</v>
      </c>
      <c r="AH41" s="8" t="s">
        <v>1618</v>
      </c>
      <c r="AI41" s="4"/>
      <c r="AJ41" s="8" t="s">
        <v>1610</v>
      </c>
      <c r="AK41" s="8"/>
      <c r="AL41"/>
      <c r="AO41" s="8"/>
      <c r="AP41" s="4"/>
      <c r="AQ41" s="8"/>
    </row>
    <row r="42" spans="2:43" ht="16.399999999999999" customHeight="1" thickBot="1" x14ac:dyDescent="0.5">
      <c r="C42" s="404"/>
      <c r="D42" s="4"/>
      <c r="P42" s="1"/>
      <c r="Q42" s="404"/>
      <c r="AE42"/>
      <c r="AF42" s="60">
        <v>37</v>
      </c>
      <c r="AG42" s="1171" t="s">
        <v>2797</v>
      </c>
      <c r="AH42" s="8" t="s">
        <v>1618</v>
      </c>
      <c r="AI42" s="4"/>
      <c r="AJ42" s="8" t="s">
        <v>1610</v>
      </c>
      <c r="AL42"/>
      <c r="AO42" s="8"/>
      <c r="AP42" s="4"/>
      <c r="AQ42" s="8"/>
    </row>
    <row r="43" spans="2:43" ht="16.399999999999999" customHeight="1" x14ac:dyDescent="0.45">
      <c r="C43" s="15"/>
      <c r="D43" s="4"/>
      <c r="P43" s="1"/>
      <c r="Q43" s="16"/>
      <c r="AE43"/>
      <c r="AF43" s="60">
        <v>38</v>
      </c>
      <c r="AG43" s="1171" t="s">
        <v>2796</v>
      </c>
      <c r="AH43" s="8" t="s">
        <v>1618</v>
      </c>
      <c r="AI43" s="4"/>
      <c r="AJ43" s="8" t="s">
        <v>1610</v>
      </c>
      <c r="AL43"/>
      <c r="AO43" s="8"/>
      <c r="AP43" s="4"/>
      <c r="AQ43" s="8"/>
    </row>
    <row r="44" spans="2:43" ht="16.399999999999999" customHeight="1" thickBot="1" x14ac:dyDescent="0.5">
      <c r="C44" s="15"/>
      <c r="D44" s="4"/>
      <c r="P44" s="1"/>
      <c r="Q44" s="16"/>
      <c r="AE44"/>
      <c r="AF44" s="60">
        <v>39</v>
      </c>
      <c r="AG44" s="1171" t="s">
        <v>2801</v>
      </c>
      <c r="AH44" s="8" t="s">
        <v>1618</v>
      </c>
      <c r="AI44" s="4"/>
      <c r="AJ44" s="8" t="s">
        <v>1610</v>
      </c>
      <c r="AL44"/>
      <c r="AO44" s="8"/>
      <c r="AP44" s="4"/>
      <c r="AQ44" s="8"/>
    </row>
    <row r="45" spans="2:43" ht="16.399999999999999" customHeight="1" x14ac:dyDescent="0.45">
      <c r="C45" s="401" t="s">
        <v>14</v>
      </c>
      <c r="D45" s="4">
        <v>2</v>
      </c>
      <c r="P45" s="1">
        <v>17</v>
      </c>
      <c r="Q45" s="401" t="s">
        <v>14</v>
      </c>
      <c r="AE45"/>
      <c r="AF45" s="60">
        <v>40</v>
      </c>
      <c r="AG45" s="104" t="s">
        <v>1939</v>
      </c>
      <c r="AH45" s="104" t="s">
        <v>1617</v>
      </c>
      <c r="AI45" s="4" t="s">
        <v>1609</v>
      </c>
      <c r="AJ45" s="8"/>
      <c r="AK45" s="8"/>
      <c r="AL45"/>
      <c r="AO45" s="8"/>
      <c r="AP45" s="4"/>
      <c r="AQ45" s="8"/>
    </row>
    <row r="46" spans="2:43" ht="16.399999999999999" customHeight="1" thickBot="1" x14ac:dyDescent="0.5">
      <c r="C46" s="402"/>
      <c r="D46" s="4"/>
      <c r="P46" s="1"/>
      <c r="Q46" s="402"/>
      <c r="AE46"/>
      <c r="AF46" s="60">
        <v>41</v>
      </c>
      <c r="AG46" s="8" t="s">
        <v>1448</v>
      </c>
      <c r="AH46" s="8" t="s">
        <v>1624</v>
      </c>
      <c r="AI46" s="4"/>
      <c r="AJ46" s="8"/>
      <c r="AK46" s="8"/>
      <c r="AL46"/>
      <c r="AO46" s="8"/>
      <c r="AP46" s="4"/>
      <c r="AQ46" s="8"/>
    </row>
    <row r="47" spans="2:43" ht="16.399999999999999" customHeight="1" x14ac:dyDescent="0.45">
      <c r="C47" s="15"/>
      <c r="D47" s="4"/>
      <c r="P47" s="1"/>
      <c r="Q47" s="16"/>
      <c r="AE47"/>
      <c r="AF47" s="60">
        <v>42</v>
      </c>
      <c r="AG47" s="8" t="s">
        <v>1449</v>
      </c>
      <c r="AH47" s="8" t="s">
        <v>1624</v>
      </c>
      <c r="AI47" s="4"/>
      <c r="AJ47" s="8"/>
      <c r="AK47" s="8"/>
      <c r="AL47"/>
      <c r="AO47" s="8"/>
      <c r="AP47" s="4"/>
      <c r="AQ47" s="8"/>
    </row>
    <row r="48" spans="2:43" ht="16.399999999999999" customHeight="1" thickBot="1" x14ac:dyDescent="0.5">
      <c r="C48" s="15"/>
      <c r="D48" s="4"/>
      <c r="P48" s="1"/>
      <c r="Q48" s="16"/>
      <c r="AE48"/>
      <c r="AF48" s="60">
        <v>43</v>
      </c>
      <c r="AG48" s="8" t="s">
        <v>1450</v>
      </c>
      <c r="AH48" s="8" t="s">
        <v>1624</v>
      </c>
      <c r="AI48" s="4"/>
      <c r="AJ48" s="8"/>
      <c r="AK48" s="8"/>
      <c r="AL48"/>
      <c r="AO48" s="8"/>
      <c r="AP48" s="4"/>
      <c r="AQ48" s="8"/>
    </row>
    <row r="49" spans="3:43" ht="16.399999999999999" customHeight="1" x14ac:dyDescent="0.45">
      <c r="C49" s="401" t="s">
        <v>14</v>
      </c>
      <c r="D49" s="4">
        <v>3</v>
      </c>
      <c r="P49" s="1">
        <v>16</v>
      </c>
      <c r="Q49" s="401" t="s">
        <v>14</v>
      </c>
      <c r="AE49"/>
      <c r="AF49" s="60">
        <v>44</v>
      </c>
      <c r="AG49" s="8" t="s">
        <v>1451</v>
      </c>
      <c r="AH49" s="8" t="s">
        <v>1624</v>
      </c>
      <c r="AI49" s="4"/>
      <c r="AJ49" s="8"/>
      <c r="AK49" s="8"/>
      <c r="AL49"/>
      <c r="AO49" s="8"/>
      <c r="AP49" s="4"/>
      <c r="AQ49" s="8"/>
    </row>
    <row r="50" spans="3:43" ht="16.399999999999999" customHeight="1" thickBot="1" x14ac:dyDescent="0.5">
      <c r="C50" s="402"/>
      <c r="D50" s="4"/>
      <c r="P50" s="1"/>
      <c r="Q50" s="402"/>
      <c r="AE50"/>
      <c r="AF50" s="60">
        <v>45</v>
      </c>
      <c r="AG50" s="8" t="s">
        <v>1452</v>
      </c>
      <c r="AH50" s="8" t="s">
        <v>1624</v>
      </c>
      <c r="AI50" s="4"/>
      <c r="AJ50" s="8"/>
      <c r="AK50" s="8"/>
      <c r="AL50"/>
      <c r="AO50" s="8"/>
      <c r="AP50" s="4"/>
      <c r="AQ50" s="8"/>
    </row>
    <row r="51" spans="3:43" ht="16.399999999999999" customHeight="1" x14ac:dyDescent="0.45">
      <c r="C51" s="15"/>
      <c r="D51" s="4"/>
      <c r="P51" s="1"/>
      <c r="Q51" s="16"/>
      <c r="AE51"/>
      <c r="AF51" s="60">
        <v>46</v>
      </c>
      <c r="AG51" s="8" t="s">
        <v>1453</v>
      </c>
      <c r="AH51" s="8" t="s">
        <v>1624</v>
      </c>
      <c r="AI51" s="4"/>
      <c r="AJ51" s="8"/>
      <c r="AK51" s="8"/>
      <c r="AL51"/>
      <c r="AO51" s="8"/>
      <c r="AP51" s="4"/>
      <c r="AQ51" s="8"/>
    </row>
    <row r="52" spans="3:43" ht="16.399999999999999" customHeight="1" thickBot="1" x14ac:dyDescent="0.5">
      <c r="C52" s="15"/>
      <c r="D52" s="4"/>
      <c r="P52" s="1"/>
      <c r="Q52" s="16"/>
      <c r="AE52"/>
      <c r="AF52" s="60">
        <v>47</v>
      </c>
      <c r="AG52" s="8" t="s">
        <v>1454</v>
      </c>
      <c r="AH52" s="8" t="s">
        <v>1624</v>
      </c>
      <c r="AI52" s="4"/>
      <c r="AJ52" s="8"/>
      <c r="AK52" s="8"/>
      <c r="AL52"/>
      <c r="AO52" s="8"/>
      <c r="AP52" s="4"/>
      <c r="AQ52" s="8"/>
    </row>
    <row r="53" spans="3:43" ht="16.399999999999999" customHeight="1" x14ac:dyDescent="0.45">
      <c r="C53" s="401" t="s">
        <v>14</v>
      </c>
      <c r="D53" s="4">
        <v>4</v>
      </c>
      <c r="P53" s="1">
        <v>15</v>
      </c>
      <c r="Q53" s="401" t="s">
        <v>14</v>
      </c>
      <c r="AE53"/>
      <c r="AF53" s="60">
        <v>48</v>
      </c>
      <c r="AG53" s="8" t="s">
        <v>1455</v>
      </c>
      <c r="AH53" s="8" t="s">
        <v>1624</v>
      </c>
      <c r="AI53" s="4"/>
      <c r="AJ53" s="8"/>
      <c r="AK53" s="8"/>
      <c r="AL53"/>
      <c r="AO53" s="8"/>
      <c r="AP53" s="4"/>
      <c r="AQ53" s="8"/>
    </row>
    <row r="54" spans="3:43" ht="16.399999999999999" customHeight="1" thickBot="1" x14ac:dyDescent="0.5">
      <c r="C54" s="402"/>
      <c r="D54" s="4"/>
      <c r="P54" s="1"/>
      <c r="Q54" s="402"/>
      <c r="AE54"/>
      <c r="AF54" s="60">
        <v>49</v>
      </c>
      <c r="AG54" s="8" t="s">
        <v>1622</v>
      </c>
      <c r="AH54" s="8" t="s">
        <v>1618</v>
      </c>
      <c r="AI54" s="683" t="s">
        <v>1576</v>
      </c>
      <c r="AJ54" s="8"/>
      <c r="AK54" s="8"/>
      <c r="AL54"/>
      <c r="AO54" s="8"/>
      <c r="AP54" s="4"/>
      <c r="AQ54" s="8"/>
    </row>
    <row r="55" spans="3:43" ht="16.399999999999999" customHeight="1" x14ac:dyDescent="0.45">
      <c r="C55" s="15"/>
      <c r="D55" s="4"/>
      <c r="P55" s="1"/>
      <c r="Q55" s="16"/>
      <c r="AE55"/>
      <c r="AF55" s="60">
        <v>50</v>
      </c>
      <c r="AG55" s="8" t="s">
        <v>1623</v>
      </c>
      <c r="AH55" s="8" t="s">
        <v>1618</v>
      </c>
      <c r="AI55" s="683" t="s">
        <v>1576</v>
      </c>
      <c r="AJ55" s="8"/>
      <c r="AK55" s="8"/>
      <c r="AL55"/>
      <c r="AO55" s="8"/>
      <c r="AP55" s="4"/>
      <c r="AQ55" s="8"/>
    </row>
    <row r="56" spans="3:43" ht="16.399999999999999" customHeight="1" thickBot="1" x14ac:dyDescent="0.5">
      <c r="C56" s="15"/>
      <c r="D56" s="4"/>
      <c r="P56" s="1"/>
      <c r="Q56" s="16"/>
      <c r="AE56"/>
      <c r="AF56" s="60">
        <v>51</v>
      </c>
      <c r="AG56" s="8" t="s">
        <v>1445</v>
      </c>
      <c r="AH56" s="8" t="s">
        <v>1618</v>
      </c>
      <c r="AI56" s="4"/>
      <c r="AJ56" s="8"/>
      <c r="AK56" s="8" t="s">
        <v>2328</v>
      </c>
      <c r="AL56"/>
      <c r="AO56" s="8"/>
      <c r="AP56" s="4"/>
      <c r="AQ56" s="8"/>
    </row>
    <row r="57" spans="3:43" ht="16.399999999999999" customHeight="1" x14ac:dyDescent="0.45">
      <c r="C57" s="405" t="s">
        <v>12</v>
      </c>
      <c r="D57" s="4">
        <v>5</v>
      </c>
      <c r="P57" s="1">
        <v>14</v>
      </c>
      <c r="Q57" s="405" t="s">
        <v>13</v>
      </c>
      <c r="AE57"/>
      <c r="AF57" s="60">
        <v>52</v>
      </c>
      <c r="AG57" s="8" t="s">
        <v>1446</v>
      </c>
      <c r="AH57" s="8" t="s">
        <v>1618</v>
      </c>
      <c r="AI57" s="4"/>
      <c r="AJ57" s="8"/>
      <c r="AK57" s="8" t="s">
        <v>2328</v>
      </c>
      <c r="AL57"/>
      <c r="AO57" s="8"/>
      <c r="AP57" s="4"/>
      <c r="AQ57" s="8"/>
    </row>
    <row r="58" spans="3:43" ht="16.399999999999999" customHeight="1" thickBot="1" x14ac:dyDescent="0.5">
      <c r="C58" s="406"/>
      <c r="D58" s="4"/>
      <c r="P58" s="1"/>
      <c r="Q58" s="406"/>
      <c r="AE58"/>
      <c r="AF58" s="60">
        <v>53</v>
      </c>
      <c r="AG58" s="8" t="s">
        <v>1447</v>
      </c>
      <c r="AH58" s="8" t="s">
        <v>1618</v>
      </c>
      <c r="AI58" s="4"/>
      <c r="AJ58" s="8"/>
      <c r="AK58" s="8" t="s">
        <v>2328</v>
      </c>
      <c r="AL58"/>
      <c r="AO58" s="8"/>
      <c r="AP58" s="4"/>
      <c r="AQ58" s="8"/>
    </row>
    <row r="59" spans="3:43" ht="16.399999999999999" customHeight="1" x14ac:dyDescent="0.45">
      <c r="C59" s="15"/>
      <c r="D59" s="4"/>
      <c r="P59" s="1"/>
      <c r="Q59" s="16"/>
      <c r="AE59"/>
      <c r="AF59" s="60">
        <v>54</v>
      </c>
      <c r="AG59" s="8" t="s">
        <v>1439</v>
      </c>
      <c r="AH59" s="8" t="s">
        <v>1617</v>
      </c>
      <c r="AI59" s="4" t="s">
        <v>1609</v>
      </c>
      <c r="AJ59" s="8"/>
      <c r="AK59" s="8"/>
      <c r="AL59"/>
      <c r="AO59" s="8"/>
      <c r="AP59" s="4"/>
      <c r="AQ59" s="8"/>
    </row>
    <row r="60" spans="3:43" ht="16.399999999999999" customHeight="1" thickBot="1" x14ac:dyDescent="0.5">
      <c r="C60" s="15"/>
      <c r="D60" s="4"/>
      <c r="P60" s="1"/>
      <c r="Q60" s="16"/>
      <c r="AE60"/>
      <c r="AF60" s="60">
        <v>55</v>
      </c>
      <c r="AG60" s="8" t="s">
        <v>1440</v>
      </c>
      <c r="AH60" s="8" t="s">
        <v>1617</v>
      </c>
      <c r="AI60" s="4" t="s">
        <v>1609</v>
      </c>
      <c r="AJ60" s="8"/>
      <c r="AK60" s="8"/>
      <c r="AL60"/>
      <c r="AO60" s="8"/>
      <c r="AP60" s="4"/>
      <c r="AQ60" s="8"/>
    </row>
    <row r="61" spans="3:43" ht="16.399999999999999" customHeight="1" x14ac:dyDescent="0.45">
      <c r="C61" s="408" t="s">
        <v>1923</v>
      </c>
      <c r="D61" s="4">
        <v>6</v>
      </c>
      <c r="P61" s="1">
        <v>13</v>
      </c>
      <c r="Q61" s="408" t="s">
        <v>1851</v>
      </c>
      <c r="AE61"/>
      <c r="AF61" s="60">
        <v>56</v>
      </c>
      <c r="AG61" s="8" t="s">
        <v>1441</v>
      </c>
      <c r="AH61" s="8" t="s">
        <v>1617</v>
      </c>
      <c r="AI61" s="4" t="s">
        <v>1609</v>
      </c>
      <c r="AJ61" s="8"/>
      <c r="AK61" s="8"/>
      <c r="AL61"/>
      <c r="AO61" s="8"/>
      <c r="AP61" s="4"/>
      <c r="AQ61" s="8"/>
    </row>
    <row r="62" spans="3:43" ht="16.399999999999999" customHeight="1" thickBot="1" x14ac:dyDescent="0.5">
      <c r="C62" s="407"/>
      <c r="D62" s="4"/>
      <c r="P62" s="1"/>
      <c r="Q62" s="407"/>
      <c r="AE62"/>
      <c r="AF62" s="60">
        <v>57</v>
      </c>
      <c r="AG62" s="8" t="s">
        <v>1442</v>
      </c>
      <c r="AH62" s="8" t="s">
        <v>1618</v>
      </c>
      <c r="AI62" s="683" t="s">
        <v>1576</v>
      </c>
      <c r="AJ62" s="8"/>
      <c r="AK62" s="8"/>
      <c r="AL62"/>
      <c r="AO62" s="8"/>
      <c r="AP62" s="4"/>
      <c r="AQ62" s="8"/>
    </row>
    <row r="63" spans="3:43" ht="16.399999999999999" customHeight="1" x14ac:dyDescent="0.45">
      <c r="C63" s="15"/>
      <c r="Q63" s="16"/>
      <c r="AE63"/>
      <c r="AF63" s="60">
        <v>58</v>
      </c>
      <c r="AG63" s="8" t="s">
        <v>1443</v>
      </c>
      <c r="AH63" s="8" t="s">
        <v>1618</v>
      </c>
      <c r="AI63" s="684" t="s">
        <v>1576</v>
      </c>
      <c r="AJ63" s="8"/>
      <c r="AK63" s="8"/>
      <c r="AL63"/>
      <c r="AO63" s="8"/>
      <c r="AP63" s="4"/>
      <c r="AQ63" s="8"/>
    </row>
    <row r="64" spans="3:43" ht="16.399999999999999" customHeight="1" thickBot="1" x14ac:dyDescent="0.5">
      <c r="C64" s="15"/>
      <c r="E64" s="8">
        <v>7</v>
      </c>
      <c r="G64" s="8">
        <v>8</v>
      </c>
      <c r="I64" s="8">
        <v>9</v>
      </c>
      <c r="K64" s="8">
        <v>10</v>
      </c>
      <c r="M64" s="8">
        <v>11</v>
      </c>
      <c r="O64" s="8">
        <v>12</v>
      </c>
      <c r="Q64" s="16"/>
      <c r="AE64"/>
      <c r="AF64" s="60">
        <v>59</v>
      </c>
      <c r="AG64" s="8" t="s">
        <v>1444</v>
      </c>
      <c r="AH64" s="8" t="s">
        <v>1618</v>
      </c>
      <c r="AI64" s="684" t="s">
        <v>1576</v>
      </c>
      <c r="AJ64" s="8"/>
      <c r="AK64" s="8"/>
      <c r="AL64"/>
      <c r="AO64" s="8"/>
      <c r="AP64" s="4"/>
      <c r="AQ64" s="8"/>
    </row>
    <row r="65" spans="3:43" ht="16.399999999999999" customHeight="1" x14ac:dyDescent="0.45">
      <c r="C65" s="15"/>
      <c r="E65" s="17" t="s">
        <v>10</v>
      </c>
      <c r="G65" s="17" t="s">
        <v>10</v>
      </c>
      <c r="I65" s="17" t="s">
        <v>10</v>
      </c>
      <c r="K65" s="17" t="s">
        <v>10</v>
      </c>
      <c r="M65" s="17" t="s">
        <v>10</v>
      </c>
      <c r="O65" s="17" t="s">
        <v>10</v>
      </c>
      <c r="Q65" s="16"/>
      <c r="AE65"/>
      <c r="AF65" s="60">
        <v>60</v>
      </c>
      <c r="AG65" s="8" t="s">
        <v>1852</v>
      </c>
      <c r="AH65" s="8" t="s">
        <v>1618</v>
      </c>
      <c r="AI65" s="4"/>
      <c r="AJ65" s="8" t="s">
        <v>1610</v>
      </c>
      <c r="AL65"/>
      <c r="AO65" s="8"/>
      <c r="AP65" s="4"/>
      <c r="AQ65" s="8"/>
    </row>
    <row r="66" spans="3:43" ht="16.399999999999999" customHeight="1" thickBot="1" x14ac:dyDescent="0.5">
      <c r="C66" s="18"/>
      <c r="D66" s="19"/>
      <c r="E66" s="1231">
        <v>12</v>
      </c>
      <c r="F66" s="1232"/>
      <c r="G66" s="1231">
        <v>11</v>
      </c>
      <c r="H66" s="1232"/>
      <c r="I66" s="1231">
        <v>10</v>
      </c>
      <c r="J66" s="1232"/>
      <c r="K66" s="1231">
        <v>9</v>
      </c>
      <c r="L66" s="1232"/>
      <c r="M66" s="1231">
        <v>8</v>
      </c>
      <c r="N66" s="1232"/>
      <c r="O66" s="1231">
        <v>7</v>
      </c>
      <c r="P66" s="19"/>
      <c r="Q66" s="20"/>
      <c r="AE66"/>
      <c r="AF66" s="60">
        <v>61</v>
      </c>
      <c r="AG66" s="8" t="s">
        <v>1853</v>
      </c>
      <c r="AH66" s="8" t="s">
        <v>1618</v>
      </c>
      <c r="AI66" s="4"/>
      <c r="AJ66" s="8" t="s">
        <v>1610</v>
      </c>
      <c r="AK66" s="8"/>
      <c r="AL66"/>
      <c r="AO66" s="8"/>
      <c r="AP66" s="4"/>
      <c r="AQ66" s="8"/>
    </row>
    <row r="67" spans="3:43" ht="16.399999999999999" customHeight="1" x14ac:dyDescent="0.45">
      <c r="AE67"/>
      <c r="AF67" s="60">
        <v>62</v>
      </c>
      <c r="AG67" s="8" t="s">
        <v>2147</v>
      </c>
      <c r="AH67" s="8"/>
      <c r="AI67" s="4"/>
      <c r="AJ67" s="8" t="s">
        <v>1610</v>
      </c>
      <c r="AK67" s="8"/>
      <c r="AL67"/>
      <c r="AO67" s="8"/>
      <c r="AP67" s="4"/>
      <c r="AQ67" s="8"/>
    </row>
    <row r="68" spans="3:43" ht="16.399999999999999" customHeight="1" x14ac:dyDescent="0.45">
      <c r="AE68"/>
      <c r="AF68" s="60">
        <v>63</v>
      </c>
      <c r="AG68" s="8" t="s">
        <v>2148</v>
      </c>
      <c r="AH68" s="8"/>
      <c r="AI68" s="4"/>
      <c r="AJ68" s="8" t="s">
        <v>1610</v>
      </c>
      <c r="AK68" s="8"/>
      <c r="AL68"/>
      <c r="AO68" s="8"/>
      <c r="AP68" s="4"/>
      <c r="AQ68" s="8"/>
    </row>
    <row r="69" spans="3:43" ht="16.399999999999999" customHeight="1" x14ac:dyDescent="0.45">
      <c r="AE69"/>
      <c r="AF69" s="60">
        <v>64</v>
      </c>
      <c r="AG69" s="8" t="s">
        <v>2149</v>
      </c>
      <c r="AH69" s="8"/>
      <c r="AI69" s="4"/>
      <c r="AJ69" s="8" t="s">
        <v>1610</v>
      </c>
      <c r="AK69" s="8"/>
      <c r="AL69"/>
      <c r="AO69" s="8"/>
      <c r="AP69" s="4"/>
      <c r="AQ69" s="8"/>
    </row>
    <row r="70" spans="3:43" ht="16.399999999999999" customHeight="1" x14ac:dyDescent="0.45">
      <c r="AE70"/>
      <c r="AF70" s="60">
        <v>65</v>
      </c>
      <c r="AG70" s="8" t="s">
        <v>2150</v>
      </c>
      <c r="AH70" s="8"/>
      <c r="AI70" s="4"/>
      <c r="AJ70" s="8" t="s">
        <v>1610</v>
      </c>
      <c r="AK70" s="8"/>
      <c r="AL70"/>
      <c r="AO70" s="8"/>
      <c r="AP70" s="4"/>
      <c r="AQ70" s="8"/>
    </row>
    <row r="71" spans="3:43" ht="16.399999999999999" customHeight="1" x14ac:dyDescent="0.45">
      <c r="AE71"/>
      <c r="AF71" s="60">
        <v>66</v>
      </c>
      <c r="AG71" s="8" t="s">
        <v>2151</v>
      </c>
      <c r="AH71" s="8"/>
      <c r="AI71" s="4"/>
      <c r="AJ71" s="8" t="s">
        <v>1610</v>
      </c>
      <c r="AK71" s="8"/>
      <c r="AL71"/>
      <c r="AO71" s="8"/>
      <c r="AP71" s="4"/>
      <c r="AQ71" s="8"/>
    </row>
    <row r="72" spans="3:43" ht="16.399999999999999" customHeight="1" x14ac:dyDescent="0.45">
      <c r="AE72"/>
      <c r="AF72" s="60">
        <v>67</v>
      </c>
      <c r="AG72" s="8" t="s">
        <v>2152</v>
      </c>
      <c r="AH72" s="8"/>
      <c r="AI72" s="4"/>
      <c r="AJ72" s="8" t="s">
        <v>1610</v>
      </c>
      <c r="AK72" s="8"/>
      <c r="AL72"/>
      <c r="AO72" s="8"/>
      <c r="AP72" s="4"/>
      <c r="AQ72" s="8"/>
    </row>
    <row r="73" spans="3:43" ht="16.399999999999999" customHeight="1" x14ac:dyDescent="0.45">
      <c r="AE73"/>
      <c r="AF73" s="60">
        <v>68</v>
      </c>
      <c r="AG73" s="8" t="s">
        <v>2153</v>
      </c>
      <c r="AH73" s="8"/>
      <c r="AI73" s="4"/>
      <c r="AJ73" s="8" t="s">
        <v>1610</v>
      </c>
      <c r="AK73" s="8" t="s">
        <v>2330</v>
      </c>
      <c r="AL73"/>
      <c r="AO73" s="8"/>
      <c r="AP73" s="4"/>
      <c r="AQ73" s="8"/>
    </row>
    <row r="74" spans="3:43" ht="16.399999999999999" customHeight="1" x14ac:dyDescent="0.45">
      <c r="AH74" s="8"/>
      <c r="AI74" s="4"/>
      <c r="AJ74" s="8"/>
      <c r="AK74" s="8"/>
    </row>
    <row r="75" spans="3:43" ht="16.399999999999999" customHeight="1" x14ac:dyDescent="0.45">
      <c r="AH75" s="8"/>
      <c r="AI75" s="4"/>
      <c r="AJ75" s="8"/>
      <c r="AK75" s="8"/>
    </row>
    <row r="76" spans="3:43" ht="16.399999999999999" customHeight="1" x14ac:dyDescent="0.45">
      <c r="AH76" s="8"/>
      <c r="AI76" s="4"/>
      <c r="AJ76" s="8"/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ACE2-FF28-42C7-B11F-3D84ECF2B7A4}">
  <sheetPr>
    <tabColor rgb="FF0000FF"/>
  </sheetPr>
  <dimension ref="B2:AZ37"/>
  <sheetViews>
    <sheetView showGridLines="0" zoomScaleNormal="100" workbookViewId="0"/>
  </sheetViews>
  <sheetFormatPr defaultColWidth="8.6640625" defaultRowHeight="17" x14ac:dyDescent="0.45"/>
  <cols>
    <col min="1" max="1" width="8.6640625" style="1016"/>
    <col min="2" max="2" width="8.1640625" style="1016" bestFit="1" customWidth="1"/>
    <col min="3" max="21" width="6.58203125" style="1016" customWidth="1"/>
    <col min="22" max="22" width="8.1640625" style="1016" bestFit="1" customWidth="1"/>
    <col min="23" max="23" width="11.08203125" style="1016" bestFit="1" customWidth="1"/>
    <col min="24" max="24" width="3.75" style="1016" bestFit="1" customWidth="1"/>
    <col min="25" max="25" width="8.6640625" style="1016"/>
    <col min="26" max="26" width="6.5" style="1016" bestFit="1" customWidth="1"/>
    <col min="27" max="27" width="21.33203125" style="1016" bestFit="1" customWidth="1"/>
    <col min="28" max="28" width="7" style="1016" bestFit="1" customWidth="1"/>
    <col min="29" max="29" width="9.6640625" style="1016" bestFit="1" customWidth="1"/>
    <col min="30" max="30" width="17.75" style="1016" bestFit="1" customWidth="1"/>
    <col min="31" max="31" width="3.25" style="1016" bestFit="1" customWidth="1"/>
    <col min="32" max="32" width="7.4140625" style="1016" bestFit="1" customWidth="1"/>
    <col min="33" max="33" width="6.5" style="1016" bestFit="1" customWidth="1"/>
    <col min="34" max="34" width="21.33203125" style="1016" bestFit="1" customWidth="1"/>
    <col min="35" max="35" width="6" style="1016" bestFit="1" customWidth="1"/>
    <col min="36" max="16384" width="8.6640625" style="1016"/>
  </cols>
  <sheetData>
    <row r="2" spans="2:51" ht="35" customHeight="1" x14ac:dyDescent="0.45">
      <c r="B2" s="1010"/>
      <c r="C2" s="1011"/>
      <c r="D2" s="1012" t="s">
        <v>2314</v>
      </c>
      <c r="E2" s="1012" t="s">
        <v>2313</v>
      </c>
      <c r="F2" s="1012" t="s">
        <v>2149</v>
      </c>
      <c r="G2" s="1012" t="s">
        <v>2312</v>
      </c>
      <c r="H2" s="1012" t="s">
        <v>2311</v>
      </c>
      <c r="I2" s="1013" t="s">
        <v>2324</v>
      </c>
      <c r="J2" s="1012" t="s">
        <v>2308</v>
      </c>
      <c r="K2" s="1012" t="s">
        <v>1592</v>
      </c>
      <c r="L2" s="1012" t="s">
        <v>2310</v>
      </c>
      <c r="M2" s="1012" t="s">
        <v>2307</v>
      </c>
      <c r="N2" s="1014" t="s">
        <v>2309</v>
      </c>
      <c r="O2" s="1014" t="s">
        <v>2306</v>
      </c>
      <c r="P2" s="1015" t="s">
        <v>2298</v>
      </c>
      <c r="Q2" s="1014" t="s">
        <v>1853</v>
      </c>
      <c r="R2" s="1014" t="s">
        <v>2305</v>
      </c>
      <c r="S2" s="1014" t="s">
        <v>2304</v>
      </c>
      <c r="T2" s="1014" t="s">
        <v>1852</v>
      </c>
      <c r="U2" s="1011"/>
      <c r="V2" s="1011"/>
      <c r="X2" s="1017"/>
      <c r="Y2" s="1018"/>
      <c r="Z2" s="1018"/>
      <c r="AA2" s="1019"/>
      <c r="AB2" s="1017"/>
      <c r="AC2" s="1017"/>
      <c r="AD2" s="1017"/>
    </row>
    <row r="3" spans="2:51" ht="35" customHeight="1" x14ac:dyDescent="0.45">
      <c r="B3" s="1010"/>
      <c r="C3" s="1020"/>
      <c r="D3" s="1021">
        <v>68</v>
      </c>
      <c r="E3" s="1021">
        <v>67</v>
      </c>
      <c r="F3" s="1021">
        <v>66</v>
      </c>
      <c r="G3" s="1021">
        <v>65</v>
      </c>
      <c r="H3" s="1021">
        <v>64</v>
      </c>
      <c r="I3" s="1021">
        <v>63</v>
      </c>
      <c r="J3" s="1021">
        <v>62</v>
      </c>
      <c r="K3" s="1021">
        <v>61</v>
      </c>
      <c r="L3" s="1021">
        <v>60</v>
      </c>
      <c r="M3" s="1021">
        <v>59</v>
      </c>
      <c r="N3" s="1021">
        <v>58</v>
      </c>
      <c r="O3" s="1021">
        <v>57</v>
      </c>
      <c r="P3" s="1021">
        <v>56</v>
      </c>
      <c r="Q3" s="1021">
        <v>55</v>
      </c>
      <c r="R3" s="1021">
        <v>54</v>
      </c>
      <c r="S3" s="1021">
        <v>53</v>
      </c>
      <c r="T3" s="1021">
        <v>52</v>
      </c>
      <c r="U3" s="1022"/>
      <c r="V3" s="1010"/>
      <c r="X3" s="1023" t="s">
        <v>1578</v>
      </c>
      <c r="Y3" s="1017" t="s">
        <v>1613</v>
      </c>
      <c r="Z3" s="1017" t="s">
        <v>1616</v>
      </c>
      <c r="AA3" s="1017" t="s">
        <v>1612</v>
      </c>
      <c r="AB3" s="1017" t="s">
        <v>1611</v>
      </c>
      <c r="AC3" s="1017" t="s">
        <v>2391</v>
      </c>
      <c r="AD3" s="1017" t="s">
        <v>1968</v>
      </c>
    </row>
    <row r="4" spans="2:51" ht="35" customHeight="1" x14ac:dyDescent="0.45">
      <c r="B4" s="1024" t="s">
        <v>2150</v>
      </c>
      <c r="C4" s="1021">
        <v>1</v>
      </c>
      <c r="D4" s="1025"/>
      <c r="E4" s="1025"/>
      <c r="F4" s="1025"/>
      <c r="G4" s="1025"/>
      <c r="H4" s="1025"/>
      <c r="I4" s="1025"/>
      <c r="J4" s="1025"/>
      <c r="K4" s="1025"/>
      <c r="L4" s="1025"/>
      <c r="M4" s="1025"/>
      <c r="N4" s="1025"/>
      <c r="O4" s="1025"/>
      <c r="P4" s="1025"/>
      <c r="Q4" s="1025"/>
      <c r="R4" s="1025"/>
      <c r="S4" s="1025"/>
      <c r="T4" s="1025"/>
      <c r="U4" s="1021">
        <v>51</v>
      </c>
      <c r="V4" s="1026" t="s">
        <v>2303</v>
      </c>
      <c r="X4" s="1017">
        <v>1</v>
      </c>
      <c r="Y4" s="1016" t="s">
        <v>2150</v>
      </c>
      <c r="AA4" s="1027"/>
      <c r="AB4" s="1016" t="s">
        <v>1610</v>
      </c>
      <c r="AC4" s="1028" t="s">
        <v>2392</v>
      </c>
      <c r="AE4" s="1017">
        <v>35</v>
      </c>
      <c r="AF4" s="1016" t="s">
        <v>2799</v>
      </c>
      <c r="AG4" s="1016" t="s">
        <v>1618</v>
      </c>
      <c r="AH4" s="1027"/>
      <c r="AI4" s="1016" t="s">
        <v>1610</v>
      </c>
      <c r="AJ4" s="1028" t="s">
        <v>2393</v>
      </c>
      <c r="AY4" s="1028"/>
    </row>
    <row r="5" spans="2:51" ht="35" customHeight="1" x14ac:dyDescent="0.45">
      <c r="B5" s="1029" t="s">
        <v>1582</v>
      </c>
      <c r="C5" s="1021">
        <v>2</v>
      </c>
      <c r="D5" s="1025"/>
      <c r="E5" s="1025"/>
      <c r="F5" s="1025"/>
      <c r="G5" s="1025"/>
      <c r="H5" s="1025"/>
      <c r="I5" s="1025"/>
      <c r="J5" s="1025"/>
      <c r="K5" s="1025"/>
      <c r="L5" s="1025"/>
      <c r="M5" s="1025"/>
      <c r="N5" s="1025"/>
      <c r="O5" s="1025"/>
      <c r="P5" s="1025"/>
      <c r="Q5" s="1025"/>
      <c r="R5" s="1025"/>
      <c r="S5" s="1025"/>
      <c r="T5" s="1025"/>
      <c r="U5" s="1021">
        <v>50</v>
      </c>
      <c r="V5" s="1026" t="s">
        <v>1585</v>
      </c>
      <c r="X5" s="1017">
        <v>2</v>
      </c>
      <c r="Y5" s="1016" t="s">
        <v>1582</v>
      </c>
      <c r="Z5" s="1016" t="s">
        <v>1617</v>
      </c>
      <c r="AA5" s="1027"/>
      <c r="AC5" s="1028" t="s">
        <v>2394</v>
      </c>
      <c r="AE5" s="1017">
        <v>36</v>
      </c>
      <c r="AF5" s="1016" t="s">
        <v>2798</v>
      </c>
      <c r="AG5" s="1016" t="s">
        <v>1618</v>
      </c>
      <c r="AH5" s="1027"/>
      <c r="AI5" s="1016" t="s">
        <v>1610</v>
      </c>
      <c r="AJ5" s="1028" t="s">
        <v>2393</v>
      </c>
      <c r="AY5" s="1028"/>
    </row>
    <row r="6" spans="2:51" ht="35" customHeight="1" x14ac:dyDescent="0.45">
      <c r="B6" s="1024" t="s">
        <v>1939</v>
      </c>
      <c r="C6" s="1021">
        <v>3</v>
      </c>
      <c r="D6" s="1025"/>
      <c r="E6" s="1025"/>
      <c r="F6" s="1025"/>
      <c r="G6" s="1025"/>
      <c r="H6" s="1025"/>
      <c r="I6" s="1025"/>
      <c r="J6" s="1025"/>
      <c r="K6" s="1025"/>
      <c r="L6" s="1025"/>
      <c r="M6" s="1025"/>
      <c r="N6" s="1025"/>
      <c r="O6" s="1025"/>
      <c r="P6" s="1025"/>
      <c r="Q6" s="1025"/>
      <c r="R6" s="1025"/>
      <c r="S6" s="1025"/>
      <c r="T6" s="1025"/>
      <c r="U6" s="1021">
        <v>49</v>
      </c>
      <c r="V6" s="1026" t="s">
        <v>1442</v>
      </c>
      <c r="X6" s="1017">
        <v>3</v>
      </c>
      <c r="Y6" s="1030" t="s">
        <v>1939</v>
      </c>
      <c r="Z6" s="1030" t="s">
        <v>1617</v>
      </c>
      <c r="AA6" s="1027" t="s">
        <v>1609</v>
      </c>
      <c r="AC6" s="1028" t="s">
        <v>2394</v>
      </c>
      <c r="AE6" s="1017">
        <v>37</v>
      </c>
      <c r="AF6" s="1016" t="s">
        <v>1620</v>
      </c>
      <c r="AG6" s="1016" t="s">
        <v>1624</v>
      </c>
      <c r="AH6" s="1027"/>
      <c r="AJ6" s="1028" t="s">
        <v>2395</v>
      </c>
      <c r="AY6" s="1028"/>
    </row>
    <row r="7" spans="2:51" ht="35" customHeight="1" x14ac:dyDescent="0.45">
      <c r="B7" s="1029" t="s">
        <v>1583</v>
      </c>
      <c r="C7" s="1021">
        <v>4</v>
      </c>
      <c r="D7" s="1025"/>
      <c r="E7" s="1025"/>
      <c r="F7" s="1025"/>
      <c r="G7" s="1025"/>
      <c r="H7" s="1025"/>
      <c r="I7" s="1025"/>
      <c r="J7" s="1025"/>
      <c r="K7" s="1025"/>
      <c r="L7" s="1025"/>
      <c r="M7" s="1025"/>
      <c r="N7" s="1025"/>
      <c r="O7" s="1025"/>
      <c r="P7" s="1025"/>
      <c r="Q7" s="1025"/>
      <c r="R7" s="1025"/>
      <c r="S7" s="1025"/>
      <c r="T7" s="1025"/>
      <c r="U7" s="1021">
        <v>48</v>
      </c>
      <c r="V7" s="1026" t="s">
        <v>1439</v>
      </c>
      <c r="X7" s="1017">
        <v>4</v>
      </c>
      <c r="Y7" s="1016" t="s">
        <v>1583</v>
      </c>
      <c r="Z7" s="1016" t="s">
        <v>1617</v>
      </c>
      <c r="AA7" s="1027" t="s">
        <v>1609</v>
      </c>
      <c r="AC7" s="1028" t="s">
        <v>2394</v>
      </c>
      <c r="AE7" s="1017">
        <v>38</v>
      </c>
      <c r="AF7" s="1016" t="s">
        <v>1621</v>
      </c>
      <c r="AG7" s="1016" t="s">
        <v>1624</v>
      </c>
      <c r="AH7" s="1027"/>
      <c r="AJ7" s="1028" t="s">
        <v>2395</v>
      </c>
      <c r="AY7" s="1028"/>
    </row>
    <row r="8" spans="2:51" ht="35" customHeight="1" x14ac:dyDescent="0.45">
      <c r="B8" s="1029" t="s">
        <v>2299</v>
      </c>
      <c r="C8" s="1021">
        <v>5</v>
      </c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1025"/>
      <c r="O8" s="1025"/>
      <c r="P8" s="1025"/>
      <c r="Q8" s="1025"/>
      <c r="R8" s="1025"/>
      <c r="S8" s="1025"/>
      <c r="T8" s="1025"/>
      <c r="U8" s="1021">
        <v>47</v>
      </c>
      <c r="V8" s="1031" t="s">
        <v>1445</v>
      </c>
      <c r="X8" s="1017">
        <v>5</v>
      </c>
      <c r="Y8" s="1016" t="s">
        <v>2299</v>
      </c>
      <c r="Z8" s="1016" t="s">
        <v>1617</v>
      </c>
      <c r="AA8" s="1027" t="s">
        <v>1609</v>
      </c>
      <c r="AC8" s="1028" t="s">
        <v>2394</v>
      </c>
      <c r="AE8" s="1017">
        <v>39</v>
      </c>
      <c r="AF8" s="1016" t="s">
        <v>1447</v>
      </c>
      <c r="AG8" s="1016" t="s">
        <v>1618</v>
      </c>
      <c r="AH8" s="1027"/>
      <c r="AJ8" s="1028" t="s">
        <v>2395</v>
      </c>
      <c r="AK8" s="1016" t="s">
        <v>2328</v>
      </c>
      <c r="AY8" s="1028"/>
    </row>
    <row r="9" spans="2:51" ht="35" customHeight="1" x14ac:dyDescent="0.45">
      <c r="B9" s="1032" t="s">
        <v>2300</v>
      </c>
      <c r="C9" s="1021">
        <v>6</v>
      </c>
      <c r="D9" s="1025"/>
      <c r="E9" s="1025"/>
      <c r="F9" s="1025"/>
      <c r="G9" s="1025"/>
      <c r="H9" s="1025"/>
      <c r="I9" s="1025"/>
      <c r="J9" s="1025"/>
      <c r="K9" s="1025"/>
      <c r="L9" s="1025"/>
      <c r="M9" s="1025"/>
      <c r="N9" s="1025"/>
      <c r="O9" s="1025"/>
      <c r="P9" s="1025"/>
      <c r="Q9" s="1025"/>
      <c r="R9" s="1025"/>
      <c r="S9" s="1025"/>
      <c r="T9" s="1025"/>
      <c r="U9" s="1021">
        <v>46</v>
      </c>
      <c r="V9" s="1033" t="s">
        <v>2297</v>
      </c>
      <c r="X9" s="1017">
        <v>6</v>
      </c>
      <c r="Y9" s="1016" t="s">
        <v>1452</v>
      </c>
      <c r="Z9" s="1016" t="s">
        <v>1624</v>
      </c>
      <c r="AA9" s="1027"/>
      <c r="AC9" s="1028" t="s">
        <v>2396</v>
      </c>
      <c r="AE9" s="1017">
        <v>40</v>
      </c>
      <c r="AF9" s="1016" t="s">
        <v>1454</v>
      </c>
      <c r="AG9" s="1016" t="s">
        <v>1624</v>
      </c>
      <c r="AH9" s="1027"/>
      <c r="AJ9" s="1028" t="s">
        <v>2397</v>
      </c>
      <c r="AY9" s="1028"/>
    </row>
    <row r="10" spans="2:51" ht="35" customHeight="1" x14ac:dyDescent="0.45">
      <c r="B10" s="1029" t="s">
        <v>1579</v>
      </c>
      <c r="C10" s="1021">
        <v>7</v>
      </c>
      <c r="D10" s="1025"/>
      <c r="E10" s="1025"/>
      <c r="F10" s="1025"/>
      <c r="G10" s="1025"/>
      <c r="H10" s="1025"/>
      <c r="I10" s="1025"/>
      <c r="J10" s="1025"/>
      <c r="K10" s="1025"/>
      <c r="L10" s="1025"/>
      <c r="M10" s="1025"/>
      <c r="N10" s="1025"/>
      <c r="O10" s="1025"/>
      <c r="P10" s="1025"/>
      <c r="Q10" s="1025"/>
      <c r="R10" s="1025"/>
      <c r="S10" s="1025"/>
      <c r="T10" s="1025"/>
      <c r="U10" s="1021">
        <v>45</v>
      </c>
      <c r="V10" s="1026" t="s">
        <v>2317</v>
      </c>
      <c r="X10" s="1017">
        <v>7</v>
      </c>
      <c r="Y10" s="1016" t="s">
        <v>1579</v>
      </c>
      <c r="Z10" s="1016" t="s">
        <v>1617</v>
      </c>
      <c r="AA10" s="1027" t="s">
        <v>1609</v>
      </c>
      <c r="AC10" s="1028" t="s">
        <v>2394</v>
      </c>
      <c r="AE10" s="1017">
        <v>41</v>
      </c>
      <c r="AF10" s="1016" t="s">
        <v>1441</v>
      </c>
      <c r="AG10" s="1016" t="s">
        <v>1617</v>
      </c>
      <c r="AH10" s="1027" t="s">
        <v>1609</v>
      </c>
      <c r="AJ10" s="1028" t="s">
        <v>2398</v>
      </c>
      <c r="AY10" s="1028"/>
    </row>
    <row r="11" spans="2:51" ht="35" customHeight="1" x14ac:dyDescent="0.45">
      <c r="B11" s="1029" t="s">
        <v>1581</v>
      </c>
      <c r="C11" s="1021">
        <v>8</v>
      </c>
      <c r="D11" s="1025"/>
      <c r="E11" s="1025"/>
      <c r="F11" s="1025"/>
      <c r="G11" s="1025"/>
      <c r="H11" s="1025"/>
      <c r="I11" s="1025"/>
      <c r="J11" s="1025"/>
      <c r="K11" s="1025"/>
      <c r="L11" s="1025"/>
      <c r="M11" s="1025"/>
      <c r="N11" s="1025"/>
      <c r="O11" s="1025"/>
      <c r="P11" s="1025"/>
      <c r="Q11" s="1025"/>
      <c r="R11" s="1025"/>
      <c r="S11" s="1025"/>
      <c r="T11" s="1025"/>
      <c r="U11" s="1021">
        <v>44</v>
      </c>
      <c r="V11" s="1026" t="s">
        <v>2319</v>
      </c>
      <c r="X11" s="1017">
        <v>8</v>
      </c>
      <c r="Y11" s="1016" t="s">
        <v>1581</v>
      </c>
      <c r="Z11" s="1016" t="s">
        <v>1618</v>
      </c>
      <c r="AA11" s="1027"/>
      <c r="AB11" s="1016" t="s">
        <v>1610</v>
      </c>
      <c r="AC11" s="1028" t="s">
        <v>2393</v>
      </c>
      <c r="AE11" s="1017">
        <v>42</v>
      </c>
      <c r="AF11" s="1016" t="s">
        <v>1444</v>
      </c>
      <c r="AG11" s="1016" t="s">
        <v>1618</v>
      </c>
      <c r="AH11" s="1034" t="s">
        <v>1576</v>
      </c>
      <c r="AJ11" s="1028" t="s">
        <v>2399</v>
      </c>
      <c r="AY11" s="1028"/>
    </row>
    <row r="12" spans="2:51" ht="35" customHeight="1" x14ac:dyDescent="0.45">
      <c r="B12" s="1029" t="s">
        <v>1580</v>
      </c>
      <c r="C12" s="1021">
        <v>9</v>
      </c>
      <c r="D12" s="1025"/>
      <c r="E12" s="1025"/>
      <c r="F12" s="1025"/>
      <c r="G12" s="1025"/>
      <c r="H12" s="1025"/>
      <c r="I12" s="1025"/>
      <c r="J12" s="1025"/>
      <c r="K12" s="1025"/>
      <c r="L12" s="1025"/>
      <c r="M12" s="1025"/>
      <c r="N12" s="1025"/>
      <c r="O12" s="1025"/>
      <c r="P12" s="1025"/>
      <c r="Q12" s="1025"/>
      <c r="R12" s="1025"/>
      <c r="S12" s="1025"/>
      <c r="T12" s="1025"/>
      <c r="U12" s="1021">
        <v>43</v>
      </c>
      <c r="V12" s="1031" t="s">
        <v>1446</v>
      </c>
      <c r="X12" s="1017">
        <v>9</v>
      </c>
      <c r="Y12" s="1016" t="s">
        <v>1580</v>
      </c>
      <c r="Z12" s="1016" t="s">
        <v>1617</v>
      </c>
      <c r="AA12" s="1027" t="s">
        <v>1609</v>
      </c>
      <c r="AC12" s="1028" t="s">
        <v>2394</v>
      </c>
      <c r="AE12" s="1017">
        <v>43</v>
      </c>
      <c r="AF12" s="1016" t="s">
        <v>1446</v>
      </c>
      <c r="AG12" s="1016" t="s">
        <v>1618</v>
      </c>
      <c r="AH12" s="1027"/>
      <c r="AJ12" s="1028" t="s">
        <v>2395</v>
      </c>
      <c r="AK12" s="1016" t="s">
        <v>2328</v>
      </c>
      <c r="AY12" s="1028"/>
    </row>
    <row r="13" spans="2:51" ht="35" customHeight="1" x14ac:dyDescent="0.45">
      <c r="B13" s="1029" t="s">
        <v>2315</v>
      </c>
      <c r="C13" s="1021">
        <v>10</v>
      </c>
      <c r="D13" s="1025"/>
      <c r="E13" s="1025"/>
      <c r="F13" s="1025"/>
      <c r="G13" s="1025"/>
      <c r="H13" s="1025"/>
      <c r="I13" s="1025"/>
      <c r="J13" s="1025"/>
      <c r="K13" s="1025"/>
      <c r="L13" s="1025"/>
      <c r="M13" s="1025"/>
      <c r="N13" s="1025"/>
      <c r="O13" s="1025"/>
      <c r="P13" s="1025"/>
      <c r="Q13" s="1025"/>
      <c r="R13" s="1025"/>
      <c r="S13" s="1025"/>
      <c r="T13" s="1025"/>
      <c r="U13" s="1021">
        <v>42</v>
      </c>
      <c r="V13" s="1026" t="s">
        <v>2318</v>
      </c>
      <c r="X13" s="1017">
        <v>10</v>
      </c>
      <c r="Y13" s="1016" t="s">
        <v>2315</v>
      </c>
      <c r="Z13" s="1016" t="s">
        <v>1618</v>
      </c>
      <c r="AA13" s="1035" t="s">
        <v>1576</v>
      </c>
      <c r="AC13" s="1028" t="s">
        <v>2399</v>
      </c>
      <c r="AE13" s="1017">
        <v>44</v>
      </c>
      <c r="AF13" s="1016" t="s">
        <v>1440</v>
      </c>
      <c r="AG13" s="1016" t="s">
        <v>1617</v>
      </c>
      <c r="AH13" s="1027" t="s">
        <v>1609</v>
      </c>
      <c r="AJ13" s="1028" t="s">
        <v>2398</v>
      </c>
      <c r="AY13" s="1028"/>
    </row>
    <row r="14" spans="2:51" ht="35" customHeight="1" x14ac:dyDescent="0.45">
      <c r="B14" s="1029" t="s">
        <v>2316</v>
      </c>
      <c r="C14" s="1021">
        <v>11</v>
      </c>
      <c r="D14" s="1025"/>
      <c r="E14" s="1025"/>
      <c r="F14" s="1025"/>
      <c r="G14" s="1025"/>
      <c r="H14" s="1025"/>
      <c r="I14" s="1025"/>
      <c r="J14" s="1025"/>
      <c r="K14" s="1025"/>
      <c r="L14" s="1025"/>
      <c r="M14" s="1025"/>
      <c r="N14" s="1025"/>
      <c r="O14" s="1025"/>
      <c r="P14" s="1025"/>
      <c r="Q14" s="1025"/>
      <c r="R14" s="1025"/>
      <c r="S14" s="1025"/>
      <c r="T14" s="1025"/>
      <c r="U14" s="1021">
        <v>41</v>
      </c>
      <c r="V14" s="1026" t="s">
        <v>2320</v>
      </c>
      <c r="X14" s="1017">
        <v>11</v>
      </c>
      <c r="Y14" s="1016" t="s">
        <v>2316</v>
      </c>
      <c r="Z14" s="1016" t="s">
        <v>1618</v>
      </c>
      <c r="AA14" s="1035" t="s">
        <v>1576</v>
      </c>
      <c r="AC14" s="1028" t="s">
        <v>2399</v>
      </c>
      <c r="AE14" s="1017">
        <v>45</v>
      </c>
      <c r="AF14" s="1016" t="s">
        <v>1443</v>
      </c>
      <c r="AG14" s="1016" t="s">
        <v>1618</v>
      </c>
      <c r="AH14" s="1034" t="s">
        <v>1576</v>
      </c>
      <c r="AJ14" s="1028" t="s">
        <v>2399</v>
      </c>
      <c r="AK14" s="1016" t="s">
        <v>2328</v>
      </c>
      <c r="AY14" s="1028"/>
    </row>
    <row r="15" spans="2:51" ht="35" customHeight="1" x14ac:dyDescent="0.45">
      <c r="B15" s="1036" t="s">
        <v>1448</v>
      </c>
      <c r="C15" s="1021">
        <v>12</v>
      </c>
      <c r="D15" s="1025"/>
      <c r="E15" s="1025"/>
      <c r="F15" s="1025"/>
      <c r="G15" s="1025"/>
      <c r="H15" s="1025"/>
      <c r="I15" s="1025"/>
      <c r="J15" s="1025"/>
      <c r="K15" s="1025"/>
      <c r="L15" s="1025"/>
      <c r="M15" s="1025"/>
      <c r="N15" s="1025"/>
      <c r="O15" s="1025"/>
      <c r="P15" s="1025"/>
      <c r="Q15" s="1025"/>
      <c r="R15" s="1025"/>
      <c r="S15" s="1025"/>
      <c r="T15" s="1025"/>
      <c r="U15" s="1021">
        <v>40</v>
      </c>
      <c r="V15" s="1037" t="s">
        <v>2323</v>
      </c>
      <c r="W15" s="1016" t="s">
        <v>2436</v>
      </c>
      <c r="X15" s="1017">
        <v>12</v>
      </c>
      <c r="Y15" s="1016" t="s">
        <v>1448</v>
      </c>
      <c r="Z15" s="1016" t="s">
        <v>1624</v>
      </c>
      <c r="AA15" s="1027"/>
      <c r="AC15" s="1028" t="s">
        <v>2400</v>
      </c>
      <c r="AE15" s="1017">
        <v>46</v>
      </c>
      <c r="AF15" s="1016" t="s">
        <v>1450</v>
      </c>
      <c r="AG15" s="1016" t="s">
        <v>1624</v>
      </c>
      <c r="AH15" s="1027"/>
      <c r="AJ15" s="1028" t="s">
        <v>2397</v>
      </c>
      <c r="AY15" s="1028"/>
    </row>
    <row r="16" spans="2:51" ht="35" customHeight="1" x14ac:dyDescent="0.45">
      <c r="B16" s="1024" t="s">
        <v>1584</v>
      </c>
      <c r="C16" s="1021">
        <v>13</v>
      </c>
      <c r="D16" s="1025"/>
      <c r="E16" s="1025"/>
      <c r="F16" s="1025"/>
      <c r="G16" s="1025"/>
      <c r="H16" s="1025"/>
      <c r="I16" s="1025"/>
      <c r="J16" s="1025"/>
      <c r="K16" s="1025"/>
      <c r="L16" s="1025"/>
      <c r="M16" s="1025"/>
      <c r="N16" s="1025"/>
      <c r="O16" s="1025"/>
      <c r="P16" s="1025"/>
      <c r="Q16" s="1025"/>
      <c r="R16" s="1025"/>
      <c r="S16" s="1025"/>
      <c r="T16" s="1025"/>
      <c r="U16" s="1021">
        <v>39</v>
      </c>
      <c r="V16" s="1031" t="s">
        <v>1447</v>
      </c>
      <c r="X16" s="1017">
        <v>13</v>
      </c>
      <c r="Y16" s="1030" t="s">
        <v>1584</v>
      </c>
      <c r="Z16" s="1016" t="s">
        <v>1617</v>
      </c>
      <c r="AA16" s="1027" t="s">
        <v>1609</v>
      </c>
      <c r="AC16" s="1028" t="s">
        <v>2398</v>
      </c>
      <c r="AE16" s="1017">
        <v>47</v>
      </c>
      <c r="AF16" s="1016" t="s">
        <v>1445</v>
      </c>
      <c r="AG16" s="1016" t="s">
        <v>1618</v>
      </c>
      <c r="AH16" s="1027"/>
      <c r="AJ16" s="1028" t="s">
        <v>2395</v>
      </c>
      <c r="AK16" s="1016" t="s">
        <v>2328</v>
      </c>
      <c r="AY16" s="1028"/>
    </row>
    <row r="17" spans="2:52" ht="35" customHeight="1" x14ac:dyDescent="0.45">
      <c r="B17" s="1038" t="s">
        <v>1608</v>
      </c>
      <c r="C17" s="1021">
        <v>14</v>
      </c>
      <c r="D17" s="1025"/>
      <c r="E17" s="1025"/>
      <c r="F17" s="1025"/>
      <c r="G17" s="1025"/>
      <c r="H17" s="1025"/>
      <c r="I17" s="1025"/>
      <c r="J17" s="1025"/>
      <c r="K17" s="1025"/>
      <c r="L17" s="1025"/>
      <c r="M17" s="1025"/>
      <c r="N17" s="1025"/>
      <c r="O17" s="1025"/>
      <c r="P17" s="1025"/>
      <c r="Q17" s="1025"/>
      <c r="R17" s="1025"/>
      <c r="S17" s="1025"/>
      <c r="T17" s="1025"/>
      <c r="U17" s="1021">
        <v>38</v>
      </c>
      <c r="V17" s="1039" t="s">
        <v>2322</v>
      </c>
      <c r="X17" s="1017">
        <v>14</v>
      </c>
      <c r="Y17" s="1016" t="s">
        <v>1608</v>
      </c>
      <c r="Z17" s="1016" t="s">
        <v>1619</v>
      </c>
      <c r="AA17" s="1027" t="s">
        <v>1614</v>
      </c>
      <c r="AB17" s="1016" t="s">
        <v>1610</v>
      </c>
      <c r="AC17" s="1028" t="s">
        <v>2401</v>
      </c>
      <c r="AE17" s="1017">
        <v>48</v>
      </c>
      <c r="AF17" s="1016" t="s">
        <v>1439</v>
      </c>
      <c r="AG17" s="1016" t="s">
        <v>1617</v>
      </c>
      <c r="AH17" s="1027" t="s">
        <v>1609</v>
      </c>
      <c r="AJ17" s="1028" t="s">
        <v>2398</v>
      </c>
      <c r="AY17" s="1028"/>
    </row>
    <row r="18" spans="2:52" ht="35" customHeight="1" x14ac:dyDescent="0.45">
      <c r="B18" s="1038" t="s">
        <v>1607</v>
      </c>
      <c r="C18" s="1021">
        <v>15</v>
      </c>
      <c r="D18" s="1025"/>
      <c r="E18" s="1025"/>
      <c r="F18" s="1025"/>
      <c r="G18" s="1025"/>
      <c r="H18" s="1025"/>
      <c r="I18" s="1025"/>
      <c r="J18" s="1025"/>
      <c r="K18" s="1025"/>
      <c r="L18" s="1025"/>
      <c r="M18" s="1025"/>
      <c r="N18" s="1025"/>
      <c r="O18" s="1025"/>
      <c r="P18" s="1025"/>
      <c r="Q18" s="1025"/>
      <c r="R18" s="1025"/>
      <c r="S18" s="1025"/>
      <c r="T18" s="1025"/>
      <c r="U18" s="1021">
        <v>37</v>
      </c>
      <c r="V18" s="1039" t="s">
        <v>2321</v>
      </c>
      <c r="X18" s="1017">
        <v>15</v>
      </c>
      <c r="Y18" s="1016" t="s">
        <v>1607</v>
      </c>
      <c r="Z18" s="1016" t="s">
        <v>1619</v>
      </c>
      <c r="AA18" s="1027" t="s">
        <v>1614</v>
      </c>
      <c r="AB18" s="1016" t="s">
        <v>1610</v>
      </c>
      <c r="AC18" s="1028" t="s">
        <v>2401</v>
      </c>
      <c r="AE18" s="1017">
        <v>49</v>
      </c>
      <c r="AF18" s="1016" t="s">
        <v>1442</v>
      </c>
      <c r="AG18" s="1016" t="s">
        <v>1618</v>
      </c>
      <c r="AH18" s="1035" t="s">
        <v>1576</v>
      </c>
      <c r="AJ18" s="1028" t="s">
        <v>2399</v>
      </c>
      <c r="AY18" s="1028"/>
    </row>
    <row r="19" spans="2:52" ht="35" customHeight="1" x14ac:dyDescent="0.45">
      <c r="B19" s="1039" t="s">
        <v>2153</v>
      </c>
      <c r="C19" s="1021">
        <v>16</v>
      </c>
      <c r="D19" s="1025"/>
      <c r="E19" s="1025"/>
      <c r="F19" s="1025"/>
      <c r="G19" s="1025"/>
      <c r="H19" s="1025"/>
      <c r="I19" s="1025"/>
      <c r="J19" s="1025"/>
      <c r="K19" s="1025"/>
      <c r="L19" s="1025"/>
      <c r="M19" s="1025"/>
      <c r="N19" s="1025"/>
      <c r="O19" s="1025"/>
      <c r="P19" s="1025"/>
      <c r="Q19" s="1025"/>
      <c r="R19" s="1025"/>
      <c r="S19" s="1025"/>
      <c r="T19" s="1025"/>
      <c r="U19" s="1021">
        <v>36</v>
      </c>
      <c r="V19" s="1040" t="s">
        <v>2798</v>
      </c>
      <c r="X19" s="1017">
        <v>16</v>
      </c>
      <c r="Y19" s="1016" t="s">
        <v>2804</v>
      </c>
      <c r="AA19" s="1027"/>
      <c r="AB19" s="1016" t="s">
        <v>1610</v>
      </c>
      <c r="AC19" s="1028" t="s">
        <v>2392</v>
      </c>
      <c r="AD19" s="1016" t="s">
        <v>2330</v>
      </c>
      <c r="AE19" s="1017">
        <v>50</v>
      </c>
      <c r="AF19" s="1016" t="s">
        <v>1585</v>
      </c>
      <c r="AG19" s="1016" t="s">
        <v>1619</v>
      </c>
      <c r="AH19" s="1027" t="s">
        <v>1615</v>
      </c>
      <c r="AI19" s="1016" t="s">
        <v>1610</v>
      </c>
      <c r="AJ19" s="1028" t="s">
        <v>2401</v>
      </c>
      <c r="AY19" s="1028"/>
    </row>
    <row r="20" spans="2:52" ht="35" customHeight="1" x14ac:dyDescent="0.45">
      <c r="B20" s="1039" t="s">
        <v>1606</v>
      </c>
      <c r="C20" s="1021">
        <v>17</v>
      </c>
      <c r="D20" s="1025"/>
      <c r="E20" s="1025"/>
      <c r="F20" s="1025"/>
      <c r="G20" s="1025"/>
      <c r="H20" s="1025"/>
      <c r="I20" s="1025"/>
      <c r="J20" s="1025"/>
      <c r="K20" s="1025"/>
      <c r="L20" s="1025"/>
      <c r="M20" s="1025"/>
      <c r="N20" s="1025"/>
      <c r="O20" s="1025"/>
      <c r="P20" s="1025"/>
      <c r="Q20" s="1025"/>
      <c r="R20" s="1025"/>
      <c r="S20" s="1025"/>
      <c r="T20" s="1025"/>
      <c r="U20" s="1021">
        <v>35</v>
      </c>
      <c r="V20" s="1040" t="s">
        <v>2799</v>
      </c>
      <c r="X20" s="1017">
        <v>17</v>
      </c>
      <c r="Y20" s="1016" t="s">
        <v>1606</v>
      </c>
      <c r="Z20" s="1016" t="s">
        <v>1619</v>
      </c>
      <c r="AA20" s="1027" t="s">
        <v>1614</v>
      </c>
      <c r="AB20" s="1016" t="s">
        <v>1610</v>
      </c>
      <c r="AC20" s="1028" t="s">
        <v>2401</v>
      </c>
      <c r="AE20" s="1017">
        <v>51</v>
      </c>
      <c r="AF20" s="1016" t="s">
        <v>1586</v>
      </c>
      <c r="AG20" s="1016" t="s">
        <v>1619</v>
      </c>
      <c r="AH20" s="1027" t="s">
        <v>1615</v>
      </c>
      <c r="AI20" s="1016" t="s">
        <v>1610</v>
      </c>
      <c r="AJ20" s="1028" t="s">
        <v>2401</v>
      </c>
      <c r="AY20" s="1028"/>
    </row>
    <row r="21" spans="2:52" ht="35" customHeight="1" x14ac:dyDescent="0.45">
      <c r="C21" s="1041"/>
      <c r="D21" s="1021">
        <v>18</v>
      </c>
      <c r="E21" s="1021">
        <v>19</v>
      </c>
      <c r="F21" s="1021">
        <v>20</v>
      </c>
      <c r="G21" s="1021">
        <v>21</v>
      </c>
      <c r="H21" s="1021">
        <v>22</v>
      </c>
      <c r="I21" s="1021">
        <v>23</v>
      </c>
      <c r="J21" s="1021">
        <v>24</v>
      </c>
      <c r="K21" s="1021">
        <v>25</v>
      </c>
      <c r="L21" s="1021">
        <v>26</v>
      </c>
      <c r="M21" s="1021">
        <v>27</v>
      </c>
      <c r="N21" s="1021">
        <v>28</v>
      </c>
      <c r="O21" s="1021">
        <v>29</v>
      </c>
      <c r="P21" s="1021">
        <v>30</v>
      </c>
      <c r="Q21" s="1021">
        <v>31</v>
      </c>
      <c r="R21" s="1021">
        <v>32</v>
      </c>
      <c r="S21" s="1021">
        <v>33</v>
      </c>
      <c r="T21" s="1021">
        <v>34</v>
      </c>
      <c r="U21" s="1042"/>
      <c r="V21" s="1011"/>
      <c r="X21" s="1017">
        <v>18</v>
      </c>
      <c r="Y21" s="1016" t="s">
        <v>1605</v>
      </c>
      <c r="Z21" s="1016" t="s">
        <v>1619</v>
      </c>
      <c r="AA21" s="1027" t="s">
        <v>1614</v>
      </c>
      <c r="AB21" s="1016" t="s">
        <v>1610</v>
      </c>
      <c r="AC21" s="1028" t="s">
        <v>2401</v>
      </c>
      <c r="AE21" s="1017">
        <v>52</v>
      </c>
      <c r="AF21" s="1016" t="s">
        <v>1852</v>
      </c>
      <c r="AG21" s="1016" t="s">
        <v>1618</v>
      </c>
      <c r="AH21" s="1027"/>
      <c r="AI21" s="1016" t="s">
        <v>1610</v>
      </c>
      <c r="AJ21" s="1028" t="s">
        <v>2392</v>
      </c>
      <c r="AY21" s="1028"/>
    </row>
    <row r="22" spans="2:52" ht="35" customHeight="1" x14ac:dyDescent="0.45">
      <c r="C22" s="1011"/>
      <c r="D22" s="1039" t="s">
        <v>1605</v>
      </c>
      <c r="E22" s="1039" t="s">
        <v>1604</v>
      </c>
      <c r="F22" s="1039" t="s">
        <v>1603</v>
      </c>
      <c r="G22" s="1039" t="s">
        <v>1602</v>
      </c>
      <c r="H22" s="1043" t="s">
        <v>2302</v>
      </c>
      <c r="I22" s="1039" t="s">
        <v>1601</v>
      </c>
      <c r="J22" s="1039" t="s">
        <v>1600</v>
      </c>
      <c r="K22" s="1039" t="s">
        <v>2152</v>
      </c>
      <c r="L22" s="1039" t="s">
        <v>1599</v>
      </c>
      <c r="M22" s="1039" t="s">
        <v>1598</v>
      </c>
      <c r="N22" s="1039" t="s">
        <v>1597</v>
      </c>
      <c r="O22" s="1044" t="s">
        <v>2301</v>
      </c>
      <c r="P22" s="1039" t="s">
        <v>2151</v>
      </c>
      <c r="Q22" s="1045" t="s">
        <v>2801</v>
      </c>
      <c r="R22" s="1045" t="s">
        <v>2796</v>
      </c>
      <c r="S22" s="1045" t="s">
        <v>2797</v>
      </c>
      <c r="T22" s="1045" t="s">
        <v>2800</v>
      </c>
      <c r="U22" s="1011"/>
      <c r="V22" s="1011"/>
      <c r="X22" s="1017">
        <v>19</v>
      </c>
      <c r="Y22" s="1016" t="s">
        <v>1604</v>
      </c>
      <c r="Z22" s="1016" t="s">
        <v>1619</v>
      </c>
      <c r="AA22" s="1027" t="s">
        <v>1614</v>
      </c>
      <c r="AB22" s="1016" t="s">
        <v>1610</v>
      </c>
      <c r="AC22" s="1028" t="s">
        <v>2401</v>
      </c>
      <c r="AE22" s="1017">
        <v>53</v>
      </c>
      <c r="AF22" s="1016" t="s">
        <v>1587</v>
      </c>
      <c r="AG22" s="1016" t="s">
        <v>1619</v>
      </c>
      <c r="AH22" s="1027" t="s">
        <v>1614</v>
      </c>
      <c r="AI22" s="1016" t="s">
        <v>1610</v>
      </c>
      <c r="AJ22" s="1028" t="s">
        <v>2401</v>
      </c>
      <c r="AY22" s="1028"/>
    </row>
    <row r="23" spans="2:52" x14ac:dyDescent="0.45">
      <c r="X23" s="1017">
        <v>20</v>
      </c>
      <c r="Y23" s="1016" t="s">
        <v>1603</v>
      </c>
      <c r="Z23" s="1016" t="s">
        <v>1619</v>
      </c>
      <c r="AA23" s="1027" t="s">
        <v>1614</v>
      </c>
      <c r="AB23" s="1016" t="s">
        <v>1610</v>
      </c>
      <c r="AC23" s="1028" t="s">
        <v>2401</v>
      </c>
      <c r="AE23" s="1017">
        <v>54</v>
      </c>
      <c r="AF23" s="1016" t="s">
        <v>1588</v>
      </c>
      <c r="AG23" s="1016" t="s">
        <v>1619</v>
      </c>
      <c r="AH23" s="1027" t="s">
        <v>1614</v>
      </c>
      <c r="AI23" s="1016" t="s">
        <v>1610</v>
      </c>
      <c r="AJ23" s="1028" t="s">
        <v>2401</v>
      </c>
      <c r="AY23" s="1028"/>
    </row>
    <row r="24" spans="2:52" x14ac:dyDescent="0.45">
      <c r="X24" s="1017">
        <v>21</v>
      </c>
      <c r="Y24" s="1016" t="s">
        <v>1602</v>
      </c>
      <c r="Z24" s="1016" t="s">
        <v>1619</v>
      </c>
      <c r="AA24" s="1027" t="s">
        <v>1614</v>
      </c>
      <c r="AB24" s="1016" t="s">
        <v>1610</v>
      </c>
      <c r="AC24" s="1028" t="s">
        <v>2401</v>
      </c>
      <c r="AE24" s="1017">
        <v>55</v>
      </c>
      <c r="AF24" s="1016" t="s">
        <v>1853</v>
      </c>
      <c r="AG24" s="1016" t="s">
        <v>1618</v>
      </c>
      <c r="AH24" s="1027"/>
      <c r="AI24" s="1016" t="s">
        <v>1610</v>
      </c>
      <c r="AJ24" s="1028" t="s">
        <v>2392</v>
      </c>
      <c r="AY24" s="1028"/>
    </row>
    <row r="25" spans="2:52" x14ac:dyDescent="0.45">
      <c r="X25" s="1017">
        <v>22</v>
      </c>
      <c r="Y25" s="1016" t="s">
        <v>1453</v>
      </c>
      <c r="Z25" s="1016" t="s">
        <v>1624</v>
      </c>
      <c r="AA25" s="1027"/>
      <c r="AC25" s="1028" t="s">
        <v>2397</v>
      </c>
      <c r="AE25" s="1017">
        <v>56</v>
      </c>
      <c r="AF25" s="1016" t="s">
        <v>1455</v>
      </c>
      <c r="AG25" s="1016" t="s">
        <v>1624</v>
      </c>
      <c r="AH25" s="1027"/>
      <c r="AJ25" s="1028" t="s">
        <v>2397</v>
      </c>
      <c r="AY25" s="1028"/>
    </row>
    <row r="26" spans="2:52" x14ac:dyDescent="0.45">
      <c r="X26" s="1017">
        <v>23</v>
      </c>
      <c r="Y26" s="1016" t="s">
        <v>1601</v>
      </c>
      <c r="Z26" s="1016" t="s">
        <v>1619</v>
      </c>
      <c r="AA26" s="1027" t="s">
        <v>1614</v>
      </c>
      <c r="AB26" s="1016" t="s">
        <v>1610</v>
      </c>
      <c r="AC26" s="1028" t="s">
        <v>2401</v>
      </c>
      <c r="AE26" s="1017">
        <v>57</v>
      </c>
      <c r="AF26" s="1016" t="s">
        <v>1589</v>
      </c>
      <c r="AG26" s="1016" t="s">
        <v>1619</v>
      </c>
      <c r="AH26" s="1027" t="s">
        <v>1614</v>
      </c>
      <c r="AI26" s="1016" t="s">
        <v>1610</v>
      </c>
      <c r="AJ26" s="1028" t="s">
        <v>2401</v>
      </c>
      <c r="AK26" s="1046"/>
      <c r="AY26" s="1028"/>
      <c r="AZ26" s="1046"/>
    </row>
    <row r="27" spans="2:52" x14ac:dyDescent="0.45">
      <c r="X27" s="1017">
        <v>24</v>
      </c>
      <c r="Y27" s="1016" t="s">
        <v>1600</v>
      </c>
      <c r="Z27" s="1016" t="s">
        <v>1619</v>
      </c>
      <c r="AA27" s="1027" t="s">
        <v>1614</v>
      </c>
      <c r="AB27" s="1016" t="s">
        <v>1610</v>
      </c>
      <c r="AC27" s="1028" t="s">
        <v>2401</v>
      </c>
      <c r="AE27" s="1017">
        <v>58</v>
      </c>
      <c r="AF27" s="1016" t="s">
        <v>1590</v>
      </c>
      <c r="AG27" s="1016" t="s">
        <v>1619</v>
      </c>
      <c r="AH27" s="1027" t="s">
        <v>1614</v>
      </c>
      <c r="AI27" s="1016" t="s">
        <v>1610</v>
      </c>
      <c r="AJ27" s="1028" t="s">
        <v>2401</v>
      </c>
      <c r="AY27" s="1028"/>
    </row>
    <row r="28" spans="2:52" x14ac:dyDescent="0.45">
      <c r="X28" s="1017">
        <v>25</v>
      </c>
      <c r="Y28" s="1016" t="s">
        <v>2805</v>
      </c>
      <c r="AA28" s="1027"/>
      <c r="AB28" s="1016" t="s">
        <v>1610</v>
      </c>
      <c r="AC28" s="1028" t="s">
        <v>2392</v>
      </c>
      <c r="AE28" s="1017">
        <v>59</v>
      </c>
      <c r="AF28" s="1016" t="s">
        <v>2147</v>
      </c>
      <c r="AH28" s="1027"/>
      <c r="AI28" s="1016" t="s">
        <v>1610</v>
      </c>
      <c r="AJ28" s="1028" t="s">
        <v>2392</v>
      </c>
      <c r="AY28" s="1028"/>
    </row>
    <row r="29" spans="2:52" x14ac:dyDescent="0.45">
      <c r="X29" s="1017">
        <v>26</v>
      </c>
      <c r="Y29" s="1016" t="s">
        <v>1599</v>
      </c>
      <c r="Z29" s="1016" t="s">
        <v>1619</v>
      </c>
      <c r="AA29" s="1027" t="s">
        <v>1614</v>
      </c>
      <c r="AB29" s="1016" t="s">
        <v>1610</v>
      </c>
      <c r="AC29" s="1028" t="s">
        <v>2401</v>
      </c>
      <c r="AE29" s="1017">
        <v>60</v>
      </c>
      <c r="AF29" s="1016" t="s">
        <v>1591</v>
      </c>
      <c r="AG29" s="1016" t="s">
        <v>1619</v>
      </c>
      <c r="AH29" s="1027" t="s">
        <v>1614</v>
      </c>
      <c r="AI29" s="1016" t="s">
        <v>1610</v>
      </c>
      <c r="AJ29" s="1028" t="s">
        <v>2401</v>
      </c>
      <c r="AY29" s="1028"/>
    </row>
    <row r="30" spans="2:52" x14ac:dyDescent="0.45">
      <c r="X30" s="1017">
        <v>27</v>
      </c>
      <c r="Y30" s="1016" t="s">
        <v>1598</v>
      </c>
      <c r="Z30" s="1016" t="s">
        <v>1619</v>
      </c>
      <c r="AA30" s="1027" t="s">
        <v>1614</v>
      </c>
      <c r="AB30" s="1016" t="s">
        <v>1610</v>
      </c>
      <c r="AC30" s="1028" t="s">
        <v>2401</v>
      </c>
      <c r="AE30" s="1017">
        <v>61</v>
      </c>
      <c r="AF30" s="1016" t="s">
        <v>1592</v>
      </c>
      <c r="AG30" s="1016" t="s">
        <v>1619</v>
      </c>
      <c r="AH30" s="1027" t="s">
        <v>1614</v>
      </c>
      <c r="AI30" s="1016" t="s">
        <v>1610</v>
      </c>
      <c r="AJ30" s="1028" t="s">
        <v>2401</v>
      </c>
      <c r="AY30" s="1028"/>
    </row>
    <row r="31" spans="2:52" x14ac:dyDescent="0.45">
      <c r="X31" s="1017">
        <v>28</v>
      </c>
      <c r="Y31" s="1016" t="s">
        <v>1597</v>
      </c>
      <c r="Z31" s="1016" t="s">
        <v>1619</v>
      </c>
      <c r="AA31" s="1027" t="s">
        <v>1614</v>
      </c>
      <c r="AB31" s="1016" t="s">
        <v>1610</v>
      </c>
      <c r="AC31" s="1028" t="s">
        <v>2401</v>
      </c>
      <c r="AE31" s="1017">
        <v>62</v>
      </c>
      <c r="AF31" s="1016" t="s">
        <v>2148</v>
      </c>
      <c r="AH31" s="1027"/>
      <c r="AI31" s="1016" t="s">
        <v>1610</v>
      </c>
      <c r="AJ31" s="1028" t="s">
        <v>2392</v>
      </c>
      <c r="AY31" s="1028"/>
    </row>
    <row r="32" spans="2:52" x14ac:dyDescent="0.45">
      <c r="X32" s="1017">
        <v>29</v>
      </c>
      <c r="Y32" s="1016" t="s">
        <v>1449</v>
      </c>
      <c r="Z32" s="1016" t="s">
        <v>1624</v>
      </c>
      <c r="AA32" s="1027"/>
      <c r="AC32" s="1028" t="s">
        <v>2397</v>
      </c>
      <c r="AE32" s="1017">
        <v>63</v>
      </c>
      <c r="AF32" s="1016" t="s">
        <v>1451</v>
      </c>
      <c r="AG32" s="1016" t="s">
        <v>1624</v>
      </c>
      <c r="AH32" s="1027"/>
      <c r="AJ32" s="1028" t="s">
        <v>2397</v>
      </c>
      <c r="AY32" s="1028"/>
    </row>
    <row r="33" spans="24:51" x14ac:dyDescent="0.45">
      <c r="X33" s="1017">
        <v>30</v>
      </c>
      <c r="Y33" s="1016" t="s">
        <v>2806</v>
      </c>
      <c r="AA33" s="1027"/>
      <c r="AB33" s="1016" t="s">
        <v>1610</v>
      </c>
      <c r="AC33" s="1028" t="s">
        <v>2392</v>
      </c>
      <c r="AE33" s="1017">
        <v>64</v>
      </c>
      <c r="AF33" s="1016" t="s">
        <v>1593</v>
      </c>
      <c r="AG33" s="1016" t="s">
        <v>1619</v>
      </c>
      <c r="AH33" s="1027" t="s">
        <v>1614</v>
      </c>
      <c r="AI33" s="1016" t="s">
        <v>1610</v>
      </c>
      <c r="AJ33" s="1028" t="s">
        <v>2401</v>
      </c>
      <c r="AY33" s="1028"/>
    </row>
    <row r="34" spans="24:51" x14ac:dyDescent="0.45">
      <c r="X34" s="1017">
        <v>31</v>
      </c>
      <c r="Y34" s="1016" t="s">
        <v>2801</v>
      </c>
      <c r="Z34" s="1016" t="s">
        <v>1618</v>
      </c>
      <c r="AA34" s="1027"/>
      <c r="AB34" s="1016" t="s">
        <v>1610</v>
      </c>
      <c r="AC34" s="1028" t="s">
        <v>2393</v>
      </c>
      <c r="AE34" s="1017">
        <v>65</v>
      </c>
      <c r="AF34" s="1016" t="s">
        <v>1594</v>
      </c>
      <c r="AG34" s="1016" t="s">
        <v>1619</v>
      </c>
      <c r="AH34" s="1027" t="s">
        <v>1614</v>
      </c>
      <c r="AI34" s="1016" t="s">
        <v>1610</v>
      </c>
      <c r="AJ34" s="1028" t="s">
        <v>2401</v>
      </c>
      <c r="AY34" s="1028"/>
    </row>
    <row r="35" spans="24:51" x14ac:dyDescent="0.45">
      <c r="X35" s="1017">
        <v>32</v>
      </c>
      <c r="Y35" s="1016" t="s">
        <v>2796</v>
      </c>
      <c r="Z35" s="1016" t="s">
        <v>1618</v>
      </c>
      <c r="AA35" s="1027"/>
      <c r="AB35" s="1016" t="s">
        <v>1610</v>
      </c>
      <c r="AC35" s="1028" t="s">
        <v>2393</v>
      </c>
      <c r="AE35" s="1017">
        <v>66</v>
      </c>
      <c r="AF35" s="1016" t="s">
        <v>2149</v>
      </c>
      <c r="AH35" s="1027"/>
      <c r="AI35" s="1016" t="s">
        <v>1610</v>
      </c>
      <c r="AJ35" s="1028" t="s">
        <v>2392</v>
      </c>
      <c r="AY35" s="1028"/>
    </row>
    <row r="36" spans="24:51" x14ac:dyDescent="0.45">
      <c r="X36" s="1017">
        <v>33</v>
      </c>
      <c r="Y36" s="1016" t="s">
        <v>2797</v>
      </c>
      <c r="Z36" s="1016" t="s">
        <v>1618</v>
      </c>
      <c r="AA36" s="1027"/>
      <c r="AB36" s="1016" t="s">
        <v>1610</v>
      </c>
      <c r="AC36" s="1028" t="s">
        <v>2393</v>
      </c>
      <c r="AE36" s="1017">
        <v>67</v>
      </c>
      <c r="AF36" s="1016" t="s">
        <v>1595</v>
      </c>
      <c r="AG36" s="1016" t="s">
        <v>1619</v>
      </c>
      <c r="AH36" s="1027" t="s">
        <v>1614</v>
      </c>
      <c r="AI36" s="1016" t="s">
        <v>1610</v>
      </c>
      <c r="AJ36" s="1028" t="s">
        <v>2401</v>
      </c>
      <c r="AY36" s="1028"/>
    </row>
    <row r="37" spans="24:51" x14ac:dyDescent="0.45">
      <c r="X37" s="1017">
        <v>34</v>
      </c>
      <c r="Y37" s="1016" t="s">
        <v>2800</v>
      </c>
      <c r="Z37" s="1016" t="s">
        <v>1618</v>
      </c>
      <c r="AA37" s="1027"/>
      <c r="AB37" s="1016" t="s">
        <v>1610</v>
      </c>
      <c r="AC37" s="1028" t="s">
        <v>2393</v>
      </c>
      <c r="AE37" s="1017">
        <v>68</v>
      </c>
      <c r="AF37" s="1016" t="s">
        <v>1596</v>
      </c>
      <c r="AG37" s="1016" t="s">
        <v>1619</v>
      </c>
      <c r="AH37" s="1027" t="s">
        <v>1614</v>
      </c>
      <c r="AI37" s="1016" t="s">
        <v>1610</v>
      </c>
      <c r="AJ37" s="1028" t="s">
        <v>2401</v>
      </c>
      <c r="AY37" s="1028"/>
    </row>
  </sheetData>
  <phoneticPr fontId="2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ECF0-5FBA-48D1-A11F-8AC73CADE4B8}">
  <dimension ref="B1:CM18"/>
  <sheetViews>
    <sheetView showGridLines="0" zoomScale="120" zoomScaleNormal="120" workbookViewId="0"/>
  </sheetViews>
  <sheetFormatPr defaultColWidth="8.58203125" defaultRowHeight="14.5" x14ac:dyDescent="0.45"/>
  <cols>
    <col min="1" max="1" width="8.58203125" style="234"/>
    <col min="2" max="2" width="17" style="235" bestFit="1" customWidth="1"/>
    <col min="3" max="3" width="7.83203125" style="235" bestFit="1" customWidth="1"/>
    <col min="4" max="4" width="5" style="235" bestFit="1" customWidth="1"/>
    <col min="5" max="5" width="8.33203125" style="234" bestFit="1" customWidth="1"/>
    <col min="6" max="7" width="8.83203125" style="234" bestFit="1" customWidth="1"/>
    <col min="8" max="8" width="9.83203125" style="234" bestFit="1" customWidth="1"/>
    <col min="9" max="9" width="11.58203125" style="234" bestFit="1" customWidth="1"/>
    <col min="10" max="10" width="8.83203125" style="234" bestFit="1" customWidth="1"/>
    <col min="11" max="11" width="9" style="234" bestFit="1" customWidth="1"/>
    <col min="12" max="13" width="8.83203125" style="234" bestFit="1" customWidth="1"/>
    <col min="14" max="17" width="8.83203125" style="234" customWidth="1"/>
    <col min="18" max="18" width="8.58203125" style="234"/>
    <col min="19" max="19" width="11.75" style="235" bestFit="1" customWidth="1"/>
    <col min="20" max="91" width="0.83203125" style="246" customWidth="1"/>
    <col min="92" max="166" width="0.83203125" style="234" customWidth="1"/>
    <col min="167" max="16384" width="8.58203125" style="234"/>
  </cols>
  <sheetData>
    <row r="1" spans="2:4" x14ac:dyDescent="0.45">
      <c r="B1" s="234"/>
      <c r="C1" s="234"/>
      <c r="D1" s="234"/>
    </row>
    <row r="2" spans="2:4" x14ac:dyDescent="0.45">
      <c r="C2" s="234"/>
    </row>
    <row r="3" spans="2:4" x14ac:dyDescent="0.45">
      <c r="C3" s="234"/>
    </row>
    <row r="4" spans="2:4" x14ac:dyDescent="0.45">
      <c r="C4" s="234"/>
    </row>
    <row r="5" spans="2:4" x14ac:dyDescent="0.45">
      <c r="B5" s="234"/>
      <c r="C5" s="234"/>
      <c r="D5" s="234"/>
    </row>
    <row r="6" spans="2:4" x14ac:dyDescent="0.45">
      <c r="B6" s="234"/>
      <c r="C6" s="234"/>
      <c r="D6" s="234"/>
    </row>
    <row r="7" spans="2:4" x14ac:dyDescent="0.45">
      <c r="B7" s="234"/>
      <c r="C7" s="234"/>
      <c r="D7" s="234"/>
    </row>
    <row r="8" spans="2:4" x14ac:dyDescent="0.45">
      <c r="B8" s="234"/>
      <c r="C8" s="234"/>
      <c r="D8" s="234"/>
    </row>
    <row r="9" spans="2:4" x14ac:dyDescent="0.45">
      <c r="B9" s="234"/>
      <c r="C9" s="234"/>
      <c r="D9" s="234"/>
    </row>
    <row r="10" spans="2:4" x14ac:dyDescent="0.45">
      <c r="B10" s="234"/>
      <c r="C10" s="234"/>
      <c r="D10" s="234"/>
    </row>
    <row r="11" spans="2:4" x14ac:dyDescent="0.45">
      <c r="B11" s="234"/>
      <c r="C11" s="234"/>
      <c r="D11" s="234"/>
    </row>
    <row r="12" spans="2:4" x14ac:dyDescent="0.45">
      <c r="B12" s="234"/>
      <c r="C12" s="234"/>
      <c r="D12" s="234"/>
    </row>
    <row r="13" spans="2:4" x14ac:dyDescent="0.45">
      <c r="B13" s="234"/>
      <c r="C13" s="234"/>
      <c r="D13" s="234"/>
    </row>
    <row r="14" spans="2:4" x14ac:dyDescent="0.45">
      <c r="B14" s="234"/>
      <c r="C14" s="234"/>
      <c r="D14" s="234"/>
    </row>
    <row r="15" spans="2:4" x14ac:dyDescent="0.45">
      <c r="B15" s="234"/>
      <c r="C15" s="234"/>
      <c r="D15" s="234"/>
    </row>
    <row r="16" spans="2:4" x14ac:dyDescent="0.45">
      <c r="B16" s="234"/>
      <c r="C16" s="234"/>
      <c r="D16" s="234"/>
    </row>
    <row r="17" spans="2:4" x14ac:dyDescent="0.45">
      <c r="B17" s="234"/>
      <c r="C17" s="234"/>
      <c r="D17" s="234"/>
    </row>
    <row r="18" spans="2:4" x14ac:dyDescent="0.45">
      <c r="B18" s="234"/>
      <c r="C18" s="234"/>
      <c r="D18" s="234"/>
    </row>
  </sheetData>
  <phoneticPr fontId="2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E707-480E-4659-8AB9-ACD5668D37D8}">
  <dimension ref="B2:X53"/>
  <sheetViews>
    <sheetView showGridLines="0" zoomScale="120" zoomScaleNormal="120" workbookViewId="0"/>
  </sheetViews>
  <sheetFormatPr defaultColWidth="8.58203125" defaultRowHeight="14.5" x14ac:dyDescent="0.45"/>
  <cols>
    <col min="1" max="1" width="8.58203125" style="234"/>
    <col min="2" max="2" width="17" style="235" bestFit="1" customWidth="1"/>
    <col min="3" max="3" width="7.83203125" style="235" bestFit="1" customWidth="1"/>
    <col min="4" max="4" width="5" style="235" bestFit="1" customWidth="1"/>
    <col min="5" max="7" width="8.83203125" style="234" bestFit="1" customWidth="1"/>
    <col min="8" max="9" width="8" style="234" bestFit="1" customWidth="1"/>
    <col min="10" max="10" width="8.33203125" style="234" bestFit="1" customWidth="1"/>
    <col min="11" max="12" width="11.33203125" style="234" bestFit="1" customWidth="1"/>
    <col min="13" max="14" width="8.33203125" style="234" bestFit="1" customWidth="1"/>
    <col min="15" max="15" width="8.83203125" style="234" bestFit="1" customWidth="1"/>
    <col min="16" max="19" width="8.83203125" style="234" customWidth="1"/>
    <col min="20" max="16384" width="8.58203125" style="234"/>
  </cols>
  <sheetData>
    <row r="2" spans="2:24" x14ac:dyDescent="0.45">
      <c r="B2" s="232" t="s">
        <v>1265</v>
      </c>
      <c r="C2" s="233"/>
      <c r="D2" s="233"/>
      <c r="E2" s="233" t="s">
        <v>1249</v>
      </c>
      <c r="F2" s="233" t="s">
        <v>1250</v>
      </c>
      <c r="G2" s="233" t="s">
        <v>1251</v>
      </c>
      <c r="H2" s="233"/>
      <c r="I2" s="233"/>
      <c r="J2" s="311"/>
      <c r="K2" s="311"/>
      <c r="L2" s="311"/>
      <c r="M2" s="311"/>
      <c r="N2" s="311"/>
    </row>
    <row r="3" spans="2:24" x14ac:dyDescent="0.45">
      <c r="B3" s="236" t="s">
        <v>1253</v>
      </c>
      <c r="C3" s="236"/>
      <c r="D3" s="236" t="s">
        <v>1254</v>
      </c>
      <c r="E3" s="234">
        <v>20.28</v>
      </c>
      <c r="F3" s="234">
        <v>6.22</v>
      </c>
      <c r="G3" s="234">
        <v>4.33</v>
      </c>
    </row>
    <row r="4" spans="2:24" x14ac:dyDescent="0.45">
      <c r="B4" s="236" t="s">
        <v>1252</v>
      </c>
      <c r="C4" s="236"/>
      <c r="D4" s="236" t="s">
        <v>903</v>
      </c>
      <c r="E4" s="237">
        <f>E3/SUM($E$3:$G$3)</f>
        <v>0.65780084333441458</v>
      </c>
      <c r="F4" s="237">
        <f>F3/SUM($E$3:$G$3)</f>
        <v>0.20175154070710347</v>
      </c>
      <c r="G4" s="237">
        <f>G3/SUM($E$3:$G$3)</f>
        <v>0.14044761595848201</v>
      </c>
      <c r="H4" s="237"/>
      <c r="I4" s="237"/>
    </row>
    <row r="5" spans="2:24" x14ac:dyDescent="0.45">
      <c r="B5" s="232" t="s">
        <v>1266</v>
      </c>
      <c r="C5" s="236"/>
      <c r="D5" s="236"/>
      <c r="E5" s="238"/>
      <c r="F5" s="236"/>
      <c r="G5" s="236"/>
      <c r="H5" s="236"/>
      <c r="I5" s="236"/>
      <c r="J5" s="236"/>
      <c r="K5" s="236"/>
      <c r="L5" s="236"/>
      <c r="M5" s="236"/>
      <c r="N5" s="236"/>
    </row>
    <row r="6" spans="2:24" x14ac:dyDescent="0.45">
      <c r="B6" s="236" t="s">
        <v>1248</v>
      </c>
      <c r="C6" s="236"/>
      <c r="D6" s="236" t="s">
        <v>903</v>
      </c>
      <c r="E6" s="351">
        <f>1-F6-G6</f>
        <v>0.66</v>
      </c>
      <c r="F6" s="351">
        <v>0.2</v>
      </c>
      <c r="G6" s="351">
        <v>0.14000000000000001</v>
      </c>
      <c r="U6" s="239"/>
      <c r="V6" s="239"/>
      <c r="W6" s="239"/>
      <c r="X6" s="239"/>
    </row>
    <row r="7" spans="2:24" x14ac:dyDescent="0.45">
      <c r="B7" s="236" t="s">
        <v>1264</v>
      </c>
      <c r="C7" s="236"/>
      <c r="D7" s="236" t="s">
        <v>1254</v>
      </c>
      <c r="E7" s="240">
        <f>E3*1/E6</f>
        <v>30.727272727272727</v>
      </c>
      <c r="F7" s="240">
        <f>F3*1/F6</f>
        <v>31.099999999999998</v>
      </c>
      <c r="G7" s="240">
        <f>G3*1/G6</f>
        <v>30.928571428571427</v>
      </c>
    </row>
    <row r="8" spans="2:24" x14ac:dyDescent="0.45">
      <c r="B8" s="232" t="s">
        <v>1267</v>
      </c>
      <c r="C8" s="236"/>
      <c r="D8" s="236"/>
      <c r="E8" s="238"/>
      <c r="F8" s="236"/>
      <c r="G8" s="236"/>
      <c r="H8" s="236"/>
      <c r="I8" s="236"/>
      <c r="J8" s="236"/>
      <c r="K8" s="236"/>
      <c r="L8" s="236"/>
      <c r="M8" s="236"/>
      <c r="N8" s="236"/>
      <c r="U8" s="239"/>
      <c r="V8" s="239"/>
      <c r="W8" s="239"/>
      <c r="X8" s="239"/>
    </row>
    <row r="9" spans="2:24" x14ac:dyDescent="0.45">
      <c r="B9" s="236" t="s">
        <v>1260</v>
      </c>
      <c r="C9" s="255">
        <v>16</v>
      </c>
      <c r="D9" s="236" t="s">
        <v>5</v>
      </c>
      <c r="E9" s="235">
        <f>2^$C$22/$C$9</f>
        <v>256</v>
      </c>
      <c r="F9" s="312" t="s">
        <v>1158</v>
      </c>
    </row>
    <row r="10" spans="2:24" x14ac:dyDescent="0.45">
      <c r="B10" s="236" t="s">
        <v>1263</v>
      </c>
      <c r="C10" s="236">
        <v>10</v>
      </c>
      <c r="D10" s="236" t="s">
        <v>1</v>
      </c>
      <c r="E10" s="235"/>
    </row>
    <row r="11" spans="2:24" x14ac:dyDescent="0.45">
      <c r="B11" s="236" t="s">
        <v>1262</v>
      </c>
      <c r="C11" s="236">
        <f>C10*3</f>
        <v>30</v>
      </c>
      <c r="D11" s="236" t="s">
        <v>1</v>
      </c>
      <c r="E11" s="235"/>
    </row>
    <row r="12" spans="2:24" x14ac:dyDescent="0.45">
      <c r="B12" s="236" t="s">
        <v>1261</v>
      </c>
      <c r="C12" s="236">
        <f>C11*C9</f>
        <v>480</v>
      </c>
      <c r="D12" s="236" t="s">
        <v>1</v>
      </c>
      <c r="E12" s="235"/>
    </row>
    <row r="13" spans="2:24" x14ac:dyDescent="0.45">
      <c r="B13" s="236" t="s">
        <v>1156</v>
      </c>
      <c r="C13" s="236"/>
      <c r="D13" s="236" t="s">
        <v>4</v>
      </c>
      <c r="E13" s="236">
        <v>50</v>
      </c>
      <c r="F13" s="311">
        <v>60</v>
      </c>
      <c r="G13" s="311">
        <v>100</v>
      </c>
      <c r="H13" s="311">
        <v>120</v>
      </c>
      <c r="I13" s="311">
        <v>144</v>
      </c>
      <c r="J13" s="311">
        <v>165</v>
      </c>
      <c r="K13" s="311">
        <v>200</v>
      </c>
      <c r="L13" s="311">
        <v>240</v>
      </c>
      <c r="M13" s="311">
        <v>800</v>
      </c>
      <c r="N13" s="311">
        <v>960</v>
      </c>
    </row>
    <row r="14" spans="2:24" x14ac:dyDescent="0.45">
      <c r="B14" s="236" t="s">
        <v>1268</v>
      </c>
      <c r="C14" s="236"/>
      <c r="D14" s="236" t="s">
        <v>1</v>
      </c>
      <c r="E14" s="352">
        <f>1/E13*1000000</f>
        <v>20000</v>
      </c>
      <c r="F14" s="352">
        <f t="shared" ref="F14:N14" si="0">1/F13*1000000</f>
        <v>16666.666666666668</v>
      </c>
      <c r="G14" s="352">
        <f t="shared" si="0"/>
        <v>10000</v>
      </c>
      <c r="H14" s="352">
        <f t="shared" ref="H14:I14" si="1">1/H13*1000000</f>
        <v>8333.3333333333339</v>
      </c>
      <c r="I14" s="352">
        <f t="shared" si="1"/>
        <v>6944.4444444444443</v>
      </c>
      <c r="J14" s="352">
        <f t="shared" si="0"/>
        <v>6060.606060606061</v>
      </c>
      <c r="K14" s="352">
        <f t="shared" si="0"/>
        <v>5000</v>
      </c>
      <c r="L14" s="352">
        <f t="shared" si="0"/>
        <v>4166.666666666667</v>
      </c>
      <c r="M14" s="352">
        <f t="shared" si="0"/>
        <v>1250</v>
      </c>
      <c r="N14" s="352">
        <f t="shared" si="0"/>
        <v>1041.6666666666667</v>
      </c>
    </row>
    <row r="15" spans="2:24" x14ac:dyDescent="0.45">
      <c r="B15" s="236" t="s">
        <v>1273</v>
      </c>
      <c r="C15" s="254" t="s">
        <v>1274</v>
      </c>
      <c r="D15" s="236" t="s">
        <v>903</v>
      </c>
      <c r="E15" s="237">
        <f>$C$12/E14</f>
        <v>2.4E-2</v>
      </c>
      <c r="F15" s="237">
        <f>$C$12/F14</f>
        <v>2.8799999999999999E-2</v>
      </c>
      <c r="G15" s="237">
        <f>$C$12/G14</f>
        <v>4.8000000000000001E-2</v>
      </c>
      <c r="H15" s="237">
        <f t="shared" ref="H15:I15" si="2">$C$12/H14</f>
        <v>5.7599999999999998E-2</v>
      </c>
      <c r="I15" s="237">
        <f t="shared" si="2"/>
        <v>6.9120000000000001E-2</v>
      </c>
      <c r="J15" s="237">
        <f>$C$12/J14</f>
        <v>7.9199999999999993E-2</v>
      </c>
      <c r="K15" s="237">
        <f>$C$12/K14</f>
        <v>9.6000000000000002E-2</v>
      </c>
      <c r="L15" s="237">
        <f>$C$12/L14</f>
        <v>0.1152</v>
      </c>
      <c r="M15" s="237">
        <f>$C$11/M14</f>
        <v>2.4E-2</v>
      </c>
      <c r="N15" s="237">
        <f>$C$11/N14</f>
        <v>2.8799999999999999E-2</v>
      </c>
    </row>
    <row r="16" spans="2:24" x14ac:dyDescent="0.45">
      <c r="B16" s="236" t="s">
        <v>1269</v>
      </c>
      <c r="C16" s="254" t="s">
        <v>1274</v>
      </c>
      <c r="D16" s="236" t="s">
        <v>1</v>
      </c>
      <c r="E16" s="253">
        <f>E14-E14*E15</f>
        <v>19520</v>
      </c>
      <c r="F16" s="253">
        <f t="shared" ref="F16:L16" si="3">F14-F14*F15</f>
        <v>16186.666666666668</v>
      </c>
      <c r="G16" s="253">
        <f t="shared" si="3"/>
        <v>9520</v>
      </c>
      <c r="H16" s="253">
        <f t="shared" ref="H16" si="4">H14-H14*H15</f>
        <v>7853.3333333333339</v>
      </c>
      <c r="I16" s="253">
        <f>I14-I14*I15</f>
        <v>6464.4444444444443</v>
      </c>
      <c r="J16" s="253">
        <f t="shared" si="3"/>
        <v>5580.606060606061</v>
      </c>
      <c r="K16" s="253">
        <f t="shared" si="3"/>
        <v>4520</v>
      </c>
      <c r="L16" s="253">
        <f t="shared" si="3"/>
        <v>3686.666666666667</v>
      </c>
      <c r="M16" s="253">
        <f>M14-M14*M15</f>
        <v>1220</v>
      </c>
      <c r="N16" s="253">
        <f t="shared" ref="N16" si="5">N14-N14*N15</f>
        <v>1011.6666666666667</v>
      </c>
    </row>
    <row r="17" spans="2:14" x14ac:dyDescent="0.45">
      <c r="B17" s="236" t="s">
        <v>1270</v>
      </c>
      <c r="C17" s="245"/>
      <c r="D17" s="236"/>
    </row>
    <row r="18" spans="2:14" x14ac:dyDescent="0.45">
      <c r="B18" s="236"/>
      <c r="C18" s="245" t="s">
        <v>1249</v>
      </c>
      <c r="D18" s="236" t="s">
        <v>1254</v>
      </c>
      <c r="E18" s="240">
        <f>$E$7+$E$7*E$15</f>
        <v>31.464727272727274</v>
      </c>
      <c r="F18" s="240">
        <f t="shared" ref="F18" si="6">$E$7+$E$7*F$15</f>
        <v>31.612218181818182</v>
      </c>
      <c r="G18" s="240">
        <f t="shared" ref="G18:N18" si="7">$E$7+$E$7*G$15</f>
        <v>32.20218181818182</v>
      </c>
      <c r="H18" s="240">
        <f t="shared" si="7"/>
        <v>32.497163636363638</v>
      </c>
      <c r="I18" s="240">
        <f t="shared" si="7"/>
        <v>32.851141818181816</v>
      </c>
      <c r="J18" s="240">
        <f t="shared" si="7"/>
        <v>33.160872727272725</v>
      </c>
      <c r="K18" s="240">
        <f t="shared" si="7"/>
        <v>33.677090909090907</v>
      </c>
      <c r="L18" s="240">
        <f t="shared" si="7"/>
        <v>34.267054545454542</v>
      </c>
      <c r="M18" s="240">
        <f t="shared" si="7"/>
        <v>31.464727272727274</v>
      </c>
      <c r="N18" s="240">
        <f t="shared" si="7"/>
        <v>31.612218181818182</v>
      </c>
    </row>
    <row r="19" spans="2:14" x14ac:dyDescent="0.45">
      <c r="B19" s="236"/>
      <c r="C19" s="245" t="s">
        <v>1250</v>
      </c>
      <c r="D19" s="236" t="s">
        <v>1254</v>
      </c>
      <c r="E19" s="240">
        <f t="shared" ref="E19" si="8">$F$7+$F$7*E$15</f>
        <v>31.846399999999999</v>
      </c>
      <c r="F19" s="240">
        <f t="shared" ref="F19:N19" si="9">$F$7+$F$7*F$15</f>
        <v>31.995679999999997</v>
      </c>
      <c r="G19" s="240">
        <f t="shared" si="9"/>
        <v>32.592799999999997</v>
      </c>
      <c r="H19" s="240">
        <f t="shared" si="9"/>
        <v>32.891359999999999</v>
      </c>
      <c r="I19" s="240">
        <f t="shared" si="9"/>
        <v>33.249631999999998</v>
      </c>
      <c r="J19" s="240">
        <f t="shared" si="9"/>
        <v>33.563119999999998</v>
      </c>
      <c r="K19" s="240">
        <f t="shared" si="9"/>
        <v>34.085599999999999</v>
      </c>
      <c r="L19" s="240">
        <f t="shared" si="9"/>
        <v>34.682719999999996</v>
      </c>
      <c r="M19" s="240">
        <f t="shared" si="9"/>
        <v>31.846399999999999</v>
      </c>
      <c r="N19" s="240">
        <f t="shared" si="9"/>
        <v>31.995679999999997</v>
      </c>
    </row>
    <row r="20" spans="2:14" x14ac:dyDescent="0.45">
      <c r="B20" s="236"/>
      <c r="C20" s="245" t="s">
        <v>1251</v>
      </c>
      <c r="D20" s="236" t="s">
        <v>1254</v>
      </c>
      <c r="E20" s="240">
        <f>$G$7+$G$7*E$15</f>
        <v>31.670857142857141</v>
      </c>
      <c r="F20" s="240">
        <f t="shared" ref="F20" si="10">$G$7+$G$7*F$15</f>
        <v>31.819314285714285</v>
      </c>
      <c r="G20" s="240">
        <f t="shared" ref="G20:N20" si="11">$G$7+$G$7*G$15</f>
        <v>32.413142857142859</v>
      </c>
      <c r="H20" s="240">
        <f t="shared" si="11"/>
        <v>32.710057142857139</v>
      </c>
      <c r="I20" s="240">
        <f t="shared" si="11"/>
        <v>33.066354285714283</v>
      </c>
      <c r="J20" s="240">
        <f t="shared" si="11"/>
        <v>33.378114285714283</v>
      </c>
      <c r="K20" s="240">
        <f t="shared" si="11"/>
        <v>33.897714285714287</v>
      </c>
      <c r="L20" s="240">
        <f t="shared" si="11"/>
        <v>34.491542857142854</v>
      </c>
      <c r="M20" s="240">
        <f t="shared" si="11"/>
        <v>31.670857142857141</v>
      </c>
      <c r="N20" s="240">
        <f t="shared" si="11"/>
        <v>31.819314285714285</v>
      </c>
    </row>
    <row r="22" spans="2:14" x14ac:dyDescent="0.45">
      <c r="B22" s="236" t="s">
        <v>1290</v>
      </c>
      <c r="C22" s="236">
        <v>12</v>
      </c>
      <c r="D22" s="236" t="s">
        <v>18</v>
      </c>
      <c r="E22" s="311"/>
      <c r="F22" s="311"/>
      <c r="G22" s="311"/>
      <c r="H22" s="311"/>
      <c r="I22" s="311"/>
      <c r="J22" s="311"/>
      <c r="K22" s="311"/>
      <c r="L22" s="311"/>
      <c r="M22" s="311"/>
      <c r="N22" s="311"/>
    </row>
    <row r="23" spans="2:14" x14ac:dyDescent="0.45">
      <c r="B23" s="236" t="s">
        <v>1156</v>
      </c>
      <c r="C23" s="236"/>
      <c r="D23" s="236" t="s">
        <v>4</v>
      </c>
      <c r="E23" s="311">
        <f>E13</f>
        <v>50</v>
      </c>
      <c r="F23" s="311">
        <f t="shared" ref="F23:N23" si="12">F13</f>
        <v>60</v>
      </c>
      <c r="G23" s="311">
        <f t="shared" si="12"/>
        <v>100</v>
      </c>
      <c r="H23" s="311">
        <f t="shared" si="12"/>
        <v>120</v>
      </c>
      <c r="I23" s="311">
        <f t="shared" si="12"/>
        <v>144</v>
      </c>
      <c r="J23" s="311">
        <f t="shared" si="12"/>
        <v>165</v>
      </c>
      <c r="K23" s="311">
        <f t="shared" si="12"/>
        <v>200</v>
      </c>
      <c r="L23" s="311">
        <f t="shared" si="12"/>
        <v>240</v>
      </c>
      <c r="M23" s="311">
        <f t="shared" si="12"/>
        <v>800</v>
      </c>
      <c r="N23" s="311">
        <f t="shared" si="12"/>
        <v>960</v>
      </c>
    </row>
    <row r="24" spans="2:14" x14ac:dyDescent="0.45">
      <c r="B24" s="236" t="s">
        <v>1268</v>
      </c>
      <c r="C24" s="236"/>
      <c r="D24" s="236" t="s">
        <v>1</v>
      </c>
      <c r="E24" s="253">
        <f>1/E23*1000000</f>
        <v>20000</v>
      </c>
      <c r="F24" s="253">
        <f t="shared" ref="F24:J24" si="13">1/F23*1000000</f>
        <v>16666.666666666668</v>
      </c>
      <c r="G24" s="253">
        <f t="shared" si="13"/>
        <v>10000</v>
      </c>
      <c r="H24" s="253">
        <f t="shared" si="13"/>
        <v>8333.3333333333339</v>
      </c>
      <c r="I24" s="253">
        <f t="shared" si="13"/>
        <v>6944.4444444444443</v>
      </c>
      <c r="J24" s="253">
        <f t="shared" si="13"/>
        <v>6060.606060606061</v>
      </c>
      <c r="K24" s="253">
        <f>1/K23*1000000</f>
        <v>5000</v>
      </c>
      <c r="L24" s="253">
        <f t="shared" ref="L24" si="14">1/L23*1000000</f>
        <v>4166.666666666667</v>
      </c>
      <c r="M24" s="253">
        <f t="shared" ref="M24" si="15">1/M23*1000000</f>
        <v>1250</v>
      </c>
      <c r="N24" s="253">
        <f t="shared" ref="N24" si="16">1/N23*1000000</f>
        <v>1041.6666666666667</v>
      </c>
    </row>
    <row r="25" spans="2:14" x14ac:dyDescent="0.45">
      <c r="B25" s="236" t="s">
        <v>1269</v>
      </c>
      <c r="C25" s="254" t="s">
        <v>1274</v>
      </c>
      <c r="D25" s="236" t="s">
        <v>1</v>
      </c>
      <c r="E25" s="253">
        <f>E24-E24*E15</f>
        <v>19520</v>
      </c>
      <c r="F25" s="253">
        <f t="shared" ref="F25:J25" si="17">F24-F24*F15</f>
        <v>16186.666666666668</v>
      </c>
      <c r="G25" s="253">
        <f>G24-G24*G15</f>
        <v>9520</v>
      </c>
      <c r="H25" s="253">
        <f t="shared" si="17"/>
        <v>7853.3333333333339</v>
      </c>
      <c r="I25" s="253">
        <f t="shared" si="17"/>
        <v>6464.4444444444443</v>
      </c>
      <c r="J25" s="253">
        <f t="shared" si="17"/>
        <v>5580.606060606061</v>
      </c>
      <c r="K25" s="253">
        <f>K24-K24*K15</f>
        <v>4520</v>
      </c>
      <c r="L25" s="253">
        <f t="shared" ref="L25" si="18">L24-L24*L15</f>
        <v>3686.666666666667</v>
      </c>
      <c r="M25" s="253">
        <f>M24-M24*M15</f>
        <v>1220</v>
      </c>
      <c r="N25" s="253">
        <f t="shared" ref="N25" si="19">N24-N24*N15</f>
        <v>1011.6666666666667</v>
      </c>
    </row>
    <row r="26" spans="2:14" x14ac:dyDescent="0.45">
      <c r="B26" s="236"/>
      <c r="C26" s="236"/>
      <c r="D26" s="236"/>
    </row>
    <row r="27" spans="2:14" x14ac:dyDescent="0.45">
      <c r="B27" s="236" t="s">
        <v>1256</v>
      </c>
      <c r="C27" s="236" t="s">
        <v>1255</v>
      </c>
      <c r="D27" s="236" t="s">
        <v>1</v>
      </c>
      <c r="E27" s="240">
        <f>E25/(2^$C$22)</f>
        <v>4.765625</v>
      </c>
      <c r="F27" s="240">
        <f t="shared" ref="F27:K27" si="20">F25/(2^$C$22)</f>
        <v>3.951822916666667</v>
      </c>
      <c r="G27" s="240">
        <f>G25/(2^$C$22)</f>
        <v>2.32421875</v>
      </c>
      <c r="H27" s="240">
        <f t="shared" si="20"/>
        <v>1.9173177083333335</v>
      </c>
      <c r="I27" s="240">
        <f t="shared" si="20"/>
        <v>1.5782335069444444</v>
      </c>
      <c r="J27" s="240">
        <f t="shared" si="20"/>
        <v>1.3624526515151516</v>
      </c>
      <c r="K27" s="240">
        <f t="shared" si="20"/>
        <v>1.103515625</v>
      </c>
      <c r="L27" s="240">
        <f>L25/(2^$C$22)</f>
        <v>0.90006510416666674</v>
      </c>
      <c r="M27" s="240">
        <f>M25/(2^$C$22/8)</f>
        <v>2.3828125</v>
      </c>
      <c r="N27" s="240">
        <f>N25/(2^$C$22/8)</f>
        <v>1.9759114583333335</v>
      </c>
    </row>
    <row r="28" spans="2:14" x14ac:dyDescent="0.45">
      <c r="B28" s="236" t="s">
        <v>1294</v>
      </c>
      <c r="C28" s="353" t="s">
        <v>1271</v>
      </c>
      <c r="D28" s="236" t="s">
        <v>5</v>
      </c>
      <c r="E28" s="234">
        <v>240</v>
      </c>
      <c r="F28" s="234">
        <v>200</v>
      </c>
      <c r="G28" s="234">
        <v>120</v>
      </c>
      <c r="H28" s="234">
        <v>100</v>
      </c>
      <c r="I28" s="234">
        <v>80</v>
      </c>
      <c r="J28" s="234">
        <v>70</v>
      </c>
      <c r="K28" s="234">
        <v>60</v>
      </c>
      <c r="L28" s="234">
        <v>50</v>
      </c>
      <c r="M28" s="234">
        <f>G28</f>
        <v>120</v>
      </c>
      <c r="N28" s="234">
        <f>H28</f>
        <v>100</v>
      </c>
    </row>
    <row r="29" spans="2:14" x14ac:dyDescent="0.45">
      <c r="B29" s="236"/>
      <c r="C29" s="236"/>
      <c r="D29" s="236"/>
      <c r="E29" s="243"/>
      <c r="F29" s="243"/>
      <c r="G29" s="243"/>
      <c r="H29" s="243"/>
      <c r="I29" s="243"/>
      <c r="J29" s="243"/>
      <c r="K29" s="243"/>
      <c r="L29" s="243"/>
      <c r="M29" s="243"/>
      <c r="N29" s="243"/>
    </row>
    <row r="30" spans="2:14" x14ac:dyDescent="0.45">
      <c r="B30" s="236" t="s">
        <v>2</v>
      </c>
      <c r="C30" s="236"/>
      <c r="D30" s="236" t="s">
        <v>1</v>
      </c>
      <c r="E30" s="242">
        <f>E27/E28</f>
        <v>1.9856770833333332E-2</v>
      </c>
      <c r="F30" s="242">
        <f>F27/F28</f>
        <v>1.9759114583333334E-2</v>
      </c>
      <c r="G30" s="242">
        <f>G27/G28</f>
        <v>1.9368489583333332E-2</v>
      </c>
      <c r="H30" s="242">
        <f t="shared" ref="H30:I30" si="21">H27/H28</f>
        <v>1.9173177083333336E-2</v>
      </c>
      <c r="I30" s="242">
        <f t="shared" si="21"/>
        <v>1.9727918836805556E-2</v>
      </c>
      <c r="J30" s="242">
        <f t="shared" ref="J30:N30" si="22">J27/J28</f>
        <v>1.9463609307359308E-2</v>
      </c>
      <c r="K30" s="242">
        <f t="shared" si="22"/>
        <v>1.8391927083333332E-2</v>
      </c>
      <c r="L30" s="242">
        <f t="shared" si="22"/>
        <v>1.8001302083333334E-2</v>
      </c>
      <c r="M30" s="242">
        <f>M27/M28</f>
        <v>1.9856770833333332E-2</v>
      </c>
      <c r="N30" s="242">
        <f t="shared" si="22"/>
        <v>1.9759114583333334E-2</v>
      </c>
    </row>
    <row r="31" spans="2:14" x14ac:dyDescent="0.45">
      <c r="B31" s="236"/>
      <c r="C31" s="236"/>
      <c r="D31" s="236" t="s">
        <v>0</v>
      </c>
      <c r="E31" s="242">
        <f>1/E30</f>
        <v>50.360655737704924</v>
      </c>
      <c r="F31" s="242">
        <f t="shared" ref="F31:N31" si="23">1/F30</f>
        <v>50.609555189456337</v>
      </c>
      <c r="G31" s="242">
        <f t="shared" si="23"/>
        <v>51.630252100840337</v>
      </c>
      <c r="H31" s="242">
        <f t="shared" ref="H31:I31" si="24">1/H30</f>
        <v>52.15619694397283</v>
      </c>
      <c r="I31" s="242">
        <f t="shared" si="24"/>
        <v>50.689584049501548</v>
      </c>
      <c r="J31" s="242">
        <f t="shared" si="23"/>
        <v>51.377932232841005</v>
      </c>
      <c r="K31" s="242">
        <f t="shared" si="23"/>
        <v>54.37168141592921</v>
      </c>
      <c r="L31" s="242">
        <f t="shared" si="23"/>
        <v>55.551537070524411</v>
      </c>
      <c r="M31" s="242">
        <f>1/M30</f>
        <v>50.360655737704924</v>
      </c>
      <c r="N31" s="242">
        <f t="shared" si="23"/>
        <v>50.609555189456337</v>
      </c>
    </row>
    <row r="32" spans="2:14" x14ac:dyDescent="0.45">
      <c r="B32" s="307">
        <f>SUM(E31:N31)/10</f>
        <v>51.771760566793191</v>
      </c>
      <c r="C32" s="236" t="s">
        <v>902</v>
      </c>
      <c r="D32" s="236" t="s">
        <v>903</v>
      </c>
      <c r="E32" s="350">
        <f>(E31-$B$32)/$B$32</f>
        <v>-2.7256265068825183E-2</v>
      </c>
      <c r="F32" s="350">
        <f>(F31-$B$32)/$B$32</f>
        <v>-2.2448635406892094E-2</v>
      </c>
      <c r="G32" s="350">
        <f>(G31-$B$32)/$B$32</f>
        <v>-2.7333137680393619E-3</v>
      </c>
      <c r="H32" s="350">
        <f t="shared" ref="H32:I32" si="25">(H31-$B$32)/$B$32</f>
        <v>7.4255998438310785E-3</v>
      </c>
      <c r="I32" s="350">
        <f t="shared" si="25"/>
        <v>-2.0902834005335321E-2</v>
      </c>
      <c r="J32" s="350">
        <f>(J31-$B$32)/$B$32</f>
        <v>-7.6070106490601077E-3</v>
      </c>
      <c r="K32" s="350">
        <f>(K31-$B$32)/$B$32</f>
        <v>5.0218899660206429E-2</v>
      </c>
      <c r="L32" s="350">
        <f>(L31-$B$32)/$B$32</f>
        <v>7.3008459869831011E-2</v>
      </c>
      <c r="M32" s="350">
        <f>(M31-$B$32)/$B$32</f>
        <v>-2.7256265068825183E-2</v>
      </c>
      <c r="N32" s="350">
        <f>(N31-$B$32)/$B$32</f>
        <v>-2.2448635406892094E-2</v>
      </c>
    </row>
    <row r="33" spans="2:14" x14ac:dyDescent="0.45">
      <c r="B33" s="307">
        <f>(E31+F31+G31+H31+I31+M31+N31)/7</f>
        <v>50.916636421233889</v>
      </c>
      <c r="C33" s="236"/>
      <c r="D33" s="236" t="s">
        <v>903</v>
      </c>
      <c r="E33" s="350">
        <f>(E31-$B$33)/$B$33</f>
        <v>-1.091943071277E-2</v>
      </c>
      <c r="F33" s="350">
        <f>(F31-$B$33)/$B$33</f>
        <v>-6.031058871152949E-3</v>
      </c>
      <c r="G33" s="350">
        <f>(G31-$B$33)/$B$33</f>
        <v>1.4015373554975195E-2</v>
      </c>
      <c r="H33" s="350">
        <f t="shared" ref="H33:I33" si="26">(H31-$B$33)/$B$33</f>
        <v>2.434490197828551E-2</v>
      </c>
      <c r="I33" s="350">
        <f t="shared" si="26"/>
        <v>-4.4592963654145308E-3</v>
      </c>
      <c r="J33" s="350"/>
      <c r="K33" s="350"/>
      <c r="L33" s="350"/>
      <c r="M33" s="350">
        <f>(M31-$B$33)/$B$33</f>
        <v>-1.091943071277E-2</v>
      </c>
      <c r="N33" s="350">
        <f>(N31-$B$33)/$B$33</f>
        <v>-6.031058871152949E-3</v>
      </c>
    </row>
    <row r="34" spans="2:14" x14ac:dyDescent="0.45">
      <c r="B34" s="236"/>
      <c r="C34" s="244"/>
      <c r="D34" s="236"/>
      <c r="E34" s="240"/>
      <c r="F34" s="240"/>
      <c r="G34" s="240"/>
      <c r="H34" s="240"/>
      <c r="I34" s="240"/>
      <c r="J34" s="240"/>
      <c r="K34" s="240"/>
      <c r="L34" s="240"/>
      <c r="M34" s="240"/>
      <c r="N34" s="240"/>
    </row>
    <row r="35" spans="2:14" x14ac:dyDescent="0.45">
      <c r="B35" s="232" t="s">
        <v>1258</v>
      </c>
      <c r="C35" s="353" t="s">
        <v>1271</v>
      </c>
      <c r="D35" s="236" t="s">
        <v>5</v>
      </c>
      <c r="E35" s="234">
        <v>8</v>
      </c>
      <c r="F35" s="234">
        <v>7</v>
      </c>
      <c r="G35" s="234">
        <v>4</v>
      </c>
      <c r="H35" s="234">
        <v>4</v>
      </c>
      <c r="I35" s="234">
        <v>4</v>
      </c>
      <c r="J35" s="234">
        <f>J44/2</f>
        <v>3.5</v>
      </c>
      <c r="K35" s="234">
        <f>K44/2</f>
        <v>3.5</v>
      </c>
      <c r="L35" s="234">
        <f>L44/2</f>
        <v>3</v>
      </c>
      <c r="M35" s="234">
        <f>M44/2</f>
        <v>6.5</v>
      </c>
      <c r="N35" s="234">
        <f>N44/2</f>
        <v>5.5</v>
      </c>
    </row>
    <row r="36" spans="2:14" x14ac:dyDescent="0.45">
      <c r="B36" s="236"/>
      <c r="C36" s="236"/>
      <c r="D36" s="236" t="s">
        <v>1</v>
      </c>
      <c r="E36" s="240">
        <f>E30*E35</f>
        <v>0.15885416666666666</v>
      </c>
      <c r="F36" s="240">
        <f t="shared" ref="F36:J36" si="27">F30*F35</f>
        <v>0.13831380208333333</v>
      </c>
      <c r="G36" s="240">
        <f t="shared" si="27"/>
        <v>7.7473958333333329E-2</v>
      </c>
      <c r="H36" s="240">
        <f t="shared" si="27"/>
        <v>7.6692708333333345E-2</v>
      </c>
      <c r="I36" s="240">
        <f t="shared" si="27"/>
        <v>7.8911675347222224E-2</v>
      </c>
      <c r="J36" s="240">
        <f t="shared" si="27"/>
        <v>6.8122632575757583E-2</v>
      </c>
      <c r="K36" s="240">
        <f>K30*K35</f>
        <v>6.4371744791666657E-2</v>
      </c>
      <c r="L36" s="240">
        <f>L30*L35</f>
        <v>5.4003906249999997E-2</v>
      </c>
      <c r="M36" s="240">
        <f>M30*M35</f>
        <v>0.12906901041666666</v>
      </c>
      <c r="N36" s="240">
        <f>N30*N35</f>
        <v>0.10867513020833333</v>
      </c>
    </row>
    <row r="37" spans="2:14" x14ac:dyDescent="0.45">
      <c r="B37" s="236" t="s">
        <v>1272</v>
      </c>
      <c r="C37" s="236" t="s">
        <v>1255</v>
      </c>
      <c r="D37" s="236" t="s">
        <v>5</v>
      </c>
      <c r="E37" s="234">
        <f>E28/E35</f>
        <v>30</v>
      </c>
      <c r="F37" s="234">
        <f t="shared" ref="F37:N37" si="28">F28/F35</f>
        <v>28.571428571428573</v>
      </c>
      <c r="G37" s="234">
        <f t="shared" si="28"/>
        <v>30</v>
      </c>
      <c r="H37" s="234">
        <f t="shared" si="28"/>
        <v>25</v>
      </c>
      <c r="I37" s="234">
        <f t="shared" si="28"/>
        <v>20</v>
      </c>
      <c r="J37" s="234">
        <f t="shared" si="28"/>
        <v>20</v>
      </c>
      <c r="K37" s="234">
        <f t="shared" si="28"/>
        <v>17.142857142857142</v>
      </c>
      <c r="L37" s="234">
        <f t="shared" si="28"/>
        <v>16.666666666666668</v>
      </c>
      <c r="M37" s="234">
        <f t="shared" si="28"/>
        <v>18.46153846153846</v>
      </c>
      <c r="N37" s="234">
        <f t="shared" si="28"/>
        <v>18.181818181818183</v>
      </c>
    </row>
    <row r="38" spans="2:14" x14ac:dyDescent="0.45">
      <c r="B38" s="236" t="s">
        <v>1249</v>
      </c>
      <c r="C38" s="244">
        <f>1-C39-C40</f>
        <v>0.65</v>
      </c>
      <c r="D38" s="236" t="s">
        <v>1</v>
      </c>
      <c r="E38" s="240">
        <f>E$36*(E37*$C$38)</f>
        <v>3.09765625</v>
      </c>
      <c r="F38" s="240">
        <f>F$36*(F37*$C$38)</f>
        <v>2.5686848958333335</v>
      </c>
      <c r="G38" s="240">
        <f t="shared" ref="G38:J38" si="29">G$36*(G37*$C$38)</f>
        <v>1.5107421875</v>
      </c>
      <c r="H38" s="240">
        <f t="shared" si="29"/>
        <v>1.246256510416667</v>
      </c>
      <c r="I38" s="240">
        <f t="shared" si="29"/>
        <v>1.0258517795138888</v>
      </c>
      <c r="J38" s="240">
        <f t="shared" si="29"/>
        <v>0.88559422348484862</v>
      </c>
      <c r="K38" s="240">
        <f>K$36*(K37*$C$38)</f>
        <v>0.71728515624999989</v>
      </c>
      <c r="L38" s="240">
        <f>L$36*(L37*$C$38)</f>
        <v>0.58504231770833337</v>
      </c>
      <c r="M38" s="240">
        <f t="shared" ref="M38" si="30">M$36*(M37*$C$38)</f>
        <v>1.548828125</v>
      </c>
      <c r="N38" s="240">
        <f t="shared" ref="N38" si="31">N$36*(N37*$C$38)</f>
        <v>1.284342447916667</v>
      </c>
    </row>
    <row r="39" spans="2:14" x14ac:dyDescent="0.45">
      <c r="B39" s="236" t="s">
        <v>1250</v>
      </c>
      <c r="C39" s="244">
        <v>0.2</v>
      </c>
      <c r="D39" s="236" t="s">
        <v>1</v>
      </c>
      <c r="E39" s="240">
        <f>E$36*(E37*$C$39)</f>
        <v>0.953125</v>
      </c>
      <c r="F39" s="240">
        <f t="shared" ref="F39:N39" si="32">F$36*(F37*$C$39)</f>
        <v>0.79036458333333348</v>
      </c>
      <c r="G39" s="240">
        <f t="shared" si="32"/>
        <v>0.46484375</v>
      </c>
      <c r="H39" s="240">
        <f t="shared" si="32"/>
        <v>0.38346354166666674</v>
      </c>
      <c r="I39" s="240">
        <f t="shared" si="32"/>
        <v>0.3156467013888889</v>
      </c>
      <c r="J39" s="240">
        <f t="shared" si="32"/>
        <v>0.27249053030303033</v>
      </c>
      <c r="K39" s="240">
        <f t="shared" si="32"/>
        <v>0.22070312499999997</v>
      </c>
      <c r="L39" s="240">
        <f t="shared" si="32"/>
        <v>0.18001302083333334</v>
      </c>
      <c r="M39" s="240">
        <f t="shared" si="32"/>
        <v>0.47656249999999994</v>
      </c>
      <c r="N39" s="240">
        <f t="shared" si="32"/>
        <v>0.39518229166666669</v>
      </c>
    </row>
    <row r="40" spans="2:14" x14ac:dyDescent="0.45">
      <c r="B40" s="236" t="s">
        <v>1251</v>
      </c>
      <c r="C40" s="244">
        <v>0.15</v>
      </c>
      <c r="D40" s="236" t="s">
        <v>1</v>
      </c>
      <c r="E40" s="240">
        <f>E$36*(E37*$C$40)</f>
        <v>0.71484375</v>
      </c>
      <c r="F40" s="240">
        <f t="shared" ref="F40:N40" si="33">F$36*(F37*$C$40)</f>
        <v>0.5927734375</v>
      </c>
      <c r="G40" s="240">
        <f t="shared" si="33"/>
        <v>0.3486328125</v>
      </c>
      <c r="H40" s="240">
        <f t="shared" si="33"/>
        <v>0.28759765625000006</v>
      </c>
      <c r="I40" s="240">
        <f t="shared" si="33"/>
        <v>0.23673502604166669</v>
      </c>
      <c r="J40" s="240">
        <f t="shared" si="33"/>
        <v>0.20436789772727276</v>
      </c>
      <c r="K40" s="240">
        <f t="shared" si="33"/>
        <v>0.16552734374999997</v>
      </c>
      <c r="L40" s="240">
        <f t="shared" si="33"/>
        <v>0.135009765625</v>
      </c>
      <c r="M40" s="240">
        <f t="shared" si="33"/>
        <v>0.35742187499999989</v>
      </c>
      <c r="N40" s="240">
        <f t="shared" si="33"/>
        <v>0.29638671875</v>
      </c>
    </row>
    <row r="41" spans="2:14" x14ac:dyDescent="0.45">
      <c r="B41" s="236"/>
      <c r="C41" s="244"/>
      <c r="D41" s="236"/>
      <c r="E41" s="240"/>
      <c r="F41" s="240"/>
      <c r="G41" s="240"/>
      <c r="H41" s="240"/>
      <c r="I41" s="240"/>
      <c r="J41" s="240"/>
      <c r="K41" s="240"/>
      <c r="L41" s="240"/>
      <c r="M41" s="240"/>
      <c r="N41" s="240"/>
    </row>
    <row r="42" spans="2:14" x14ac:dyDescent="0.45">
      <c r="B42" s="236"/>
      <c r="C42" s="244"/>
      <c r="D42" s="236"/>
      <c r="E42" s="240"/>
      <c r="F42" s="240"/>
      <c r="G42" s="240"/>
      <c r="H42" s="240"/>
      <c r="I42" s="240"/>
      <c r="J42" s="240"/>
      <c r="K42" s="240"/>
      <c r="L42" s="240"/>
      <c r="M42" s="240"/>
      <c r="N42" s="240"/>
    </row>
    <row r="43" spans="2:14" x14ac:dyDescent="0.45">
      <c r="B43" s="236"/>
      <c r="C43" s="236"/>
      <c r="D43" s="236"/>
    </row>
    <row r="44" spans="2:14" x14ac:dyDescent="0.45">
      <c r="B44" s="232" t="s">
        <v>1257</v>
      </c>
      <c r="C44" s="353" t="s">
        <v>1271</v>
      </c>
      <c r="D44" s="236" t="s">
        <v>5</v>
      </c>
      <c r="E44" s="234">
        <v>14</v>
      </c>
      <c r="F44" s="234">
        <v>12</v>
      </c>
      <c r="G44" s="234">
        <v>8</v>
      </c>
      <c r="H44" s="234">
        <v>7</v>
      </c>
      <c r="I44" s="234">
        <v>7</v>
      </c>
      <c r="J44" s="234">
        <v>7</v>
      </c>
      <c r="K44" s="234">
        <f>E44/2</f>
        <v>7</v>
      </c>
      <c r="L44" s="234">
        <f>F44/2</f>
        <v>6</v>
      </c>
      <c r="M44" s="234">
        <v>13</v>
      </c>
      <c r="N44" s="234">
        <v>11</v>
      </c>
    </row>
    <row r="45" spans="2:14" x14ac:dyDescent="0.45">
      <c r="B45" s="236"/>
      <c r="C45" s="236"/>
      <c r="D45" s="236" t="s">
        <v>1</v>
      </c>
      <c r="E45" s="240">
        <f>E30*E44</f>
        <v>0.27799479166666663</v>
      </c>
      <c r="F45" s="240">
        <f t="shared" ref="F45:J45" si="34">F30*F44</f>
        <v>0.23710937500000001</v>
      </c>
      <c r="G45" s="240">
        <f t="shared" si="34"/>
        <v>0.15494791666666666</v>
      </c>
      <c r="H45" s="240">
        <f t="shared" si="34"/>
        <v>0.13421223958333336</v>
      </c>
      <c r="I45" s="240">
        <f t="shared" si="34"/>
        <v>0.1380954318576389</v>
      </c>
      <c r="J45" s="240">
        <f t="shared" si="34"/>
        <v>0.13624526515151517</v>
      </c>
      <c r="K45" s="240">
        <f>K30*K44</f>
        <v>0.12874348958333331</v>
      </c>
      <c r="L45" s="240">
        <f t="shared" ref="L45" si="35">L30*L44</f>
        <v>0.10800781249999999</v>
      </c>
      <c r="M45" s="240">
        <f t="shared" ref="M45" si="36">M30*M44</f>
        <v>0.25813802083333331</v>
      </c>
      <c r="N45" s="240">
        <f t="shared" ref="N45" si="37">N30*N44</f>
        <v>0.21735026041666666</v>
      </c>
    </row>
    <row r="46" spans="2:14" x14ac:dyDescent="0.45">
      <c r="B46" s="236" t="s">
        <v>1272</v>
      </c>
      <c r="C46" s="236" t="s">
        <v>1255</v>
      </c>
      <c r="D46" s="236" t="s">
        <v>5</v>
      </c>
      <c r="E46" s="234">
        <f>E28/E44</f>
        <v>17.142857142857142</v>
      </c>
      <c r="F46" s="234">
        <f t="shared" ref="F46:N46" si="38">F28/F44</f>
        <v>16.666666666666668</v>
      </c>
      <c r="G46" s="234">
        <f t="shared" si="38"/>
        <v>15</v>
      </c>
      <c r="H46" s="234">
        <f t="shared" si="38"/>
        <v>14.285714285714286</v>
      </c>
      <c r="I46" s="234">
        <f t="shared" si="38"/>
        <v>11.428571428571429</v>
      </c>
      <c r="J46" s="234">
        <f t="shared" si="38"/>
        <v>10</v>
      </c>
      <c r="K46" s="234">
        <f>K28/K44</f>
        <v>8.5714285714285712</v>
      </c>
      <c r="L46" s="234">
        <f t="shared" si="38"/>
        <v>8.3333333333333339</v>
      </c>
      <c r="M46" s="234">
        <f t="shared" si="38"/>
        <v>9.2307692307692299</v>
      </c>
      <c r="N46" s="234">
        <f t="shared" si="38"/>
        <v>9.0909090909090917</v>
      </c>
    </row>
    <row r="47" spans="2:14" x14ac:dyDescent="0.45">
      <c r="B47" s="236" t="s">
        <v>1249</v>
      </c>
      <c r="C47" s="244">
        <f>1-C48-C49</f>
        <v>0.60000000000000009</v>
      </c>
      <c r="D47" s="236" t="s">
        <v>1</v>
      </c>
      <c r="E47" s="240">
        <f>E$45*(E46*$C$47)</f>
        <v>2.859375</v>
      </c>
      <c r="F47" s="240">
        <f t="shared" ref="F47:N47" si="39">F$45*(F46*$C$47)</f>
        <v>2.3710937500000004</v>
      </c>
      <c r="G47" s="240">
        <f t="shared" si="39"/>
        <v>1.3945312500000002</v>
      </c>
      <c r="H47" s="240">
        <f t="shared" si="39"/>
        <v>1.1503906250000004</v>
      </c>
      <c r="I47" s="240">
        <f t="shared" si="39"/>
        <v>0.94694010416666685</v>
      </c>
      <c r="J47" s="240">
        <f t="shared" si="39"/>
        <v>0.81747159090909116</v>
      </c>
      <c r="K47" s="240">
        <f t="shared" si="39"/>
        <v>0.662109375</v>
      </c>
      <c r="L47" s="240">
        <f t="shared" si="39"/>
        <v>0.54003906250000011</v>
      </c>
      <c r="M47" s="240">
        <f t="shared" si="39"/>
        <v>1.4296875</v>
      </c>
      <c r="N47" s="240">
        <f t="shared" si="39"/>
        <v>1.1855468750000002</v>
      </c>
    </row>
    <row r="48" spans="2:14" x14ac:dyDescent="0.45">
      <c r="B48" s="236" t="s">
        <v>1250</v>
      </c>
      <c r="C48" s="244">
        <v>0.2</v>
      </c>
      <c r="D48" s="236" t="s">
        <v>1</v>
      </c>
      <c r="E48" s="240">
        <f>E$45*(E46*$C$48)</f>
        <v>0.95312499999999989</v>
      </c>
      <c r="F48" s="240">
        <f t="shared" ref="F48:N48" si="40">F$45*(F46*$C$48)</f>
        <v>0.79036458333333348</v>
      </c>
      <c r="G48" s="240">
        <f t="shared" si="40"/>
        <v>0.46484375</v>
      </c>
      <c r="H48" s="240">
        <f t="shared" si="40"/>
        <v>0.38346354166666685</v>
      </c>
      <c r="I48" s="240">
        <f t="shared" si="40"/>
        <v>0.31564670138888895</v>
      </c>
      <c r="J48" s="240">
        <f t="shared" si="40"/>
        <v>0.27249053030303033</v>
      </c>
      <c r="K48" s="240">
        <f t="shared" si="40"/>
        <v>0.22070312499999997</v>
      </c>
      <c r="L48" s="240">
        <f t="shared" si="40"/>
        <v>0.18001302083333334</v>
      </c>
      <c r="M48" s="240">
        <f t="shared" si="40"/>
        <v>0.47656249999999994</v>
      </c>
      <c r="N48" s="240">
        <f t="shared" si="40"/>
        <v>0.39518229166666669</v>
      </c>
    </row>
    <row r="49" spans="2:14" x14ac:dyDescent="0.45">
      <c r="B49" s="236" t="s">
        <v>1251</v>
      </c>
      <c r="C49" s="244">
        <v>0.2</v>
      </c>
      <c r="D49" s="236" t="s">
        <v>1</v>
      </c>
      <c r="E49" s="240">
        <f>E$45*(E46*$C$49)</f>
        <v>0.95312499999999989</v>
      </c>
      <c r="F49" s="240">
        <f t="shared" ref="F49:N49" si="41">F$45*(F46*$C$49)</f>
        <v>0.79036458333333348</v>
      </c>
      <c r="G49" s="240">
        <f t="shared" si="41"/>
        <v>0.46484375</v>
      </c>
      <c r="H49" s="240">
        <f t="shared" si="41"/>
        <v>0.38346354166666685</v>
      </c>
      <c r="I49" s="240">
        <f t="shared" si="41"/>
        <v>0.31564670138888895</v>
      </c>
      <c r="J49" s="240">
        <f t="shared" si="41"/>
        <v>0.27249053030303033</v>
      </c>
      <c r="K49" s="240">
        <f t="shared" si="41"/>
        <v>0.22070312499999997</v>
      </c>
      <c r="L49" s="240">
        <f t="shared" si="41"/>
        <v>0.18001302083333334</v>
      </c>
      <c r="M49" s="240">
        <f t="shared" si="41"/>
        <v>0.47656249999999994</v>
      </c>
      <c r="N49" s="240">
        <f t="shared" si="41"/>
        <v>0.39518229166666669</v>
      </c>
    </row>
    <row r="50" spans="2:14" x14ac:dyDescent="0.45">
      <c r="B50" s="236" t="s">
        <v>1291</v>
      </c>
      <c r="C50" s="236" t="s">
        <v>1255</v>
      </c>
      <c r="D50" s="236" t="s">
        <v>1</v>
      </c>
      <c r="E50" s="240">
        <f>SUM(E47:E49)*2^$C$22/$C$9</f>
        <v>1220</v>
      </c>
      <c r="F50" s="240">
        <f t="shared" ref="F50:N50" si="42">SUM(F47:F49)*2^$C$22/$C$9</f>
        <v>1011.6666666666669</v>
      </c>
      <c r="G50" s="240">
        <f t="shared" si="42"/>
        <v>595</v>
      </c>
      <c r="H50" s="240">
        <f t="shared" si="42"/>
        <v>490.8333333333336</v>
      </c>
      <c r="I50" s="240">
        <f t="shared" si="42"/>
        <v>404.02777777777783</v>
      </c>
      <c r="J50" s="240">
        <f t="shared" si="42"/>
        <v>348.78787878787887</v>
      </c>
      <c r="K50" s="240">
        <f t="shared" si="42"/>
        <v>282.5</v>
      </c>
      <c r="L50" s="240">
        <f t="shared" si="42"/>
        <v>230.41666666666671</v>
      </c>
      <c r="M50" s="240">
        <f t="shared" si="42"/>
        <v>610</v>
      </c>
      <c r="N50" s="240">
        <f t="shared" si="42"/>
        <v>505.83333333333343</v>
      </c>
    </row>
    <row r="51" spans="2:14" x14ac:dyDescent="0.45">
      <c r="B51" s="236" t="s">
        <v>1249</v>
      </c>
      <c r="C51" s="244">
        <f>C47</f>
        <v>0.60000000000000009</v>
      </c>
      <c r="D51" s="236" t="s">
        <v>1</v>
      </c>
      <c r="E51" s="240">
        <f>E$50*$C47</f>
        <v>732.00000000000011</v>
      </c>
      <c r="F51" s="240">
        <f t="shared" ref="F51:N51" si="43">F$50*$C47</f>
        <v>607.00000000000023</v>
      </c>
      <c r="G51" s="240">
        <f t="shared" si="43"/>
        <v>357.00000000000006</v>
      </c>
      <c r="H51" s="240">
        <f t="shared" si="43"/>
        <v>294.50000000000023</v>
      </c>
      <c r="I51" s="240">
        <f t="shared" si="43"/>
        <v>242.41666666666674</v>
      </c>
      <c r="J51" s="240">
        <f t="shared" si="43"/>
        <v>209.27272727272734</v>
      </c>
      <c r="K51" s="240">
        <f t="shared" si="43"/>
        <v>169.50000000000003</v>
      </c>
      <c r="L51" s="240">
        <f t="shared" si="43"/>
        <v>138.25000000000006</v>
      </c>
      <c r="M51" s="240">
        <f t="shared" si="43"/>
        <v>366.00000000000006</v>
      </c>
      <c r="N51" s="240">
        <f t="shared" si="43"/>
        <v>303.50000000000011</v>
      </c>
    </row>
    <row r="52" spans="2:14" x14ac:dyDescent="0.45">
      <c r="B52" s="236" t="s">
        <v>1250</v>
      </c>
      <c r="C52" s="244">
        <f>C48</f>
        <v>0.2</v>
      </c>
      <c r="D52" s="236" t="s">
        <v>1</v>
      </c>
      <c r="E52" s="240">
        <f>E$50*$C48</f>
        <v>244</v>
      </c>
      <c r="F52" s="240">
        <f t="shared" ref="F52:G52" si="44">F$50*$C48</f>
        <v>202.33333333333337</v>
      </c>
      <c r="G52" s="240">
        <f t="shared" si="44"/>
        <v>119</v>
      </c>
      <c r="H52" s="240">
        <f>H$50*$C48</f>
        <v>98.166666666666728</v>
      </c>
      <c r="I52" s="240">
        <f t="shared" ref="I52" si="45">I$50*$C48</f>
        <v>80.805555555555571</v>
      </c>
      <c r="J52" s="240">
        <f>J$50*$C48</f>
        <v>69.757575757575779</v>
      </c>
      <c r="K52" s="240">
        <f>K$50*$C48</f>
        <v>56.5</v>
      </c>
      <c r="L52" s="240">
        <f t="shared" ref="L52:M52" si="46">L$50*$C48</f>
        <v>46.083333333333343</v>
      </c>
      <c r="M52" s="240">
        <f t="shared" si="46"/>
        <v>122</v>
      </c>
      <c r="N52" s="240">
        <f>N$50*$C48</f>
        <v>101.16666666666669</v>
      </c>
    </row>
    <row r="53" spans="2:14" x14ac:dyDescent="0.45">
      <c r="B53" s="236" t="s">
        <v>1251</v>
      </c>
      <c r="C53" s="244">
        <f>C49</f>
        <v>0.2</v>
      </c>
      <c r="D53" s="236" t="s">
        <v>1</v>
      </c>
      <c r="E53" s="240">
        <f>E$50*$C49</f>
        <v>244</v>
      </c>
      <c r="F53" s="240">
        <f t="shared" ref="F53:G53" si="47">F$50*$C49</f>
        <v>202.33333333333337</v>
      </c>
      <c r="G53" s="240">
        <f t="shared" si="47"/>
        <v>119</v>
      </c>
      <c r="H53" s="240">
        <f>H$50*$C49</f>
        <v>98.166666666666728</v>
      </c>
      <c r="I53" s="240">
        <f t="shared" ref="I53" si="48">I$50*$C49</f>
        <v>80.805555555555571</v>
      </c>
      <c r="J53" s="240">
        <f>J$50*$C49</f>
        <v>69.757575757575779</v>
      </c>
      <c r="K53" s="240">
        <f>K$50*$C49</f>
        <v>56.5</v>
      </c>
      <c r="L53" s="240">
        <f t="shared" ref="L53:M53" si="49">L$50*$C49</f>
        <v>46.083333333333343</v>
      </c>
      <c r="M53" s="240">
        <f t="shared" si="49"/>
        <v>122</v>
      </c>
      <c r="N53" s="240">
        <f>N$50*$C49</f>
        <v>101.16666666666669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ADC8-71BB-4A02-AA64-ECB77200D6F2}">
  <dimension ref="B1:FD173"/>
  <sheetViews>
    <sheetView showGridLines="0" zoomScaleNormal="100" workbookViewId="0"/>
  </sheetViews>
  <sheetFormatPr defaultRowHeight="17" x14ac:dyDescent="0.45"/>
  <cols>
    <col min="2" max="2" width="21" style="1" bestFit="1" customWidth="1"/>
    <col min="3" max="3" width="7.33203125" style="4" bestFit="1" customWidth="1"/>
    <col min="4" max="4" width="14.25" bestFit="1" customWidth="1"/>
    <col min="5" max="6" width="14.33203125" bestFit="1" customWidth="1"/>
    <col min="7" max="7" width="13.33203125" customWidth="1"/>
    <col min="8" max="19" width="14.25" bestFit="1" customWidth="1"/>
    <col min="20" max="144" width="12.58203125" customWidth="1"/>
    <col min="145" max="153" width="12.75" bestFit="1" customWidth="1"/>
    <col min="154" max="159" width="12.58203125" bestFit="1" customWidth="1"/>
  </cols>
  <sheetData>
    <row r="1" spans="2:159" x14ac:dyDescent="0.45">
      <c r="B1" s="8"/>
    </row>
    <row r="2" spans="2:159" x14ac:dyDescent="0.45">
      <c r="B2" s="131" t="s">
        <v>1182</v>
      </c>
      <c r="C2" s="116"/>
      <c r="D2" s="116" t="s">
        <v>1159</v>
      </c>
      <c r="E2" s="120">
        <v>39.311999999999998</v>
      </c>
      <c r="F2" s="119" t="s">
        <v>0</v>
      </c>
      <c r="G2" s="116">
        <f>1/E2</f>
        <v>2.5437525437525439E-2</v>
      </c>
      <c r="H2" s="119" t="s">
        <v>1</v>
      </c>
      <c r="I2" s="116" t="s">
        <v>1158</v>
      </c>
      <c r="J2" s="188">
        <v>1</v>
      </c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19"/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  <c r="EK2" s="119"/>
      <c r="EL2" s="119"/>
      <c r="EM2" s="119"/>
      <c r="EN2" s="119"/>
      <c r="EO2" s="119"/>
      <c r="EP2" s="119"/>
      <c r="EQ2" s="119"/>
      <c r="ER2" s="119"/>
      <c r="ES2" s="119"/>
      <c r="ET2" s="119"/>
      <c r="EU2" s="119"/>
      <c r="EV2" s="119"/>
      <c r="EW2" s="119"/>
      <c r="EX2" s="119"/>
      <c r="FB2" s="119"/>
      <c r="FC2" s="119"/>
    </row>
    <row r="3" spans="2:159" x14ac:dyDescent="0.45">
      <c r="B3" s="133" t="s">
        <v>1181</v>
      </c>
      <c r="C3" s="134" t="s">
        <v>4</v>
      </c>
      <c r="D3" s="3">
        <v>98</v>
      </c>
      <c r="E3" s="3">
        <f>D3+$J$2</f>
        <v>99</v>
      </c>
      <c r="F3" s="3">
        <f t="shared" ref="F3:I3" si="0">E3+$J$2</f>
        <v>100</v>
      </c>
      <c r="G3" s="3">
        <f t="shared" si="0"/>
        <v>101</v>
      </c>
      <c r="H3" s="3">
        <f t="shared" si="0"/>
        <v>102</v>
      </c>
      <c r="I3" s="3">
        <f t="shared" si="0"/>
        <v>103</v>
      </c>
      <c r="J3" s="3">
        <f t="shared" ref="J3" si="1">I3+$J$2</f>
        <v>104</v>
      </c>
      <c r="K3" s="3">
        <f t="shared" ref="K3" si="2">J3+$J$2</f>
        <v>105</v>
      </c>
      <c r="L3" s="3">
        <f t="shared" ref="L3" si="3">K3+$J$2</f>
        <v>106</v>
      </c>
      <c r="M3" s="3">
        <f t="shared" ref="M3" si="4">L3+$J$2</f>
        <v>107</v>
      </c>
      <c r="N3" s="3">
        <f t="shared" ref="N3" si="5">M3+$J$2</f>
        <v>108</v>
      </c>
      <c r="O3" s="3">
        <f t="shared" ref="O3" si="6">N3+$J$2</f>
        <v>109</v>
      </c>
      <c r="P3" s="3">
        <f t="shared" ref="P3" si="7">O3+$J$2</f>
        <v>110</v>
      </c>
      <c r="Q3" s="3">
        <f t="shared" ref="Q3" si="8">P3+$J$2</f>
        <v>111</v>
      </c>
      <c r="R3" s="3">
        <f t="shared" ref="R3" si="9">Q3+$J$2</f>
        <v>112</v>
      </c>
      <c r="S3" s="3">
        <f t="shared" ref="S3" si="10">R3+$J$2</f>
        <v>113</v>
      </c>
      <c r="T3" s="3">
        <f t="shared" ref="T3" si="11">S3+$J$2</f>
        <v>114</v>
      </c>
      <c r="U3" s="3">
        <f t="shared" ref="U3" si="12">T3+$J$2</f>
        <v>115</v>
      </c>
      <c r="V3" s="3">
        <f t="shared" ref="V3" si="13">U3+$J$2</f>
        <v>116</v>
      </c>
      <c r="W3" s="3">
        <f t="shared" ref="W3" si="14">V3+$J$2</f>
        <v>117</v>
      </c>
      <c r="X3" s="3">
        <f t="shared" ref="X3" si="15">W3+$J$2</f>
        <v>118</v>
      </c>
      <c r="Y3" s="3">
        <f t="shared" ref="Y3" si="16">X3+$J$2</f>
        <v>119</v>
      </c>
      <c r="Z3" s="3">
        <f t="shared" ref="Z3" si="17">Y3+$J$2</f>
        <v>120</v>
      </c>
      <c r="AA3" s="3">
        <f t="shared" ref="AA3" si="18">Z3+$J$2</f>
        <v>121</v>
      </c>
      <c r="AB3" s="3">
        <f t="shared" ref="AB3" si="19">AA3+$J$2</f>
        <v>122</v>
      </c>
      <c r="AC3" s="3">
        <f t="shared" ref="AC3" si="20">AB3+$J$2</f>
        <v>123</v>
      </c>
      <c r="AD3" s="3">
        <f t="shared" ref="AD3" si="21">AC3+$J$2</f>
        <v>124</v>
      </c>
      <c r="AE3" s="3">
        <f t="shared" ref="AE3" si="22">AD3+$J$2</f>
        <v>125</v>
      </c>
      <c r="AF3" s="3">
        <f t="shared" ref="AF3" si="23">AE3+$J$2</f>
        <v>126</v>
      </c>
      <c r="AG3" s="3">
        <f t="shared" ref="AG3" si="24">AF3+$J$2</f>
        <v>127</v>
      </c>
      <c r="AH3" s="3">
        <f t="shared" ref="AH3" si="25">AG3+$J$2</f>
        <v>128</v>
      </c>
      <c r="AI3" s="3">
        <f t="shared" ref="AI3" si="26">AH3+$J$2</f>
        <v>129</v>
      </c>
      <c r="AJ3" s="3">
        <f t="shared" ref="AJ3" si="27">AI3+$J$2</f>
        <v>130</v>
      </c>
      <c r="AK3" s="3">
        <f t="shared" ref="AK3" si="28">AJ3+$J$2</f>
        <v>131</v>
      </c>
      <c r="AL3" s="3">
        <f t="shared" ref="AL3" si="29">AK3+$J$2</f>
        <v>132</v>
      </c>
      <c r="AM3" s="3">
        <f t="shared" ref="AM3" si="30">AL3+$J$2</f>
        <v>133</v>
      </c>
      <c r="AN3" s="3">
        <f t="shared" ref="AN3" si="31">AM3+$J$2</f>
        <v>134</v>
      </c>
      <c r="AO3" s="3">
        <f t="shared" ref="AO3" si="32">AN3+$J$2</f>
        <v>135</v>
      </c>
      <c r="AP3" s="3">
        <f t="shared" ref="AP3" si="33">AO3+$J$2</f>
        <v>136</v>
      </c>
      <c r="AQ3" s="3">
        <f t="shared" ref="AQ3" si="34">AP3+$J$2</f>
        <v>137</v>
      </c>
      <c r="AR3" s="3">
        <f t="shared" ref="AR3" si="35">AQ3+$J$2</f>
        <v>138</v>
      </c>
      <c r="AS3" s="3">
        <f t="shared" ref="AS3" si="36">AR3+$J$2</f>
        <v>139</v>
      </c>
      <c r="AT3" s="3">
        <f t="shared" ref="AT3" si="37">AS3+$J$2</f>
        <v>140</v>
      </c>
      <c r="AU3" s="3">
        <f t="shared" ref="AU3" si="38">AT3+$J$2</f>
        <v>141</v>
      </c>
      <c r="AV3" s="3">
        <f t="shared" ref="AV3" si="39">AU3+$J$2</f>
        <v>142</v>
      </c>
      <c r="AW3" s="3">
        <f t="shared" ref="AW3" si="40">AV3+$J$2</f>
        <v>143</v>
      </c>
      <c r="AX3" s="3">
        <f t="shared" ref="AX3" si="41">AW3+$J$2</f>
        <v>144</v>
      </c>
      <c r="AY3" s="3">
        <f t="shared" ref="AY3" si="42">AX3+$J$2</f>
        <v>145</v>
      </c>
      <c r="AZ3" s="3">
        <f t="shared" ref="AZ3" si="43">AY3+$J$2</f>
        <v>146</v>
      </c>
      <c r="BA3" s="3">
        <f t="shared" ref="BA3" si="44">AZ3+$J$2</f>
        <v>147</v>
      </c>
      <c r="BB3" s="3">
        <f t="shared" ref="BB3" si="45">BA3+$J$2</f>
        <v>148</v>
      </c>
      <c r="BC3" s="3">
        <f t="shared" ref="BC3" si="46">BB3+$J$2</f>
        <v>149</v>
      </c>
      <c r="BD3" s="3">
        <f t="shared" ref="BD3" si="47">BC3+$J$2</f>
        <v>150</v>
      </c>
      <c r="BE3" s="3">
        <f t="shared" ref="BE3" si="48">BD3+$J$2</f>
        <v>151</v>
      </c>
      <c r="BF3" s="3">
        <f t="shared" ref="BF3" si="49">BE3+$J$2</f>
        <v>152</v>
      </c>
      <c r="BG3" s="3">
        <f t="shared" ref="BG3" si="50">BF3+$J$2</f>
        <v>153</v>
      </c>
      <c r="BH3" s="3">
        <f t="shared" ref="BH3" si="51">BG3+$J$2</f>
        <v>154</v>
      </c>
      <c r="BI3" s="3">
        <f t="shared" ref="BI3" si="52">BH3+$J$2</f>
        <v>155</v>
      </c>
      <c r="BJ3" s="3">
        <f t="shared" ref="BJ3" si="53">BI3+$J$2</f>
        <v>156</v>
      </c>
      <c r="BK3" s="3">
        <f t="shared" ref="BK3" si="54">BJ3+$J$2</f>
        <v>157</v>
      </c>
      <c r="BL3" s="3">
        <f t="shared" ref="BL3" si="55">BK3+$J$2</f>
        <v>158</v>
      </c>
      <c r="BM3" s="3">
        <f t="shared" ref="BM3" si="56">BL3+$J$2</f>
        <v>159</v>
      </c>
      <c r="BN3" s="3">
        <f t="shared" ref="BN3" si="57">BM3+$J$2</f>
        <v>160</v>
      </c>
      <c r="BO3" s="3">
        <f t="shared" ref="BO3" si="58">BN3+$J$2</f>
        <v>161</v>
      </c>
      <c r="BP3" s="3">
        <f t="shared" ref="BP3" si="59">BO3+$J$2</f>
        <v>162</v>
      </c>
      <c r="BQ3" s="3">
        <f t="shared" ref="BQ3" si="60">BP3+$J$2</f>
        <v>163</v>
      </c>
      <c r="BR3" s="3">
        <f t="shared" ref="BR3" si="61">BQ3+$J$2</f>
        <v>164</v>
      </c>
      <c r="BS3" s="3">
        <f t="shared" ref="BS3" si="62">BR3+$J$2</f>
        <v>165</v>
      </c>
      <c r="BT3" s="3">
        <f t="shared" ref="BT3" si="63">BS3+$J$2</f>
        <v>166</v>
      </c>
      <c r="BU3" s="3">
        <f t="shared" ref="BU3" si="64">BT3+$J$2</f>
        <v>167</v>
      </c>
      <c r="BV3" s="3">
        <f t="shared" ref="BV3" si="65">BU3+$J$2</f>
        <v>168</v>
      </c>
      <c r="BW3" s="3">
        <f t="shared" ref="BW3" si="66">BV3+$J$2</f>
        <v>169</v>
      </c>
      <c r="BX3" s="3">
        <f t="shared" ref="BX3" si="67">BW3+$J$2</f>
        <v>170</v>
      </c>
      <c r="BY3" s="3">
        <f t="shared" ref="BY3" si="68">BX3+$J$2</f>
        <v>171</v>
      </c>
      <c r="BZ3" s="3">
        <f t="shared" ref="BZ3" si="69">BY3+$J$2</f>
        <v>172</v>
      </c>
      <c r="CA3" s="3">
        <f t="shared" ref="CA3" si="70">BZ3+$J$2</f>
        <v>173</v>
      </c>
      <c r="CB3" s="3">
        <f t="shared" ref="CB3" si="71">CA3+$J$2</f>
        <v>174</v>
      </c>
      <c r="CC3" s="3">
        <f t="shared" ref="CC3" si="72">CB3+$J$2</f>
        <v>175</v>
      </c>
      <c r="CD3" s="3">
        <f t="shared" ref="CD3" si="73">CC3+$J$2</f>
        <v>176</v>
      </c>
      <c r="CE3" s="3">
        <f t="shared" ref="CE3" si="74">CD3+$J$2</f>
        <v>177</v>
      </c>
      <c r="CF3" s="3">
        <f t="shared" ref="CF3" si="75">CE3+$J$2</f>
        <v>178</v>
      </c>
      <c r="CG3" s="3">
        <f t="shared" ref="CG3" si="76">CF3+$J$2</f>
        <v>179</v>
      </c>
      <c r="CH3" s="3">
        <f t="shared" ref="CH3" si="77">CG3+$J$2</f>
        <v>180</v>
      </c>
      <c r="CI3" s="3">
        <f t="shared" ref="CI3" si="78">CH3+$J$2</f>
        <v>181</v>
      </c>
      <c r="CJ3" s="3">
        <f t="shared" ref="CJ3" si="79">CI3+$J$2</f>
        <v>182</v>
      </c>
      <c r="CK3" s="3">
        <f t="shared" ref="CK3" si="80">CJ3+$J$2</f>
        <v>183</v>
      </c>
      <c r="CL3" s="3">
        <f t="shared" ref="CL3" si="81">CK3+$J$2</f>
        <v>184</v>
      </c>
      <c r="CM3" s="3">
        <f t="shared" ref="CM3" si="82">CL3+$J$2</f>
        <v>185</v>
      </c>
      <c r="CN3" s="3">
        <f t="shared" ref="CN3" si="83">CM3+$J$2</f>
        <v>186</v>
      </c>
      <c r="CO3" s="3">
        <f t="shared" ref="CO3" si="84">CN3+$J$2</f>
        <v>187</v>
      </c>
      <c r="CP3" s="3">
        <f t="shared" ref="CP3" si="85">CO3+$J$2</f>
        <v>188</v>
      </c>
      <c r="CQ3" s="3">
        <f t="shared" ref="CQ3" si="86">CP3+$J$2</f>
        <v>189</v>
      </c>
      <c r="CR3" s="3">
        <f t="shared" ref="CR3" si="87">CQ3+$J$2</f>
        <v>190</v>
      </c>
      <c r="CS3" s="3">
        <f t="shared" ref="CS3" si="88">CR3+$J$2</f>
        <v>191</v>
      </c>
      <c r="CT3" s="3">
        <f t="shared" ref="CT3" si="89">CS3+$J$2</f>
        <v>192</v>
      </c>
      <c r="CU3" s="3">
        <f t="shared" ref="CU3" si="90">CT3+$J$2</f>
        <v>193</v>
      </c>
      <c r="CV3" s="3">
        <f t="shared" ref="CV3" si="91">CU3+$J$2</f>
        <v>194</v>
      </c>
      <c r="CW3" s="3">
        <f t="shared" ref="CW3" si="92">CV3+$J$2</f>
        <v>195</v>
      </c>
      <c r="CX3" s="3">
        <f t="shared" ref="CX3" si="93">CW3+$J$2</f>
        <v>196</v>
      </c>
      <c r="CY3" s="3">
        <f t="shared" ref="CY3" si="94">CX3+$J$2</f>
        <v>197</v>
      </c>
      <c r="CZ3" s="3">
        <f t="shared" ref="CZ3" si="95">CY3+$J$2</f>
        <v>198</v>
      </c>
      <c r="DA3" s="3">
        <f t="shared" ref="DA3" si="96">CZ3+$J$2</f>
        <v>199</v>
      </c>
      <c r="DB3" s="3">
        <f t="shared" ref="DB3" si="97">DA3+$J$2</f>
        <v>200</v>
      </c>
      <c r="DC3" s="3">
        <f t="shared" ref="DC3" si="98">DB3+$J$2</f>
        <v>201</v>
      </c>
      <c r="DD3" s="3">
        <f t="shared" ref="DD3" si="99">DC3+$J$2</f>
        <v>202</v>
      </c>
      <c r="DE3" s="3">
        <f t="shared" ref="DE3" si="100">DD3+$J$2</f>
        <v>203</v>
      </c>
      <c r="DF3" s="3">
        <f t="shared" ref="DF3" si="101">DE3+$J$2</f>
        <v>204</v>
      </c>
      <c r="DG3" s="3">
        <f t="shared" ref="DG3" si="102">DF3+$J$2</f>
        <v>205</v>
      </c>
      <c r="DH3" s="3">
        <f t="shared" ref="DH3" si="103">DG3+$J$2</f>
        <v>206</v>
      </c>
      <c r="DI3" s="3">
        <f t="shared" ref="DI3" si="104">DH3+$J$2</f>
        <v>207</v>
      </c>
      <c r="DJ3" s="3">
        <f t="shared" ref="DJ3" si="105">DI3+$J$2</f>
        <v>208</v>
      </c>
      <c r="DK3" s="3">
        <f t="shared" ref="DK3" si="106">DJ3+$J$2</f>
        <v>209</v>
      </c>
      <c r="DL3" s="3">
        <f t="shared" ref="DL3" si="107">DK3+$J$2</f>
        <v>210</v>
      </c>
      <c r="DM3" s="3">
        <f t="shared" ref="DM3" si="108">DL3+$J$2</f>
        <v>211</v>
      </c>
      <c r="DN3" s="3">
        <f t="shared" ref="DN3" si="109">DM3+$J$2</f>
        <v>212</v>
      </c>
      <c r="DO3" s="3">
        <f t="shared" ref="DO3" si="110">DN3+$J$2</f>
        <v>213</v>
      </c>
      <c r="DP3" s="3">
        <f t="shared" ref="DP3" si="111">DO3+$J$2</f>
        <v>214</v>
      </c>
      <c r="DQ3" s="3">
        <f t="shared" ref="DQ3" si="112">DP3+$J$2</f>
        <v>215</v>
      </c>
      <c r="DR3" s="3">
        <f t="shared" ref="DR3" si="113">DQ3+$J$2</f>
        <v>216</v>
      </c>
      <c r="DS3" s="3">
        <f t="shared" ref="DS3" si="114">DR3+$J$2</f>
        <v>217</v>
      </c>
      <c r="DT3" s="3">
        <f t="shared" ref="DT3" si="115">DS3+$J$2</f>
        <v>218</v>
      </c>
      <c r="DU3" s="3">
        <f t="shared" ref="DU3" si="116">DT3+$J$2</f>
        <v>219</v>
      </c>
      <c r="DV3" s="3">
        <f t="shared" ref="DV3" si="117">DU3+$J$2</f>
        <v>220</v>
      </c>
      <c r="DW3" s="3">
        <f t="shared" ref="DW3" si="118">DV3+$J$2</f>
        <v>221</v>
      </c>
      <c r="DX3" s="3">
        <f t="shared" ref="DX3" si="119">DW3+$J$2</f>
        <v>222</v>
      </c>
      <c r="DY3" s="3">
        <f t="shared" ref="DY3" si="120">DX3+$J$2</f>
        <v>223</v>
      </c>
      <c r="DZ3" s="3">
        <f t="shared" ref="DZ3" si="121">DY3+$J$2</f>
        <v>224</v>
      </c>
      <c r="EA3" s="3">
        <f t="shared" ref="EA3" si="122">DZ3+$J$2</f>
        <v>225</v>
      </c>
      <c r="EB3" s="3">
        <f t="shared" ref="EB3" si="123">EA3+$J$2</f>
        <v>226</v>
      </c>
      <c r="EC3" s="3">
        <f t="shared" ref="EC3" si="124">EB3+$J$2</f>
        <v>227</v>
      </c>
      <c r="ED3" s="3">
        <f t="shared" ref="ED3" si="125">EC3+$J$2</f>
        <v>228</v>
      </c>
      <c r="EE3" s="3">
        <f t="shared" ref="EE3" si="126">ED3+$J$2</f>
        <v>229</v>
      </c>
      <c r="EF3" s="3">
        <f t="shared" ref="EF3" si="127">EE3+$J$2</f>
        <v>230</v>
      </c>
      <c r="EG3" s="3">
        <f t="shared" ref="EG3" si="128">EF3+$J$2</f>
        <v>231</v>
      </c>
      <c r="EH3" s="3">
        <f t="shared" ref="EH3" si="129">EG3+$J$2</f>
        <v>232</v>
      </c>
      <c r="EI3" s="3">
        <f t="shared" ref="EI3" si="130">EH3+$J$2</f>
        <v>233</v>
      </c>
      <c r="EJ3" s="3">
        <f t="shared" ref="EJ3" si="131">EI3+$J$2</f>
        <v>234</v>
      </c>
      <c r="EK3" s="3">
        <f t="shared" ref="EK3" si="132">EJ3+$J$2</f>
        <v>235</v>
      </c>
      <c r="EL3" s="3">
        <f t="shared" ref="EL3" si="133">EK3+$J$2</f>
        <v>236</v>
      </c>
      <c r="EM3" s="3">
        <f t="shared" ref="EM3" si="134">EL3+$J$2</f>
        <v>237</v>
      </c>
      <c r="EN3" s="3">
        <f t="shared" ref="EN3" si="135">EM3+$J$2</f>
        <v>238</v>
      </c>
      <c r="EO3" s="3">
        <f t="shared" ref="EO3" si="136">EN3+$J$2</f>
        <v>239</v>
      </c>
      <c r="EP3" s="3">
        <f t="shared" ref="EP3" si="137">EO3+$J$2</f>
        <v>240</v>
      </c>
      <c r="EQ3" s="3">
        <f t="shared" ref="EQ3" si="138">EP3+$J$2</f>
        <v>241</v>
      </c>
      <c r="ER3" s="3">
        <f t="shared" ref="ER3" si="139">EQ3+$J$2</f>
        <v>242</v>
      </c>
      <c r="ES3" s="3">
        <f t="shared" ref="ES3" si="140">ER3+$J$2</f>
        <v>243</v>
      </c>
      <c r="ET3" s="3">
        <f t="shared" ref="ET3" si="141">ES3+$J$2</f>
        <v>244</v>
      </c>
      <c r="EU3" s="3">
        <f t="shared" ref="EU3" si="142">ET3+$J$2</f>
        <v>245</v>
      </c>
      <c r="EV3" s="3">
        <f t="shared" ref="EV3" si="143">EU3+$J$2</f>
        <v>246</v>
      </c>
      <c r="EW3" s="3">
        <f t="shared" ref="EW3" si="144">EV3+$J$2</f>
        <v>247</v>
      </c>
      <c r="EX3" s="3">
        <f t="shared" ref="EX3" si="145">EW3+$J$2</f>
        <v>248</v>
      </c>
      <c r="FB3" s="3">
        <v>800</v>
      </c>
      <c r="FC3" s="3">
        <v>960</v>
      </c>
    </row>
    <row r="4" spans="2:159" x14ac:dyDescent="0.45">
      <c r="B4" s="135"/>
      <c r="C4" s="136" t="s">
        <v>1</v>
      </c>
      <c r="D4" s="5">
        <f t="shared" ref="D4:BO4" si="146">1000000/(D3/D18)</f>
        <v>10204.081632653062</v>
      </c>
      <c r="E4" s="5">
        <f>1000000/(E3/E18)</f>
        <v>10101.010101010101</v>
      </c>
      <c r="F4" s="5">
        <f t="shared" si="146"/>
        <v>10000</v>
      </c>
      <c r="G4" s="5">
        <f t="shared" si="146"/>
        <v>9900.9900990099013</v>
      </c>
      <c r="H4" s="5">
        <f t="shared" si="146"/>
        <v>9803.9215686274511</v>
      </c>
      <c r="I4" s="5">
        <f t="shared" si="146"/>
        <v>9708.7378640776697</v>
      </c>
      <c r="J4" s="5">
        <f t="shared" si="146"/>
        <v>9615.3846153846152</v>
      </c>
      <c r="K4" s="5">
        <f t="shared" si="146"/>
        <v>9523.8095238095229</v>
      </c>
      <c r="L4" s="5">
        <f t="shared" si="146"/>
        <v>9433.9622641509432</v>
      </c>
      <c r="M4" s="5">
        <f t="shared" si="146"/>
        <v>9345.7943925233649</v>
      </c>
      <c r="N4" s="5">
        <f t="shared" si="146"/>
        <v>9259.2592592592591</v>
      </c>
      <c r="O4" s="5">
        <f t="shared" si="146"/>
        <v>9174.3119266055037</v>
      </c>
      <c r="P4" s="5">
        <f t="shared" si="146"/>
        <v>9090.9090909090901</v>
      </c>
      <c r="Q4" s="5">
        <f t="shared" si="146"/>
        <v>9009.0090090090089</v>
      </c>
      <c r="R4" s="5">
        <f t="shared" si="146"/>
        <v>8928.5714285714294</v>
      </c>
      <c r="S4" s="5">
        <f t="shared" si="146"/>
        <v>8849.5575221238942</v>
      </c>
      <c r="T4" s="5">
        <f t="shared" si="146"/>
        <v>8771.9298245614027</v>
      </c>
      <c r="U4" s="5">
        <f t="shared" si="146"/>
        <v>8695.652173913044</v>
      </c>
      <c r="V4" s="5">
        <f t="shared" si="146"/>
        <v>8620.689655172413</v>
      </c>
      <c r="W4" s="5">
        <f t="shared" si="146"/>
        <v>8547.0085470085469</v>
      </c>
      <c r="X4" s="5">
        <f t="shared" si="146"/>
        <v>8474.5762711864409</v>
      </c>
      <c r="Y4" s="5">
        <f t="shared" si="146"/>
        <v>8403.361344537816</v>
      </c>
      <c r="Z4" s="5">
        <f t="shared" si="146"/>
        <v>8333.3333333333339</v>
      </c>
      <c r="AA4" s="5">
        <f t="shared" si="146"/>
        <v>8264.4628099173551</v>
      </c>
      <c r="AB4" s="5">
        <f t="shared" si="146"/>
        <v>8196.7213114754104</v>
      </c>
      <c r="AC4" s="5">
        <f t="shared" si="146"/>
        <v>8130.0813008130081</v>
      </c>
      <c r="AD4" s="5">
        <f t="shared" si="146"/>
        <v>8064.5161290322585</v>
      </c>
      <c r="AE4" s="5">
        <f t="shared" si="146"/>
        <v>8000</v>
      </c>
      <c r="AF4" s="5">
        <f t="shared" si="146"/>
        <v>7936.5079365079364</v>
      </c>
      <c r="AG4" s="5">
        <f t="shared" si="146"/>
        <v>7874.0157480314965</v>
      </c>
      <c r="AH4" s="5">
        <f t="shared" si="146"/>
        <v>7812.5</v>
      </c>
      <c r="AI4" s="5">
        <f t="shared" si="146"/>
        <v>7751.937984496124</v>
      </c>
      <c r="AJ4" s="5">
        <f t="shared" si="146"/>
        <v>7692.3076923076924</v>
      </c>
      <c r="AK4" s="5">
        <f t="shared" si="146"/>
        <v>7633.5877862595416</v>
      </c>
      <c r="AL4" s="5">
        <f t="shared" si="146"/>
        <v>7575.757575757576</v>
      </c>
      <c r="AM4" s="5">
        <f t="shared" si="146"/>
        <v>7518.7969924812032</v>
      </c>
      <c r="AN4" s="5">
        <f t="shared" si="146"/>
        <v>7462.686567164179</v>
      </c>
      <c r="AO4" s="5">
        <f t="shared" si="146"/>
        <v>7407.4074074074078</v>
      </c>
      <c r="AP4" s="5">
        <f t="shared" si="146"/>
        <v>7352.9411764705883</v>
      </c>
      <c r="AQ4" s="5">
        <f t="shared" si="146"/>
        <v>7299.270072992701</v>
      </c>
      <c r="AR4" s="5">
        <f t="shared" si="146"/>
        <v>7246.376811594203</v>
      </c>
      <c r="AS4" s="5">
        <f t="shared" si="146"/>
        <v>7194.2446043165464</v>
      </c>
      <c r="AT4" s="5">
        <f t="shared" si="146"/>
        <v>7142.8571428571431</v>
      </c>
      <c r="AU4" s="5">
        <f t="shared" si="146"/>
        <v>7092.1985815602839</v>
      </c>
      <c r="AV4" s="5">
        <f t="shared" si="146"/>
        <v>7042.2535211267605</v>
      </c>
      <c r="AW4" s="5">
        <f t="shared" si="146"/>
        <v>6993.0069930069931</v>
      </c>
      <c r="AX4" s="5">
        <f t="shared" si="146"/>
        <v>6944.4444444444443</v>
      </c>
      <c r="AY4" s="5">
        <f t="shared" si="146"/>
        <v>6896.5517241379312</v>
      </c>
      <c r="AZ4" s="5">
        <f t="shared" si="146"/>
        <v>6849.3150684931506</v>
      </c>
      <c r="BA4" s="5">
        <f t="shared" si="146"/>
        <v>6802.7210884353744</v>
      </c>
      <c r="BB4" s="5">
        <f t="shared" si="146"/>
        <v>6756.7567567567567</v>
      </c>
      <c r="BC4" s="5">
        <f t="shared" si="146"/>
        <v>6711.4093959731545</v>
      </c>
      <c r="BD4" s="5">
        <f t="shared" si="146"/>
        <v>6666.666666666667</v>
      </c>
      <c r="BE4" s="5">
        <f t="shared" si="146"/>
        <v>6622.5165562913908</v>
      </c>
      <c r="BF4" s="5">
        <f t="shared" si="146"/>
        <v>6578.9473684210525</v>
      </c>
      <c r="BG4" s="5">
        <f t="shared" si="146"/>
        <v>6535.9477124183004</v>
      </c>
      <c r="BH4" s="5">
        <f t="shared" si="146"/>
        <v>6493.5064935064938</v>
      </c>
      <c r="BI4" s="5">
        <f t="shared" si="146"/>
        <v>6451.6129032258068</v>
      </c>
      <c r="BJ4" s="5">
        <f t="shared" si="146"/>
        <v>6410.2564102564102</v>
      </c>
      <c r="BK4" s="5">
        <f t="shared" si="146"/>
        <v>6369.4267515923566</v>
      </c>
      <c r="BL4" s="5">
        <f t="shared" si="146"/>
        <v>6329.1139240506327</v>
      </c>
      <c r="BM4" s="5">
        <f t="shared" si="146"/>
        <v>6289.3081761006288</v>
      </c>
      <c r="BN4" s="5">
        <f t="shared" si="146"/>
        <v>6250</v>
      </c>
      <c r="BO4" s="5">
        <f t="shared" si="146"/>
        <v>6211.1801242236024</v>
      </c>
      <c r="BP4" s="5">
        <f t="shared" ref="BP4:EA4" si="147">1000000/(BP3/BP18)</f>
        <v>6172.8395061728397</v>
      </c>
      <c r="BQ4" s="5">
        <f t="shared" si="147"/>
        <v>6134.9693251533745</v>
      </c>
      <c r="BR4" s="5">
        <f t="shared" si="147"/>
        <v>6097.5609756097565</v>
      </c>
      <c r="BS4" s="5">
        <f t="shared" si="147"/>
        <v>6060.606060606061</v>
      </c>
      <c r="BT4" s="5">
        <f t="shared" si="147"/>
        <v>6024.0963855421687</v>
      </c>
      <c r="BU4" s="5">
        <f t="shared" si="147"/>
        <v>5988.0239520958085</v>
      </c>
      <c r="BV4" s="5">
        <f t="shared" si="147"/>
        <v>5952.3809523809523</v>
      </c>
      <c r="BW4" s="5">
        <f t="shared" si="147"/>
        <v>5917.1597633136098</v>
      </c>
      <c r="BX4" s="5">
        <f t="shared" si="147"/>
        <v>5882.3529411764703</v>
      </c>
      <c r="BY4" s="5">
        <f t="shared" si="147"/>
        <v>5847.9532163742688</v>
      </c>
      <c r="BZ4" s="5">
        <f t="shared" si="147"/>
        <v>5813.9534883720926</v>
      </c>
      <c r="CA4" s="5">
        <f t="shared" si="147"/>
        <v>5780.3468208092481</v>
      </c>
      <c r="CB4" s="5">
        <f t="shared" si="147"/>
        <v>5747.1264367816093</v>
      </c>
      <c r="CC4" s="5">
        <f t="shared" si="147"/>
        <v>5714.2857142857147</v>
      </c>
      <c r="CD4" s="5">
        <f t="shared" si="147"/>
        <v>5681.818181818182</v>
      </c>
      <c r="CE4" s="5">
        <f t="shared" si="147"/>
        <v>5649.7175141242942</v>
      </c>
      <c r="CF4" s="5">
        <f t="shared" si="147"/>
        <v>5617.9775280898875</v>
      </c>
      <c r="CG4" s="5">
        <f t="shared" si="147"/>
        <v>5586.5921787709494</v>
      </c>
      <c r="CH4" s="5">
        <f t="shared" si="147"/>
        <v>5555.5555555555557</v>
      </c>
      <c r="CI4" s="5">
        <f t="shared" si="147"/>
        <v>5524.861878453039</v>
      </c>
      <c r="CJ4" s="5">
        <f t="shared" si="147"/>
        <v>5494.5054945054944</v>
      </c>
      <c r="CK4" s="5">
        <f t="shared" si="147"/>
        <v>5464.4808743169397</v>
      </c>
      <c r="CL4" s="5">
        <f t="shared" si="147"/>
        <v>5434.782608695652</v>
      </c>
      <c r="CM4" s="5">
        <f t="shared" si="147"/>
        <v>5405.405405405405</v>
      </c>
      <c r="CN4" s="5">
        <f t="shared" si="147"/>
        <v>5376.3440860215051</v>
      </c>
      <c r="CO4" s="5">
        <f t="shared" si="147"/>
        <v>5347.5935828877009</v>
      </c>
      <c r="CP4" s="5">
        <f t="shared" si="147"/>
        <v>5319.1489361702124</v>
      </c>
      <c r="CQ4" s="5">
        <f t="shared" si="147"/>
        <v>5291.0052910052909</v>
      </c>
      <c r="CR4" s="5">
        <f t="shared" si="147"/>
        <v>5263.1578947368425</v>
      </c>
      <c r="CS4" s="5">
        <f t="shared" si="147"/>
        <v>5235.6020942408377</v>
      </c>
      <c r="CT4" s="5">
        <f t="shared" si="147"/>
        <v>5208.333333333333</v>
      </c>
      <c r="CU4" s="5">
        <f t="shared" si="147"/>
        <v>5181.3471502590673</v>
      </c>
      <c r="CV4" s="5">
        <f t="shared" si="147"/>
        <v>5154.6391752577319</v>
      </c>
      <c r="CW4" s="5">
        <f t="shared" si="147"/>
        <v>5128.2051282051279</v>
      </c>
      <c r="CX4" s="5">
        <f t="shared" si="147"/>
        <v>5102.0408163265311</v>
      </c>
      <c r="CY4" s="5">
        <f t="shared" si="147"/>
        <v>5076.1421319796955</v>
      </c>
      <c r="CZ4" s="5">
        <f t="shared" si="147"/>
        <v>5050.5050505050503</v>
      </c>
      <c r="DA4" s="5">
        <f t="shared" si="147"/>
        <v>5025.1256281407032</v>
      </c>
      <c r="DB4" s="5">
        <f t="shared" si="147"/>
        <v>5000</v>
      </c>
      <c r="DC4" s="5">
        <f t="shared" si="147"/>
        <v>4975.1243781094527</v>
      </c>
      <c r="DD4" s="5">
        <f t="shared" si="147"/>
        <v>4950.4950495049507</v>
      </c>
      <c r="DE4" s="5">
        <f t="shared" si="147"/>
        <v>4926.1083743842364</v>
      </c>
      <c r="DF4" s="5">
        <f t="shared" si="147"/>
        <v>4901.9607843137255</v>
      </c>
      <c r="DG4" s="5">
        <f t="shared" si="147"/>
        <v>4878.0487804878048</v>
      </c>
      <c r="DH4" s="5">
        <f t="shared" si="147"/>
        <v>4854.3689320388348</v>
      </c>
      <c r="DI4" s="5">
        <f t="shared" si="147"/>
        <v>4830.9178743961356</v>
      </c>
      <c r="DJ4" s="5">
        <f t="shared" si="147"/>
        <v>4807.6923076923076</v>
      </c>
      <c r="DK4" s="5">
        <f t="shared" si="147"/>
        <v>4784.6889952153106</v>
      </c>
      <c r="DL4" s="5">
        <f t="shared" si="147"/>
        <v>4761.9047619047615</v>
      </c>
      <c r="DM4" s="5">
        <f t="shared" si="147"/>
        <v>4739.336492890995</v>
      </c>
      <c r="DN4" s="5">
        <f t="shared" si="147"/>
        <v>4716.9811320754716</v>
      </c>
      <c r="DO4" s="5">
        <f t="shared" si="147"/>
        <v>4694.8356807511736</v>
      </c>
      <c r="DP4" s="5">
        <f t="shared" si="147"/>
        <v>4672.8971962616824</v>
      </c>
      <c r="DQ4" s="5">
        <f t="shared" si="147"/>
        <v>4651.1627906976746</v>
      </c>
      <c r="DR4" s="5">
        <f t="shared" si="147"/>
        <v>4629.6296296296296</v>
      </c>
      <c r="DS4" s="5">
        <f t="shared" si="147"/>
        <v>4608.294930875576</v>
      </c>
      <c r="DT4" s="5">
        <f t="shared" si="147"/>
        <v>4587.1559633027518</v>
      </c>
      <c r="DU4" s="5">
        <f t="shared" si="147"/>
        <v>4566.2100456621001</v>
      </c>
      <c r="DV4" s="5">
        <f t="shared" si="147"/>
        <v>4545.454545454545</v>
      </c>
      <c r="DW4" s="5">
        <f t="shared" si="147"/>
        <v>4524.8868778280539</v>
      </c>
      <c r="DX4" s="5">
        <f t="shared" si="147"/>
        <v>4504.5045045045044</v>
      </c>
      <c r="DY4" s="5">
        <f t="shared" si="147"/>
        <v>4484.3049327354256</v>
      </c>
      <c r="DZ4" s="5">
        <f t="shared" si="147"/>
        <v>4464.2857142857147</v>
      </c>
      <c r="EA4" s="5">
        <f t="shared" si="147"/>
        <v>4444.4444444444443</v>
      </c>
      <c r="EB4" s="5">
        <f t="shared" ref="EB4:FC4" si="148">1000000/(EB3/EB18)</f>
        <v>4424.7787610619471</v>
      </c>
      <c r="EC4" s="5">
        <f t="shared" si="148"/>
        <v>4405.2863436123343</v>
      </c>
      <c r="ED4" s="5">
        <f t="shared" si="148"/>
        <v>4385.9649122807014</v>
      </c>
      <c r="EE4" s="5">
        <f t="shared" si="148"/>
        <v>4366.812227074236</v>
      </c>
      <c r="EF4" s="5">
        <f t="shared" si="148"/>
        <v>4347.826086956522</v>
      </c>
      <c r="EG4" s="5">
        <f t="shared" si="148"/>
        <v>4329.0043290043286</v>
      </c>
      <c r="EH4" s="5">
        <f t="shared" si="148"/>
        <v>4310.3448275862065</v>
      </c>
      <c r="EI4" s="5">
        <f t="shared" si="148"/>
        <v>4291.8454935622321</v>
      </c>
      <c r="EJ4" s="5">
        <f t="shared" si="148"/>
        <v>4273.5042735042734</v>
      </c>
      <c r="EK4" s="5">
        <f t="shared" si="148"/>
        <v>4255.3191489361698</v>
      </c>
      <c r="EL4" s="5">
        <f t="shared" si="148"/>
        <v>4237.2881355932204</v>
      </c>
      <c r="EM4" s="5">
        <f t="shared" si="148"/>
        <v>4219.4092827004215</v>
      </c>
      <c r="EN4" s="5">
        <f t="shared" si="148"/>
        <v>4201.680672268908</v>
      </c>
      <c r="EO4" s="5">
        <f t="shared" si="148"/>
        <v>4184.100418410042</v>
      </c>
      <c r="EP4" s="5">
        <f t="shared" si="148"/>
        <v>4166.666666666667</v>
      </c>
      <c r="EQ4" s="5">
        <f t="shared" si="148"/>
        <v>4149.3775933609959</v>
      </c>
      <c r="ER4" s="5">
        <f t="shared" si="148"/>
        <v>4132.2314049586776</v>
      </c>
      <c r="ES4" s="5">
        <f t="shared" si="148"/>
        <v>4115.2263374485601</v>
      </c>
      <c r="ET4" s="5">
        <f t="shared" si="148"/>
        <v>4098.3606557377052</v>
      </c>
      <c r="EU4" s="5">
        <f t="shared" si="148"/>
        <v>4081.6326530612246</v>
      </c>
      <c r="EV4" s="5">
        <f t="shared" si="148"/>
        <v>4065.040650406504</v>
      </c>
      <c r="EW4" s="5">
        <f t="shared" si="148"/>
        <v>4048.5829959514172</v>
      </c>
      <c r="EX4" s="5">
        <f t="shared" si="148"/>
        <v>4032.2580645161293</v>
      </c>
      <c r="EY4" s="5"/>
      <c r="EZ4" s="5"/>
      <c r="FA4" s="5"/>
      <c r="FB4" s="5">
        <f>1000000/(FB3/FB18)</f>
        <v>10000</v>
      </c>
      <c r="FC4" s="5">
        <f t="shared" si="148"/>
        <v>8333.3333333333339</v>
      </c>
    </row>
    <row r="5" spans="2:159" x14ac:dyDescent="0.45">
      <c r="B5" s="133" t="s">
        <v>1161</v>
      </c>
      <c r="C5" s="134" t="s">
        <v>18</v>
      </c>
      <c r="D5" s="1">
        <v>12</v>
      </c>
      <c r="E5" s="48">
        <f>D5</f>
        <v>12</v>
      </c>
      <c r="F5" s="48">
        <f t="shared" ref="F5:BQ5" si="149">E5</f>
        <v>12</v>
      </c>
      <c r="G5" s="48">
        <f t="shared" si="149"/>
        <v>12</v>
      </c>
      <c r="H5" s="48">
        <f t="shared" si="149"/>
        <v>12</v>
      </c>
      <c r="I5" s="48">
        <f t="shared" si="149"/>
        <v>12</v>
      </c>
      <c r="J5" s="48">
        <f t="shared" si="149"/>
        <v>12</v>
      </c>
      <c r="K5" s="48">
        <f t="shared" si="149"/>
        <v>12</v>
      </c>
      <c r="L5" s="48">
        <f t="shared" si="149"/>
        <v>12</v>
      </c>
      <c r="M5" s="48">
        <f t="shared" si="149"/>
        <v>12</v>
      </c>
      <c r="N5" s="48">
        <f t="shared" si="149"/>
        <v>12</v>
      </c>
      <c r="O5" s="48">
        <f t="shared" si="149"/>
        <v>12</v>
      </c>
      <c r="P5" s="48">
        <f t="shared" si="149"/>
        <v>12</v>
      </c>
      <c r="Q5" s="48">
        <f t="shared" si="149"/>
        <v>12</v>
      </c>
      <c r="R5" s="48">
        <f t="shared" si="149"/>
        <v>12</v>
      </c>
      <c r="S5" s="48">
        <f t="shared" si="149"/>
        <v>12</v>
      </c>
      <c r="T5" s="48">
        <f t="shared" si="149"/>
        <v>12</v>
      </c>
      <c r="U5" s="48">
        <f t="shared" si="149"/>
        <v>12</v>
      </c>
      <c r="V5" s="48">
        <f t="shared" si="149"/>
        <v>12</v>
      </c>
      <c r="W5" s="48">
        <f t="shared" si="149"/>
        <v>12</v>
      </c>
      <c r="X5" s="48">
        <f t="shared" si="149"/>
        <v>12</v>
      </c>
      <c r="Y5" s="48">
        <f t="shared" si="149"/>
        <v>12</v>
      </c>
      <c r="Z5" s="48">
        <f t="shared" si="149"/>
        <v>12</v>
      </c>
      <c r="AA5" s="48">
        <f t="shared" si="149"/>
        <v>12</v>
      </c>
      <c r="AB5" s="48">
        <f t="shared" si="149"/>
        <v>12</v>
      </c>
      <c r="AC5" s="48">
        <f t="shared" si="149"/>
        <v>12</v>
      </c>
      <c r="AD5" s="48">
        <f t="shared" si="149"/>
        <v>12</v>
      </c>
      <c r="AE5" s="48">
        <f t="shared" si="149"/>
        <v>12</v>
      </c>
      <c r="AF5" s="48">
        <f t="shared" si="149"/>
        <v>12</v>
      </c>
      <c r="AG5" s="48">
        <f t="shared" si="149"/>
        <v>12</v>
      </c>
      <c r="AH5" s="48">
        <f t="shared" si="149"/>
        <v>12</v>
      </c>
      <c r="AI5" s="48">
        <f t="shared" si="149"/>
        <v>12</v>
      </c>
      <c r="AJ5" s="48">
        <f t="shared" si="149"/>
        <v>12</v>
      </c>
      <c r="AK5" s="48">
        <f t="shared" si="149"/>
        <v>12</v>
      </c>
      <c r="AL5" s="48">
        <f t="shared" si="149"/>
        <v>12</v>
      </c>
      <c r="AM5" s="48">
        <f t="shared" si="149"/>
        <v>12</v>
      </c>
      <c r="AN5" s="48">
        <f t="shared" si="149"/>
        <v>12</v>
      </c>
      <c r="AO5" s="48">
        <f t="shared" si="149"/>
        <v>12</v>
      </c>
      <c r="AP5" s="48">
        <f t="shared" si="149"/>
        <v>12</v>
      </c>
      <c r="AQ5" s="48">
        <f t="shared" si="149"/>
        <v>12</v>
      </c>
      <c r="AR5" s="48">
        <f t="shared" si="149"/>
        <v>12</v>
      </c>
      <c r="AS5" s="48">
        <f t="shared" si="149"/>
        <v>12</v>
      </c>
      <c r="AT5" s="48">
        <f t="shared" si="149"/>
        <v>12</v>
      </c>
      <c r="AU5" s="48">
        <f t="shared" si="149"/>
        <v>12</v>
      </c>
      <c r="AV5" s="48">
        <f t="shared" si="149"/>
        <v>12</v>
      </c>
      <c r="AW5" s="48">
        <f>AV5</f>
        <v>12</v>
      </c>
      <c r="AX5" s="48">
        <f t="shared" si="149"/>
        <v>12</v>
      </c>
      <c r="AY5" s="48">
        <f t="shared" si="149"/>
        <v>12</v>
      </c>
      <c r="AZ5" s="48">
        <f t="shared" si="149"/>
        <v>12</v>
      </c>
      <c r="BA5" s="48">
        <f t="shared" si="149"/>
        <v>12</v>
      </c>
      <c r="BB5" s="48">
        <f t="shared" si="149"/>
        <v>12</v>
      </c>
      <c r="BC5" s="48">
        <f t="shared" si="149"/>
        <v>12</v>
      </c>
      <c r="BD5" s="48">
        <f t="shared" si="149"/>
        <v>12</v>
      </c>
      <c r="BE5" s="48">
        <f t="shared" si="149"/>
        <v>12</v>
      </c>
      <c r="BF5" s="48">
        <f t="shared" si="149"/>
        <v>12</v>
      </c>
      <c r="BG5" s="48">
        <f t="shared" si="149"/>
        <v>12</v>
      </c>
      <c r="BH5" s="48">
        <f t="shared" si="149"/>
        <v>12</v>
      </c>
      <c r="BI5" s="48">
        <f t="shared" si="149"/>
        <v>12</v>
      </c>
      <c r="BJ5" s="48">
        <f t="shared" si="149"/>
        <v>12</v>
      </c>
      <c r="BK5" s="48">
        <f t="shared" si="149"/>
        <v>12</v>
      </c>
      <c r="BL5" s="48">
        <f t="shared" si="149"/>
        <v>12</v>
      </c>
      <c r="BM5" s="48">
        <f t="shared" si="149"/>
        <v>12</v>
      </c>
      <c r="BN5" s="48">
        <f t="shared" si="149"/>
        <v>12</v>
      </c>
      <c r="BO5" s="48">
        <f t="shared" si="149"/>
        <v>12</v>
      </c>
      <c r="BP5" s="48">
        <f t="shared" si="149"/>
        <v>12</v>
      </c>
      <c r="BQ5" s="48">
        <f t="shared" si="149"/>
        <v>12</v>
      </c>
      <c r="BR5" s="48">
        <f t="shared" ref="BR5:EC5" si="150">BQ5</f>
        <v>12</v>
      </c>
      <c r="BS5" s="48">
        <f t="shared" si="150"/>
        <v>12</v>
      </c>
      <c r="BT5" s="48">
        <f t="shared" si="150"/>
        <v>12</v>
      </c>
      <c r="BU5" s="48">
        <f t="shared" si="150"/>
        <v>12</v>
      </c>
      <c r="BV5" s="48">
        <f t="shared" si="150"/>
        <v>12</v>
      </c>
      <c r="BW5" s="48">
        <f t="shared" si="150"/>
        <v>12</v>
      </c>
      <c r="BX5" s="48">
        <f t="shared" si="150"/>
        <v>12</v>
      </c>
      <c r="BY5" s="48">
        <f t="shared" si="150"/>
        <v>12</v>
      </c>
      <c r="BZ5" s="48">
        <f t="shared" si="150"/>
        <v>12</v>
      </c>
      <c r="CA5" s="48">
        <f t="shared" si="150"/>
        <v>12</v>
      </c>
      <c r="CB5" s="48">
        <f t="shared" si="150"/>
        <v>12</v>
      </c>
      <c r="CC5" s="48">
        <f t="shared" si="150"/>
        <v>12</v>
      </c>
      <c r="CD5" s="48">
        <f t="shared" si="150"/>
        <v>12</v>
      </c>
      <c r="CE5" s="48">
        <f t="shared" si="150"/>
        <v>12</v>
      </c>
      <c r="CF5" s="48">
        <f t="shared" si="150"/>
        <v>12</v>
      </c>
      <c r="CG5" s="48">
        <f t="shared" si="150"/>
        <v>12</v>
      </c>
      <c r="CH5" s="48">
        <f t="shared" si="150"/>
        <v>12</v>
      </c>
      <c r="CI5" s="48">
        <f t="shared" si="150"/>
        <v>12</v>
      </c>
      <c r="CJ5" s="48">
        <f t="shared" si="150"/>
        <v>12</v>
      </c>
      <c r="CK5" s="48">
        <f t="shared" si="150"/>
        <v>12</v>
      </c>
      <c r="CL5" s="48">
        <f t="shared" si="150"/>
        <v>12</v>
      </c>
      <c r="CM5" s="48">
        <f t="shared" si="150"/>
        <v>12</v>
      </c>
      <c r="CN5" s="48">
        <f t="shared" si="150"/>
        <v>12</v>
      </c>
      <c r="CO5" s="48">
        <f t="shared" si="150"/>
        <v>12</v>
      </c>
      <c r="CP5" s="48">
        <f t="shared" si="150"/>
        <v>12</v>
      </c>
      <c r="CQ5" s="48">
        <f t="shared" si="150"/>
        <v>12</v>
      </c>
      <c r="CR5" s="48">
        <f t="shared" si="150"/>
        <v>12</v>
      </c>
      <c r="CS5" s="48">
        <f t="shared" si="150"/>
        <v>12</v>
      </c>
      <c r="CT5" s="48">
        <f t="shared" si="150"/>
        <v>12</v>
      </c>
      <c r="CU5" s="48">
        <f t="shared" si="150"/>
        <v>12</v>
      </c>
      <c r="CV5" s="48">
        <f t="shared" si="150"/>
        <v>12</v>
      </c>
      <c r="CW5" s="48">
        <f t="shared" si="150"/>
        <v>12</v>
      </c>
      <c r="CX5" s="48">
        <f t="shared" si="150"/>
        <v>12</v>
      </c>
      <c r="CY5" s="48">
        <f t="shared" si="150"/>
        <v>12</v>
      </c>
      <c r="CZ5" s="48">
        <f t="shared" si="150"/>
        <v>12</v>
      </c>
      <c r="DA5" s="48">
        <f t="shared" si="150"/>
        <v>12</v>
      </c>
      <c r="DB5" s="48">
        <f t="shared" si="150"/>
        <v>12</v>
      </c>
      <c r="DC5" s="48">
        <f t="shared" si="150"/>
        <v>12</v>
      </c>
      <c r="DD5" s="48">
        <f t="shared" si="150"/>
        <v>12</v>
      </c>
      <c r="DE5" s="48">
        <f t="shared" si="150"/>
        <v>12</v>
      </c>
      <c r="DF5" s="48">
        <f t="shared" si="150"/>
        <v>12</v>
      </c>
      <c r="DG5" s="48">
        <f t="shared" si="150"/>
        <v>12</v>
      </c>
      <c r="DH5" s="48">
        <f t="shared" si="150"/>
        <v>12</v>
      </c>
      <c r="DI5" s="48">
        <f t="shared" si="150"/>
        <v>12</v>
      </c>
      <c r="DJ5" s="48">
        <f t="shared" si="150"/>
        <v>12</v>
      </c>
      <c r="DK5" s="48">
        <f t="shared" si="150"/>
        <v>12</v>
      </c>
      <c r="DL5" s="48">
        <f t="shared" si="150"/>
        <v>12</v>
      </c>
      <c r="DM5" s="48">
        <f t="shared" si="150"/>
        <v>12</v>
      </c>
      <c r="DN5" s="48">
        <f t="shared" si="150"/>
        <v>12</v>
      </c>
      <c r="DO5" s="48">
        <f t="shared" si="150"/>
        <v>12</v>
      </c>
      <c r="DP5" s="48">
        <f t="shared" si="150"/>
        <v>12</v>
      </c>
      <c r="DQ5" s="48">
        <f t="shared" si="150"/>
        <v>12</v>
      </c>
      <c r="DR5" s="48">
        <f t="shared" si="150"/>
        <v>12</v>
      </c>
      <c r="DS5" s="48">
        <f t="shared" si="150"/>
        <v>12</v>
      </c>
      <c r="DT5" s="48">
        <f t="shared" si="150"/>
        <v>12</v>
      </c>
      <c r="DU5" s="48">
        <f t="shared" si="150"/>
        <v>12</v>
      </c>
      <c r="DV5" s="48">
        <f t="shared" si="150"/>
        <v>12</v>
      </c>
      <c r="DW5" s="48">
        <f t="shared" si="150"/>
        <v>12</v>
      </c>
      <c r="DX5" s="48">
        <f t="shared" si="150"/>
        <v>12</v>
      </c>
      <c r="DY5" s="48">
        <f t="shared" si="150"/>
        <v>12</v>
      </c>
      <c r="DZ5" s="48">
        <f t="shared" si="150"/>
        <v>12</v>
      </c>
      <c r="EA5" s="48">
        <f t="shared" si="150"/>
        <v>12</v>
      </c>
      <c r="EB5" s="48">
        <f t="shared" si="150"/>
        <v>12</v>
      </c>
      <c r="EC5" s="48">
        <f t="shared" si="150"/>
        <v>12</v>
      </c>
      <c r="ED5" s="48">
        <f t="shared" ref="ED5:FC5" si="151">EC5</f>
        <v>12</v>
      </c>
      <c r="EE5" s="48">
        <f t="shared" si="151"/>
        <v>12</v>
      </c>
      <c r="EF5" s="48">
        <f t="shared" si="151"/>
        <v>12</v>
      </c>
      <c r="EG5" s="48">
        <f t="shared" si="151"/>
        <v>12</v>
      </c>
      <c r="EH5" s="48">
        <f t="shared" si="151"/>
        <v>12</v>
      </c>
      <c r="EI5" s="48">
        <f t="shared" si="151"/>
        <v>12</v>
      </c>
      <c r="EJ5" s="48">
        <f t="shared" si="151"/>
        <v>12</v>
      </c>
      <c r="EK5" s="48">
        <f t="shared" si="151"/>
        <v>12</v>
      </c>
      <c r="EL5" s="48">
        <f t="shared" si="151"/>
        <v>12</v>
      </c>
      <c r="EM5" s="48">
        <f t="shared" si="151"/>
        <v>12</v>
      </c>
      <c r="EN5" s="48">
        <f t="shared" si="151"/>
        <v>12</v>
      </c>
      <c r="EO5" s="48">
        <f t="shared" si="151"/>
        <v>12</v>
      </c>
      <c r="EP5" s="48">
        <f t="shared" si="151"/>
        <v>12</v>
      </c>
      <c r="EQ5" s="48">
        <f t="shared" si="151"/>
        <v>12</v>
      </c>
      <c r="ER5" s="48">
        <f t="shared" si="151"/>
        <v>12</v>
      </c>
      <c r="ES5" s="48">
        <f t="shared" si="151"/>
        <v>12</v>
      </c>
      <c r="ET5" s="48">
        <f t="shared" si="151"/>
        <v>12</v>
      </c>
      <c r="EU5" s="48">
        <f t="shared" si="151"/>
        <v>12</v>
      </c>
      <c r="EV5" s="48">
        <f t="shared" si="151"/>
        <v>12</v>
      </c>
      <c r="EW5" s="48">
        <f t="shared" si="151"/>
        <v>12</v>
      </c>
      <c r="EX5" s="48">
        <f t="shared" si="151"/>
        <v>12</v>
      </c>
      <c r="EY5" s="48"/>
      <c r="EZ5" s="48"/>
      <c r="FA5" s="48"/>
      <c r="FB5" s="48">
        <v>9</v>
      </c>
      <c r="FC5" s="48">
        <f t="shared" si="151"/>
        <v>9</v>
      </c>
    </row>
    <row r="6" spans="2:159" x14ac:dyDescent="0.45">
      <c r="B6" s="137"/>
      <c r="C6" s="138" t="s">
        <v>1158</v>
      </c>
      <c r="D6">
        <f>2^D5-1</f>
        <v>4095</v>
      </c>
      <c r="E6">
        <f t="shared" ref="E6:BP6" si="152">2^E5-1</f>
        <v>4095</v>
      </c>
      <c r="F6">
        <f t="shared" si="152"/>
        <v>4095</v>
      </c>
      <c r="G6">
        <f t="shared" si="152"/>
        <v>4095</v>
      </c>
      <c r="H6">
        <f t="shared" si="152"/>
        <v>4095</v>
      </c>
      <c r="I6">
        <f t="shared" si="152"/>
        <v>4095</v>
      </c>
      <c r="J6">
        <f t="shared" si="152"/>
        <v>4095</v>
      </c>
      <c r="K6">
        <f t="shared" si="152"/>
        <v>4095</v>
      </c>
      <c r="L6">
        <f t="shared" si="152"/>
        <v>4095</v>
      </c>
      <c r="M6">
        <f t="shared" si="152"/>
        <v>4095</v>
      </c>
      <c r="N6">
        <f t="shared" si="152"/>
        <v>4095</v>
      </c>
      <c r="O6">
        <f t="shared" si="152"/>
        <v>4095</v>
      </c>
      <c r="P6">
        <f t="shared" si="152"/>
        <v>4095</v>
      </c>
      <c r="Q6">
        <f t="shared" si="152"/>
        <v>4095</v>
      </c>
      <c r="R6">
        <f t="shared" si="152"/>
        <v>4095</v>
      </c>
      <c r="S6">
        <f t="shared" si="152"/>
        <v>4095</v>
      </c>
      <c r="T6">
        <f t="shared" si="152"/>
        <v>4095</v>
      </c>
      <c r="U6">
        <f t="shared" si="152"/>
        <v>4095</v>
      </c>
      <c r="V6">
        <f t="shared" si="152"/>
        <v>4095</v>
      </c>
      <c r="W6">
        <f t="shared" si="152"/>
        <v>4095</v>
      </c>
      <c r="X6">
        <f t="shared" si="152"/>
        <v>4095</v>
      </c>
      <c r="Y6">
        <f t="shared" si="152"/>
        <v>4095</v>
      </c>
      <c r="Z6">
        <f t="shared" si="152"/>
        <v>4095</v>
      </c>
      <c r="AA6">
        <f t="shared" si="152"/>
        <v>4095</v>
      </c>
      <c r="AB6">
        <f t="shared" si="152"/>
        <v>4095</v>
      </c>
      <c r="AC6">
        <f t="shared" si="152"/>
        <v>4095</v>
      </c>
      <c r="AD6">
        <f t="shared" si="152"/>
        <v>4095</v>
      </c>
      <c r="AE6">
        <f t="shared" si="152"/>
        <v>4095</v>
      </c>
      <c r="AF6">
        <f t="shared" si="152"/>
        <v>4095</v>
      </c>
      <c r="AG6">
        <f t="shared" si="152"/>
        <v>4095</v>
      </c>
      <c r="AH6">
        <f t="shared" si="152"/>
        <v>4095</v>
      </c>
      <c r="AI6">
        <f t="shared" si="152"/>
        <v>4095</v>
      </c>
      <c r="AJ6">
        <f t="shared" si="152"/>
        <v>4095</v>
      </c>
      <c r="AK6">
        <f t="shared" si="152"/>
        <v>4095</v>
      </c>
      <c r="AL6">
        <f t="shared" si="152"/>
        <v>4095</v>
      </c>
      <c r="AM6">
        <f t="shared" si="152"/>
        <v>4095</v>
      </c>
      <c r="AN6">
        <f t="shared" si="152"/>
        <v>4095</v>
      </c>
      <c r="AO6">
        <f t="shared" si="152"/>
        <v>4095</v>
      </c>
      <c r="AP6">
        <f t="shared" si="152"/>
        <v>4095</v>
      </c>
      <c r="AQ6">
        <f t="shared" si="152"/>
        <v>4095</v>
      </c>
      <c r="AR6">
        <f t="shared" si="152"/>
        <v>4095</v>
      </c>
      <c r="AS6">
        <f t="shared" si="152"/>
        <v>4095</v>
      </c>
      <c r="AT6">
        <f t="shared" si="152"/>
        <v>4095</v>
      </c>
      <c r="AU6">
        <f t="shared" si="152"/>
        <v>4095</v>
      </c>
      <c r="AV6">
        <f t="shared" si="152"/>
        <v>4095</v>
      </c>
      <c r="AW6">
        <f t="shared" si="152"/>
        <v>4095</v>
      </c>
      <c r="AX6">
        <f t="shared" si="152"/>
        <v>4095</v>
      </c>
      <c r="AY6">
        <f t="shared" si="152"/>
        <v>4095</v>
      </c>
      <c r="AZ6">
        <f t="shared" si="152"/>
        <v>4095</v>
      </c>
      <c r="BA6">
        <f t="shared" si="152"/>
        <v>4095</v>
      </c>
      <c r="BB6">
        <f t="shared" si="152"/>
        <v>4095</v>
      </c>
      <c r="BC6">
        <f t="shared" si="152"/>
        <v>4095</v>
      </c>
      <c r="BD6">
        <f t="shared" si="152"/>
        <v>4095</v>
      </c>
      <c r="BE6">
        <f t="shared" si="152"/>
        <v>4095</v>
      </c>
      <c r="BF6">
        <f t="shared" si="152"/>
        <v>4095</v>
      </c>
      <c r="BG6">
        <f t="shared" si="152"/>
        <v>4095</v>
      </c>
      <c r="BH6">
        <f t="shared" si="152"/>
        <v>4095</v>
      </c>
      <c r="BI6">
        <f t="shared" si="152"/>
        <v>4095</v>
      </c>
      <c r="BJ6">
        <f t="shared" si="152"/>
        <v>4095</v>
      </c>
      <c r="BK6">
        <f t="shared" si="152"/>
        <v>4095</v>
      </c>
      <c r="BL6">
        <f t="shared" si="152"/>
        <v>4095</v>
      </c>
      <c r="BM6">
        <f t="shared" si="152"/>
        <v>4095</v>
      </c>
      <c r="BN6">
        <f t="shared" si="152"/>
        <v>4095</v>
      </c>
      <c r="BO6">
        <f t="shared" si="152"/>
        <v>4095</v>
      </c>
      <c r="BP6">
        <f t="shared" si="152"/>
        <v>4095</v>
      </c>
      <c r="BQ6">
        <f t="shared" ref="BQ6:EB6" si="153">2^BQ5-1</f>
        <v>4095</v>
      </c>
      <c r="BR6">
        <f t="shared" si="153"/>
        <v>4095</v>
      </c>
      <c r="BS6">
        <f t="shared" si="153"/>
        <v>4095</v>
      </c>
      <c r="BT6">
        <f t="shared" si="153"/>
        <v>4095</v>
      </c>
      <c r="BU6">
        <f t="shared" si="153"/>
        <v>4095</v>
      </c>
      <c r="BV6">
        <f t="shared" si="153"/>
        <v>4095</v>
      </c>
      <c r="BW6">
        <f t="shared" si="153"/>
        <v>4095</v>
      </c>
      <c r="BX6">
        <f t="shared" si="153"/>
        <v>4095</v>
      </c>
      <c r="BY6">
        <f t="shared" si="153"/>
        <v>4095</v>
      </c>
      <c r="BZ6">
        <f t="shared" si="153"/>
        <v>4095</v>
      </c>
      <c r="CA6">
        <f t="shared" si="153"/>
        <v>4095</v>
      </c>
      <c r="CB6">
        <f t="shared" si="153"/>
        <v>4095</v>
      </c>
      <c r="CC6">
        <f t="shared" si="153"/>
        <v>4095</v>
      </c>
      <c r="CD6">
        <f t="shared" si="153"/>
        <v>4095</v>
      </c>
      <c r="CE6">
        <f t="shared" si="153"/>
        <v>4095</v>
      </c>
      <c r="CF6">
        <f t="shared" si="153"/>
        <v>4095</v>
      </c>
      <c r="CG6">
        <f t="shared" si="153"/>
        <v>4095</v>
      </c>
      <c r="CH6">
        <f t="shared" si="153"/>
        <v>4095</v>
      </c>
      <c r="CI6">
        <f t="shared" si="153"/>
        <v>4095</v>
      </c>
      <c r="CJ6">
        <f t="shared" si="153"/>
        <v>4095</v>
      </c>
      <c r="CK6">
        <f t="shared" si="153"/>
        <v>4095</v>
      </c>
      <c r="CL6">
        <f t="shared" si="153"/>
        <v>4095</v>
      </c>
      <c r="CM6">
        <f t="shared" si="153"/>
        <v>4095</v>
      </c>
      <c r="CN6">
        <f t="shared" si="153"/>
        <v>4095</v>
      </c>
      <c r="CO6">
        <f t="shared" si="153"/>
        <v>4095</v>
      </c>
      <c r="CP6">
        <f t="shared" si="153"/>
        <v>4095</v>
      </c>
      <c r="CQ6">
        <f t="shared" si="153"/>
        <v>4095</v>
      </c>
      <c r="CR6">
        <f t="shared" si="153"/>
        <v>4095</v>
      </c>
      <c r="CS6">
        <f t="shared" si="153"/>
        <v>4095</v>
      </c>
      <c r="CT6">
        <f t="shared" si="153"/>
        <v>4095</v>
      </c>
      <c r="CU6">
        <f t="shared" si="153"/>
        <v>4095</v>
      </c>
      <c r="CV6">
        <f t="shared" si="153"/>
        <v>4095</v>
      </c>
      <c r="CW6">
        <f t="shared" si="153"/>
        <v>4095</v>
      </c>
      <c r="CX6">
        <f t="shared" si="153"/>
        <v>4095</v>
      </c>
      <c r="CY6">
        <f t="shared" si="153"/>
        <v>4095</v>
      </c>
      <c r="CZ6">
        <f t="shared" si="153"/>
        <v>4095</v>
      </c>
      <c r="DA6">
        <f t="shared" si="153"/>
        <v>4095</v>
      </c>
      <c r="DB6">
        <f t="shared" si="153"/>
        <v>4095</v>
      </c>
      <c r="DC6">
        <f t="shared" si="153"/>
        <v>4095</v>
      </c>
      <c r="DD6">
        <f t="shared" si="153"/>
        <v>4095</v>
      </c>
      <c r="DE6">
        <f t="shared" si="153"/>
        <v>4095</v>
      </c>
      <c r="DF6">
        <f t="shared" si="153"/>
        <v>4095</v>
      </c>
      <c r="DG6">
        <f t="shared" si="153"/>
        <v>4095</v>
      </c>
      <c r="DH6">
        <f t="shared" si="153"/>
        <v>4095</v>
      </c>
      <c r="DI6">
        <f t="shared" si="153"/>
        <v>4095</v>
      </c>
      <c r="DJ6">
        <f t="shared" si="153"/>
        <v>4095</v>
      </c>
      <c r="DK6">
        <f t="shared" si="153"/>
        <v>4095</v>
      </c>
      <c r="DL6">
        <f t="shared" si="153"/>
        <v>4095</v>
      </c>
      <c r="DM6">
        <f t="shared" si="153"/>
        <v>4095</v>
      </c>
      <c r="DN6">
        <f t="shared" si="153"/>
        <v>4095</v>
      </c>
      <c r="DO6">
        <f t="shared" si="153"/>
        <v>4095</v>
      </c>
      <c r="DP6">
        <f t="shared" si="153"/>
        <v>4095</v>
      </c>
      <c r="DQ6">
        <f t="shared" si="153"/>
        <v>4095</v>
      </c>
      <c r="DR6">
        <f t="shared" si="153"/>
        <v>4095</v>
      </c>
      <c r="DS6">
        <f t="shared" si="153"/>
        <v>4095</v>
      </c>
      <c r="DT6">
        <f t="shared" si="153"/>
        <v>4095</v>
      </c>
      <c r="DU6">
        <f t="shared" si="153"/>
        <v>4095</v>
      </c>
      <c r="DV6">
        <f t="shared" si="153"/>
        <v>4095</v>
      </c>
      <c r="DW6">
        <f t="shared" si="153"/>
        <v>4095</v>
      </c>
      <c r="DX6">
        <f t="shared" si="153"/>
        <v>4095</v>
      </c>
      <c r="DY6">
        <f t="shared" si="153"/>
        <v>4095</v>
      </c>
      <c r="DZ6">
        <f t="shared" si="153"/>
        <v>4095</v>
      </c>
      <c r="EA6">
        <f t="shared" si="153"/>
        <v>4095</v>
      </c>
      <c r="EB6">
        <f t="shared" si="153"/>
        <v>4095</v>
      </c>
      <c r="EC6">
        <f t="shared" ref="EC6:FC6" si="154">2^EC5-1</f>
        <v>4095</v>
      </c>
      <c r="ED6">
        <f t="shared" si="154"/>
        <v>4095</v>
      </c>
      <c r="EE6">
        <f t="shared" si="154"/>
        <v>4095</v>
      </c>
      <c r="EF6">
        <f t="shared" si="154"/>
        <v>4095</v>
      </c>
      <c r="EG6">
        <f t="shared" si="154"/>
        <v>4095</v>
      </c>
      <c r="EH6">
        <f t="shared" si="154"/>
        <v>4095</v>
      </c>
      <c r="EI6">
        <f t="shared" si="154"/>
        <v>4095</v>
      </c>
      <c r="EJ6">
        <f t="shared" si="154"/>
        <v>4095</v>
      </c>
      <c r="EK6">
        <f t="shared" si="154"/>
        <v>4095</v>
      </c>
      <c r="EL6">
        <f t="shared" si="154"/>
        <v>4095</v>
      </c>
      <c r="EM6">
        <f t="shared" si="154"/>
        <v>4095</v>
      </c>
      <c r="EN6">
        <f t="shared" si="154"/>
        <v>4095</v>
      </c>
      <c r="EO6">
        <f t="shared" si="154"/>
        <v>4095</v>
      </c>
      <c r="EP6">
        <f t="shared" si="154"/>
        <v>4095</v>
      </c>
      <c r="EQ6">
        <f t="shared" si="154"/>
        <v>4095</v>
      </c>
      <c r="ER6">
        <f t="shared" si="154"/>
        <v>4095</v>
      </c>
      <c r="ES6">
        <f t="shared" si="154"/>
        <v>4095</v>
      </c>
      <c r="ET6">
        <f t="shared" si="154"/>
        <v>4095</v>
      </c>
      <c r="EU6">
        <f t="shared" si="154"/>
        <v>4095</v>
      </c>
      <c r="EV6">
        <f t="shared" si="154"/>
        <v>4095</v>
      </c>
      <c r="EW6">
        <f t="shared" si="154"/>
        <v>4095</v>
      </c>
      <c r="EX6">
        <f t="shared" si="154"/>
        <v>4095</v>
      </c>
      <c r="FB6">
        <f t="shared" si="154"/>
        <v>511</v>
      </c>
      <c r="FC6">
        <f t="shared" si="154"/>
        <v>511</v>
      </c>
    </row>
    <row r="7" spans="2:159" x14ac:dyDescent="0.45">
      <c r="B7" s="135"/>
      <c r="C7" s="139" t="s">
        <v>1157</v>
      </c>
      <c r="D7" s="22">
        <f t="shared" ref="D7:BO7" si="155">D4/(D6*D18)</f>
        <v>2.4918392265331044</v>
      </c>
      <c r="E7" s="22">
        <f>E4/(E6*E18)</f>
        <v>2.4666691333357997</v>
      </c>
      <c r="F7" s="22">
        <f t="shared" si="155"/>
        <v>2.4420024420024422</v>
      </c>
      <c r="G7" s="22">
        <f t="shared" si="155"/>
        <v>2.4178242000024177</v>
      </c>
      <c r="H7" s="22">
        <f t="shared" si="155"/>
        <v>2.3941200411788648</v>
      </c>
      <c r="I7" s="22">
        <f t="shared" si="155"/>
        <v>2.3708761572839241</v>
      </c>
      <c r="J7" s="22">
        <f t="shared" si="155"/>
        <v>2.3480792711561942</v>
      </c>
      <c r="K7" s="22">
        <f t="shared" si="155"/>
        <v>2.3257166114308969</v>
      </c>
      <c r="L7" s="22">
        <f t="shared" si="155"/>
        <v>2.3037758886815491</v>
      </c>
      <c r="M7" s="22">
        <f t="shared" si="155"/>
        <v>2.2822452728994786</v>
      </c>
      <c r="N7" s="22">
        <f t="shared" si="155"/>
        <v>2.2611133722244832</v>
      </c>
      <c r="O7" s="22">
        <f t="shared" si="155"/>
        <v>2.2403692128462769</v>
      </c>
      <c r="P7" s="22">
        <f t="shared" si="155"/>
        <v>2.2200022200022196</v>
      </c>
      <c r="Q7" s="22">
        <f t="shared" si="155"/>
        <v>2.2000022000022001</v>
      </c>
      <c r="R7" s="22">
        <f t="shared" si="155"/>
        <v>2.1803593232164662</v>
      </c>
      <c r="S7" s="22">
        <f t="shared" si="155"/>
        <v>2.1610641079667627</v>
      </c>
      <c r="T7" s="22">
        <f t="shared" si="155"/>
        <v>2.1421074052652997</v>
      </c>
      <c r="U7" s="22">
        <f t="shared" si="155"/>
        <v>2.1234803843499499</v>
      </c>
      <c r="V7" s="22">
        <f t="shared" si="155"/>
        <v>2.1051745189676221</v>
      </c>
      <c r="W7" s="22">
        <f t="shared" si="155"/>
        <v>2.0871815743610616</v>
      </c>
      <c r="X7" s="22">
        <f t="shared" si="155"/>
        <v>2.0694935949173239</v>
      </c>
      <c r="Y7" s="22">
        <f t="shared" si="155"/>
        <v>2.0521028924390272</v>
      </c>
      <c r="Z7" s="22">
        <f t="shared" si="155"/>
        <v>2.035002035002035</v>
      </c>
      <c r="AA7" s="22">
        <f t="shared" si="155"/>
        <v>2.0181838363656546</v>
      </c>
      <c r="AB7" s="22">
        <f t="shared" si="155"/>
        <v>2.0016413459036411</v>
      </c>
      <c r="AC7" s="22">
        <f t="shared" si="155"/>
        <v>1.9853678390263756</v>
      </c>
      <c r="AD7" s="22">
        <f t="shared" si="155"/>
        <v>1.9693568080664856</v>
      </c>
      <c r="AE7" s="22">
        <f t="shared" si="155"/>
        <v>1.9536019536019535</v>
      </c>
      <c r="AF7" s="22">
        <f t="shared" si="155"/>
        <v>1.9380971761924142</v>
      </c>
      <c r="AG7" s="22">
        <f t="shared" si="155"/>
        <v>1.9228365685058599</v>
      </c>
      <c r="AH7" s="22">
        <f t="shared" si="155"/>
        <v>1.9078144078144079</v>
      </c>
      <c r="AI7" s="22">
        <f t="shared" si="155"/>
        <v>1.8930251488391023</v>
      </c>
      <c r="AJ7" s="22">
        <f t="shared" si="155"/>
        <v>1.8784634169249554</v>
      </c>
      <c r="AK7" s="22">
        <f t="shared" si="155"/>
        <v>1.8641240015285816</v>
      </c>
      <c r="AL7" s="22">
        <f t="shared" si="155"/>
        <v>1.85000185000185</v>
      </c>
      <c r="AM7" s="22">
        <f t="shared" si="155"/>
        <v>1.8360920616559715</v>
      </c>
      <c r="AN7" s="22">
        <f t="shared" si="155"/>
        <v>1.8223898820913746</v>
      </c>
      <c r="AO7" s="22">
        <f t="shared" si="155"/>
        <v>1.8088906977795867</v>
      </c>
      <c r="AP7" s="22">
        <f t="shared" si="155"/>
        <v>1.7955900308841486</v>
      </c>
      <c r="AQ7" s="22">
        <f t="shared" si="155"/>
        <v>1.7824835343083518</v>
      </c>
      <c r="AR7" s="22">
        <f t="shared" si="155"/>
        <v>1.7695669869582913</v>
      </c>
      <c r="AS7" s="22">
        <f t="shared" si="155"/>
        <v>1.7568362892103899</v>
      </c>
      <c r="AT7" s="22">
        <f t="shared" si="155"/>
        <v>1.7442874585731729</v>
      </c>
      <c r="AU7" s="22">
        <f t="shared" si="155"/>
        <v>1.7319166255336469</v>
      </c>
      <c r="AV7" s="22">
        <f t="shared" si="155"/>
        <v>1.7197200295791846</v>
      </c>
      <c r="AW7" s="22">
        <f t="shared" si="155"/>
        <v>1.7076940153863231</v>
      </c>
      <c r="AX7" s="22">
        <f t="shared" si="155"/>
        <v>1.6958350291683624</v>
      </c>
      <c r="AY7" s="22">
        <f t="shared" si="155"/>
        <v>1.6841396151740979</v>
      </c>
      <c r="AZ7" s="22">
        <f t="shared" si="155"/>
        <v>1.6726044123304398</v>
      </c>
      <c r="BA7" s="22">
        <f t="shared" si="155"/>
        <v>1.6612261510220694</v>
      </c>
      <c r="BB7" s="22">
        <f t="shared" si="155"/>
        <v>1.6500016500016499</v>
      </c>
      <c r="BC7" s="22">
        <f t="shared" si="155"/>
        <v>1.6389278134244578</v>
      </c>
      <c r="BD7" s="22">
        <f t="shared" si="155"/>
        <v>1.6280016280016281</v>
      </c>
      <c r="BE7" s="22">
        <f t="shared" si="155"/>
        <v>1.6172201602665179</v>
      </c>
      <c r="BF7" s="22">
        <f t="shared" si="155"/>
        <v>1.606580553948975</v>
      </c>
      <c r="BG7" s="22">
        <f t="shared" si="155"/>
        <v>1.5960800274525764</v>
      </c>
      <c r="BH7" s="22">
        <f t="shared" si="155"/>
        <v>1.5857158714301571</v>
      </c>
      <c r="BI7" s="22">
        <f t="shared" si="155"/>
        <v>1.5754854464531884</v>
      </c>
      <c r="BJ7" s="22">
        <f t="shared" si="155"/>
        <v>1.5653861807707961</v>
      </c>
      <c r="BK7" s="22">
        <f t="shared" si="155"/>
        <v>1.5554155681544217</v>
      </c>
      <c r="BL7" s="22">
        <f t="shared" si="155"/>
        <v>1.5455711658243303</v>
      </c>
      <c r="BM7" s="22">
        <f t="shared" si="155"/>
        <v>1.5358505924543659</v>
      </c>
      <c r="BN7" s="22">
        <f t="shared" si="155"/>
        <v>1.5262515262515262</v>
      </c>
      <c r="BO7" s="22">
        <f t="shared" si="155"/>
        <v>1.5167717031071069</v>
      </c>
      <c r="BP7" s="22">
        <f t="shared" ref="BP7:EA7" si="156">BP4/(BP6*BP18)</f>
        <v>1.5074089148163223</v>
      </c>
      <c r="BQ7" s="22">
        <f t="shared" si="156"/>
        <v>1.4981610073634615</v>
      </c>
      <c r="BR7" s="22">
        <f t="shared" si="156"/>
        <v>1.4890258792697819</v>
      </c>
      <c r="BS7" s="22">
        <f t="shared" si="156"/>
        <v>1.48000148000148</v>
      </c>
      <c r="BT7" s="22">
        <f t="shared" si="156"/>
        <v>1.4710858084352061</v>
      </c>
      <c r="BU7" s="22">
        <f t="shared" si="156"/>
        <v>1.4622769113787077</v>
      </c>
      <c r="BV7" s="22">
        <f t="shared" si="156"/>
        <v>1.4535728821443108</v>
      </c>
      <c r="BW7" s="22">
        <f t="shared" si="156"/>
        <v>1.4449718591730427</v>
      </c>
      <c r="BX7" s="22">
        <f t="shared" si="156"/>
        <v>1.4364720247073188</v>
      </c>
      <c r="BY7" s="22">
        <f t="shared" si="156"/>
        <v>1.4280716035101999</v>
      </c>
      <c r="BZ7" s="22">
        <f t="shared" si="156"/>
        <v>1.4197688616293267</v>
      </c>
      <c r="CA7" s="22">
        <f t="shared" si="156"/>
        <v>1.4115621052037235</v>
      </c>
      <c r="CB7" s="22">
        <f t="shared" si="156"/>
        <v>1.4034496793117484</v>
      </c>
      <c r="CC7" s="22">
        <f t="shared" si="156"/>
        <v>1.3954299668585384</v>
      </c>
      <c r="CD7" s="22">
        <f t="shared" si="156"/>
        <v>1.3875013875013875</v>
      </c>
      <c r="CE7" s="22">
        <f t="shared" si="156"/>
        <v>1.3796623966115493</v>
      </c>
      <c r="CF7" s="22">
        <f t="shared" si="156"/>
        <v>1.3719114842710347</v>
      </c>
      <c r="CG7" s="22">
        <f t="shared" si="156"/>
        <v>1.3642471743030402</v>
      </c>
      <c r="CH7" s="22">
        <f t="shared" si="156"/>
        <v>1.3566680233346899</v>
      </c>
      <c r="CI7" s="22">
        <f t="shared" si="156"/>
        <v>1.349172619890852</v>
      </c>
      <c r="CJ7" s="22">
        <f t="shared" si="156"/>
        <v>1.3417595835178253</v>
      </c>
      <c r="CK7" s="22">
        <f t="shared" si="156"/>
        <v>1.3344275639357606</v>
      </c>
      <c r="CL7" s="22">
        <f t="shared" si="156"/>
        <v>1.3271752402187185</v>
      </c>
      <c r="CM7" s="22">
        <f t="shared" si="156"/>
        <v>1.3200013200013199</v>
      </c>
      <c r="CN7" s="22">
        <f t="shared" si="156"/>
        <v>1.3129045387109903</v>
      </c>
      <c r="CO7" s="22">
        <f t="shared" si="156"/>
        <v>1.3058836588248355</v>
      </c>
      <c r="CP7" s="22">
        <f t="shared" si="156"/>
        <v>1.2989374691502351</v>
      </c>
      <c r="CQ7" s="22">
        <f t="shared" si="156"/>
        <v>1.2920647841282762</v>
      </c>
      <c r="CR7" s="22">
        <f t="shared" si="156"/>
        <v>1.2852644431591802</v>
      </c>
      <c r="CS7" s="22">
        <f t="shared" si="156"/>
        <v>1.2785353099489225</v>
      </c>
      <c r="CT7" s="22">
        <f t="shared" si="156"/>
        <v>1.2718762718762717</v>
      </c>
      <c r="CU7" s="22">
        <f t="shared" si="156"/>
        <v>1.2652862393795037</v>
      </c>
      <c r="CV7" s="22">
        <f t="shared" si="156"/>
        <v>1.2587641453620835</v>
      </c>
      <c r="CW7" s="22">
        <f t="shared" si="156"/>
        <v>1.2523089446166369</v>
      </c>
      <c r="CX7" s="22">
        <f t="shared" si="156"/>
        <v>1.2459196132665522</v>
      </c>
      <c r="CY7" s="22">
        <f t="shared" si="156"/>
        <v>1.2395951482245899</v>
      </c>
      <c r="CZ7" s="22">
        <f t="shared" si="156"/>
        <v>1.2333345666678999</v>
      </c>
      <c r="DA7" s="22">
        <f t="shared" si="156"/>
        <v>1.2271369055288652</v>
      </c>
      <c r="DB7" s="22">
        <f t="shared" si="156"/>
        <v>1.2210012210012211</v>
      </c>
      <c r="DC7" s="22">
        <f t="shared" si="156"/>
        <v>1.2149265880609164</v>
      </c>
      <c r="DD7" s="22">
        <f t="shared" si="156"/>
        <v>1.2089121000012089</v>
      </c>
      <c r="DE7" s="22">
        <f t="shared" si="156"/>
        <v>1.2029568679814986</v>
      </c>
      <c r="DF7" s="22">
        <f t="shared" si="156"/>
        <v>1.1970600205894324</v>
      </c>
      <c r="DG7" s="22">
        <f t="shared" si="156"/>
        <v>1.1912207034158253</v>
      </c>
      <c r="DH7" s="22">
        <f t="shared" si="156"/>
        <v>1.185438078641962</v>
      </c>
      <c r="DI7" s="22">
        <f t="shared" si="156"/>
        <v>1.1797113246388609</v>
      </c>
      <c r="DJ7" s="22">
        <f t="shared" si="156"/>
        <v>1.1740396355780971</v>
      </c>
      <c r="DK7" s="22">
        <f t="shared" si="156"/>
        <v>1.1684222210538</v>
      </c>
      <c r="DL7" s="22">
        <f t="shared" si="156"/>
        <v>1.1628583057154485</v>
      </c>
      <c r="DM7" s="22">
        <f t="shared" si="156"/>
        <v>1.1573471289111099</v>
      </c>
      <c r="DN7" s="22">
        <f t="shared" si="156"/>
        <v>1.1518879443407746</v>
      </c>
      <c r="DO7" s="22">
        <f t="shared" si="156"/>
        <v>1.1464800197194562</v>
      </c>
      <c r="DP7" s="22">
        <f t="shared" si="156"/>
        <v>1.1411226364497393</v>
      </c>
      <c r="DQ7" s="22">
        <f t="shared" si="156"/>
        <v>1.1358150893034615</v>
      </c>
      <c r="DR7" s="22">
        <f t="shared" si="156"/>
        <v>1.1305566861122416</v>
      </c>
      <c r="DS7" s="22">
        <f t="shared" si="156"/>
        <v>1.125346747466563</v>
      </c>
      <c r="DT7" s="22">
        <f t="shared" si="156"/>
        <v>1.1201846064231384</v>
      </c>
      <c r="DU7" s="22">
        <f t="shared" si="156"/>
        <v>1.1150696082202931</v>
      </c>
      <c r="DV7" s="22">
        <f t="shared" si="156"/>
        <v>1.1100011100011098</v>
      </c>
      <c r="DW7" s="22">
        <f t="shared" si="156"/>
        <v>1.1049784805440912</v>
      </c>
      <c r="DX7" s="22">
        <f t="shared" si="156"/>
        <v>1.1000011000011001</v>
      </c>
      <c r="DY7" s="22">
        <f t="shared" si="156"/>
        <v>1.0950683596423505</v>
      </c>
      <c r="DZ7" s="22">
        <f t="shared" si="156"/>
        <v>1.0901796616082331</v>
      </c>
      <c r="EA7" s="22">
        <f t="shared" si="156"/>
        <v>1.085334418667752</v>
      </c>
      <c r="EB7" s="22">
        <f t="shared" ref="EB7:FC7" si="157">EB4/(EB6*EB18)</f>
        <v>1.0805320539833814</v>
      </c>
      <c r="EC7" s="22">
        <f t="shared" si="157"/>
        <v>1.075772000882133</v>
      </c>
      <c r="ED7" s="22">
        <f t="shared" si="157"/>
        <v>1.0710537026326499</v>
      </c>
      <c r="EE7" s="22">
        <f t="shared" si="157"/>
        <v>1.0663766122281406</v>
      </c>
      <c r="EF7" s="22">
        <f t="shared" si="157"/>
        <v>1.061740192174975</v>
      </c>
      <c r="EG7" s="22">
        <f t="shared" si="157"/>
        <v>1.0571439142867713</v>
      </c>
      <c r="EH7" s="22">
        <f t="shared" si="157"/>
        <v>1.052587259483811</v>
      </c>
      <c r="EI7" s="22">
        <f t="shared" si="157"/>
        <v>1.0480697175976146</v>
      </c>
      <c r="EJ7" s="22">
        <f t="shared" si="157"/>
        <v>1.0435907871805308</v>
      </c>
      <c r="EK7" s="22">
        <f t="shared" si="157"/>
        <v>1.039149975320188</v>
      </c>
      <c r="EL7" s="22">
        <f t="shared" si="157"/>
        <v>1.0347467974586619</v>
      </c>
      <c r="EM7" s="22">
        <f t="shared" si="157"/>
        <v>1.0303807772162201</v>
      </c>
      <c r="EN7" s="22">
        <f t="shared" si="157"/>
        <v>1.0260514462195136</v>
      </c>
      <c r="EO7" s="22">
        <f t="shared" si="157"/>
        <v>1.0217583439340763</v>
      </c>
      <c r="EP7" s="22">
        <f t="shared" si="157"/>
        <v>1.0175010175010175</v>
      </c>
      <c r="EQ7" s="22">
        <f t="shared" si="157"/>
        <v>1.0132790215777767</v>
      </c>
      <c r="ER7" s="22">
        <f t="shared" si="157"/>
        <v>1.0090919181828273</v>
      </c>
      <c r="ES7" s="22">
        <f t="shared" si="157"/>
        <v>1.0049392765442149</v>
      </c>
      <c r="ET7" s="22">
        <f t="shared" si="157"/>
        <v>1.0008206729518205</v>
      </c>
      <c r="EU7" s="22">
        <f t="shared" si="157"/>
        <v>0.99673569061324163</v>
      </c>
      <c r="EV7" s="22">
        <f t="shared" si="157"/>
        <v>0.9926839195131878</v>
      </c>
      <c r="EW7" s="22">
        <f t="shared" si="157"/>
        <v>0.98866495627629236</v>
      </c>
      <c r="EX7" s="22">
        <f t="shared" si="157"/>
        <v>0.9846784040332428</v>
      </c>
      <c r="EY7" s="22"/>
      <c r="EZ7" s="22"/>
      <c r="FA7" s="22"/>
      <c r="FB7" s="22">
        <f t="shared" si="157"/>
        <v>2.4461839530332683</v>
      </c>
      <c r="FC7" s="22">
        <f t="shared" si="157"/>
        <v>2.0384866275277234</v>
      </c>
    </row>
    <row r="8" spans="2:159" x14ac:dyDescent="0.45">
      <c r="B8" s="133" t="s">
        <v>16</v>
      </c>
      <c r="C8" s="134" t="s">
        <v>5</v>
      </c>
      <c r="D8" s="147">
        <f>D7/$G$2</f>
        <v>97.959183673469397</v>
      </c>
      <c r="E8" s="147">
        <f>E7/$G$2</f>
        <v>96.969696969696955</v>
      </c>
      <c r="F8" s="147">
        <f>F7/$G$2</f>
        <v>96</v>
      </c>
      <c r="G8" s="147">
        <f>G7/$G$2</f>
        <v>95.049504950495034</v>
      </c>
      <c r="H8" s="147">
        <f>H7/$G$2</f>
        <v>94.117647058823522</v>
      </c>
      <c r="I8" s="147">
        <f t="shared" ref="I8:BT8" si="158">I7/$G$2</f>
        <v>93.203883495145618</v>
      </c>
      <c r="J8" s="147">
        <f t="shared" si="158"/>
        <v>92.307692307692307</v>
      </c>
      <c r="K8" s="147">
        <f t="shared" si="158"/>
        <v>91.428571428571416</v>
      </c>
      <c r="L8" s="147">
        <f t="shared" si="158"/>
        <v>90.566037735849051</v>
      </c>
      <c r="M8" s="147">
        <f t="shared" si="158"/>
        <v>89.719626168224295</v>
      </c>
      <c r="N8" s="147">
        <f t="shared" si="158"/>
        <v>88.888888888888886</v>
      </c>
      <c r="O8" s="147">
        <f t="shared" si="158"/>
        <v>88.073394495412828</v>
      </c>
      <c r="P8" s="147">
        <f t="shared" si="158"/>
        <v>87.272727272727252</v>
      </c>
      <c r="Q8" s="147">
        <f t="shared" si="158"/>
        <v>86.486486486486484</v>
      </c>
      <c r="R8" s="147">
        <f t="shared" si="158"/>
        <v>85.714285714285722</v>
      </c>
      <c r="S8" s="147">
        <f t="shared" si="158"/>
        <v>84.95575221238937</v>
      </c>
      <c r="T8" s="147">
        <f t="shared" si="158"/>
        <v>84.210526315789465</v>
      </c>
      <c r="U8" s="147">
        <f t="shared" si="158"/>
        <v>83.478260869565233</v>
      </c>
      <c r="V8" s="147">
        <f t="shared" si="158"/>
        <v>82.75862068965516</v>
      </c>
      <c r="W8" s="147">
        <f t="shared" si="158"/>
        <v>82.051282051282044</v>
      </c>
      <c r="X8" s="147">
        <f t="shared" si="158"/>
        <v>81.355932203389827</v>
      </c>
      <c r="Y8" s="147">
        <f t="shared" si="158"/>
        <v>80.672268907563037</v>
      </c>
      <c r="Z8" s="147">
        <f t="shared" si="158"/>
        <v>80</v>
      </c>
      <c r="AA8" s="147">
        <f t="shared" si="158"/>
        <v>79.338842975206603</v>
      </c>
      <c r="AB8" s="147">
        <f t="shared" si="158"/>
        <v>78.688524590163937</v>
      </c>
      <c r="AC8" s="147">
        <f t="shared" si="158"/>
        <v>78.048780487804876</v>
      </c>
      <c r="AD8" s="147">
        <f t="shared" si="158"/>
        <v>77.41935483870968</v>
      </c>
      <c r="AE8" s="147">
        <f t="shared" si="158"/>
        <v>76.8</v>
      </c>
      <c r="AF8" s="147">
        <f t="shared" si="158"/>
        <v>76.19047619047619</v>
      </c>
      <c r="AG8" s="147">
        <f t="shared" si="158"/>
        <v>75.590551181102356</v>
      </c>
      <c r="AH8" s="147">
        <f t="shared" si="158"/>
        <v>75</v>
      </c>
      <c r="AI8" s="147">
        <f t="shared" si="158"/>
        <v>74.418604651162795</v>
      </c>
      <c r="AJ8" s="147">
        <f t="shared" si="158"/>
        <v>73.84615384615384</v>
      </c>
      <c r="AK8" s="147">
        <f t="shared" si="158"/>
        <v>73.282442748091597</v>
      </c>
      <c r="AL8" s="147">
        <f t="shared" si="158"/>
        <v>72.72727272727272</v>
      </c>
      <c r="AM8" s="147">
        <f t="shared" si="158"/>
        <v>72.180451127819552</v>
      </c>
      <c r="AN8" s="147">
        <f t="shared" si="158"/>
        <v>71.641791044776113</v>
      </c>
      <c r="AO8" s="147">
        <f t="shared" si="158"/>
        <v>71.111111111111114</v>
      </c>
      <c r="AP8" s="147">
        <f t="shared" si="158"/>
        <v>70.588235294117652</v>
      </c>
      <c r="AQ8" s="147">
        <f t="shared" si="158"/>
        <v>70.072992700729927</v>
      </c>
      <c r="AR8" s="147">
        <f t="shared" si="158"/>
        <v>69.565217391304344</v>
      </c>
      <c r="AS8" s="147">
        <f t="shared" si="158"/>
        <v>69.064748201438846</v>
      </c>
      <c r="AT8" s="147">
        <f t="shared" si="158"/>
        <v>68.571428571428569</v>
      </c>
      <c r="AU8" s="147">
        <f t="shared" si="158"/>
        <v>68.085106382978722</v>
      </c>
      <c r="AV8" s="147">
        <f t="shared" si="158"/>
        <v>67.605633802816897</v>
      </c>
      <c r="AW8" s="147">
        <f t="shared" si="158"/>
        <v>67.132867132867133</v>
      </c>
      <c r="AX8" s="147">
        <f t="shared" si="158"/>
        <v>66.666666666666657</v>
      </c>
      <c r="AY8" s="147">
        <f t="shared" si="158"/>
        <v>66.206896551724142</v>
      </c>
      <c r="AZ8" s="147">
        <f t="shared" si="158"/>
        <v>65.753424657534239</v>
      </c>
      <c r="BA8" s="147">
        <f t="shared" si="158"/>
        <v>65.306122448979593</v>
      </c>
      <c r="BB8" s="147">
        <f t="shared" si="158"/>
        <v>64.864864864864856</v>
      </c>
      <c r="BC8" s="147">
        <f t="shared" si="158"/>
        <v>64.429530201342288</v>
      </c>
      <c r="BD8" s="147">
        <f t="shared" si="158"/>
        <v>64</v>
      </c>
      <c r="BE8" s="147">
        <f t="shared" si="158"/>
        <v>63.576158940397349</v>
      </c>
      <c r="BF8" s="147">
        <f t="shared" si="158"/>
        <v>63.157894736842103</v>
      </c>
      <c r="BG8" s="147">
        <f t="shared" si="158"/>
        <v>62.745098039215684</v>
      </c>
      <c r="BH8" s="147">
        <f t="shared" si="158"/>
        <v>62.337662337662337</v>
      </c>
      <c r="BI8" s="147">
        <f t="shared" si="158"/>
        <v>61.935483870967744</v>
      </c>
      <c r="BJ8" s="147">
        <f t="shared" si="158"/>
        <v>61.538461538461533</v>
      </c>
      <c r="BK8" s="147">
        <f t="shared" si="158"/>
        <v>61.146496815286625</v>
      </c>
      <c r="BL8" s="147">
        <f t="shared" si="158"/>
        <v>60.759493670886073</v>
      </c>
      <c r="BM8" s="147">
        <f t="shared" si="158"/>
        <v>60.377358490566031</v>
      </c>
      <c r="BN8" s="147">
        <f t="shared" si="158"/>
        <v>59.999999999999993</v>
      </c>
      <c r="BO8" s="147">
        <f t="shared" si="158"/>
        <v>59.627329192546583</v>
      </c>
      <c r="BP8" s="147">
        <f t="shared" si="158"/>
        <v>59.25925925925926</v>
      </c>
      <c r="BQ8" s="147">
        <f t="shared" si="158"/>
        <v>58.895705521472394</v>
      </c>
      <c r="BR8" s="147">
        <f t="shared" si="158"/>
        <v>58.536585365853668</v>
      </c>
      <c r="BS8" s="147">
        <f t="shared" si="158"/>
        <v>58.18181818181818</v>
      </c>
      <c r="BT8" s="147">
        <f t="shared" si="158"/>
        <v>57.831325301204821</v>
      </c>
      <c r="BU8" s="147">
        <f t="shared" ref="BU8:EF8" si="159">BU7/$G$2</f>
        <v>57.485029940119759</v>
      </c>
      <c r="BV8" s="147">
        <f t="shared" si="159"/>
        <v>57.142857142857146</v>
      </c>
      <c r="BW8" s="147">
        <f t="shared" si="159"/>
        <v>56.80473372781065</v>
      </c>
      <c r="BX8" s="147">
        <f t="shared" si="159"/>
        <v>56.470588235294116</v>
      </c>
      <c r="BY8" s="147">
        <f t="shared" si="159"/>
        <v>56.140350877192979</v>
      </c>
      <c r="BZ8" s="147">
        <f t="shared" si="159"/>
        <v>55.813953488372086</v>
      </c>
      <c r="CA8" s="147">
        <f t="shared" si="159"/>
        <v>55.491329479768773</v>
      </c>
      <c r="CB8" s="147">
        <f t="shared" si="159"/>
        <v>55.172413793103452</v>
      </c>
      <c r="CC8" s="147">
        <f t="shared" si="159"/>
        <v>54.857142857142861</v>
      </c>
      <c r="CD8" s="147">
        <f t="shared" si="159"/>
        <v>54.545454545454547</v>
      </c>
      <c r="CE8" s="147">
        <f t="shared" si="159"/>
        <v>54.237288135593225</v>
      </c>
      <c r="CF8" s="147">
        <f t="shared" si="159"/>
        <v>53.932584269662911</v>
      </c>
      <c r="CG8" s="147">
        <f t="shared" si="159"/>
        <v>53.631284916201118</v>
      </c>
      <c r="CH8" s="147">
        <f t="shared" si="159"/>
        <v>53.333333333333329</v>
      </c>
      <c r="CI8" s="147">
        <f t="shared" si="159"/>
        <v>53.038674033149171</v>
      </c>
      <c r="CJ8" s="147">
        <f t="shared" si="159"/>
        <v>52.747252747252745</v>
      </c>
      <c r="CK8" s="147">
        <f t="shared" si="159"/>
        <v>52.459016393442617</v>
      </c>
      <c r="CL8" s="147">
        <f t="shared" si="159"/>
        <v>52.173913043478258</v>
      </c>
      <c r="CM8" s="147">
        <f t="shared" si="159"/>
        <v>51.891891891891888</v>
      </c>
      <c r="CN8" s="147">
        <f t="shared" si="159"/>
        <v>51.612903225806448</v>
      </c>
      <c r="CO8" s="147">
        <f t="shared" si="159"/>
        <v>51.336898395721931</v>
      </c>
      <c r="CP8" s="147">
        <f t="shared" si="159"/>
        <v>51.063829787234042</v>
      </c>
      <c r="CQ8" s="147">
        <f t="shared" si="159"/>
        <v>50.793650793650791</v>
      </c>
      <c r="CR8" s="147">
        <f t="shared" si="159"/>
        <v>50.526315789473692</v>
      </c>
      <c r="CS8" s="147">
        <f t="shared" si="159"/>
        <v>50.261780104712038</v>
      </c>
      <c r="CT8" s="147">
        <f t="shared" si="159"/>
        <v>49.999999999999993</v>
      </c>
      <c r="CU8" s="147">
        <f t="shared" si="159"/>
        <v>49.740932642487046</v>
      </c>
      <c r="CV8" s="147">
        <f t="shared" si="159"/>
        <v>49.484536082474222</v>
      </c>
      <c r="CW8" s="147">
        <f t="shared" si="159"/>
        <v>49.230769230769226</v>
      </c>
      <c r="CX8" s="147">
        <f t="shared" si="159"/>
        <v>48.979591836734699</v>
      </c>
      <c r="CY8" s="147">
        <f t="shared" si="159"/>
        <v>48.73096446700508</v>
      </c>
      <c r="CZ8" s="147">
        <f t="shared" si="159"/>
        <v>48.484848484848477</v>
      </c>
      <c r="DA8" s="147">
        <f t="shared" si="159"/>
        <v>48.241206030150749</v>
      </c>
      <c r="DB8" s="147">
        <f t="shared" si="159"/>
        <v>48</v>
      </c>
      <c r="DC8" s="147">
        <f t="shared" si="159"/>
        <v>47.761194029850742</v>
      </c>
      <c r="DD8" s="147">
        <f t="shared" si="159"/>
        <v>47.524752475247517</v>
      </c>
      <c r="DE8" s="147">
        <f t="shared" si="159"/>
        <v>47.290640394088669</v>
      </c>
      <c r="DF8" s="147">
        <f t="shared" si="159"/>
        <v>47.058823529411761</v>
      </c>
      <c r="DG8" s="147">
        <f t="shared" si="159"/>
        <v>46.829268292682926</v>
      </c>
      <c r="DH8" s="147">
        <f t="shared" si="159"/>
        <v>46.601941747572809</v>
      </c>
      <c r="DI8" s="147">
        <f t="shared" si="159"/>
        <v>46.376811594202898</v>
      </c>
      <c r="DJ8" s="147">
        <f t="shared" si="159"/>
        <v>46.153846153846153</v>
      </c>
      <c r="DK8" s="147">
        <f t="shared" si="159"/>
        <v>45.933014354066984</v>
      </c>
      <c r="DL8" s="147">
        <f t="shared" si="159"/>
        <v>45.714285714285708</v>
      </c>
      <c r="DM8" s="147">
        <f t="shared" si="159"/>
        <v>45.497630331753548</v>
      </c>
      <c r="DN8" s="147">
        <f t="shared" si="159"/>
        <v>45.283018867924525</v>
      </c>
      <c r="DO8" s="147">
        <f t="shared" si="159"/>
        <v>45.070422535211264</v>
      </c>
      <c r="DP8" s="147">
        <f t="shared" si="159"/>
        <v>44.859813084112147</v>
      </c>
      <c r="DQ8" s="147">
        <f t="shared" si="159"/>
        <v>44.651162790697676</v>
      </c>
      <c r="DR8" s="147">
        <f t="shared" si="159"/>
        <v>44.444444444444443</v>
      </c>
      <c r="DS8" s="147">
        <f t="shared" si="159"/>
        <v>44.239631336405523</v>
      </c>
      <c r="DT8" s="147">
        <f t="shared" si="159"/>
        <v>44.036697247706414</v>
      </c>
      <c r="DU8" s="147">
        <f t="shared" si="159"/>
        <v>43.835616438356162</v>
      </c>
      <c r="DV8" s="147">
        <f t="shared" si="159"/>
        <v>43.636363636363626</v>
      </c>
      <c r="DW8" s="147">
        <f t="shared" si="159"/>
        <v>43.438914027149309</v>
      </c>
      <c r="DX8" s="147">
        <f t="shared" si="159"/>
        <v>43.243243243243242</v>
      </c>
      <c r="DY8" s="147">
        <f t="shared" si="159"/>
        <v>43.049327354260079</v>
      </c>
      <c r="DZ8" s="147">
        <f t="shared" si="159"/>
        <v>42.857142857142861</v>
      </c>
      <c r="EA8" s="147">
        <f t="shared" si="159"/>
        <v>42.666666666666664</v>
      </c>
      <c r="EB8" s="147">
        <f t="shared" si="159"/>
        <v>42.477876106194685</v>
      </c>
      <c r="EC8" s="147">
        <f t="shared" si="159"/>
        <v>42.290748898678409</v>
      </c>
      <c r="ED8" s="147">
        <f t="shared" si="159"/>
        <v>42.105263157894733</v>
      </c>
      <c r="EE8" s="147">
        <f t="shared" si="159"/>
        <v>41.921397379912662</v>
      </c>
      <c r="EF8" s="147">
        <f t="shared" si="159"/>
        <v>41.739130434782616</v>
      </c>
      <c r="EG8" s="147">
        <f t="shared" ref="EG8:FC8" si="160">EG7/$G$2</f>
        <v>41.558441558441551</v>
      </c>
      <c r="EH8" s="147">
        <f t="shared" si="160"/>
        <v>41.37931034482758</v>
      </c>
      <c r="EI8" s="147">
        <f t="shared" si="160"/>
        <v>41.201716738197426</v>
      </c>
      <c r="EJ8" s="147">
        <f t="shared" si="160"/>
        <v>41.025641025641022</v>
      </c>
      <c r="EK8" s="147">
        <f t="shared" si="160"/>
        <v>40.851063829787229</v>
      </c>
      <c r="EL8" s="147">
        <f t="shared" si="160"/>
        <v>40.677966101694913</v>
      </c>
      <c r="EM8" s="147">
        <f t="shared" si="160"/>
        <v>40.506329113924046</v>
      </c>
      <c r="EN8" s="147">
        <f t="shared" si="160"/>
        <v>40.336134453781519</v>
      </c>
      <c r="EO8" s="147">
        <f t="shared" si="160"/>
        <v>40.167364016736407</v>
      </c>
      <c r="EP8" s="147">
        <f t="shared" si="160"/>
        <v>40</v>
      </c>
      <c r="EQ8" s="147">
        <f t="shared" si="160"/>
        <v>39.834024896265554</v>
      </c>
      <c r="ER8" s="147">
        <f t="shared" si="160"/>
        <v>39.669421487603302</v>
      </c>
      <c r="ES8" s="147">
        <f t="shared" si="160"/>
        <v>39.506172839506171</v>
      </c>
      <c r="ET8" s="147">
        <f t="shared" si="160"/>
        <v>39.344262295081968</v>
      </c>
      <c r="EU8" s="147">
        <f t="shared" si="160"/>
        <v>39.183673469387756</v>
      </c>
      <c r="EV8" s="147">
        <f t="shared" si="160"/>
        <v>39.024390243902438</v>
      </c>
      <c r="EW8" s="147">
        <f t="shared" si="160"/>
        <v>38.866396761133601</v>
      </c>
      <c r="EX8" s="147">
        <f t="shared" si="160"/>
        <v>38.70967741935484</v>
      </c>
      <c r="EY8" s="709"/>
      <c r="EZ8" s="709"/>
      <c r="FA8" s="709"/>
      <c r="FB8" s="147">
        <f t="shared" si="160"/>
        <v>96.164383561643845</v>
      </c>
      <c r="FC8" s="147">
        <f t="shared" si="160"/>
        <v>80.136986301369859</v>
      </c>
    </row>
    <row r="9" spans="2:159" x14ac:dyDescent="0.45">
      <c r="B9" s="137"/>
      <c r="C9" s="140" t="s">
        <v>5</v>
      </c>
      <c r="D9" s="148">
        <f>MROUND(D8,1)</f>
        <v>98</v>
      </c>
      <c r="E9" s="148">
        <f>MROUND(E8,1)</f>
        <v>97</v>
      </c>
      <c r="F9" s="148">
        <f t="shared" ref="F9:BP9" si="161">MROUND(F8,1)</f>
        <v>96</v>
      </c>
      <c r="G9" s="148">
        <f t="shared" si="161"/>
        <v>95</v>
      </c>
      <c r="H9" s="148">
        <f t="shared" si="161"/>
        <v>94</v>
      </c>
      <c r="I9" s="148">
        <f t="shared" si="161"/>
        <v>93</v>
      </c>
      <c r="J9" s="148">
        <f t="shared" si="161"/>
        <v>92</v>
      </c>
      <c r="K9" s="148">
        <f t="shared" si="161"/>
        <v>91</v>
      </c>
      <c r="L9" s="148">
        <f t="shared" si="161"/>
        <v>91</v>
      </c>
      <c r="M9" s="148">
        <f t="shared" si="161"/>
        <v>90</v>
      </c>
      <c r="N9" s="148">
        <f t="shared" si="161"/>
        <v>89</v>
      </c>
      <c r="O9" s="148">
        <f t="shared" si="161"/>
        <v>88</v>
      </c>
      <c r="P9" s="148">
        <f t="shared" si="161"/>
        <v>87</v>
      </c>
      <c r="Q9" s="148">
        <f t="shared" si="161"/>
        <v>86</v>
      </c>
      <c r="R9" s="148">
        <f t="shared" si="161"/>
        <v>86</v>
      </c>
      <c r="S9" s="148">
        <f t="shared" si="161"/>
        <v>85</v>
      </c>
      <c r="T9" s="148">
        <f t="shared" si="161"/>
        <v>84</v>
      </c>
      <c r="U9" s="148">
        <f t="shared" si="161"/>
        <v>83</v>
      </c>
      <c r="V9" s="148">
        <f t="shared" si="161"/>
        <v>83</v>
      </c>
      <c r="W9" s="148">
        <f t="shared" si="161"/>
        <v>82</v>
      </c>
      <c r="X9" s="148">
        <f t="shared" si="161"/>
        <v>81</v>
      </c>
      <c r="Y9" s="148">
        <f t="shared" si="161"/>
        <v>81</v>
      </c>
      <c r="Z9" s="148">
        <f t="shared" si="161"/>
        <v>80</v>
      </c>
      <c r="AA9" s="148">
        <f t="shared" si="161"/>
        <v>79</v>
      </c>
      <c r="AB9" s="148">
        <f t="shared" si="161"/>
        <v>79</v>
      </c>
      <c r="AC9" s="148">
        <f t="shared" si="161"/>
        <v>78</v>
      </c>
      <c r="AD9" s="148">
        <f t="shared" si="161"/>
        <v>77</v>
      </c>
      <c r="AE9" s="148">
        <f t="shared" si="161"/>
        <v>77</v>
      </c>
      <c r="AF9" s="148">
        <f t="shared" si="161"/>
        <v>76</v>
      </c>
      <c r="AG9" s="148">
        <f t="shared" si="161"/>
        <v>76</v>
      </c>
      <c r="AH9" s="148">
        <f t="shared" si="161"/>
        <v>75</v>
      </c>
      <c r="AI9" s="148">
        <f t="shared" si="161"/>
        <v>74</v>
      </c>
      <c r="AJ9" s="148">
        <f t="shared" si="161"/>
        <v>74</v>
      </c>
      <c r="AK9" s="148">
        <f t="shared" si="161"/>
        <v>73</v>
      </c>
      <c r="AL9" s="148">
        <f t="shared" si="161"/>
        <v>73</v>
      </c>
      <c r="AM9" s="148">
        <f t="shared" si="161"/>
        <v>72</v>
      </c>
      <c r="AN9" s="148">
        <f t="shared" si="161"/>
        <v>72</v>
      </c>
      <c r="AO9" s="148">
        <f t="shared" si="161"/>
        <v>71</v>
      </c>
      <c r="AP9" s="148">
        <f t="shared" si="161"/>
        <v>71</v>
      </c>
      <c r="AQ9" s="148">
        <f t="shared" si="161"/>
        <v>70</v>
      </c>
      <c r="AR9" s="148">
        <f t="shared" si="161"/>
        <v>70</v>
      </c>
      <c r="AS9" s="148">
        <f t="shared" si="161"/>
        <v>69</v>
      </c>
      <c r="AT9" s="148">
        <f t="shared" si="161"/>
        <v>69</v>
      </c>
      <c r="AU9" s="148">
        <f t="shared" si="161"/>
        <v>68</v>
      </c>
      <c r="AV9" s="148">
        <f t="shared" si="161"/>
        <v>68</v>
      </c>
      <c r="AW9" s="148">
        <f t="shared" si="161"/>
        <v>67</v>
      </c>
      <c r="AX9" s="148">
        <f t="shared" si="161"/>
        <v>67</v>
      </c>
      <c r="AY9" s="148">
        <f t="shared" si="161"/>
        <v>66</v>
      </c>
      <c r="AZ9" s="148">
        <f t="shared" si="161"/>
        <v>66</v>
      </c>
      <c r="BA9" s="148">
        <f t="shared" si="161"/>
        <v>65</v>
      </c>
      <c r="BB9" s="148">
        <f t="shared" si="161"/>
        <v>65</v>
      </c>
      <c r="BC9" s="148">
        <f t="shared" si="161"/>
        <v>64</v>
      </c>
      <c r="BD9" s="148">
        <f t="shared" si="161"/>
        <v>64</v>
      </c>
      <c r="BE9" s="148">
        <f t="shared" si="161"/>
        <v>64</v>
      </c>
      <c r="BF9" s="148">
        <f t="shared" si="161"/>
        <v>63</v>
      </c>
      <c r="BG9" s="148">
        <f t="shared" si="161"/>
        <v>63</v>
      </c>
      <c r="BH9" s="148">
        <f t="shared" si="161"/>
        <v>62</v>
      </c>
      <c r="BI9" s="148">
        <f t="shared" si="161"/>
        <v>62</v>
      </c>
      <c r="BJ9" s="148">
        <f t="shared" si="161"/>
        <v>62</v>
      </c>
      <c r="BK9" s="148">
        <f t="shared" si="161"/>
        <v>61</v>
      </c>
      <c r="BL9" s="148">
        <f t="shared" si="161"/>
        <v>61</v>
      </c>
      <c r="BM9" s="148">
        <f t="shared" si="161"/>
        <v>60</v>
      </c>
      <c r="BN9" s="148">
        <f t="shared" si="161"/>
        <v>60</v>
      </c>
      <c r="BO9" s="148">
        <f t="shared" si="161"/>
        <v>60</v>
      </c>
      <c r="BP9" s="148">
        <f t="shared" si="161"/>
        <v>59</v>
      </c>
      <c r="BQ9" s="148">
        <f t="shared" ref="BQ9:EB9" si="162">MROUND(BQ8,1)</f>
        <v>59</v>
      </c>
      <c r="BR9" s="148">
        <f t="shared" si="162"/>
        <v>59</v>
      </c>
      <c r="BS9" s="148">
        <f t="shared" si="162"/>
        <v>58</v>
      </c>
      <c r="BT9" s="148">
        <f t="shared" si="162"/>
        <v>58</v>
      </c>
      <c r="BU9" s="148">
        <f t="shared" si="162"/>
        <v>57</v>
      </c>
      <c r="BV9" s="148">
        <f t="shared" si="162"/>
        <v>57</v>
      </c>
      <c r="BW9" s="148">
        <f t="shared" si="162"/>
        <v>57</v>
      </c>
      <c r="BX9" s="148">
        <f t="shared" si="162"/>
        <v>56</v>
      </c>
      <c r="BY9" s="148">
        <f t="shared" si="162"/>
        <v>56</v>
      </c>
      <c r="BZ9" s="148">
        <f t="shared" si="162"/>
        <v>56</v>
      </c>
      <c r="CA9" s="148">
        <f t="shared" si="162"/>
        <v>55</v>
      </c>
      <c r="CB9" s="148">
        <f t="shared" si="162"/>
        <v>55</v>
      </c>
      <c r="CC9" s="148">
        <f t="shared" si="162"/>
        <v>55</v>
      </c>
      <c r="CD9" s="148">
        <f t="shared" si="162"/>
        <v>55</v>
      </c>
      <c r="CE9" s="148">
        <f t="shared" si="162"/>
        <v>54</v>
      </c>
      <c r="CF9" s="148">
        <f t="shared" si="162"/>
        <v>54</v>
      </c>
      <c r="CG9" s="148">
        <f t="shared" si="162"/>
        <v>54</v>
      </c>
      <c r="CH9" s="148">
        <f t="shared" si="162"/>
        <v>53</v>
      </c>
      <c r="CI9" s="148">
        <f t="shared" si="162"/>
        <v>53</v>
      </c>
      <c r="CJ9" s="148">
        <f t="shared" si="162"/>
        <v>53</v>
      </c>
      <c r="CK9" s="148">
        <f t="shared" si="162"/>
        <v>52</v>
      </c>
      <c r="CL9" s="148">
        <f t="shared" si="162"/>
        <v>52</v>
      </c>
      <c r="CM9" s="148">
        <f t="shared" si="162"/>
        <v>52</v>
      </c>
      <c r="CN9" s="148">
        <f t="shared" si="162"/>
        <v>52</v>
      </c>
      <c r="CO9" s="148">
        <f t="shared" si="162"/>
        <v>51</v>
      </c>
      <c r="CP9" s="148">
        <f t="shared" si="162"/>
        <v>51</v>
      </c>
      <c r="CQ9" s="148">
        <f t="shared" si="162"/>
        <v>51</v>
      </c>
      <c r="CR9" s="148">
        <f t="shared" si="162"/>
        <v>51</v>
      </c>
      <c r="CS9" s="148">
        <f t="shared" si="162"/>
        <v>50</v>
      </c>
      <c r="CT9" s="148">
        <f t="shared" si="162"/>
        <v>50</v>
      </c>
      <c r="CU9" s="148">
        <f t="shared" si="162"/>
        <v>50</v>
      </c>
      <c r="CV9" s="148">
        <f t="shared" si="162"/>
        <v>49</v>
      </c>
      <c r="CW9" s="148">
        <f t="shared" si="162"/>
        <v>49</v>
      </c>
      <c r="CX9" s="148">
        <f t="shared" si="162"/>
        <v>49</v>
      </c>
      <c r="CY9" s="148">
        <f t="shared" si="162"/>
        <v>49</v>
      </c>
      <c r="CZ9" s="148">
        <f t="shared" si="162"/>
        <v>48</v>
      </c>
      <c r="DA9" s="148">
        <f t="shared" si="162"/>
        <v>48</v>
      </c>
      <c r="DB9" s="148">
        <f t="shared" si="162"/>
        <v>48</v>
      </c>
      <c r="DC9" s="148">
        <f t="shared" si="162"/>
        <v>48</v>
      </c>
      <c r="DD9" s="148">
        <f t="shared" si="162"/>
        <v>48</v>
      </c>
      <c r="DE9" s="148">
        <f t="shared" si="162"/>
        <v>47</v>
      </c>
      <c r="DF9" s="148">
        <f t="shared" si="162"/>
        <v>47</v>
      </c>
      <c r="DG9" s="148">
        <f t="shared" si="162"/>
        <v>47</v>
      </c>
      <c r="DH9" s="148">
        <f t="shared" si="162"/>
        <v>47</v>
      </c>
      <c r="DI9" s="148">
        <f t="shared" si="162"/>
        <v>46</v>
      </c>
      <c r="DJ9" s="148">
        <f t="shared" si="162"/>
        <v>46</v>
      </c>
      <c r="DK9" s="148">
        <f t="shared" si="162"/>
        <v>46</v>
      </c>
      <c r="DL9" s="148">
        <f t="shared" si="162"/>
        <v>46</v>
      </c>
      <c r="DM9" s="148">
        <f t="shared" si="162"/>
        <v>45</v>
      </c>
      <c r="DN9" s="148">
        <f t="shared" si="162"/>
        <v>45</v>
      </c>
      <c r="DO9" s="148">
        <f t="shared" si="162"/>
        <v>45</v>
      </c>
      <c r="DP9" s="148">
        <f t="shared" si="162"/>
        <v>45</v>
      </c>
      <c r="DQ9" s="148">
        <f t="shared" si="162"/>
        <v>45</v>
      </c>
      <c r="DR9" s="148">
        <f t="shared" si="162"/>
        <v>44</v>
      </c>
      <c r="DS9" s="148">
        <f t="shared" si="162"/>
        <v>44</v>
      </c>
      <c r="DT9" s="148">
        <f t="shared" si="162"/>
        <v>44</v>
      </c>
      <c r="DU9" s="148">
        <f t="shared" si="162"/>
        <v>44</v>
      </c>
      <c r="DV9" s="148">
        <f t="shared" si="162"/>
        <v>44</v>
      </c>
      <c r="DW9" s="148">
        <f t="shared" si="162"/>
        <v>43</v>
      </c>
      <c r="DX9" s="148">
        <f t="shared" si="162"/>
        <v>43</v>
      </c>
      <c r="DY9" s="148">
        <f t="shared" si="162"/>
        <v>43</v>
      </c>
      <c r="DZ9" s="148">
        <f t="shared" si="162"/>
        <v>43</v>
      </c>
      <c r="EA9" s="148">
        <f t="shared" si="162"/>
        <v>43</v>
      </c>
      <c r="EB9" s="148">
        <f t="shared" si="162"/>
        <v>42</v>
      </c>
      <c r="EC9" s="148">
        <f t="shared" ref="EC9:FC9" si="163">MROUND(EC8,1)</f>
        <v>42</v>
      </c>
      <c r="ED9" s="148">
        <f t="shared" si="163"/>
        <v>42</v>
      </c>
      <c r="EE9" s="148">
        <f t="shared" si="163"/>
        <v>42</v>
      </c>
      <c r="EF9" s="148">
        <f t="shared" si="163"/>
        <v>42</v>
      </c>
      <c r="EG9" s="148">
        <f t="shared" si="163"/>
        <v>42</v>
      </c>
      <c r="EH9" s="148">
        <f t="shared" si="163"/>
        <v>41</v>
      </c>
      <c r="EI9" s="148">
        <f t="shared" si="163"/>
        <v>41</v>
      </c>
      <c r="EJ9" s="148">
        <f t="shared" si="163"/>
        <v>41</v>
      </c>
      <c r="EK9" s="148">
        <f t="shared" si="163"/>
        <v>41</v>
      </c>
      <c r="EL9" s="148">
        <f t="shared" si="163"/>
        <v>41</v>
      </c>
      <c r="EM9" s="148">
        <f>MROUND(EM8,1)</f>
        <v>41</v>
      </c>
      <c r="EN9" s="148">
        <f t="shared" ref="EN9:EO9" si="164">MROUND(EN8,1)</f>
        <v>40</v>
      </c>
      <c r="EO9" s="148">
        <f t="shared" si="164"/>
        <v>40</v>
      </c>
      <c r="EP9" s="148">
        <f t="shared" si="163"/>
        <v>40</v>
      </c>
      <c r="EQ9" s="148">
        <f t="shared" si="163"/>
        <v>40</v>
      </c>
      <c r="ER9" s="148">
        <f t="shared" si="163"/>
        <v>40</v>
      </c>
      <c r="ES9" s="148">
        <f t="shared" si="163"/>
        <v>40</v>
      </c>
      <c r="ET9" s="148">
        <f t="shared" si="163"/>
        <v>39</v>
      </c>
      <c r="EU9" s="148">
        <f t="shared" si="163"/>
        <v>39</v>
      </c>
      <c r="EV9" s="148">
        <f t="shared" si="163"/>
        <v>39</v>
      </c>
      <c r="EW9" s="148">
        <f t="shared" si="163"/>
        <v>39</v>
      </c>
      <c r="EX9" s="148">
        <f t="shared" si="163"/>
        <v>39</v>
      </c>
      <c r="EY9" s="709"/>
      <c r="EZ9" s="709"/>
      <c r="FA9" s="709"/>
      <c r="FB9" s="148">
        <f t="shared" si="163"/>
        <v>96</v>
      </c>
      <c r="FC9" s="148">
        <f t="shared" si="163"/>
        <v>80</v>
      </c>
    </row>
    <row r="10" spans="2:159" x14ac:dyDescent="0.45">
      <c r="B10" s="135"/>
      <c r="C10" s="136" t="s">
        <v>5</v>
      </c>
      <c r="D10" s="149">
        <f>D9-1</f>
        <v>97</v>
      </c>
      <c r="E10" s="149">
        <f>E9-1</f>
        <v>96</v>
      </c>
      <c r="F10" s="149">
        <f t="shared" ref="F10:BQ10" si="165">F9-1</f>
        <v>95</v>
      </c>
      <c r="G10" s="149">
        <f t="shared" si="165"/>
        <v>94</v>
      </c>
      <c r="H10" s="149">
        <f t="shared" si="165"/>
        <v>93</v>
      </c>
      <c r="I10" s="149">
        <f t="shared" si="165"/>
        <v>92</v>
      </c>
      <c r="J10" s="149">
        <f t="shared" si="165"/>
        <v>91</v>
      </c>
      <c r="K10" s="149">
        <f t="shared" si="165"/>
        <v>90</v>
      </c>
      <c r="L10" s="149">
        <f t="shared" si="165"/>
        <v>90</v>
      </c>
      <c r="M10" s="149">
        <f t="shared" si="165"/>
        <v>89</v>
      </c>
      <c r="N10" s="149">
        <f t="shared" si="165"/>
        <v>88</v>
      </c>
      <c r="O10" s="149">
        <f t="shared" si="165"/>
        <v>87</v>
      </c>
      <c r="P10" s="149">
        <f t="shared" si="165"/>
        <v>86</v>
      </c>
      <c r="Q10" s="149">
        <f t="shared" si="165"/>
        <v>85</v>
      </c>
      <c r="R10" s="149">
        <f t="shared" si="165"/>
        <v>85</v>
      </c>
      <c r="S10" s="149">
        <f t="shared" si="165"/>
        <v>84</v>
      </c>
      <c r="T10" s="149">
        <f t="shared" si="165"/>
        <v>83</v>
      </c>
      <c r="U10" s="149">
        <f t="shared" si="165"/>
        <v>82</v>
      </c>
      <c r="V10" s="149">
        <f t="shared" si="165"/>
        <v>82</v>
      </c>
      <c r="W10" s="149">
        <f t="shared" si="165"/>
        <v>81</v>
      </c>
      <c r="X10" s="149">
        <f t="shared" si="165"/>
        <v>80</v>
      </c>
      <c r="Y10" s="149">
        <f t="shared" si="165"/>
        <v>80</v>
      </c>
      <c r="Z10" s="149">
        <f t="shared" si="165"/>
        <v>79</v>
      </c>
      <c r="AA10" s="149">
        <f t="shared" si="165"/>
        <v>78</v>
      </c>
      <c r="AB10" s="149">
        <f t="shared" si="165"/>
        <v>78</v>
      </c>
      <c r="AC10" s="149">
        <f t="shared" si="165"/>
        <v>77</v>
      </c>
      <c r="AD10" s="149">
        <f t="shared" si="165"/>
        <v>76</v>
      </c>
      <c r="AE10" s="149">
        <f t="shared" si="165"/>
        <v>76</v>
      </c>
      <c r="AF10" s="149">
        <f t="shared" si="165"/>
        <v>75</v>
      </c>
      <c r="AG10" s="149">
        <f t="shared" si="165"/>
        <v>75</v>
      </c>
      <c r="AH10" s="149">
        <f t="shared" si="165"/>
        <v>74</v>
      </c>
      <c r="AI10" s="149">
        <f t="shared" si="165"/>
        <v>73</v>
      </c>
      <c r="AJ10" s="149">
        <f t="shared" si="165"/>
        <v>73</v>
      </c>
      <c r="AK10" s="149">
        <f t="shared" si="165"/>
        <v>72</v>
      </c>
      <c r="AL10" s="149">
        <f t="shared" si="165"/>
        <v>72</v>
      </c>
      <c r="AM10" s="149">
        <f t="shared" si="165"/>
        <v>71</v>
      </c>
      <c r="AN10" s="149">
        <f t="shared" si="165"/>
        <v>71</v>
      </c>
      <c r="AO10" s="149">
        <f t="shared" si="165"/>
        <v>70</v>
      </c>
      <c r="AP10" s="149">
        <f t="shared" si="165"/>
        <v>70</v>
      </c>
      <c r="AQ10" s="149">
        <f t="shared" si="165"/>
        <v>69</v>
      </c>
      <c r="AR10" s="149">
        <f t="shared" si="165"/>
        <v>69</v>
      </c>
      <c r="AS10" s="149">
        <f t="shared" si="165"/>
        <v>68</v>
      </c>
      <c r="AT10" s="149">
        <f t="shared" si="165"/>
        <v>68</v>
      </c>
      <c r="AU10" s="149">
        <f t="shared" si="165"/>
        <v>67</v>
      </c>
      <c r="AV10" s="149">
        <f t="shared" si="165"/>
        <v>67</v>
      </c>
      <c r="AW10" s="149">
        <f t="shared" si="165"/>
        <v>66</v>
      </c>
      <c r="AX10" s="149">
        <f t="shared" si="165"/>
        <v>66</v>
      </c>
      <c r="AY10" s="149">
        <f t="shared" si="165"/>
        <v>65</v>
      </c>
      <c r="AZ10" s="149">
        <f t="shared" si="165"/>
        <v>65</v>
      </c>
      <c r="BA10" s="149">
        <f t="shared" si="165"/>
        <v>64</v>
      </c>
      <c r="BB10" s="149">
        <f t="shared" si="165"/>
        <v>64</v>
      </c>
      <c r="BC10" s="149">
        <f t="shared" si="165"/>
        <v>63</v>
      </c>
      <c r="BD10" s="149">
        <f t="shared" si="165"/>
        <v>63</v>
      </c>
      <c r="BE10" s="149">
        <f t="shared" si="165"/>
        <v>63</v>
      </c>
      <c r="BF10" s="149">
        <f t="shared" si="165"/>
        <v>62</v>
      </c>
      <c r="BG10" s="149">
        <f t="shared" si="165"/>
        <v>62</v>
      </c>
      <c r="BH10" s="149">
        <f t="shared" si="165"/>
        <v>61</v>
      </c>
      <c r="BI10" s="149">
        <f t="shared" si="165"/>
        <v>61</v>
      </c>
      <c r="BJ10" s="149">
        <f t="shared" si="165"/>
        <v>61</v>
      </c>
      <c r="BK10" s="149">
        <f t="shared" si="165"/>
        <v>60</v>
      </c>
      <c r="BL10" s="149">
        <f t="shared" si="165"/>
        <v>60</v>
      </c>
      <c r="BM10" s="149">
        <f t="shared" si="165"/>
        <v>59</v>
      </c>
      <c r="BN10" s="149">
        <f t="shared" si="165"/>
        <v>59</v>
      </c>
      <c r="BO10" s="149">
        <f t="shared" si="165"/>
        <v>59</v>
      </c>
      <c r="BP10" s="149">
        <f t="shared" si="165"/>
        <v>58</v>
      </c>
      <c r="BQ10" s="149">
        <f t="shared" si="165"/>
        <v>58</v>
      </c>
      <c r="BR10" s="149">
        <f t="shared" ref="BR10:EC10" si="166">BR9-1</f>
        <v>58</v>
      </c>
      <c r="BS10" s="149">
        <f t="shared" si="166"/>
        <v>57</v>
      </c>
      <c r="BT10" s="149">
        <f t="shared" si="166"/>
        <v>57</v>
      </c>
      <c r="BU10" s="149">
        <f t="shared" si="166"/>
        <v>56</v>
      </c>
      <c r="BV10" s="149">
        <f t="shared" si="166"/>
        <v>56</v>
      </c>
      <c r="BW10" s="149">
        <f t="shared" si="166"/>
        <v>56</v>
      </c>
      <c r="BX10" s="149">
        <f t="shared" si="166"/>
        <v>55</v>
      </c>
      <c r="BY10" s="149">
        <f t="shared" si="166"/>
        <v>55</v>
      </c>
      <c r="BZ10" s="149">
        <f t="shared" si="166"/>
        <v>55</v>
      </c>
      <c r="CA10" s="149">
        <f t="shared" si="166"/>
        <v>54</v>
      </c>
      <c r="CB10" s="149">
        <f t="shared" si="166"/>
        <v>54</v>
      </c>
      <c r="CC10" s="149">
        <f t="shared" si="166"/>
        <v>54</v>
      </c>
      <c r="CD10" s="149">
        <f t="shared" si="166"/>
        <v>54</v>
      </c>
      <c r="CE10" s="149">
        <f t="shared" si="166"/>
        <v>53</v>
      </c>
      <c r="CF10" s="149">
        <f t="shared" si="166"/>
        <v>53</v>
      </c>
      <c r="CG10" s="149">
        <f t="shared" si="166"/>
        <v>53</v>
      </c>
      <c r="CH10" s="149">
        <f t="shared" si="166"/>
        <v>52</v>
      </c>
      <c r="CI10" s="149">
        <f t="shared" si="166"/>
        <v>52</v>
      </c>
      <c r="CJ10" s="149">
        <f t="shared" si="166"/>
        <v>52</v>
      </c>
      <c r="CK10" s="149">
        <f t="shared" si="166"/>
        <v>51</v>
      </c>
      <c r="CL10" s="149">
        <f t="shared" si="166"/>
        <v>51</v>
      </c>
      <c r="CM10" s="149">
        <f t="shared" si="166"/>
        <v>51</v>
      </c>
      <c r="CN10" s="149">
        <f t="shared" si="166"/>
        <v>51</v>
      </c>
      <c r="CO10" s="149">
        <f t="shared" si="166"/>
        <v>50</v>
      </c>
      <c r="CP10" s="149">
        <f t="shared" si="166"/>
        <v>50</v>
      </c>
      <c r="CQ10" s="149">
        <f t="shared" si="166"/>
        <v>50</v>
      </c>
      <c r="CR10" s="149">
        <f t="shared" si="166"/>
        <v>50</v>
      </c>
      <c r="CS10" s="149">
        <f t="shared" si="166"/>
        <v>49</v>
      </c>
      <c r="CT10" s="149">
        <f t="shared" si="166"/>
        <v>49</v>
      </c>
      <c r="CU10" s="149">
        <f t="shared" si="166"/>
        <v>49</v>
      </c>
      <c r="CV10" s="149">
        <f t="shared" si="166"/>
        <v>48</v>
      </c>
      <c r="CW10" s="149">
        <f t="shared" si="166"/>
        <v>48</v>
      </c>
      <c r="CX10" s="149">
        <f t="shared" si="166"/>
        <v>48</v>
      </c>
      <c r="CY10" s="149">
        <f t="shared" si="166"/>
        <v>48</v>
      </c>
      <c r="CZ10" s="149">
        <f t="shared" si="166"/>
        <v>47</v>
      </c>
      <c r="DA10" s="149">
        <f t="shared" si="166"/>
        <v>47</v>
      </c>
      <c r="DB10" s="149">
        <f t="shared" si="166"/>
        <v>47</v>
      </c>
      <c r="DC10" s="149">
        <f t="shared" si="166"/>
        <v>47</v>
      </c>
      <c r="DD10" s="149">
        <f t="shared" si="166"/>
        <v>47</v>
      </c>
      <c r="DE10" s="149">
        <f t="shared" si="166"/>
        <v>46</v>
      </c>
      <c r="DF10" s="149">
        <f t="shared" si="166"/>
        <v>46</v>
      </c>
      <c r="DG10" s="149">
        <f t="shared" si="166"/>
        <v>46</v>
      </c>
      <c r="DH10" s="149">
        <f t="shared" si="166"/>
        <v>46</v>
      </c>
      <c r="DI10" s="149">
        <f t="shared" si="166"/>
        <v>45</v>
      </c>
      <c r="DJ10" s="149">
        <f t="shared" si="166"/>
        <v>45</v>
      </c>
      <c r="DK10" s="149">
        <f t="shared" si="166"/>
        <v>45</v>
      </c>
      <c r="DL10" s="149">
        <f t="shared" si="166"/>
        <v>45</v>
      </c>
      <c r="DM10" s="149">
        <f t="shared" si="166"/>
        <v>44</v>
      </c>
      <c r="DN10" s="149">
        <f t="shared" si="166"/>
        <v>44</v>
      </c>
      <c r="DO10" s="149">
        <f t="shared" si="166"/>
        <v>44</v>
      </c>
      <c r="DP10" s="149">
        <f t="shared" si="166"/>
        <v>44</v>
      </c>
      <c r="DQ10" s="149">
        <f t="shared" si="166"/>
        <v>44</v>
      </c>
      <c r="DR10" s="149">
        <f t="shared" si="166"/>
        <v>43</v>
      </c>
      <c r="DS10" s="149">
        <f t="shared" si="166"/>
        <v>43</v>
      </c>
      <c r="DT10" s="149">
        <f t="shared" si="166"/>
        <v>43</v>
      </c>
      <c r="DU10" s="149">
        <f t="shared" si="166"/>
        <v>43</v>
      </c>
      <c r="DV10" s="149">
        <f t="shared" si="166"/>
        <v>43</v>
      </c>
      <c r="DW10" s="149">
        <f t="shared" si="166"/>
        <v>42</v>
      </c>
      <c r="DX10" s="149">
        <f t="shared" si="166"/>
        <v>42</v>
      </c>
      <c r="DY10" s="149">
        <f t="shared" si="166"/>
        <v>42</v>
      </c>
      <c r="DZ10" s="149">
        <f t="shared" si="166"/>
        <v>42</v>
      </c>
      <c r="EA10" s="149">
        <f t="shared" si="166"/>
        <v>42</v>
      </c>
      <c r="EB10" s="149">
        <f t="shared" si="166"/>
        <v>41</v>
      </c>
      <c r="EC10" s="149">
        <f t="shared" si="166"/>
        <v>41</v>
      </c>
      <c r="ED10" s="149">
        <f t="shared" ref="ED10:FC10" si="167">ED9-1</f>
        <v>41</v>
      </c>
      <c r="EE10" s="149">
        <f t="shared" si="167"/>
        <v>41</v>
      </c>
      <c r="EF10" s="149">
        <f t="shared" si="167"/>
        <v>41</v>
      </c>
      <c r="EG10" s="149">
        <f t="shared" si="167"/>
        <v>41</v>
      </c>
      <c r="EH10" s="149">
        <f t="shared" si="167"/>
        <v>40</v>
      </c>
      <c r="EI10" s="149">
        <f t="shared" si="167"/>
        <v>40</v>
      </c>
      <c r="EJ10" s="149">
        <f t="shared" si="167"/>
        <v>40</v>
      </c>
      <c r="EK10" s="149">
        <f t="shared" si="167"/>
        <v>40</v>
      </c>
      <c r="EL10" s="149">
        <f t="shared" si="167"/>
        <v>40</v>
      </c>
      <c r="EM10" s="149">
        <f t="shared" si="167"/>
        <v>40</v>
      </c>
      <c r="EN10" s="149">
        <f t="shared" si="167"/>
        <v>39</v>
      </c>
      <c r="EO10" s="149">
        <f t="shared" si="167"/>
        <v>39</v>
      </c>
      <c r="EP10" s="149">
        <f t="shared" si="167"/>
        <v>39</v>
      </c>
      <c r="EQ10" s="149">
        <f t="shared" si="167"/>
        <v>39</v>
      </c>
      <c r="ER10" s="149">
        <f t="shared" si="167"/>
        <v>39</v>
      </c>
      <c r="ES10" s="149">
        <f t="shared" si="167"/>
        <v>39</v>
      </c>
      <c r="ET10" s="149">
        <f t="shared" si="167"/>
        <v>38</v>
      </c>
      <c r="EU10" s="149">
        <f t="shared" si="167"/>
        <v>38</v>
      </c>
      <c r="EV10" s="149">
        <f t="shared" si="167"/>
        <v>38</v>
      </c>
      <c r="EW10" s="149">
        <f t="shared" si="167"/>
        <v>38</v>
      </c>
      <c r="EX10" s="149">
        <f t="shared" si="167"/>
        <v>38</v>
      </c>
      <c r="EY10" s="709"/>
      <c r="EZ10" s="709"/>
      <c r="FA10" s="709"/>
      <c r="FB10" s="149">
        <f t="shared" si="167"/>
        <v>95</v>
      </c>
      <c r="FC10" s="149">
        <f t="shared" si="167"/>
        <v>79</v>
      </c>
    </row>
    <row r="11" spans="2:159" x14ac:dyDescent="0.45">
      <c r="B11" s="133" t="s">
        <v>2</v>
      </c>
      <c r="C11" s="134" t="s">
        <v>1</v>
      </c>
      <c r="D11" s="22">
        <f>D4/(D6*D18)/D9</f>
        <v>2.5426930882990861E-2</v>
      </c>
      <c r="E11" s="22">
        <f>E4/(E6*E18)/E9</f>
        <v>2.5429578694183504E-2</v>
      </c>
      <c r="F11" s="22">
        <f t="shared" ref="F11:BP11" si="168">F4/(F6*F18)/F9</f>
        <v>2.5437525437525439E-2</v>
      </c>
      <c r="G11" s="22">
        <f t="shared" si="168"/>
        <v>2.545078105265703E-2</v>
      </c>
      <c r="H11" s="22">
        <f t="shared" si="168"/>
        <v>2.546936214020069E-2</v>
      </c>
      <c r="I11" s="22">
        <f t="shared" si="168"/>
        <v>2.5493292013805634E-2</v>
      </c>
      <c r="J11" s="22">
        <f t="shared" si="168"/>
        <v>2.5522600773436894E-2</v>
      </c>
      <c r="K11" s="22">
        <f t="shared" si="168"/>
        <v>2.5557325400339528E-2</v>
      </c>
      <c r="L11" s="22">
        <f t="shared" si="168"/>
        <v>2.53162185569401E-2</v>
      </c>
      <c r="M11" s="22">
        <f t="shared" si="168"/>
        <v>2.5358280809994208E-2</v>
      </c>
      <c r="N11" s="22">
        <f>N4/(N6*N18)/N9</f>
        <v>2.5405768227241384E-2</v>
      </c>
      <c r="O11" s="22">
        <f t="shared" si="168"/>
        <v>2.5458741055071329E-2</v>
      </c>
      <c r="P11" s="22">
        <f t="shared" si="168"/>
        <v>2.5517266896577236E-2</v>
      </c>
      <c r="Q11" s="22">
        <f t="shared" si="168"/>
        <v>2.5581420930258142E-2</v>
      </c>
      <c r="R11" s="22">
        <f t="shared" si="168"/>
        <v>2.5353015386237979E-2</v>
      </c>
      <c r="S11" s="22">
        <f t="shared" si="168"/>
        <v>2.5424283623138384E-2</v>
      </c>
      <c r="T11" s="22">
        <f t="shared" si="168"/>
        <v>2.5501278634110711E-2</v>
      </c>
      <c r="U11" s="22">
        <f t="shared" si="168"/>
        <v>2.5584101016264457E-2</v>
      </c>
      <c r="V11" s="22">
        <f t="shared" si="168"/>
        <v>2.536354842129665E-2</v>
      </c>
      <c r="W11" s="22">
        <f t="shared" si="168"/>
        <v>2.5453433833671484E-2</v>
      </c>
      <c r="X11" s="22">
        <f t="shared" si="168"/>
        <v>2.5549303640954615E-2</v>
      </c>
      <c r="Y11" s="22">
        <f t="shared" si="168"/>
        <v>2.5334603610358362E-2</v>
      </c>
      <c r="Z11" s="22">
        <f t="shared" si="168"/>
        <v>2.5437525437525439E-2</v>
      </c>
      <c r="AA11" s="22">
        <f t="shared" si="168"/>
        <v>2.5546630840071576E-2</v>
      </c>
      <c r="AB11" s="22">
        <f t="shared" si="168"/>
        <v>2.5337232226628367E-2</v>
      </c>
      <c r="AC11" s="22">
        <f t="shared" si="168"/>
        <v>2.5453433833671484E-2</v>
      </c>
      <c r="AD11" s="22">
        <f t="shared" si="168"/>
        <v>2.5576062442421891E-2</v>
      </c>
      <c r="AE11" s="22">
        <f t="shared" si="168"/>
        <v>2.5371453942882514E-2</v>
      </c>
      <c r="AF11" s="22">
        <f t="shared" si="168"/>
        <v>2.5501278634110714E-2</v>
      </c>
      <c r="AG11" s="22">
        <f t="shared" si="168"/>
        <v>2.5300481164550789E-2</v>
      </c>
      <c r="AH11" s="22">
        <f t="shared" si="168"/>
        <v>2.5437525437525439E-2</v>
      </c>
      <c r="AI11" s="22">
        <f t="shared" si="168"/>
        <v>2.5581420930258138E-2</v>
      </c>
      <c r="AJ11" s="22">
        <f t="shared" si="168"/>
        <v>2.5384640769256155E-2</v>
      </c>
      <c r="AK11" s="22">
        <f t="shared" si="168"/>
        <v>2.5535945226418926E-2</v>
      </c>
      <c r="AL11" s="22">
        <f t="shared" si="168"/>
        <v>2.5342491095915753E-2</v>
      </c>
      <c r="AM11" s="22">
        <f t="shared" si="168"/>
        <v>2.5501278634110714E-2</v>
      </c>
      <c r="AN11" s="22">
        <f t="shared" si="168"/>
        <v>2.5310970584602424E-2</v>
      </c>
      <c r="AO11" s="22">
        <f t="shared" si="168"/>
        <v>2.5477333771543473E-2</v>
      </c>
      <c r="AP11" s="22">
        <f t="shared" si="168"/>
        <v>2.5290000434988007E-2</v>
      </c>
      <c r="AQ11" s="22">
        <f t="shared" si="168"/>
        <v>2.5464050490119312E-2</v>
      </c>
      <c r="AR11" s="22">
        <f t="shared" si="168"/>
        <v>2.5279528385118447E-2</v>
      </c>
      <c r="AS11" s="22">
        <f t="shared" si="168"/>
        <v>2.5461395495802751E-2</v>
      </c>
      <c r="AT11" s="22">
        <f t="shared" si="168"/>
        <v>2.5279528385118447E-2</v>
      </c>
      <c r="AU11" s="22">
        <f t="shared" si="168"/>
        <v>2.546936214020069E-2</v>
      </c>
      <c r="AV11" s="22">
        <f t="shared" si="168"/>
        <v>2.5290000434988007E-2</v>
      </c>
      <c r="AW11" s="22">
        <f t="shared" si="168"/>
        <v>2.5487970378900344E-2</v>
      </c>
      <c r="AX11" s="22">
        <f t="shared" si="168"/>
        <v>2.5310970584602424E-2</v>
      </c>
      <c r="AY11" s="22">
        <f t="shared" si="168"/>
        <v>2.551726689657724E-2</v>
      </c>
      <c r="AZ11" s="22">
        <f t="shared" si="168"/>
        <v>2.5342491095915753E-2</v>
      </c>
      <c r="BA11" s="22">
        <f t="shared" si="168"/>
        <v>2.5557325400339528E-2</v>
      </c>
      <c r="BB11" s="22">
        <f t="shared" si="168"/>
        <v>2.5384640769256152E-2</v>
      </c>
      <c r="BC11" s="22">
        <f t="shared" si="168"/>
        <v>2.5608247084757153E-2</v>
      </c>
      <c r="BD11" s="22">
        <f t="shared" si="168"/>
        <v>2.5437525437525439E-2</v>
      </c>
      <c r="BE11" s="22">
        <f t="shared" si="168"/>
        <v>2.5269065004164343E-2</v>
      </c>
      <c r="BF11" s="22">
        <f t="shared" si="168"/>
        <v>2.5501278634110714E-2</v>
      </c>
      <c r="BG11" s="22">
        <f t="shared" si="168"/>
        <v>2.5334603610358355E-2</v>
      </c>
      <c r="BH11" s="22">
        <f t="shared" si="168"/>
        <v>2.5576062442421891E-2</v>
      </c>
      <c r="BI11" s="22">
        <f t="shared" si="168"/>
        <v>2.5411055587954652E-2</v>
      </c>
      <c r="BJ11" s="22">
        <f t="shared" si="168"/>
        <v>2.524816420598058E-2</v>
      </c>
      <c r="BK11" s="22">
        <f t="shared" si="168"/>
        <v>2.5498615871383964E-2</v>
      </c>
      <c r="BL11" s="22">
        <f t="shared" si="168"/>
        <v>2.5337232226628367E-2</v>
      </c>
      <c r="BM11" s="22">
        <f t="shared" si="168"/>
        <v>2.5597509874239432E-2</v>
      </c>
      <c r="BN11" s="22">
        <f t="shared" si="168"/>
        <v>2.5437525437525435E-2</v>
      </c>
      <c r="BO11" s="22">
        <f t="shared" si="168"/>
        <v>2.5279528385118447E-2</v>
      </c>
      <c r="BP11" s="22">
        <f t="shared" si="168"/>
        <v>2.5549303640954615E-2</v>
      </c>
      <c r="BQ11" s="22">
        <f t="shared" ref="BQ11:EB11" si="169">BQ4/(BQ6*BQ18)/BQ9</f>
        <v>2.5392559446838329E-2</v>
      </c>
      <c r="BR11" s="22">
        <f t="shared" si="169"/>
        <v>2.5237726767284439E-2</v>
      </c>
      <c r="BS11" s="22">
        <f t="shared" si="169"/>
        <v>2.5517266896577243E-2</v>
      </c>
      <c r="BT11" s="22">
        <f t="shared" si="169"/>
        <v>2.5363548421296657E-2</v>
      </c>
      <c r="BU11" s="22">
        <f t="shared" si="169"/>
        <v>2.5653980901380838E-2</v>
      </c>
      <c r="BV11" s="22">
        <f t="shared" si="169"/>
        <v>2.5501278634110714E-2</v>
      </c>
      <c r="BW11" s="22">
        <f t="shared" si="169"/>
        <v>2.5350383494263908E-2</v>
      </c>
      <c r="BX11" s="22">
        <f t="shared" si="169"/>
        <v>2.5651286155487837E-2</v>
      </c>
      <c r="BY11" s="22">
        <f t="shared" si="169"/>
        <v>2.5501278634110714E-2</v>
      </c>
      <c r="BZ11" s="22">
        <f t="shared" si="169"/>
        <v>2.5353015386237975E-2</v>
      </c>
      <c r="CA11" s="22">
        <f t="shared" si="169"/>
        <v>2.566476554915861E-2</v>
      </c>
      <c r="CB11" s="22">
        <f t="shared" si="169"/>
        <v>2.5517266896577243E-2</v>
      </c>
      <c r="CC11" s="22">
        <f t="shared" si="169"/>
        <v>2.5371453942882517E-2</v>
      </c>
      <c r="CD11" s="22">
        <f t="shared" si="169"/>
        <v>2.5227297954570682E-2</v>
      </c>
      <c r="CE11" s="22">
        <f t="shared" si="169"/>
        <v>2.5549303640954618E-2</v>
      </c>
      <c r="CF11" s="22">
        <f t="shared" si="169"/>
        <v>2.5405768227241384E-2</v>
      </c>
      <c r="CG11" s="22">
        <f t="shared" si="169"/>
        <v>2.5263836561167412E-2</v>
      </c>
      <c r="CH11" s="22">
        <f t="shared" si="169"/>
        <v>2.5597509874239432E-2</v>
      </c>
      <c r="CI11" s="22">
        <f t="shared" si="169"/>
        <v>2.5456087167751926E-2</v>
      </c>
      <c r="CJ11" s="22">
        <f t="shared" si="169"/>
        <v>2.53162185569401E-2</v>
      </c>
      <c r="CK11" s="22">
        <f t="shared" si="169"/>
        <v>2.5662068537226166E-2</v>
      </c>
      <c r="CL11" s="22">
        <f t="shared" si="169"/>
        <v>2.5522600773436894E-2</v>
      </c>
      <c r="CM11" s="22">
        <f t="shared" si="169"/>
        <v>2.5384640769256152E-2</v>
      </c>
      <c r="CN11" s="22">
        <f t="shared" si="169"/>
        <v>2.5248164205980583E-2</v>
      </c>
      <c r="CO11" s="22">
        <f t="shared" si="169"/>
        <v>2.5605561937741873E-2</v>
      </c>
      <c r="CP11" s="22">
        <f t="shared" si="169"/>
        <v>2.546936214020069E-2</v>
      </c>
      <c r="CQ11" s="22">
        <f t="shared" si="169"/>
        <v>2.5334603610358358E-2</v>
      </c>
      <c r="CR11" s="22">
        <f t="shared" si="169"/>
        <v>2.5201263591356476E-2</v>
      </c>
      <c r="CS11" s="22">
        <f t="shared" si="169"/>
        <v>2.557070619897845E-2</v>
      </c>
      <c r="CT11" s="22">
        <f t="shared" si="169"/>
        <v>2.5437525437525435E-2</v>
      </c>
      <c r="CU11" s="22">
        <f t="shared" si="169"/>
        <v>2.5305724787590075E-2</v>
      </c>
      <c r="CV11" s="22">
        <f t="shared" si="169"/>
        <v>2.5689064191062927E-2</v>
      </c>
      <c r="CW11" s="22">
        <f t="shared" si="169"/>
        <v>2.5557325400339528E-2</v>
      </c>
      <c r="CX11" s="22">
        <f t="shared" si="169"/>
        <v>2.5426930882990861E-2</v>
      </c>
      <c r="CY11" s="22">
        <f t="shared" si="169"/>
        <v>2.5297860167848775E-2</v>
      </c>
      <c r="CZ11" s="22">
        <f t="shared" si="169"/>
        <v>2.5694470138914582E-2</v>
      </c>
      <c r="DA11" s="22">
        <f t="shared" si="169"/>
        <v>2.5565352198518024E-2</v>
      </c>
      <c r="DB11" s="22">
        <f t="shared" si="169"/>
        <v>2.5437525437525439E-2</v>
      </c>
      <c r="DC11" s="22">
        <f t="shared" si="169"/>
        <v>2.5310970584602424E-2</v>
      </c>
      <c r="DD11" s="22">
        <f t="shared" si="169"/>
        <v>2.5185668750025186E-2</v>
      </c>
      <c r="DE11" s="22">
        <f t="shared" si="169"/>
        <v>2.5594826978329759E-2</v>
      </c>
      <c r="DF11" s="22">
        <f t="shared" si="169"/>
        <v>2.546936214020069E-2</v>
      </c>
      <c r="DG11" s="22">
        <f t="shared" si="169"/>
        <v>2.534512134927288E-2</v>
      </c>
      <c r="DH11" s="22">
        <f t="shared" si="169"/>
        <v>2.5222086779616213E-2</v>
      </c>
      <c r="DI11" s="22">
        <f t="shared" si="169"/>
        <v>2.5645898361714367E-2</v>
      </c>
      <c r="DJ11" s="22">
        <f t="shared" si="169"/>
        <v>2.5522600773436894E-2</v>
      </c>
      <c r="DK11" s="22">
        <f t="shared" si="169"/>
        <v>2.5400483066386956E-2</v>
      </c>
      <c r="DL11" s="22">
        <f t="shared" si="169"/>
        <v>2.5279528385118443E-2</v>
      </c>
      <c r="DM11" s="22">
        <f t="shared" si="169"/>
        <v>2.5718825086913553E-2</v>
      </c>
      <c r="DN11" s="22">
        <f t="shared" si="169"/>
        <v>2.5597509874239435E-2</v>
      </c>
      <c r="DO11" s="22">
        <f t="shared" si="169"/>
        <v>2.5477333771543473E-2</v>
      </c>
      <c r="DP11" s="22">
        <f t="shared" si="169"/>
        <v>2.5358280809994208E-2</v>
      </c>
      <c r="DQ11" s="22">
        <f t="shared" si="169"/>
        <v>2.52403353178547E-2</v>
      </c>
      <c r="DR11" s="22">
        <f t="shared" si="169"/>
        <v>2.5694470138914582E-2</v>
      </c>
      <c r="DS11" s="22">
        <f t="shared" si="169"/>
        <v>2.5576062442421887E-2</v>
      </c>
      <c r="DT11" s="22">
        <f t="shared" si="169"/>
        <v>2.5458741055071329E-2</v>
      </c>
      <c r="DU11" s="22">
        <f t="shared" si="169"/>
        <v>2.5342491095915753E-2</v>
      </c>
      <c r="DV11" s="22">
        <f t="shared" si="169"/>
        <v>2.5227297954570679E-2</v>
      </c>
      <c r="DW11" s="22">
        <f t="shared" si="169"/>
        <v>2.5697173966141656E-2</v>
      </c>
      <c r="DX11" s="22">
        <f t="shared" si="169"/>
        <v>2.5581420930258142E-2</v>
      </c>
      <c r="DY11" s="22">
        <f t="shared" si="169"/>
        <v>2.5466706038194196E-2</v>
      </c>
      <c r="DZ11" s="22">
        <f t="shared" si="169"/>
        <v>2.5353015386237979E-2</v>
      </c>
      <c r="EA11" s="22">
        <f t="shared" si="169"/>
        <v>2.52403353178547E-2</v>
      </c>
      <c r="EB11" s="22">
        <f t="shared" si="169"/>
        <v>2.5726953666270987E-2</v>
      </c>
      <c r="EC11" s="22">
        <f t="shared" ref="EC11:FC11" si="170">EC4/(EC6*EC18)/EC9</f>
        <v>2.5613619068622213E-2</v>
      </c>
      <c r="ED11" s="22">
        <f t="shared" si="170"/>
        <v>2.5501278634110711E-2</v>
      </c>
      <c r="EE11" s="22">
        <f t="shared" si="170"/>
        <v>2.5389919338765252E-2</v>
      </c>
      <c r="EF11" s="22">
        <f t="shared" si="170"/>
        <v>2.527952838511845E-2</v>
      </c>
      <c r="EG11" s="22">
        <f t="shared" si="170"/>
        <v>2.517009319730408E-2</v>
      </c>
      <c r="EH11" s="22">
        <f t="shared" si="170"/>
        <v>2.5672859987410025E-2</v>
      </c>
      <c r="EI11" s="22">
        <f t="shared" si="170"/>
        <v>2.5562676038966208E-2</v>
      </c>
      <c r="EJ11" s="22">
        <f t="shared" si="170"/>
        <v>2.5453433833671484E-2</v>
      </c>
      <c r="EK11" s="22">
        <f t="shared" si="170"/>
        <v>2.534512134927288E-2</v>
      </c>
      <c r="EL11" s="22">
        <f t="shared" si="170"/>
        <v>2.5237726767284436E-2</v>
      </c>
      <c r="EM11" s="22">
        <f t="shared" si="170"/>
        <v>2.5131238468688297E-2</v>
      </c>
      <c r="EN11" s="22">
        <f t="shared" si="170"/>
        <v>2.565128615548784E-2</v>
      </c>
      <c r="EO11" s="22">
        <f t="shared" si="170"/>
        <v>2.5543958598351908E-2</v>
      </c>
      <c r="EP11" s="22">
        <f t="shared" si="170"/>
        <v>2.5437525437525439E-2</v>
      </c>
      <c r="EQ11" s="22">
        <f t="shared" si="170"/>
        <v>2.5331975539444419E-2</v>
      </c>
      <c r="ER11" s="22">
        <f t="shared" si="170"/>
        <v>2.5227297954570682E-2</v>
      </c>
      <c r="ES11" s="22">
        <f t="shared" si="170"/>
        <v>2.5123481913605372E-2</v>
      </c>
      <c r="ET11" s="22">
        <f t="shared" si="170"/>
        <v>2.5662068537226166E-2</v>
      </c>
      <c r="EU11" s="22">
        <f t="shared" si="170"/>
        <v>2.5557325400339528E-2</v>
      </c>
      <c r="EV11" s="22">
        <f t="shared" si="170"/>
        <v>2.5453433833671484E-2</v>
      </c>
      <c r="EW11" s="22">
        <f t="shared" si="170"/>
        <v>2.5350383494263908E-2</v>
      </c>
      <c r="EX11" s="22">
        <f t="shared" si="170"/>
        <v>2.5248164205980583E-2</v>
      </c>
      <c r="EY11" s="709"/>
      <c r="EZ11" s="709"/>
      <c r="FA11" s="709"/>
      <c r="FB11" s="22">
        <f t="shared" si="170"/>
        <v>2.5481082844096545E-2</v>
      </c>
      <c r="FC11" s="22">
        <f t="shared" si="170"/>
        <v>2.5481082844096541E-2</v>
      </c>
    </row>
    <row r="12" spans="2:159" x14ac:dyDescent="0.45">
      <c r="B12" s="137"/>
      <c r="C12" s="140" t="s">
        <v>0</v>
      </c>
      <c r="D12" s="75">
        <f>1/D11</f>
        <v>39.328379999999996</v>
      </c>
      <c r="E12" s="75">
        <f t="shared" ref="E12:BP12" si="171">1/E11</f>
        <v>39.324285000000003</v>
      </c>
      <c r="F12" s="75">
        <f t="shared" si="171"/>
        <v>39.311999999999998</v>
      </c>
      <c r="G12" s="75">
        <f t="shared" si="171"/>
        <v>39.291525</v>
      </c>
      <c r="H12" s="75">
        <f t="shared" si="171"/>
        <v>39.262859999999996</v>
      </c>
      <c r="I12" s="75">
        <f t="shared" si="171"/>
        <v>39.226005000000008</v>
      </c>
      <c r="J12" s="75">
        <f t="shared" si="171"/>
        <v>39.180959999999999</v>
      </c>
      <c r="K12" s="75">
        <f t="shared" si="171"/>
        <v>39.127725000000005</v>
      </c>
      <c r="L12" s="75">
        <f t="shared" si="171"/>
        <v>39.500369999999997</v>
      </c>
      <c r="M12" s="75">
        <f t="shared" si="171"/>
        <v>39.434849999999997</v>
      </c>
      <c r="N12" s="75">
        <f t="shared" si="171"/>
        <v>39.361140000000006</v>
      </c>
      <c r="O12" s="75">
        <f t="shared" si="171"/>
        <v>39.279240000000001</v>
      </c>
      <c r="P12" s="75">
        <f t="shared" si="171"/>
        <v>39.189150000000005</v>
      </c>
      <c r="Q12" s="75">
        <f t="shared" si="171"/>
        <v>39.090869999999995</v>
      </c>
      <c r="R12" s="75">
        <f t="shared" si="171"/>
        <v>39.443039999999996</v>
      </c>
      <c r="S12" s="75">
        <f t="shared" si="171"/>
        <v>39.332475000000002</v>
      </c>
      <c r="T12" s="75">
        <f t="shared" si="171"/>
        <v>39.213720000000009</v>
      </c>
      <c r="U12" s="75">
        <f t="shared" si="171"/>
        <v>39.086774999999996</v>
      </c>
      <c r="V12" s="75">
        <f t="shared" si="171"/>
        <v>39.426660000000005</v>
      </c>
      <c r="W12" s="75">
        <f t="shared" si="171"/>
        <v>39.287430000000001</v>
      </c>
      <c r="X12" s="75">
        <f t="shared" si="171"/>
        <v>39.140009999999997</v>
      </c>
      <c r="Y12" s="75">
        <f t="shared" si="171"/>
        <v>39.471704999999993</v>
      </c>
      <c r="Z12" s="75">
        <f t="shared" si="171"/>
        <v>39.311999999999998</v>
      </c>
      <c r="AA12" s="75">
        <f t="shared" si="171"/>
        <v>39.144105000000003</v>
      </c>
      <c r="AB12" s="75">
        <f t="shared" si="171"/>
        <v>39.467610000000001</v>
      </c>
      <c r="AC12" s="75">
        <f t="shared" si="171"/>
        <v>39.287430000000001</v>
      </c>
      <c r="AD12" s="75">
        <f t="shared" si="171"/>
        <v>39.099059999999994</v>
      </c>
      <c r="AE12" s="75">
        <f t="shared" si="171"/>
        <v>39.414375</v>
      </c>
      <c r="AF12" s="75">
        <f t="shared" si="171"/>
        <v>39.213720000000002</v>
      </c>
      <c r="AG12" s="75">
        <f t="shared" si="171"/>
        <v>39.524939999999994</v>
      </c>
      <c r="AH12" s="75">
        <f t="shared" si="171"/>
        <v>39.311999999999998</v>
      </c>
      <c r="AI12" s="75">
        <f t="shared" si="171"/>
        <v>39.090870000000002</v>
      </c>
      <c r="AJ12" s="75">
        <f t="shared" si="171"/>
        <v>39.393899999999995</v>
      </c>
      <c r="AK12" s="75">
        <f t="shared" si="171"/>
        <v>39.160485000000001</v>
      </c>
      <c r="AL12" s="75">
        <f t="shared" si="171"/>
        <v>39.459420000000001</v>
      </c>
      <c r="AM12" s="75">
        <f t="shared" si="171"/>
        <v>39.213720000000002</v>
      </c>
      <c r="AN12" s="75">
        <f t="shared" si="171"/>
        <v>39.508560000000003</v>
      </c>
      <c r="AO12" s="75">
        <f t="shared" si="171"/>
        <v>39.250575000000005</v>
      </c>
      <c r="AP12" s="75">
        <f t="shared" si="171"/>
        <v>39.541319999999999</v>
      </c>
      <c r="AQ12" s="75">
        <f t="shared" si="171"/>
        <v>39.271050000000002</v>
      </c>
      <c r="AR12" s="75">
        <f t="shared" si="171"/>
        <v>39.557700000000004</v>
      </c>
      <c r="AS12" s="75">
        <f t="shared" si="171"/>
        <v>39.275145000000002</v>
      </c>
      <c r="AT12" s="75">
        <f t="shared" si="171"/>
        <v>39.557700000000004</v>
      </c>
      <c r="AU12" s="75">
        <f t="shared" si="171"/>
        <v>39.262859999999996</v>
      </c>
      <c r="AV12" s="75">
        <f t="shared" si="171"/>
        <v>39.541319999999999</v>
      </c>
      <c r="AW12" s="75">
        <f t="shared" si="171"/>
        <v>39.234195</v>
      </c>
      <c r="AX12" s="75">
        <f t="shared" si="171"/>
        <v>39.508560000000003</v>
      </c>
      <c r="AY12" s="75">
        <f t="shared" si="171"/>
        <v>39.189150000000005</v>
      </c>
      <c r="AZ12" s="75">
        <f t="shared" si="171"/>
        <v>39.459420000000001</v>
      </c>
      <c r="BA12" s="75">
        <f t="shared" si="171"/>
        <v>39.127725000000005</v>
      </c>
      <c r="BB12" s="75">
        <f t="shared" si="171"/>
        <v>39.393900000000002</v>
      </c>
      <c r="BC12" s="75">
        <f t="shared" si="171"/>
        <v>39.04992</v>
      </c>
      <c r="BD12" s="75">
        <f t="shared" si="171"/>
        <v>39.311999999999998</v>
      </c>
      <c r="BE12" s="75">
        <f t="shared" si="171"/>
        <v>39.574080000000002</v>
      </c>
      <c r="BF12" s="75">
        <f t="shared" si="171"/>
        <v>39.213720000000002</v>
      </c>
      <c r="BG12" s="75">
        <f t="shared" si="171"/>
        <v>39.471705</v>
      </c>
      <c r="BH12" s="75">
        <f t="shared" si="171"/>
        <v>39.099059999999994</v>
      </c>
      <c r="BI12" s="75">
        <f t="shared" si="171"/>
        <v>39.35295</v>
      </c>
      <c r="BJ12" s="75">
        <f t="shared" si="171"/>
        <v>39.606840000000005</v>
      </c>
      <c r="BK12" s="75">
        <f t="shared" si="171"/>
        <v>39.217814999999995</v>
      </c>
      <c r="BL12" s="75">
        <f t="shared" si="171"/>
        <v>39.467610000000001</v>
      </c>
      <c r="BM12" s="75">
        <f t="shared" si="171"/>
        <v>39.066300000000005</v>
      </c>
      <c r="BN12" s="75">
        <f t="shared" si="171"/>
        <v>39.312000000000005</v>
      </c>
      <c r="BO12" s="75">
        <f t="shared" si="171"/>
        <v>39.557700000000004</v>
      </c>
      <c r="BP12" s="75">
        <f t="shared" si="171"/>
        <v>39.140009999999997</v>
      </c>
      <c r="BQ12" s="75">
        <f t="shared" ref="BQ12:EB12" si="172">1/BQ11</f>
        <v>39.381614999999996</v>
      </c>
      <c r="BR12" s="75">
        <f t="shared" si="172"/>
        <v>39.623219999999996</v>
      </c>
      <c r="BS12" s="75">
        <f t="shared" si="172"/>
        <v>39.189149999999998</v>
      </c>
      <c r="BT12" s="75">
        <f t="shared" si="172"/>
        <v>39.426659999999998</v>
      </c>
      <c r="BU12" s="75">
        <f t="shared" si="172"/>
        <v>38.980305000000001</v>
      </c>
      <c r="BV12" s="75">
        <f t="shared" si="172"/>
        <v>39.213720000000002</v>
      </c>
      <c r="BW12" s="75">
        <f t="shared" si="172"/>
        <v>39.447134999999996</v>
      </c>
      <c r="BX12" s="75">
        <f t="shared" si="172"/>
        <v>38.984400000000001</v>
      </c>
      <c r="BY12" s="75">
        <f t="shared" si="172"/>
        <v>39.213720000000002</v>
      </c>
      <c r="BZ12" s="75">
        <f t="shared" si="172"/>
        <v>39.443040000000003</v>
      </c>
      <c r="CA12" s="75">
        <f t="shared" si="172"/>
        <v>38.963925000000003</v>
      </c>
      <c r="CB12" s="75">
        <f t="shared" si="172"/>
        <v>39.189149999999998</v>
      </c>
      <c r="CC12" s="75">
        <f t="shared" si="172"/>
        <v>39.414374999999993</v>
      </c>
      <c r="CD12" s="75">
        <f t="shared" si="172"/>
        <v>39.639600000000002</v>
      </c>
      <c r="CE12" s="75">
        <f t="shared" si="172"/>
        <v>39.140009999999997</v>
      </c>
      <c r="CF12" s="75">
        <f t="shared" si="172"/>
        <v>39.361140000000006</v>
      </c>
      <c r="CG12" s="75">
        <f t="shared" si="172"/>
        <v>39.582270000000001</v>
      </c>
      <c r="CH12" s="75">
        <f t="shared" si="172"/>
        <v>39.066300000000005</v>
      </c>
      <c r="CI12" s="75">
        <f t="shared" si="172"/>
        <v>39.283334999999994</v>
      </c>
      <c r="CJ12" s="75">
        <f t="shared" si="172"/>
        <v>39.500369999999997</v>
      </c>
      <c r="CK12" s="75">
        <f t="shared" si="172"/>
        <v>38.968020000000003</v>
      </c>
      <c r="CL12" s="75">
        <f t="shared" si="172"/>
        <v>39.180959999999999</v>
      </c>
      <c r="CM12" s="75">
        <f t="shared" si="172"/>
        <v>39.393900000000002</v>
      </c>
      <c r="CN12" s="75">
        <f t="shared" si="172"/>
        <v>39.606839999999998</v>
      </c>
      <c r="CO12" s="75">
        <f t="shared" si="172"/>
        <v>39.054014999999993</v>
      </c>
      <c r="CP12" s="75">
        <f t="shared" si="172"/>
        <v>39.262859999999996</v>
      </c>
      <c r="CQ12" s="75">
        <f t="shared" si="172"/>
        <v>39.471705</v>
      </c>
      <c r="CR12" s="75">
        <f t="shared" si="172"/>
        <v>39.68054999999999</v>
      </c>
      <c r="CS12" s="75">
        <f t="shared" si="172"/>
        <v>39.107250000000001</v>
      </c>
      <c r="CT12" s="75">
        <f t="shared" si="172"/>
        <v>39.312000000000005</v>
      </c>
      <c r="CU12" s="75">
        <f t="shared" si="172"/>
        <v>39.516749999999995</v>
      </c>
      <c r="CV12" s="75">
        <f t="shared" si="172"/>
        <v>38.927070000000001</v>
      </c>
      <c r="CW12" s="75">
        <f t="shared" si="172"/>
        <v>39.127725000000005</v>
      </c>
      <c r="CX12" s="75">
        <f t="shared" si="172"/>
        <v>39.328379999999996</v>
      </c>
      <c r="CY12" s="75">
        <f t="shared" si="172"/>
        <v>39.529034999999993</v>
      </c>
      <c r="CZ12" s="75">
        <f t="shared" si="172"/>
        <v>38.918880000000001</v>
      </c>
      <c r="DA12" s="75">
        <f t="shared" si="172"/>
        <v>39.115440000000007</v>
      </c>
      <c r="DB12" s="75">
        <f t="shared" si="172"/>
        <v>39.311999999999998</v>
      </c>
      <c r="DC12" s="75">
        <f t="shared" si="172"/>
        <v>39.508560000000003</v>
      </c>
      <c r="DD12" s="75">
        <f t="shared" si="172"/>
        <v>39.705120000000001</v>
      </c>
      <c r="DE12" s="75">
        <f t="shared" si="172"/>
        <v>39.070394999999998</v>
      </c>
      <c r="DF12" s="75">
        <f t="shared" si="172"/>
        <v>39.262859999999996</v>
      </c>
      <c r="DG12" s="75">
        <f t="shared" si="172"/>
        <v>39.455325000000002</v>
      </c>
      <c r="DH12" s="75">
        <f t="shared" si="172"/>
        <v>39.647790000000008</v>
      </c>
      <c r="DI12" s="75">
        <f t="shared" si="172"/>
        <v>38.99259</v>
      </c>
      <c r="DJ12" s="75">
        <f t="shared" si="172"/>
        <v>39.180959999999999</v>
      </c>
      <c r="DK12" s="75">
        <f t="shared" si="172"/>
        <v>39.369329999999998</v>
      </c>
      <c r="DL12" s="75">
        <f t="shared" si="172"/>
        <v>39.557700000000004</v>
      </c>
      <c r="DM12" s="75">
        <f t="shared" si="172"/>
        <v>38.882024999999999</v>
      </c>
      <c r="DN12" s="75">
        <f t="shared" si="172"/>
        <v>39.066299999999998</v>
      </c>
      <c r="DO12" s="75">
        <f t="shared" si="172"/>
        <v>39.250575000000005</v>
      </c>
      <c r="DP12" s="75">
        <f t="shared" si="172"/>
        <v>39.434849999999997</v>
      </c>
      <c r="DQ12" s="75">
        <f t="shared" si="172"/>
        <v>39.619124999999997</v>
      </c>
      <c r="DR12" s="75">
        <f t="shared" si="172"/>
        <v>38.918880000000001</v>
      </c>
      <c r="DS12" s="75">
        <f t="shared" si="172"/>
        <v>39.099060000000001</v>
      </c>
      <c r="DT12" s="75">
        <f t="shared" si="172"/>
        <v>39.279240000000001</v>
      </c>
      <c r="DU12" s="75">
        <f t="shared" si="172"/>
        <v>39.459420000000001</v>
      </c>
      <c r="DV12" s="75">
        <f t="shared" si="172"/>
        <v>39.639600000000002</v>
      </c>
      <c r="DW12" s="75">
        <f t="shared" si="172"/>
        <v>38.914785000000009</v>
      </c>
      <c r="DX12" s="75">
        <f t="shared" si="172"/>
        <v>39.090869999999995</v>
      </c>
      <c r="DY12" s="75">
        <f t="shared" si="172"/>
        <v>39.26695500000001</v>
      </c>
      <c r="DZ12" s="75">
        <f t="shared" si="172"/>
        <v>39.443039999999996</v>
      </c>
      <c r="EA12" s="75">
        <f t="shared" si="172"/>
        <v>39.619124999999997</v>
      </c>
      <c r="EB12" s="75">
        <f t="shared" si="172"/>
        <v>38.86974</v>
      </c>
      <c r="EC12" s="75">
        <f t="shared" ref="EC12:FC12" si="173">1/EC11</f>
        <v>39.041730000000001</v>
      </c>
      <c r="ED12" s="75">
        <f t="shared" si="173"/>
        <v>39.213720000000009</v>
      </c>
      <c r="EE12" s="75">
        <f t="shared" si="173"/>
        <v>39.385710000000003</v>
      </c>
      <c r="EF12" s="75">
        <f t="shared" si="173"/>
        <v>39.557699999999997</v>
      </c>
      <c r="EG12" s="75">
        <f t="shared" si="173"/>
        <v>39.729690000000005</v>
      </c>
      <c r="EH12" s="75">
        <f t="shared" si="173"/>
        <v>38.951640000000005</v>
      </c>
      <c r="EI12" s="75">
        <f t="shared" si="173"/>
        <v>39.119534999999999</v>
      </c>
      <c r="EJ12" s="75">
        <f t="shared" si="173"/>
        <v>39.287430000000001</v>
      </c>
      <c r="EK12" s="75">
        <f t="shared" si="173"/>
        <v>39.455325000000002</v>
      </c>
      <c r="EL12" s="75">
        <f t="shared" si="173"/>
        <v>39.623219999999996</v>
      </c>
      <c r="EM12" s="75">
        <f t="shared" si="173"/>
        <v>39.791115000000005</v>
      </c>
      <c r="EN12" s="75">
        <f t="shared" si="173"/>
        <v>38.984399999999994</v>
      </c>
      <c r="EO12" s="75">
        <f t="shared" si="173"/>
        <v>39.148199999999996</v>
      </c>
      <c r="EP12" s="75">
        <f t="shared" si="173"/>
        <v>39.311999999999998</v>
      </c>
      <c r="EQ12" s="75">
        <f t="shared" si="173"/>
        <v>39.4758</v>
      </c>
      <c r="ER12" s="75">
        <f t="shared" si="173"/>
        <v>39.639600000000002</v>
      </c>
      <c r="ES12" s="75">
        <f t="shared" si="173"/>
        <v>39.803399999999996</v>
      </c>
      <c r="ET12" s="75">
        <f t="shared" si="173"/>
        <v>38.968020000000003</v>
      </c>
      <c r="EU12" s="75">
        <f t="shared" si="173"/>
        <v>39.127725000000005</v>
      </c>
      <c r="EV12" s="75">
        <f t="shared" si="173"/>
        <v>39.287430000000001</v>
      </c>
      <c r="EW12" s="75">
        <f t="shared" si="173"/>
        <v>39.447134999999996</v>
      </c>
      <c r="EX12" s="75">
        <f t="shared" si="173"/>
        <v>39.606839999999998</v>
      </c>
      <c r="EY12" s="714">
        <f>MIN(D12:EQ12)</f>
        <v>38.86974</v>
      </c>
      <c r="EZ12" s="714">
        <f>MAX(E12:EQ12)</f>
        <v>39.791115000000005</v>
      </c>
      <c r="FA12" s="709"/>
      <c r="FB12" s="75">
        <f t="shared" si="173"/>
        <v>39.244799999999998</v>
      </c>
      <c r="FC12" s="75">
        <f t="shared" si="173"/>
        <v>39.244800000000005</v>
      </c>
    </row>
    <row r="13" spans="2:159" s="31" customFormat="1" x14ac:dyDescent="0.45">
      <c r="B13" s="151"/>
      <c r="C13" s="152" t="s">
        <v>1160</v>
      </c>
      <c r="D13" s="153">
        <f>(D12-$E$2)/$E$2</f>
        <v>4.1666666666661742E-4</v>
      </c>
      <c r="E13" s="153">
        <f>(E12-$E$2)/$E$2</f>
        <v>3.1250000000014383E-4</v>
      </c>
      <c r="F13" s="153">
        <f>(F12-$E$2)/$E$2</f>
        <v>0</v>
      </c>
      <c r="G13" s="153">
        <f>(G12-$E$2)/$E$2</f>
        <v>-5.2083333333327174E-4</v>
      </c>
      <c r="H13" s="153">
        <f>(H12-$E$2)/$E$2</f>
        <v>-1.250000000000033E-3</v>
      </c>
      <c r="I13" s="153">
        <f t="shared" ref="I13:BT13" si="174">(I12-$E$2)/$E$2</f>
        <v>-2.1874999999997413E-3</v>
      </c>
      <c r="J13" s="153">
        <f t="shared" si="174"/>
        <v>-3.3333333333333006E-3</v>
      </c>
      <c r="K13" s="153">
        <f t="shared" si="174"/>
        <v>-4.6874999999998073E-3</v>
      </c>
      <c r="L13" s="153">
        <f t="shared" si="174"/>
        <v>4.7916666666666429E-3</v>
      </c>
      <c r="M13" s="153">
        <f t="shared" si="174"/>
        <v>3.1249999999999919E-3</v>
      </c>
      <c r="N13" s="153">
        <f t="shared" si="174"/>
        <v>1.2500000000002138E-3</v>
      </c>
      <c r="O13" s="153">
        <f t="shared" si="174"/>
        <v>-8.3333333333323483E-4</v>
      </c>
      <c r="P13" s="153">
        <f t="shared" si="174"/>
        <v>-3.1249999999998115E-3</v>
      </c>
      <c r="Q13" s="153">
        <f t="shared" si="174"/>
        <v>-5.6250000000000579E-3</v>
      </c>
      <c r="R13" s="153">
        <f t="shared" si="174"/>
        <v>3.3333333333333006E-3</v>
      </c>
      <c r="S13" s="153">
        <f t="shared" si="174"/>
        <v>5.2083333333345248E-4</v>
      </c>
      <c r="T13" s="153">
        <f t="shared" si="174"/>
        <v>-2.4999999999997043E-3</v>
      </c>
      <c r="U13" s="153">
        <f t="shared" si="174"/>
        <v>-5.7291666666667122E-3</v>
      </c>
      <c r="V13" s="153">
        <f t="shared" si="174"/>
        <v>2.9166666666668641E-3</v>
      </c>
      <c r="W13" s="153">
        <f t="shared" si="174"/>
        <v>-6.2499999999992607E-4</v>
      </c>
      <c r="X13" s="153">
        <f t="shared" si="174"/>
        <v>-4.3750000000000247E-3</v>
      </c>
      <c r="Y13" s="153">
        <f t="shared" si="174"/>
        <v>4.0624999999998813E-3</v>
      </c>
      <c r="Z13" s="153">
        <f t="shared" si="174"/>
        <v>0</v>
      </c>
      <c r="AA13" s="153">
        <f t="shared" si="174"/>
        <v>-4.27083333333319E-3</v>
      </c>
      <c r="AB13" s="153">
        <f t="shared" si="174"/>
        <v>3.9583333333334074E-3</v>
      </c>
      <c r="AC13" s="153">
        <f t="shared" si="174"/>
        <v>-6.2499999999992607E-4</v>
      </c>
      <c r="AD13" s="153">
        <f t="shared" si="174"/>
        <v>-5.4166666666667493E-3</v>
      </c>
      <c r="AE13" s="153">
        <f t="shared" si="174"/>
        <v>2.6041666666667203E-3</v>
      </c>
      <c r="AF13" s="153">
        <f t="shared" si="174"/>
        <v>-2.4999999999998851E-3</v>
      </c>
      <c r="AG13" s="153">
        <f t="shared" si="174"/>
        <v>5.4166666666665688E-3</v>
      </c>
      <c r="AH13" s="153">
        <f t="shared" si="174"/>
        <v>0</v>
      </c>
      <c r="AI13" s="153">
        <f t="shared" si="174"/>
        <v>-5.6249999999998775E-3</v>
      </c>
      <c r="AJ13" s="153">
        <f t="shared" si="174"/>
        <v>2.0833333333332678E-3</v>
      </c>
      <c r="AK13" s="153">
        <f t="shared" si="174"/>
        <v>-3.8541666666665727E-3</v>
      </c>
      <c r="AL13" s="153">
        <f t="shared" si="174"/>
        <v>3.7500000000000992E-3</v>
      </c>
      <c r="AM13" s="153">
        <f t="shared" si="174"/>
        <v>-2.4999999999998851E-3</v>
      </c>
      <c r="AN13" s="153">
        <f t="shared" si="174"/>
        <v>5.0000000000001319E-3</v>
      </c>
      <c r="AO13" s="153">
        <f t="shared" si="174"/>
        <v>-1.5624999999998153E-3</v>
      </c>
      <c r="AP13" s="153">
        <f t="shared" si="174"/>
        <v>5.8333333333333666E-3</v>
      </c>
      <c r="AQ13" s="153">
        <f t="shared" si="174"/>
        <v>-1.0416666666665435E-3</v>
      </c>
      <c r="AR13" s="153">
        <f t="shared" si="174"/>
        <v>6.2500000000001651E-3</v>
      </c>
      <c r="AS13" s="153">
        <f t="shared" si="174"/>
        <v>-9.3749999999988916E-4</v>
      </c>
      <c r="AT13" s="153">
        <f t="shared" si="174"/>
        <v>6.2500000000001651E-3</v>
      </c>
      <c r="AU13" s="153">
        <f t="shared" si="174"/>
        <v>-1.250000000000033E-3</v>
      </c>
      <c r="AV13" s="153">
        <f t="shared" si="174"/>
        <v>5.8333333333333666E-3</v>
      </c>
      <c r="AW13" s="153">
        <f t="shared" si="174"/>
        <v>-1.9791666666666135E-3</v>
      </c>
      <c r="AX13" s="153">
        <f t="shared" si="174"/>
        <v>5.0000000000001319E-3</v>
      </c>
      <c r="AY13" s="153">
        <f t="shared" si="174"/>
        <v>-3.1249999999998115E-3</v>
      </c>
      <c r="AZ13" s="153">
        <f t="shared" si="174"/>
        <v>3.7500000000000992E-3</v>
      </c>
      <c r="BA13" s="153">
        <f t="shared" si="174"/>
        <v>-4.6874999999998073E-3</v>
      </c>
      <c r="BB13" s="153">
        <f t="shared" si="174"/>
        <v>2.0833333333334487E-3</v>
      </c>
      <c r="BC13" s="153">
        <f t="shared" si="174"/>
        <v>-6.6666666666666012E-3</v>
      </c>
      <c r="BD13" s="153">
        <f t="shared" si="174"/>
        <v>0</v>
      </c>
      <c r="BE13" s="153">
        <f t="shared" si="174"/>
        <v>6.6666666666667825E-3</v>
      </c>
      <c r="BF13" s="153">
        <f t="shared" si="174"/>
        <v>-2.4999999999998851E-3</v>
      </c>
      <c r="BG13" s="153">
        <f t="shared" si="174"/>
        <v>4.0625000000000617E-3</v>
      </c>
      <c r="BH13" s="153">
        <f t="shared" si="174"/>
        <v>-5.4166666666667493E-3</v>
      </c>
      <c r="BI13" s="153">
        <f t="shared" si="174"/>
        <v>1.0416666666667243E-3</v>
      </c>
      <c r="BJ13" s="153">
        <f t="shared" si="174"/>
        <v>7.5000000000001983E-3</v>
      </c>
      <c r="BK13" s="153">
        <f t="shared" si="174"/>
        <v>-2.3958333333334116E-3</v>
      </c>
      <c r="BL13" s="153">
        <f t="shared" si="174"/>
        <v>3.9583333333334074E-3</v>
      </c>
      <c r="BM13" s="153">
        <f t="shared" si="174"/>
        <v>-6.2499999999998035E-3</v>
      </c>
      <c r="BN13" s="153">
        <f t="shared" si="174"/>
        <v>1.8074448915346465E-16</v>
      </c>
      <c r="BO13" s="153">
        <f t="shared" si="174"/>
        <v>6.2500000000001651E-3</v>
      </c>
      <c r="BP13" s="153">
        <f t="shared" si="174"/>
        <v>-4.3750000000000247E-3</v>
      </c>
      <c r="BQ13" s="153">
        <f t="shared" si="174"/>
        <v>1.7708333333333048E-3</v>
      </c>
      <c r="BR13" s="153">
        <f t="shared" si="174"/>
        <v>7.9166666666666344E-3</v>
      </c>
      <c r="BS13" s="153">
        <f t="shared" si="174"/>
        <v>-3.1249999999999919E-3</v>
      </c>
      <c r="BT13" s="153">
        <f t="shared" si="174"/>
        <v>2.9166666666666833E-3</v>
      </c>
      <c r="BU13" s="153">
        <f t="shared" ref="BU13:EF13" si="175">(BU12-$E$2)/$E$2</f>
        <v>-8.4374999999999069E-3</v>
      </c>
      <c r="BV13" s="153">
        <f t="shared" si="175"/>
        <v>-2.4999999999998851E-3</v>
      </c>
      <c r="BW13" s="153">
        <f t="shared" si="175"/>
        <v>3.4374999999999553E-3</v>
      </c>
      <c r="BX13" s="153">
        <f t="shared" si="175"/>
        <v>-8.3333333333332517E-3</v>
      </c>
      <c r="BY13" s="153">
        <f t="shared" si="175"/>
        <v>-2.4999999999998851E-3</v>
      </c>
      <c r="BZ13" s="153">
        <f t="shared" si="175"/>
        <v>3.3333333333334814E-3</v>
      </c>
      <c r="CA13" s="153">
        <f t="shared" si="175"/>
        <v>-8.8541666666665242E-3</v>
      </c>
      <c r="CB13" s="153">
        <f t="shared" si="175"/>
        <v>-3.1249999999999919E-3</v>
      </c>
      <c r="CC13" s="153">
        <f t="shared" si="175"/>
        <v>2.6041666666665395E-3</v>
      </c>
      <c r="CD13" s="153">
        <f t="shared" si="175"/>
        <v>8.3333333333334321E-3</v>
      </c>
      <c r="CE13" s="153">
        <f t="shared" si="175"/>
        <v>-4.3750000000000247E-3</v>
      </c>
      <c r="CF13" s="153">
        <f t="shared" si="175"/>
        <v>1.2500000000002138E-3</v>
      </c>
      <c r="CG13" s="153">
        <f t="shared" si="175"/>
        <v>6.8750000000000911E-3</v>
      </c>
      <c r="CH13" s="153">
        <f t="shared" si="175"/>
        <v>-6.2499999999998035E-3</v>
      </c>
      <c r="CI13" s="153">
        <f t="shared" si="175"/>
        <v>-7.2916666666676124E-4</v>
      </c>
      <c r="CJ13" s="153">
        <f t="shared" si="175"/>
        <v>4.7916666666666429E-3</v>
      </c>
      <c r="CK13" s="153">
        <f t="shared" si="175"/>
        <v>-8.749999999999869E-3</v>
      </c>
      <c r="CL13" s="153">
        <f t="shared" si="175"/>
        <v>-3.3333333333333006E-3</v>
      </c>
      <c r="CM13" s="153">
        <f t="shared" si="175"/>
        <v>2.0833333333334487E-3</v>
      </c>
      <c r="CN13" s="153">
        <f t="shared" si="175"/>
        <v>7.5000000000000171E-3</v>
      </c>
      <c r="CO13" s="153">
        <f t="shared" si="175"/>
        <v>-6.5625000000001281E-3</v>
      </c>
      <c r="CP13" s="153">
        <f t="shared" si="175"/>
        <v>-1.250000000000033E-3</v>
      </c>
      <c r="CQ13" s="153">
        <f t="shared" si="175"/>
        <v>4.0625000000000617E-3</v>
      </c>
      <c r="CR13" s="153">
        <f t="shared" si="175"/>
        <v>9.374999999999795E-3</v>
      </c>
      <c r="CS13" s="153">
        <f t="shared" si="175"/>
        <v>-5.2083333333332602E-3</v>
      </c>
      <c r="CT13" s="153">
        <f t="shared" si="175"/>
        <v>1.8074448915346465E-16</v>
      </c>
      <c r="CU13" s="153">
        <f t="shared" si="175"/>
        <v>5.2083333333332602E-3</v>
      </c>
      <c r="CV13" s="153">
        <f t="shared" si="175"/>
        <v>-9.7916666666665944E-3</v>
      </c>
      <c r="CW13" s="153">
        <f t="shared" si="175"/>
        <v>-4.6874999999998073E-3</v>
      </c>
      <c r="CX13" s="153">
        <f t="shared" si="175"/>
        <v>4.1666666666661742E-4</v>
      </c>
      <c r="CY13" s="153">
        <f t="shared" si="175"/>
        <v>5.5208333333332232E-3</v>
      </c>
      <c r="CZ13" s="153">
        <f t="shared" si="175"/>
        <v>-9.9999999999999031E-3</v>
      </c>
      <c r="DA13" s="153">
        <f t="shared" si="175"/>
        <v>-4.9999999999997703E-3</v>
      </c>
      <c r="DB13" s="153">
        <f t="shared" si="175"/>
        <v>0</v>
      </c>
      <c r="DC13" s="153">
        <f t="shared" si="175"/>
        <v>5.0000000000001319E-3</v>
      </c>
      <c r="DD13" s="153">
        <f t="shared" si="175"/>
        <v>1.0000000000000083E-2</v>
      </c>
      <c r="DE13" s="153">
        <f t="shared" si="175"/>
        <v>-6.1458333333333295E-3</v>
      </c>
      <c r="DF13" s="153">
        <f t="shared" si="175"/>
        <v>-1.250000000000033E-3</v>
      </c>
      <c r="DG13" s="153">
        <f t="shared" si="175"/>
        <v>3.6458333333334444E-3</v>
      </c>
      <c r="DH13" s="153">
        <f t="shared" si="175"/>
        <v>8.5416666666669229E-3</v>
      </c>
      <c r="DI13" s="153">
        <f t="shared" si="175"/>
        <v>-8.124999999999943E-3</v>
      </c>
      <c r="DJ13" s="153">
        <f t="shared" si="175"/>
        <v>-3.3333333333333006E-3</v>
      </c>
      <c r="DK13" s="153">
        <f t="shared" si="175"/>
        <v>1.4583333333333416E-3</v>
      </c>
      <c r="DL13" s="153">
        <f t="shared" si="175"/>
        <v>6.2500000000001651E-3</v>
      </c>
      <c r="DM13" s="153">
        <f t="shared" si="175"/>
        <v>-1.0937499999999972E-2</v>
      </c>
      <c r="DN13" s="153">
        <f t="shared" si="175"/>
        <v>-6.2499999999999839E-3</v>
      </c>
      <c r="DO13" s="153">
        <f t="shared" si="175"/>
        <v>-1.5624999999998153E-3</v>
      </c>
      <c r="DP13" s="153">
        <f t="shared" si="175"/>
        <v>3.1249999999999919E-3</v>
      </c>
      <c r="DQ13" s="153">
        <f t="shared" si="175"/>
        <v>7.8124999999999801E-3</v>
      </c>
      <c r="DR13" s="153">
        <f t="shared" si="175"/>
        <v>-9.9999999999999031E-3</v>
      </c>
      <c r="DS13" s="153">
        <f t="shared" si="175"/>
        <v>-5.4166666666665688E-3</v>
      </c>
      <c r="DT13" s="153">
        <f t="shared" si="175"/>
        <v>-8.3333333333323483E-4</v>
      </c>
      <c r="DU13" s="153">
        <f t="shared" si="175"/>
        <v>3.7500000000000992E-3</v>
      </c>
      <c r="DV13" s="153">
        <f t="shared" si="175"/>
        <v>8.3333333333334321E-3</v>
      </c>
      <c r="DW13" s="153">
        <f t="shared" si="175"/>
        <v>-1.0104166666666376E-2</v>
      </c>
      <c r="DX13" s="153">
        <f t="shared" si="175"/>
        <v>-5.6250000000000579E-3</v>
      </c>
      <c r="DY13" s="153">
        <f t="shared" si="175"/>
        <v>-1.1458333333330172E-3</v>
      </c>
      <c r="DZ13" s="153">
        <f t="shared" si="175"/>
        <v>3.3333333333333006E-3</v>
      </c>
      <c r="EA13" s="153">
        <f t="shared" si="175"/>
        <v>7.8124999999999801E-3</v>
      </c>
      <c r="EB13" s="153">
        <f t="shared" si="175"/>
        <v>-1.1249999999999935E-2</v>
      </c>
      <c r="EC13" s="153">
        <f t="shared" si="175"/>
        <v>-6.8749999999999107E-3</v>
      </c>
      <c r="ED13" s="153">
        <f t="shared" si="175"/>
        <v>-2.4999999999997043E-3</v>
      </c>
      <c r="EE13" s="153">
        <f t="shared" si="175"/>
        <v>1.8750000000001398E-3</v>
      </c>
      <c r="EF13" s="153">
        <f t="shared" si="175"/>
        <v>6.2499999999999839E-3</v>
      </c>
      <c r="EG13" s="153">
        <f t="shared" ref="EG13:FC13" si="176">(EG12-$E$2)/$E$2</f>
        <v>1.062500000000019E-2</v>
      </c>
      <c r="EH13" s="153">
        <f t="shared" si="176"/>
        <v>-9.1666666666664863E-3</v>
      </c>
      <c r="EI13" s="153">
        <f t="shared" si="176"/>
        <v>-4.8958333333332972E-3</v>
      </c>
      <c r="EJ13" s="153">
        <f t="shared" si="176"/>
        <v>-6.2499999999992607E-4</v>
      </c>
      <c r="EK13" s="153">
        <f t="shared" si="176"/>
        <v>3.6458333333334444E-3</v>
      </c>
      <c r="EL13" s="153">
        <f t="shared" si="176"/>
        <v>7.9166666666666344E-3</v>
      </c>
      <c r="EM13" s="153">
        <f t="shared" si="176"/>
        <v>1.2187500000000186E-2</v>
      </c>
      <c r="EN13" s="153">
        <f t="shared" si="176"/>
        <v>-8.3333333333334321E-3</v>
      </c>
      <c r="EO13" s="153">
        <f t="shared" si="176"/>
        <v>-4.166666666666716E-3</v>
      </c>
      <c r="EP13" s="153">
        <f t="shared" si="176"/>
        <v>0</v>
      </c>
      <c r="EQ13" s="153">
        <f t="shared" si="176"/>
        <v>4.166666666666716E-3</v>
      </c>
      <c r="ER13" s="153">
        <f t="shared" si="176"/>
        <v>8.3333333333334321E-3</v>
      </c>
      <c r="ES13" s="153">
        <f t="shared" si="176"/>
        <v>1.2499999999999968E-2</v>
      </c>
      <c r="ET13" s="153">
        <f t="shared" si="176"/>
        <v>-8.749999999999869E-3</v>
      </c>
      <c r="EU13" s="153">
        <f t="shared" si="176"/>
        <v>-4.6874999999998073E-3</v>
      </c>
      <c r="EV13" s="153">
        <f t="shared" si="176"/>
        <v>-6.2499999999992607E-4</v>
      </c>
      <c r="EW13" s="153">
        <f t="shared" si="176"/>
        <v>3.4374999999999553E-3</v>
      </c>
      <c r="EX13" s="153">
        <f t="shared" si="176"/>
        <v>7.5000000000000171E-3</v>
      </c>
      <c r="EY13" s="722">
        <f>MIN(D13:EQ13)</f>
        <v>-1.1249999999999935E-2</v>
      </c>
      <c r="EZ13" s="722">
        <f>MAX(E13:EQ13)</f>
        <v>1.2187500000000186E-2</v>
      </c>
      <c r="FA13" s="709"/>
      <c r="FB13" s="153">
        <f t="shared" si="176"/>
        <v>-1.709401709401702E-3</v>
      </c>
      <c r="FC13" s="153">
        <f t="shared" si="176"/>
        <v>-1.7094017094015212E-3</v>
      </c>
    </row>
    <row r="14" spans="2:159" x14ac:dyDescent="0.45">
      <c r="B14" s="133" t="s">
        <v>7</v>
      </c>
      <c r="C14" s="134" t="s">
        <v>5</v>
      </c>
      <c r="D14" s="74">
        <f>D6*D18*D9</f>
        <v>401310</v>
      </c>
      <c r="E14" s="74">
        <f t="shared" ref="E14:BO14" si="177">E6*E18*E9</f>
        <v>397215</v>
      </c>
      <c r="F14" s="74">
        <f t="shared" si="177"/>
        <v>393120</v>
      </c>
      <c r="G14" s="74">
        <f t="shared" si="177"/>
        <v>389025</v>
      </c>
      <c r="H14" s="74">
        <f t="shared" si="177"/>
        <v>384930</v>
      </c>
      <c r="I14" s="74">
        <f t="shared" si="177"/>
        <v>380835</v>
      </c>
      <c r="J14" s="74">
        <f t="shared" si="177"/>
        <v>376740</v>
      </c>
      <c r="K14" s="74">
        <f t="shared" si="177"/>
        <v>372645</v>
      </c>
      <c r="L14" s="74">
        <f t="shared" si="177"/>
        <v>372645</v>
      </c>
      <c r="M14" s="74">
        <f t="shared" si="177"/>
        <v>368550</v>
      </c>
      <c r="N14" s="74">
        <f>N6*N18*N9</f>
        <v>364455</v>
      </c>
      <c r="O14" s="74">
        <f t="shared" si="177"/>
        <v>360360</v>
      </c>
      <c r="P14" s="74">
        <f t="shared" si="177"/>
        <v>356265</v>
      </c>
      <c r="Q14" s="74">
        <f t="shared" si="177"/>
        <v>352170</v>
      </c>
      <c r="R14" s="74">
        <f t="shared" si="177"/>
        <v>352170</v>
      </c>
      <c r="S14" s="74">
        <f t="shared" si="177"/>
        <v>348075</v>
      </c>
      <c r="T14" s="74">
        <f t="shared" si="177"/>
        <v>343980</v>
      </c>
      <c r="U14" s="74">
        <f t="shared" si="177"/>
        <v>339885</v>
      </c>
      <c r="V14" s="74">
        <f t="shared" si="177"/>
        <v>339885</v>
      </c>
      <c r="W14" s="74">
        <f t="shared" si="177"/>
        <v>335790</v>
      </c>
      <c r="X14" s="74">
        <f t="shared" si="177"/>
        <v>331695</v>
      </c>
      <c r="Y14" s="74">
        <f t="shared" si="177"/>
        <v>331695</v>
      </c>
      <c r="Z14" s="74">
        <f t="shared" si="177"/>
        <v>327600</v>
      </c>
      <c r="AA14" s="74">
        <f t="shared" si="177"/>
        <v>323505</v>
      </c>
      <c r="AB14" s="74">
        <f t="shared" si="177"/>
        <v>323505</v>
      </c>
      <c r="AC14" s="74">
        <f t="shared" si="177"/>
        <v>319410</v>
      </c>
      <c r="AD14" s="74">
        <f t="shared" si="177"/>
        <v>315315</v>
      </c>
      <c r="AE14" s="74">
        <f t="shared" si="177"/>
        <v>315315</v>
      </c>
      <c r="AF14" s="74">
        <f t="shared" si="177"/>
        <v>311220</v>
      </c>
      <c r="AG14" s="74">
        <f t="shared" si="177"/>
        <v>311220</v>
      </c>
      <c r="AH14" s="74">
        <f t="shared" si="177"/>
        <v>307125</v>
      </c>
      <c r="AI14" s="74">
        <f t="shared" si="177"/>
        <v>303030</v>
      </c>
      <c r="AJ14" s="74">
        <f t="shared" si="177"/>
        <v>303030</v>
      </c>
      <c r="AK14" s="74">
        <f t="shared" si="177"/>
        <v>298935</v>
      </c>
      <c r="AL14" s="74">
        <f t="shared" si="177"/>
        <v>298935</v>
      </c>
      <c r="AM14" s="74">
        <f t="shared" si="177"/>
        <v>294840</v>
      </c>
      <c r="AN14" s="74">
        <f t="shared" si="177"/>
        <v>294840</v>
      </c>
      <c r="AO14" s="74">
        <f t="shared" si="177"/>
        <v>290745</v>
      </c>
      <c r="AP14" s="74">
        <f t="shared" si="177"/>
        <v>290745</v>
      </c>
      <c r="AQ14" s="74">
        <f t="shared" si="177"/>
        <v>286650</v>
      </c>
      <c r="AR14" s="74">
        <f t="shared" si="177"/>
        <v>286650</v>
      </c>
      <c r="AS14" s="74">
        <f t="shared" si="177"/>
        <v>282555</v>
      </c>
      <c r="AT14" s="74">
        <f t="shared" si="177"/>
        <v>282555</v>
      </c>
      <c r="AU14" s="74">
        <f t="shared" si="177"/>
        <v>278460</v>
      </c>
      <c r="AV14" s="74">
        <f t="shared" si="177"/>
        <v>278460</v>
      </c>
      <c r="AW14" s="74">
        <f t="shared" si="177"/>
        <v>274365</v>
      </c>
      <c r="AX14" s="74">
        <f t="shared" si="177"/>
        <v>274365</v>
      </c>
      <c r="AY14" s="74">
        <f t="shared" si="177"/>
        <v>270270</v>
      </c>
      <c r="AZ14" s="74">
        <f t="shared" si="177"/>
        <v>270270</v>
      </c>
      <c r="BA14" s="74">
        <f t="shared" si="177"/>
        <v>266175</v>
      </c>
      <c r="BB14" s="74">
        <f t="shared" si="177"/>
        <v>266175</v>
      </c>
      <c r="BC14" s="74">
        <f t="shared" si="177"/>
        <v>262080</v>
      </c>
      <c r="BD14" s="74">
        <f t="shared" si="177"/>
        <v>262080</v>
      </c>
      <c r="BE14" s="74">
        <f t="shared" si="177"/>
        <v>262080</v>
      </c>
      <c r="BF14" s="74">
        <f t="shared" si="177"/>
        <v>257985</v>
      </c>
      <c r="BG14" s="74">
        <f t="shared" si="177"/>
        <v>257985</v>
      </c>
      <c r="BH14" s="74">
        <f t="shared" si="177"/>
        <v>253890</v>
      </c>
      <c r="BI14" s="74">
        <f t="shared" si="177"/>
        <v>253890</v>
      </c>
      <c r="BJ14" s="74">
        <f t="shared" si="177"/>
        <v>253890</v>
      </c>
      <c r="BK14" s="74">
        <f t="shared" si="177"/>
        <v>249795</v>
      </c>
      <c r="BL14" s="74">
        <f t="shared" si="177"/>
        <v>249795</v>
      </c>
      <c r="BM14" s="74">
        <f t="shared" si="177"/>
        <v>245700</v>
      </c>
      <c r="BN14" s="74">
        <f t="shared" si="177"/>
        <v>245700</v>
      </c>
      <c r="BO14" s="74">
        <f t="shared" si="177"/>
        <v>245700</v>
      </c>
      <c r="BP14" s="74">
        <f t="shared" ref="BP14:EA14" si="178">BP6*BP18*BP9</f>
        <v>241605</v>
      </c>
      <c r="BQ14" s="74">
        <f t="shared" si="178"/>
        <v>241605</v>
      </c>
      <c r="BR14" s="74">
        <f t="shared" si="178"/>
        <v>241605</v>
      </c>
      <c r="BS14" s="74">
        <f t="shared" si="178"/>
        <v>237510</v>
      </c>
      <c r="BT14" s="74">
        <f t="shared" si="178"/>
        <v>237510</v>
      </c>
      <c r="BU14" s="74">
        <f t="shared" si="178"/>
        <v>233415</v>
      </c>
      <c r="BV14" s="74">
        <f t="shared" si="178"/>
        <v>233415</v>
      </c>
      <c r="BW14" s="74">
        <f t="shared" si="178"/>
        <v>233415</v>
      </c>
      <c r="BX14" s="74">
        <f t="shared" si="178"/>
        <v>229320</v>
      </c>
      <c r="BY14" s="74">
        <f t="shared" si="178"/>
        <v>229320</v>
      </c>
      <c r="BZ14" s="74">
        <f t="shared" si="178"/>
        <v>229320</v>
      </c>
      <c r="CA14" s="74">
        <f t="shared" si="178"/>
        <v>225225</v>
      </c>
      <c r="CB14" s="74">
        <f t="shared" si="178"/>
        <v>225225</v>
      </c>
      <c r="CC14" s="74">
        <f t="shared" si="178"/>
        <v>225225</v>
      </c>
      <c r="CD14" s="74">
        <f t="shared" si="178"/>
        <v>225225</v>
      </c>
      <c r="CE14" s="74">
        <f t="shared" si="178"/>
        <v>221130</v>
      </c>
      <c r="CF14" s="74">
        <f t="shared" si="178"/>
        <v>221130</v>
      </c>
      <c r="CG14" s="74">
        <f t="shared" si="178"/>
        <v>221130</v>
      </c>
      <c r="CH14" s="74">
        <f t="shared" si="178"/>
        <v>217035</v>
      </c>
      <c r="CI14" s="74">
        <f t="shared" si="178"/>
        <v>217035</v>
      </c>
      <c r="CJ14" s="74">
        <f t="shared" si="178"/>
        <v>217035</v>
      </c>
      <c r="CK14" s="74">
        <f t="shared" si="178"/>
        <v>212940</v>
      </c>
      <c r="CL14" s="74">
        <f t="shared" si="178"/>
        <v>212940</v>
      </c>
      <c r="CM14" s="74">
        <f t="shared" si="178"/>
        <v>212940</v>
      </c>
      <c r="CN14" s="74">
        <f t="shared" si="178"/>
        <v>212940</v>
      </c>
      <c r="CO14" s="74">
        <f t="shared" si="178"/>
        <v>208845</v>
      </c>
      <c r="CP14" s="74">
        <f t="shared" si="178"/>
        <v>208845</v>
      </c>
      <c r="CQ14" s="74">
        <f t="shared" si="178"/>
        <v>208845</v>
      </c>
      <c r="CR14" s="74">
        <f t="shared" si="178"/>
        <v>208845</v>
      </c>
      <c r="CS14" s="74">
        <f t="shared" si="178"/>
        <v>204750</v>
      </c>
      <c r="CT14" s="74">
        <f t="shared" si="178"/>
        <v>204750</v>
      </c>
      <c r="CU14" s="74">
        <f t="shared" si="178"/>
        <v>204750</v>
      </c>
      <c r="CV14" s="74">
        <f t="shared" si="178"/>
        <v>200655</v>
      </c>
      <c r="CW14" s="74">
        <f t="shared" si="178"/>
        <v>200655</v>
      </c>
      <c r="CX14" s="74">
        <f t="shared" si="178"/>
        <v>200655</v>
      </c>
      <c r="CY14" s="74">
        <f t="shared" si="178"/>
        <v>200655</v>
      </c>
      <c r="CZ14" s="74">
        <f t="shared" si="178"/>
        <v>196560</v>
      </c>
      <c r="DA14" s="74">
        <f t="shared" si="178"/>
        <v>196560</v>
      </c>
      <c r="DB14" s="74">
        <f t="shared" si="178"/>
        <v>196560</v>
      </c>
      <c r="DC14" s="74">
        <f t="shared" si="178"/>
        <v>196560</v>
      </c>
      <c r="DD14" s="74">
        <f t="shared" si="178"/>
        <v>196560</v>
      </c>
      <c r="DE14" s="74">
        <f t="shared" si="178"/>
        <v>192465</v>
      </c>
      <c r="DF14" s="74">
        <f t="shared" si="178"/>
        <v>192465</v>
      </c>
      <c r="DG14" s="74">
        <f t="shared" si="178"/>
        <v>192465</v>
      </c>
      <c r="DH14" s="74">
        <f t="shared" si="178"/>
        <v>192465</v>
      </c>
      <c r="DI14" s="74">
        <f t="shared" si="178"/>
        <v>188370</v>
      </c>
      <c r="DJ14" s="74">
        <f t="shared" si="178"/>
        <v>188370</v>
      </c>
      <c r="DK14" s="74">
        <f t="shared" si="178"/>
        <v>188370</v>
      </c>
      <c r="DL14" s="74">
        <f t="shared" si="178"/>
        <v>188370</v>
      </c>
      <c r="DM14" s="74">
        <f t="shared" si="178"/>
        <v>184275</v>
      </c>
      <c r="DN14" s="74">
        <f t="shared" si="178"/>
        <v>184275</v>
      </c>
      <c r="DO14" s="74">
        <f t="shared" si="178"/>
        <v>184275</v>
      </c>
      <c r="DP14" s="74">
        <f t="shared" si="178"/>
        <v>184275</v>
      </c>
      <c r="DQ14" s="74">
        <f t="shared" si="178"/>
        <v>184275</v>
      </c>
      <c r="DR14" s="74">
        <f t="shared" si="178"/>
        <v>180180</v>
      </c>
      <c r="DS14" s="74">
        <f t="shared" si="178"/>
        <v>180180</v>
      </c>
      <c r="DT14" s="74">
        <f t="shared" si="178"/>
        <v>180180</v>
      </c>
      <c r="DU14" s="74">
        <f t="shared" si="178"/>
        <v>180180</v>
      </c>
      <c r="DV14" s="74">
        <f t="shared" si="178"/>
        <v>180180</v>
      </c>
      <c r="DW14" s="74">
        <f t="shared" si="178"/>
        <v>176085</v>
      </c>
      <c r="DX14" s="74">
        <f t="shared" si="178"/>
        <v>176085</v>
      </c>
      <c r="DY14" s="74">
        <f t="shared" si="178"/>
        <v>176085</v>
      </c>
      <c r="DZ14" s="74">
        <f t="shared" si="178"/>
        <v>176085</v>
      </c>
      <c r="EA14" s="74">
        <f t="shared" si="178"/>
        <v>176085</v>
      </c>
      <c r="EB14" s="74">
        <f t="shared" ref="EB14:FC14" si="179">EB6*EB18*EB9</f>
        <v>171990</v>
      </c>
      <c r="EC14" s="74">
        <f t="shared" si="179"/>
        <v>171990</v>
      </c>
      <c r="ED14" s="74">
        <f t="shared" si="179"/>
        <v>171990</v>
      </c>
      <c r="EE14" s="74">
        <f t="shared" si="179"/>
        <v>171990</v>
      </c>
      <c r="EF14" s="74">
        <f t="shared" si="179"/>
        <v>171990</v>
      </c>
      <c r="EG14" s="74">
        <f t="shared" si="179"/>
        <v>171990</v>
      </c>
      <c r="EH14" s="74">
        <f t="shared" si="179"/>
        <v>167895</v>
      </c>
      <c r="EI14" s="74">
        <f t="shared" si="179"/>
        <v>167895</v>
      </c>
      <c r="EJ14" s="74">
        <f t="shared" si="179"/>
        <v>167895</v>
      </c>
      <c r="EK14" s="74">
        <f t="shared" si="179"/>
        <v>167895</v>
      </c>
      <c r="EL14" s="74">
        <f t="shared" si="179"/>
        <v>167895</v>
      </c>
      <c r="EM14" s="74">
        <f t="shared" si="179"/>
        <v>167895</v>
      </c>
      <c r="EN14" s="74">
        <f t="shared" si="179"/>
        <v>163800</v>
      </c>
      <c r="EO14" s="74">
        <f t="shared" si="179"/>
        <v>163800</v>
      </c>
      <c r="EP14" s="74">
        <f t="shared" si="179"/>
        <v>163800</v>
      </c>
      <c r="EQ14" s="74">
        <f t="shared" si="179"/>
        <v>163800</v>
      </c>
      <c r="ER14" s="74">
        <f t="shared" si="179"/>
        <v>163800</v>
      </c>
      <c r="ES14" s="74">
        <f t="shared" si="179"/>
        <v>163800</v>
      </c>
      <c r="ET14" s="74">
        <f t="shared" si="179"/>
        <v>159705</v>
      </c>
      <c r="EU14" s="74">
        <f t="shared" si="179"/>
        <v>159705</v>
      </c>
      <c r="EV14" s="74">
        <f t="shared" si="179"/>
        <v>159705</v>
      </c>
      <c r="EW14" s="74">
        <f t="shared" si="179"/>
        <v>159705</v>
      </c>
      <c r="EX14" s="74">
        <f t="shared" si="179"/>
        <v>159705</v>
      </c>
      <c r="EY14" s="5"/>
      <c r="EZ14" s="5"/>
      <c r="FA14" s="709"/>
      <c r="FB14" s="74">
        <f t="shared" si="179"/>
        <v>392448</v>
      </c>
      <c r="FC14" s="74">
        <f t="shared" si="179"/>
        <v>327040</v>
      </c>
    </row>
    <row r="15" spans="2:159" x14ac:dyDescent="0.45">
      <c r="B15" s="137"/>
      <c r="C15" s="141">
        <v>1E-3</v>
      </c>
      <c r="D15" s="150">
        <f>MROUND(D14+D14*$C$15,1)</f>
        <v>401711</v>
      </c>
      <c r="E15" s="150">
        <f>MROUND(E14+E14*$C$15,1)</f>
        <v>397612</v>
      </c>
      <c r="F15" s="150">
        <f>MROUND(F14+F14*$C$15,1)</f>
        <v>393513</v>
      </c>
      <c r="G15" s="150">
        <f>MROUND(G14+G14*$C$15,1)</f>
        <v>389414</v>
      </c>
      <c r="H15" s="150">
        <f>MROUND(H14+H14*$C$15,1)</f>
        <v>385315</v>
      </c>
      <c r="I15" s="150">
        <f t="shared" ref="I15:BT15" si="180">MROUND(I14+I14*$C$15,1)</f>
        <v>381216</v>
      </c>
      <c r="J15" s="150">
        <f t="shared" si="180"/>
        <v>377117</v>
      </c>
      <c r="K15" s="150">
        <f t="shared" si="180"/>
        <v>373018</v>
      </c>
      <c r="L15" s="150">
        <f t="shared" si="180"/>
        <v>373018</v>
      </c>
      <c r="M15" s="150">
        <f t="shared" si="180"/>
        <v>368919</v>
      </c>
      <c r="N15" s="150">
        <f t="shared" si="180"/>
        <v>364819</v>
      </c>
      <c r="O15" s="150">
        <f t="shared" si="180"/>
        <v>360720</v>
      </c>
      <c r="P15" s="150">
        <f t="shared" si="180"/>
        <v>356621</v>
      </c>
      <c r="Q15" s="150">
        <f t="shared" si="180"/>
        <v>352522</v>
      </c>
      <c r="R15" s="150">
        <f t="shared" si="180"/>
        <v>352522</v>
      </c>
      <c r="S15" s="150">
        <f t="shared" si="180"/>
        <v>348423</v>
      </c>
      <c r="T15" s="150">
        <f t="shared" si="180"/>
        <v>344324</v>
      </c>
      <c r="U15" s="150">
        <f t="shared" si="180"/>
        <v>340225</v>
      </c>
      <c r="V15" s="150">
        <f t="shared" si="180"/>
        <v>340225</v>
      </c>
      <c r="W15" s="150">
        <f t="shared" si="180"/>
        <v>336126</v>
      </c>
      <c r="X15" s="150">
        <f t="shared" si="180"/>
        <v>332027</v>
      </c>
      <c r="Y15" s="150">
        <f t="shared" si="180"/>
        <v>332027</v>
      </c>
      <c r="Z15" s="150">
        <f t="shared" si="180"/>
        <v>327928</v>
      </c>
      <c r="AA15" s="150">
        <f t="shared" si="180"/>
        <v>323829</v>
      </c>
      <c r="AB15" s="150">
        <f t="shared" si="180"/>
        <v>323829</v>
      </c>
      <c r="AC15" s="150">
        <f t="shared" si="180"/>
        <v>319729</v>
      </c>
      <c r="AD15" s="150">
        <f t="shared" si="180"/>
        <v>315630</v>
      </c>
      <c r="AE15" s="150">
        <f t="shared" si="180"/>
        <v>315630</v>
      </c>
      <c r="AF15" s="150">
        <f t="shared" si="180"/>
        <v>311531</v>
      </c>
      <c r="AG15" s="150">
        <f t="shared" si="180"/>
        <v>311531</v>
      </c>
      <c r="AH15" s="150">
        <f t="shared" si="180"/>
        <v>307432</v>
      </c>
      <c r="AI15" s="150">
        <f t="shared" si="180"/>
        <v>303333</v>
      </c>
      <c r="AJ15" s="150">
        <f t="shared" si="180"/>
        <v>303333</v>
      </c>
      <c r="AK15" s="150">
        <f t="shared" si="180"/>
        <v>299234</v>
      </c>
      <c r="AL15" s="150">
        <f t="shared" si="180"/>
        <v>299234</v>
      </c>
      <c r="AM15" s="150">
        <f t="shared" si="180"/>
        <v>295135</v>
      </c>
      <c r="AN15" s="150">
        <f t="shared" si="180"/>
        <v>295135</v>
      </c>
      <c r="AO15" s="150">
        <f t="shared" si="180"/>
        <v>291036</v>
      </c>
      <c r="AP15" s="150">
        <f t="shared" si="180"/>
        <v>291036</v>
      </c>
      <c r="AQ15" s="150">
        <f t="shared" si="180"/>
        <v>286937</v>
      </c>
      <c r="AR15" s="150">
        <f t="shared" si="180"/>
        <v>286937</v>
      </c>
      <c r="AS15" s="150">
        <f t="shared" si="180"/>
        <v>282838</v>
      </c>
      <c r="AT15" s="150">
        <f t="shared" si="180"/>
        <v>282838</v>
      </c>
      <c r="AU15" s="150">
        <f t="shared" si="180"/>
        <v>278738</v>
      </c>
      <c r="AV15" s="150">
        <f t="shared" si="180"/>
        <v>278738</v>
      </c>
      <c r="AW15" s="150">
        <f t="shared" si="180"/>
        <v>274639</v>
      </c>
      <c r="AX15" s="150">
        <f t="shared" si="180"/>
        <v>274639</v>
      </c>
      <c r="AY15" s="150">
        <f t="shared" si="180"/>
        <v>270540</v>
      </c>
      <c r="AZ15" s="150">
        <f t="shared" si="180"/>
        <v>270540</v>
      </c>
      <c r="BA15" s="150">
        <f t="shared" si="180"/>
        <v>266441</v>
      </c>
      <c r="BB15" s="150">
        <f t="shared" si="180"/>
        <v>266441</v>
      </c>
      <c r="BC15" s="150">
        <f t="shared" si="180"/>
        <v>262342</v>
      </c>
      <c r="BD15" s="150">
        <f t="shared" si="180"/>
        <v>262342</v>
      </c>
      <c r="BE15" s="150">
        <f t="shared" si="180"/>
        <v>262342</v>
      </c>
      <c r="BF15" s="150">
        <f t="shared" si="180"/>
        <v>258243</v>
      </c>
      <c r="BG15" s="150">
        <f t="shared" si="180"/>
        <v>258243</v>
      </c>
      <c r="BH15" s="150">
        <f t="shared" si="180"/>
        <v>254144</v>
      </c>
      <c r="BI15" s="150">
        <f t="shared" si="180"/>
        <v>254144</v>
      </c>
      <c r="BJ15" s="150">
        <f t="shared" si="180"/>
        <v>254144</v>
      </c>
      <c r="BK15" s="150">
        <f t="shared" si="180"/>
        <v>250045</v>
      </c>
      <c r="BL15" s="150">
        <f t="shared" si="180"/>
        <v>250045</v>
      </c>
      <c r="BM15" s="150">
        <f t="shared" si="180"/>
        <v>245946</v>
      </c>
      <c r="BN15" s="150">
        <f t="shared" si="180"/>
        <v>245946</v>
      </c>
      <c r="BO15" s="150">
        <f t="shared" si="180"/>
        <v>245946</v>
      </c>
      <c r="BP15" s="150">
        <f t="shared" si="180"/>
        <v>241847</v>
      </c>
      <c r="BQ15" s="150">
        <f t="shared" si="180"/>
        <v>241847</v>
      </c>
      <c r="BR15" s="150">
        <f t="shared" si="180"/>
        <v>241847</v>
      </c>
      <c r="BS15" s="150">
        <f t="shared" si="180"/>
        <v>237748</v>
      </c>
      <c r="BT15" s="150">
        <f t="shared" si="180"/>
        <v>237748</v>
      </c>
      <c r="BU15" s="150">
        <f t="shared" ref="BU15:EF15" si="181">MROUND(BU14+BU14*$C$15,1)</f>
        <v>233648</v>
      </c>
      <c r="BV15" s="150">
        <f t="shared" si="181"/>
        <v>233648</v>
      </c>
      <c r="BW15" s="150">
        <f t="shared" si="181"/>
        <v>233648</v>
      </c>
      <c r="BX15" s="150">
        <f t="shared" si="181"/>
        <v>229549</v>
      </c>
      <c r="BY15" s="150">
        <f t="shared" si="181"/>
        <v>229549</v>
      </c>
      <c r="BZ15" s="150">
        <f t="shared" si="181"/>
        <v>229549</v>
      </c>
      <c r="CA15" s="150">
        <f t="shared" si="181"/>
        <v>225450</v>
      </c>
      <c r="CB15" s="150">
        <f t="shared" si="181"/>
        <v>225450</v>
      </c>
      <c r="CC15" s="150">
        <f t="shared" si="181"/>
        <v>225450</v>
      </c>
      <c r="CD15" s="150">
        <f t="shared" si="181"/>
        <v>225450</v>
      </c>
      <c r="CE15" s="150">
        <f t="shared" si="181"/>
        <v>221351</v>
      </c>
      <c r="CF15" s="150">
        <f t="shared" si="181"/>
        <v>221351</v>
      </c>
      <c r="CG15" s="150">
        <f t="shared" si="181"/>
        <v>221351</v>
      </c>
      <c r="CH15" s="150">
        <f t="shared" si="181"/>
        <v>217252</v>
      </c>
      <c r="CI15" s="150">
        <f t="shared" si="181"/>
        <v>217252</v>
      </c>
      <c r="CJ15" s="150">
        <f t="shared" si="181"/>
        <v>217252</v>
      </c>
      <c r="CK15" s="150">
        <f t="shared" si="181"/>
        <v>213153</v>
      </c>
      <c r="CL15" s="150">
        <f t="shared" si="181"/>
        <v>213153</v>
      </c>
      <c r="CM15" s="150">
        <f t="shared" si="181"/>
        <v>213153</v>
      </c>
      <c r="CN15" s="150">
        <f t="shared" si="181"/>
        <v>213153</v>
      </c>
      <c r="CO15" s="150">
        <f t="shared" si="181"/>
        <v>209054</v>
      </c>
      <c r="CP15" s="150">
        <f t="shared" si="181"/>
        <v>209054</v>
      </c>
      <c r="CQ15" s="150">
        <f t="shared" si="181"/>
        <v>209054</v>
      </c>
      <c r="CR15" s="150">
        <f t="shared" si="181"/>
        <v>209054</v>
      </c>
      <c r="CS15" s="150">
        <f t="shared" si="181"/>
        <v>204955</v>
      </c>
      <c r="CT15" s="150">
        <f t="shared" si="181"/>
        <v>204955</v>
      </c>
      <c r="CU15" s="150">
        <f t="shared" si="181"/>
        <v>204955</v>
      </c>
      <c r="CV15" s="150">
        <f t="shared" si="181"/>
        <v>200856</v>
      </c>
      <c r="CW15" s="150">
        <f t="shared" si="181"/>
        <v>200856</v>
      </c>
      <c r="CX15" s="150">
        <f t="shared" si="181"/>
        <v>200856</v>
      </c>
      <c r="CY15" s="150">
        <f t="shared" si="181"/>
        <v>200856</v>
      </c>
      <c r="CZ15" s="150">
        <f t="shared" si="181"/>
        <v>196757</v>
      </c>
      <c r="DA15" s="150">
        <f t="shared" si="181"/>
        <v>196757</v>
      </c>
      <c r="DB15" s="150">
        <f t="shared" si="181"/>
        <v>196757</v>
      </c>
      <c r="DC15" s="150">
        <f t="shared" si="181"/>
        <v>196757</v>
      </c>
      <c r="DD15" s="150">
        <f t="shared" si="181"/>
        <v>196757</v>
      </c>
      <c r="DE15" s="150">
        <f t="shared" si="181"/>
        <v>192657</v>
      </c>
      <c r="DF15" s="150">
        <f t="shared" si="181"/>
        <v>192657</v>
      </c>
      <c r="DG15" s="150">
        <f t="shared" si="181"/>
        <v>192657</v>
      </c>
      <c r="DH15" s="150">
        <f t="shared" si="181"/>
        <v>192657</v>
      </c>
      <c r="DI15" s="150">
        <f t="shared" si="181"/>
        <v>188558</v>
      </c>
      <c r="DJ15" s="150">
        <f t="shared" si="181"/>
        <v>188558</v>
      </c>
      <c r="DK15" s="150">
        <f t="shared" si="181"/>
        <v>188558</v>
      </c>
      <c r="DL15" s="150">
        <f t="shared" si="181"/>
        <v>188558</v>
      </c>
      <c r="DM15" s="150">
        <f t="shared" si="181"/>
        <v>184459</v>
      </c>
      <c r="DN15" s="150">
        <f t="shared" si="181"/>
        <v>184459</v>
      </c>
      <c r="DO15" s="150">
        <f t="shared" si="181"/>
        <v>184459</v>
      </c>
      <c r="DP15" s="150">
        <f t="shared" si="181"/>
        <v>184459</v>
      </c>
      <c r="DQ15" s="150">
        <f t="shared" si="181"/>
        <v>184459</v>
      </c>
      <c r="DR15" s="150">
        <f t="shared" si="181"/>
        <v>180360</v>
      </c>
      <c r="DS15" s="150">
        <f t="shared" si="181"/>
        <v>180360</v>
      </c>
      <c r="DT15" s="150">
        <f t="shared" si="181"/>
        <v>180360</v>
      </c>
      <c r="DU15" s="150">
        <f t="shared" si="181"/>
        <v>180360</v>
      </c>
      <c r="DV15" s="150">
        <f t="shared" si="181"/>
        <v>180360</v>
      </c>
      <c r="DW15" s="150">
        <f t="shared" si="181"/>
        <v>176261</v>
      </c>
      <c r="DX15" s="150">
        <f t="shared" si="181"/>
        <v>176261</v>
      </c>
      <c r="DY15" s="150">
        <f t="shared" si="181"/>
        <v>176261</v>
      </c>
      <c r="DZ15" s="150">
        <f t="shared" si="181"/>
        <v>176261</v>
      </c>
      <c r="EA15" s="150">
        <f t="shared" si="181"/>
        <v>176261</v>
      </c>
      <c r="EB15" s="150">
        <f t="shared" si="181"/>
        <v>172162</v>
      </c>
      <c r="EC15" s="150">
        <f t="shared" si="181"/>
        <v>172162</v>
      </c>
      <c r="ED15" s="150">
        <f t="shared" si="181"/>
        <v>172162</v>
      </c>
      <c r="EE15" s="150">
        <f t="shared" si="181"/>
        <v>172162</v>
      </c>
      <c r="EF15" s="150">
        <f t="shared" si="181"/>
        <v>172162</v>
      </c>
      <c r="EG15" s="150">
        <f t="shared" ref="EG15:FC15" si="182">MROUND(EG14+EG14*$C$15,1)</f>
        <v>172162</v>
      </c>
      <c r="EH15" s="150">
        <f t="shared" si="182"/>
        <v>168063</v>
      </c>
      <c r="EI15" s="150">
        <f t="shared" si="182"/>
        <v>168063</v>
      </c>
      <c r="EJ15" s="150">
        <f t="shared" si="182"/>
        <v>168063</v>
      </c>
      <c r="EK15" s="150">
        <f t="shared" si="182"/>
        <v>168063</v>
      </c>
      <c r="EL15" s="150">
        <f t="shared" si="182"/>
        <v>168063</v>
      </c>
      <c r="EM15" s="150">
        <f t="shared" si="182"/>
        <v>168063</v>
      </c>
      <c r="EN15" s="150">
        <f t="shared" si="182"/>
        <v>163964</v>
      </c>
      <c r="EO15" s="150">
        <f t="shared" si="182"/>
        <v>163964</v>
      </c>
      <c r="EP15" s="150">
        <f t="shared" si="182"/>
        <v>163964</v>
      </c>
      <c r="EQ15" s="150">
        <f t="shared" si="182"/>
        <v>163964</v>
      </c>
      <c r="ER15" s="150">
        <f t="shared" si="182"/>
        <v>163964</v>
      </c>
      <c r="ES15" s="150">
        <f t="shared" si="182"/>
        <v>163964</v>
      </c>
      <c r="ET15" s="150">
        <f t="shared" si="182"/>
        <v>159865</v>
      </c>
      <c r="EU15" s="150">
        <f t="shared" si="182"/>
        <v>159865</v>
      </c>
      <c r="EV15" s="150">
        <f t="shared" si="182"/>
        <v>159865</v>
      </c>
      <c r="EW15" s="150">
        <f t="shared" si="182"/>
        <v>159865</v>
      </c>
      <c r="EX15" s="150">
        <f t="shared" si="182"/>
        <v>159865</v>
      </c>
      <c r="EY15" s="5"/>
      <c r="EZ15" s="5"/>
      <c r="FA15" s="709"/>
      <c r="FB15" s="150">
        <f t="shared" si="182"/>
        <v>392840</v>
      </c>
      <c r="FC15" s="150">
        <f t="shared" si="182"/>
        <v>327367</v>
      </c>
    </row>
    <row r="16" spans="2:159" x14ac:dyDescent="0.45">
      <c r="B16" s="135"/>
      <c r="C16" s="136" t="s">
        <v>8</v>
      </c>
      <c r="D16" s="71" t="str">
        <f>DEC2HEX(D15)</f>
        <v>6212F</v>
      </c>
      <c r="E16" s="71" t="str">
        <f>DEC2HEX(E15)</f>
        <v>6112C</v>
      </c>
      <c r="F16" s="71" t="str">
        <f t="shared" ref="F16:BQ16" si="183">DEC2HEX(F15)</f>
        <v>60129</v>
      </c>
      <c r="G16" s="71" t="str">
        <f t="shared" si="183"/>
        <v>5F126</v>
      </c>
      <c r="H16" s="71" t="str">
        <f t="shared" si="183"/>
        <v>5E123</v>
      </c>
      <c r="I16" s="71" t="str">
        <f t="shared" si="183"/>
        <v>5D120</v>
      </c>
      <c r="J16" s="71" t="str">
        <f t="shared" si="183"/>
        <v>5C11D</v>
      </c>
      <c r="K16" s="71" t="str">
        <f t="shared" si="183"/>
        <v>5B11A</v>
      </c>
      <c r="L16" s="71" t="str">
        <f t="shared" si="183"/>
        <v>5B11A</v>
      </c>
      <c r="M16" s="71" t="str">
        <f t="shared" si="183"/>
        <v>5A117</v>
      </c>
      <c r="N16" s="71" t="str">
        <f t="shared" si="183"/>
        <v>59113</v>
      </c>
      <c r="O16" s="71" t="str">
        <f t="shared" si="183"/>
        <v>58110</v>
      </c>
      <c r="P16" s="71" t="str">
        <f t="shared" si="183"/>
        <v>5710D</v>
      </c>
      <c r="Q16" s="71" t="str">
        <f t="shared" si="183"/>
        <v>5610A</v>
      </c>
      <c r="R16" s="71" t="str">
        <f t="shared" si="183"/>
        <v>5610A</v>
      </c>
      <c r="S16" s="71" t="str">
        <f t="shared" si="183"/>
        <v>55107</v>
      </c>
      <c r="T16" s="71" t="str">
        <f t="shared" si="183"/>
        <v>54104</v>
      </c>
      <c r="U16" s="71" t="str">
        <f t="shared" si="183"/>
        <v>53101</v>
      </c>
      <c r="V16" s="71" t="str">
        <f t="shared" si="183"/>
        <v>53101</v>
      </c>
      <c r="W16" s="71" t="str">
        <f t="shared" si="183"/>
        <v>520FE</v>
      </c>
      <c r="X16" s="71" t="str">
        <f t="shared" si="183"/>
        <v>510FB</v>
      </c>
      <c r="Y16" s="71" t="str">
        <f t="shared" si="183"/>
        <v>510FB</v>
      </c>
      <c r="Z16" s="71" t="str">
        <f t="shared" si="183"/>
        <v>500F8</v>
      </c>
      <c r="AA16" s="71" t="str">
        <f t="shared" si="183"/>
        <v>4F0F5</v>
      </c>
      <c r="AB16" s="71" t="str">
        <f t="shared" si="183"/>
        <v>4F0F5</v>
      </c>
      <c r="AC16" s="71" t="str">
        <f t="shared" si="183"/>
        <v>4E0F1</v>
      </c>
      <c r="AD16" s="71" t="str">
        <f t="shared" si="183"/>
        <v>4D0EE</v>
      </c>
      <c r="AE16" s="71" t="str">
        <f t="shared" si="183"/>
        <v>4D0EE</v>
      </c>
      <c r="AF16" s="71" t="str">
        <f t="shared" si="183"/>
        <v>4C0EB</v>
      </c>
      <c r="AG16" s="71" t="str">
        <f t="shared" si="183"/>
        <v>4C0EB</v>
      </c>
      <c r="AH16" s="71" t="str">
        <f t="shared" si="183"/>
        <v>4B0E8</v>
      </c>
      <c r="AI16" s="71" t="str">
        <f t="shared" si="183"/>
        <v>4A0E5</v>
      </c>
      <c r="AJ16" s="71" t="str">
        <f t="shared" si="183"/>
        <v>4A0E5</v>
      </c>
      <c r="AK16" s="71" t="str">
        <f t="shared" si="183"/>
        <v>490E2</v>
      </c>
      <c r="AL16" s="71" t="str">
        <f t="shared" si="183"/>
        <v>490E2</v>
      </c>
      <c r="AM16" s="71" t="str">
        <f t="shared" si="183"/>
        <v>480DF</v>
      </c>
      <c r="AN16" s="71" t="str">
        <f t="shared" si="183"/>
        <v>480DF</v>
      </c>
      <c r="AO16" s="71" t="str">
        <f t="shared" si="183"/>
        <v>470DC</v>
      </c>
      <c r="AP16" s="71" t="str">
        <f t="shared" si="183"/>
        <v>470DC</v>
      </c>
      <c r="AQ16" s="71" t="str">
        <f t="shared" si="183"/>
        <v>460D9</v>
      </c>
      <c r="AR16" s="71" t="str">
        <f t="shared" si="183"/>
        <v>460D9</v>
      </c>
      <c r="AS16" s="71" t="str">
        <f t="shared" si="183"/>
        <v>450D6</v>
      </c>
      <c r="AT16" s="71" t="str">
        <f t="shared" si="183"/>
        <v>450D6</v>
      </c>
      <c r="AU16" s="71" t="str">
        <f t="shared" si="183"/>
        <v>440D2</v>
      </c>
      <c r="AV16" s="71" t="str">
        <f t="shared" si="183"/>
        <v>440D2</v>
      </c>
      <c r="AW16" s="71" t="str">
        <f t="shared" si="183"/>
        <v>430CF</v>
      </c>
      <c r="AX16" s="71" t="str">
        <f t="shared" si="183"/>
        <v>430CF</v>
      </c>
      <c r="AY16" s="71" t="str">
        <f t="shared" si="183"/>
        <v>420CC</v>
      </c>
      <c r="AZ16" s="71" t="str">
        <f t="shared" si="183"/>
        <v>420CC</v>
      </c>
      <c r="BA16" s="71" t="str">
        <f t="shared" si="183"/>
        <v>410C9</v>
      </c>
      <c r="BB16" s="71" t="str">
        <f t="shared" si="183"/>
        <v>410C9</v>
      </c>
      <c r="BC16" s="71" t="str">
        <f t="shared" si="183"/>
        <v>400C6</v>
      </c>
      <c r="BD16" s="71" t="str">
        <f t="shared" si="183"/>
        <v>400C6</v>
      </c>
      <c r="BE16" s="71" t="str">
        <f t="shared" si="183"/>
        <v>400C6</v>
      </c>
      <c r="BF16" s="71" t="str">
        <f t="shared" si="183"/>
        <v>3F0C3</v>
      </c>
      <c r="BG16" s="71" t="str">
        <f t="shared" si="183"/>
        <v>3F0C3</v>
      </c>
      <c r="BH16" s="71" t="str">
        <f t="shared" si="183"/>
        <v>3E0C0</v>
      </c>
      <c r="BI16" s="71" t="str">
        <f t="shared" si="183"/>
        <v>3E0C0</v>
      </c>
      <c r="BJ16" s="71" t="str">
        <f t="shared" si="183"/>
        <v>3E0C0</v>
      </c>
      <c r="BK16" s="71" t="str">
        <f t="shared" si="183"/>
        <v>3D0BD</v>
      </c>
      <c r="BL16" s="71" t="str">
        <f t="shared" si="183"/>
        <v>3D0BD</v>
      </c>
      <c r="BM16" s="71" t="str">
        <f t="shared" si="183"/>
        <v>3C0BA</v>
      </c>
      <c r="BN16" s="71" t="str">
        <f t="shared" si="183"/>
        <v>3C0BA</v>
      </c>
      <c r="BO16" s="71" t="str">
        <f t="shared" si="183"/>
        <v>3C0BA</v>
      </c>
      <c r="BP16" s="71" t="str">
        <f t="shared" si="183"/>
        <v>3B0B7</v>
      </c>
      <c r="BQ16" s="71" t="str">
        <f t="shared" si="183"/>
        <v>3B0B7</v>
      </c>
      <c r="BR16" s="71" t="str">
        <f t="shared" ref="BR16:EC16" si="184">DEC2HEX(BR15)</f>
        <v>3B0B7</v>
      </c>
      <c r="BS16" s="71" t="str">
        <f t="shared" si="184"/>
        <v>3A0B4</v>
      </c>
      <c r="BT16" s="71" t="str">
        <f t="shared" si="184"/>
        <v>3A0B4</v>
      </c>
      <c r="BU16" s="71" t="str">
        <f t="shared" si="184"/>
        <v>390B0</v>
      </c>
      <c r="BV16" s="71" t="str">
        <f t="shared" si="184"/>
        <v>390B0</v>
      </c>
      <c r="BW16" s="71" t="str">
        <f t="shared" si="184"/>
        <v>390B0</v>
      </c>
      <c r="BX16" s="71" t="str">
        <f t="shared" si="184"/>
        <v>380AD</v>
      </c>
      <c r="BY16" s="71" t="str">
        <f t="shared" si="184"/>
        <v>380AD</v>
      </c>
      <c r="BZ16" s="71" t="str">
        <f t="shared" si="184"/>
        <v>380AD</v>
      </c>
      <c r="CA16" s="71" t="str">
        <f t="shared" si="184"/>
        <v>370AA</v>
      </c>
      <c r="CB16" s="71" t="str">
        <f t="shared" si="184"/>
        <v>370AA</v>
      </c>
      <c r="CC16" s="71" t="str">
        <f t="shared" si="184"/>
        <v>370AA</v>
      </c>
      <c r="CD16" s="71" t="str">
        <f t="shared" si="184"/>
        <v>370AA</v>
      </c>
      <c r="CE16" s="71" t="str">
        <f t="shared" si="184"/>
        <v>360A7</v>
      </c>
      <c r="CF16" s="71" t="str">
        <f t="shared" si="184"/>
        <v>360A7</v>
      </c>
      <c r="CG16" s="71" t="str">
        <f t="shared" si="184"/>
        <v>360A7</v>
      </c>
      <c r="CH16" s="71" t="str">
        <f t="shared" si="184"/>
        <v>350A4</v>
      </c>
      <c r="CI16" s="71" t="str">
        <f t="shared" si="184"/>
        <v>350A4</v>
      </c>
      <c r="CJ16" s="71" t="str">
        <f t="shared" si="184"/>
        <v>350A4</v>
      </c>
      <c r="CK16" s="71" t="str">
        <f t="shared" si="184"/>
        <v>340A1</v>
      </c>
      <c r="CL16" s="71" t="str">
        <f t="shared" si="184"/>
        <v>340A1</v>
      </c>
      <c r="CM16" s="71" t="str">
        <f t="shared" si="184"/>
        <v>340A1</v>
      </c>
      <c r="CN16" s="71" t="str">
        <f t="shared" si="184"/>
        <v>340A1</v>
      </c>
      <c r="CO16" s="71" t="str">
        <f t="shared" si="184"/>
        <v>3309E</v>
      </c>
      <c r="CP16" s="71" t="str">
        <f t="shared" si="184"/>
        <v>3309E</v>
      </c>
      <c r="CQ16" s="71" t="str">
        <f t="shared" si="184"/>
        <v>3309E</v>
      </c>
      <c r="CR16" s="71" t="str">
        <f t="shared" si="184"/>
        <v>3309E</v>
      </c>
      <c r="CS16" s="71" t="str">
        <f t="shared" si="184"/>
        <v>3209B</v>
      </c>
      <c r="CT16" s="71" t="str">
        <f t="shared" si="184"/>
        <v>3209B</v>
      </c>
      <c r="CU16" s="71" t="str">
        <f t="shared" si="184"/>
        <v>3209B</v>
      </c>
      <c r="CV16" s="71" t="str">
        <f t="shared" si="184"/>
        <v>31098</v>
      </c>
      <c r="CW16" s="71" t="str">
        <f t="shared" si="184"/>
        <v>31098</v>
      </c>
      <c r="CX16" s="71" t="str">
        <f t="shared" si="184"/>
        <v>31098</v>
      </c>
      <c r="CY16" s="71" t="str">
        <f t="shared" si="184"/>
        <v>31098</v>
      </c>
      <c r="CZ16" s="71" t="str">
        <f t="shared" si="184"/>
        <v>30095</v>
      </c>
      <c r="DA16" s="71" t="str">
        <f t="shared" si="184"/>
        <v>30095</v>
      </c>
      <c r="DB16" s="71" t="str">
        <f t="shared" si="184"/>
        <v>30095</v>
      </c>
      <c r="DC16" s="71" t="str">
        <f t="shared" si="184"/>
        <v>30095</v>
      </c>
      <c r="DD16" s="71" t="str">
        <f t="shared" si="184"/>
        <v>30095</v>
      </c>
      <c r="DE16" s="71" t="str">
        <f t="shared" si="184"/>
        <v>2F091</v>
      </c>
      <c r="DF16" s="71" t="str">
        <f t="shared" si="184"/>
        <v>2F091</v>
      </c>
      <c r="DG16" s="71" t="str">
        <f t="shared" si="184"/>
        <v>2F091</v>
      </c>
      <c r="DH16" s="71" t="str">
        <f t="shared" si="184"/>
        <v>2F091</v>
      </c>
      <c r="DI16" s="71" t="str">
        <f t="shared" si="184"/>
        <v>2E08E</v>
      </c>
      <c r="DJ16" s="71" t="str">
        <f t="shared" si="184"/>
        <v>2E08E</v>
      </c>
      <c r="DK16" s="71" t="str">
        <f t="shared" si="184"/>
        <v>2E08E</v>
      </c>
      <c r="DL16" s="71" t="str">
        <f t="shared" si="184"/>
        <v>2E08E</v>
      </c>
      <c r="DM16" s="71" t="str">
        <f t="shared" si="184"/>
        <v>2D08B</v>
      </c>
      <c r="DN16" s="71" t="str">
        <f t="shared" si="184"/>
        <v>2D08B</v>
      </c>
      <c r="DO16" s="71" t="str">
        <f t="shared" si="184"/>
        <v>2D08B</v>
      </c>
      <c r="DP16" s="71" t="str">
        <f t="shared" si="184"/>
        <v>2D08B</v>
      </c>
      <c r="DQ16" s="71" t="str">
        <f t="shared" si="184"/>
        <v>2D08B</v>
      </c>
      <c r="DR16" s="71" t="str">
        <f t="shared" si="184"/>
        <v>2C088</v>
      </c>
      <c r="DS16" s="71" t="str">
        <f t="shared" si="184"/>
        <v>2C088</v>
      </c>
      <c r="DT16" s="71" t="str">
        <f t="shared" si="184"/>
        <v>2C088</v>
      </c>
      <c r="DU16" s="71" t="str">
        <f t="shared" si="184"/>
        <v>2C088</v>
      </c>
      <c r="DV16" s="71" t="str">
        <f t="shared" si="184"/>
        <v>2C088</v>
      </c>
      <c r="DW16" s="71" t="str">
        <f t="shared" si="184"/>
        <v>2B085</v>
      </c>
      <c r="DX16" s="71" t="str">
        <f t="shared" si="184"/>
        <v>2B085</v>
      </c>
      <c r="DY16" s="71" t="str">
        <f t="shared" si="184"/>
        <v>2B085</v>
      </c>
      <c r="DZ16" s="71" t="str">
        <f t="shared" si="184"/>
        <v>2B085</v>
      </c>
      <c r="EA16" s="71" t="str">
        <f t="shared" si="184"/>
        <v>2B085</v>
      </c>
      <c r="EB16" s="71" t="str">
        <f t="shared" si="184"/>
        <v>2A082</v>
      </c>
      <c r="EC16" s="71" t="str">
        <f t="shared" si="184"/>
        <v>2A082</v>
      </c>
      <c r="ED16" s="71" t="str">
        <f t="shared" ref="ED16:FC16" si="185">DEC2HEX(ED15)</f>
        <v>2A082</v>
      </c>
      <c r="EE16" s="71" t="str">
        <f t="shared" si="185"/>
        <v>2A082</v>
      </c>
      <c r="EF16" s="71" t="str">
        <f t="shared" si="185"/>
        <v>2A082</v>
      </c>
      <c r="EG16" s="71" t="str">
        <f t="shared" si="185"/>
        <v>2A082</v>
      </c>
      <c r="EH16" s="71" t="str">
        <f t="shared" si="185"/>
        <v>2907F</v>
      </c>
      <c r="EI16" s="71" t="str">
        <f t="shared" si="185"/>
        <v>2907F</v>
      </c>
      <c r="EJ16" s="71" t="str">
        <f t="shared" si="185"/>
        <v>2907F</v>
      </c>
      <c r="EK16" s="71" t="str">
        <f t="shared" si="185"/>
        <v>2907F</v>
      </c>
      <c r="EL16" s="71" t="str">
        <f t="shared" si="185"/>
        <v>2907F</v>
      </c>
      <c r="EM16" s="71" t="str">
        <f t="shared" si="185"/>
        <v>2907F</v>
      </c>
      <c r="EN16" s="71" t="str">
        <f t="shared" si="185"/>
        <v>2807C</v>
      </c>
      <c r="EO16" s="71" t="str">
        <f t="shared" si="185"/>
        <v>2807C</v>
      </c>
      <c r="EP16" s="71" t="str">
        <f t="shared" si="185"/>
        <v>2807C</v>
      </c>
      <c r="EQ16" s="71" t="str">
        <f t="shared" si="185"/>
        <v>2807C</v>
      </c>
      <c r="ER16" s="71" t="str">
        <f t="shared" si="185"/>
        <v>2807C</v>
      </c>
      <c r="ES16" s="71" t="str">
        <f t="shared" si="185"/>
        <v>2807C</v>
      </c>
      <c r="ET16" s="71" t="str">
        <f t="shared" si="185"/>
        <v>27079</v>
      </c>
      <c r="EU16" s="71" t="str">
        <f t="shared" si="185"/>
        <v>27079</v>
      </c>
      <c r="EV16" s="71" t="str">
        <f t="shared" si="185"/>
        <v>27079</v>
      </c>
      <c r="EW16" s="71" t="str">
        <f t="shared" si="185"/>
        <v>27079</v>
      </c>
      <c r="EX16" s="71" t="str">
        <f t="shared" si="185"/>
        <v>27079</v>
      </c>
      <c r="EY16" s="59"/>
      <c r="EZ16" s="59"/>
      <c r="FA16" s="709"/>
      <c r="FB16" s="71" t="str">
        <f t="shared" si="185"/>
        <v>5FE88</v>
      </c>
      <c r="FC16" s="71" t="str">
        <f t="shared" si="185"/>
        <v>4FEC7</v>
      </c>
    </row>
    <row r="17" spans="2:159" x14ac:dyDescent="0.45">
      <c r="B17" s="133" t="s">
        <v>1166</v>
      </c>
      <c r="C17" s="134" t="s">
        <v>5</v>
      </c>
      <c r="D17" s="6">
        <v>0</v>
      </c>
      <c r="E17" s="6">
        <f>D17</f>
        <v>0</v>
      </c>
      <c r="F17" s="6">
        <f t="shared" ref="F17:U18" si="186">E17</f>
        <v>0</v>
      </c>
      <c r="G17" s="6">
        <f t="shared" si="186"/>
        <v>0</v>
      </c>
      <c r="H17" s="6">
        <f t="shared" si="186"/>
        <v>0</v>
      </c>
      <c r="I17" s="6">
        <f t="shared" si="186"/>
        <v>0</v>
      </c>
      <c r="J17" s="6">
        <f t="shared" si="186"/>
        <v>0</v>
      </c>
      <c r="K17" s="6">
        <f t="shared" si="186"/>
        <v>0</v>
      </c>
      <c r="L17" s="6">
        <f t="shared" si="186"/>
        <v>0</v>
      </c>
      <c r="M17" s="6">
        <f t="shared" si="186"/>
        <v>0</v>
      </c>
      <c r="N17" s="6">
        <f t="shared" si="186"/>
        <v>0</v>
      </c>
      <c r="O17" s="6">
        <f t="shared" si="186"/>
        <v>0</v>
      </c>
      <c r="P17" s="6">
        <f t="shared" si="186"/>
        <v>0</v>
      </c>
      <c r="Q17" s="6">
        <f t="shared" si="186"/>
        <v>0</v>
      </c>
      <c r="R17" s="6">
        <f t="shared" si="186"/>
        <v>0</v>
      </c>
      <c r="S17" s="6">
        <f t="shared" si="186"/>
        <v>0</v>
      </c>
      <c r="T17" s="6">
        <f t="shared" si="186"/>
        <v>0</v>
      </c>
      <c r="U17" s="6">
        <f t="shared" si="186"/>
        <v>0</v>
      </c>
      <c r="V17" s="6">
        <f t="shared" ref="V17:AK18" si="187">U17</f>
        <v>0</v>
      </c>
      <c r="W17" s="6">
        <f t="shared" si="187"/>
        <v>0</v>
      </c>
      <c r="X17" s="6">
        <f t="shared" si="187"/>
        <v>0</v>
      </c>
      <c r="Y17" s="6">
        <f t="shared" si="187"/>
        <v>0</v>
      </c>
      <c r="Z17" s="6">
        <f t="shared" si="187"/>
        <v>0</v>
      </c>
      <c r="AA17" s="6">
        <f t="shared" si="187"/>
        <v>0</v>
      </c>
      <c r="AB17" s="6">
        <f t="shared" si="187"/>
        <v>0</v>
      </c>
      <c r="AC17" s="6">
        <f t="shared" si="187"/>
        <v>0</v>
      </c>
      <c r="AD17" s="6">
        <f t="shared" si="187"/>
        <v>0</v>
      </c>
      <c r="AE17" s="6">
        <f t="shared" si="187"/>
        <v>0</v>
      </c>
      <c r="AF17" s="6">
        <f t="shared" si="187"/>
        <v>0</v>
      </c>
      <c r="AG17" s="6">
        <f t="shared" si="187"/>
        <v>0</v>
      </c>
      <c r="AH17" s="6">
        <f t="shared" si="187"/>
        <v>0</v>
      </c>
      <c r="AI17" s="6">
        <f t="shared" si="187"/>
        <v>0</v>
      </c>
      <c r="AJ17" s="6">
        <f t="shared" si="187"/>
        <v>0</v>
      </c>
      <c r="AK17" s="6">
        <f t="shared" si="187"/>
        <v>0</v>
      </c>
      <c r="AL17" s="6">
        <f t="shared" ref="AL17:BA18" si="188">AK17</f>
        <v>0</v>
      </c>
      <c r="AM17" s="6">
        <f t="shared" si="188"/>
        <v>0</v>
      </c>
      <c r="AN17" s="6">
        <f t="shared" si="188"/>
        <v>0</v>
      </c>
      <c r="AO17" s="6">
        <f t="shared" si="188"/>
        <v>0</v>
      </c>
      <c r="AP17" s="6">
        <f t="shared" si="188"/>
        <v>0</v>
      </c>
      <c r="AQ17" s="6">
        <f t="shared" si="188"/>
        <v>0</v>
      </c>
      <c r="AR17" s="6">
        <f t="shared" si="188"/>
        <v>0</v>
      </c>
      <c r="AS17" s="6">
        <f t="shared" si="188"/>
        <v>0</v>
      </c>
      <c r="AT17" s="6">
        <f t="shared" si="188"/>
        <v>0</v>
      </c>
      <c r="AU17" s="6">
        <f t="shared" si="188"/>
        <v>0</v>
      </c>
      <c r="AV17" s="6">
        <f t="shared" si="188"/>
        <v>0</v>
      </c>
      <c r="AW17" s="6">
        <f>AV17</f>
        <v>0</v>
      </c>
      <c r="AX17" s="6">
        <f t="shared" si="188"/>
        <v>0</v>
      </c>
      <c r="AY17" s="6">
        <f t="shared" si="188"/>
        <v>0</v>
      </c>
      <c r="AZ17" s="6">
        <f t="shared" si="188"/>
        <v>0</v>
      </c>
      <c r="BA17" s="6">
        <f t="shared" si="188"/>
        <v>0</v>
      </c>
      <c r="BB17" s="6">
        <f t="shared" ref="BB17:BQ18" si="189">BA17</f>
        <v>0</v>
      </c>
      <c r="BC17" s="6">
        <f t="shared" si="189"/>
        <v>0</v>
      </c>
      <c r="BD17" s="6">
        <f t="shared" si="189"/>
        <v>0</v>
      </c>
      <c r="BE17" s="6">
        <f t="shared" si="189"/>
        <v>0</v>
      </c>
      <c r="BF17" s="6">
        <f t="shared" si="189"/>
        <v>0</v>
      </c>
      <c r="BG17" s="6">
        <f t="shared" si="189"/>
        <v>0</v>
      </c>
      <c r="BH17" s="6">
        <f t="shared" si="189"/>
        <v>0</v>
      </c>
      <c r="BI17" s="6">
        <f t="shared" si="189"/>
        <v>0</v>
      </c>
      <c r="BJ17" s="6">
        <f t="shared" si="189"/>
        <v>0</v>
      </c>
      <c r="BK17" s="6">
        <f t="shared" si="189"/>
        <v>0</v>
      </c>
      <c r="BL17" s="6">
        <f t="shared" si="189"/>
        <v>0</v>
      </c>
      <c r="BM17" s="6">
        <f t="shared" si="189"/>
        <v>0</v>
      </c>
      <c r="BN17" s="6">
        <f t="shared" si="189"/>
        <v>0</v>
      </c>
      <c r="BO17" s="6">
        <f t="shared" si="189"/>
        <v>0</v>
      </c>
      <c r="BP17" s="6">
        <f t="shared" si="189"/>
        <v>0</v>
      </c>
      <c r="BQ17" s="6">
        <f t="shared" si="189"/>
        <v>0</v>
      </c>
      <c r="BR17" s="6">
        <f t="shared" ref="BR17:CG18" si="190">BQ17</f>
        <v>0</v>
      </c>
      <c r="BS17" s="6">
        <f t="shared" si="190"/>
        <v>0</v>
      </c>
      <c r="BT17" s="6">
        <f t="shared" si="190"/>
        <v>0</v>
      </c>
      <c r="BU17" s="6">
        <f t="shared" si="190"/>
        <v>0</v>
      </c>
      <c r="BV17" s="6">
        <f t="shared" si="190"/>
        <v>0</v>
      </c>
      <c r="BW17" s="6">
        <f t="shared" si="190"/>
        <v>0</v>
      </c>
      <c r="BX17" s="6">
        <f t="shared" si="190"/>
        <v>0</v>
      </c>
      <c r="BY17" s="6">
        <f t="shared" si="190"/>
        <v>0</v>
      </c>
      <c r="BZ17" s="6">
        <f t="shared" si="190"/>
        <v>0</v>
      </c>
      <c r="CA17" s="6">
        <f t="shared" si="190"/>
        <v>0</v>
      </c>
      <c r="CB17" s="6">
        <f t="shared" si="190"/>
        <v>0</v>
      </c>
      <c r="CC17" s="6">
        <f t="shared" si="190"/>
        <v>0</v>
      </c>
      <c r="CD17" s="6">
        <f t="shared" si="190"/>
        <v>0</v>
      </c>
      <c r="CE17" s="6">
        <f t="shared" si="190"/>
        <v>0</v>
      </c>
      <c r="CF17" s="6">
        <f t="shared" si="190"/>
        <v>0</v>
      </c>
      <c r="CG17" s="6">
        <f t="shared" si="190"/>
        <v>0</v>
      </c>
      <c r="CH17" s="6">
        <f t="shared" ref="CH17:CW18" si="191">CG17</f>
        <v>0</v>
      </c>
      <c r="CI17" s="6">
        <f t="shared" si="191"/>
        <v>0</v>
      </c>
      <c r="CJ17" s="6">
        <f t="shared" si="191"/>
        <v>0</v>
      </c>
      <c r="CK17" s="6">
        <f t="shared" si="191"/>
        <v>0</v>
      </c>
      <c r="CL17" s="6">
        <f t="shared" si="191"/>
        <v>0</v>
      </c>
      <c r="CM17" s="6">
        <f t="shared" si="191"/>
        <v>0</v>
      </c>
      <c r="CN17" s="6">
        <f t="shared" si="191"/>
        <v>0</v>
      </c>
      <c r="CO17" s="6">
        <f t="shared" si="191"/>
        <v>0</v>
      </c>
      <c r="CP17" s="6">
        <f t="shared" si="191"/>
        <v>0</v>
      </c>
      <c r="CQ17" s="6">
        <f t="shared" si="191"/>
        <v>0</v>
      </c>
      <c r="CR17" s="6">
        <f t="shared" si="191"/>
        <v>0</v>
      </c>
      <c r="CS17" s="6">
        <f t="shared" si="191"/>
        <v>0</v>
      </c>
      <c r="CT17" s="6">
        <f t="shared" si="191"/>
        <v>0</v>
      </c>
      <c r="CU17" s="6">
        <f t="shared" si="191"/>
        <v>0</v>
      </c>
      <c r="CV17" s="6">
        <f t="shared" si="191"/>
        <v>0</v>
      </c>
      <c r="CW17" s="6">
        <f t="shared" si="191"/>
        <v>0</v>
      </c>
      <c r="CX17" s="6">
        <f t="shared" ref="CX17:DM18" si="192">CW17</f>
        <v>0</v>
      </c>
      <c r="CY17" s="6">
        <f t="shared" si="192"/>
        <v>0</v>
      </c>
      <c r="CZ17" s="6">
        <f t="shared" si="192"/>
        <v>0</v>
      </c>
      <c r="DA17" s="6">
        <f t="shared" si="192"/>
        <v>0</v>
      </c>
      <c r="DB17" s="6">
        <f t="shared" si="192"/>
        <v>0</v>
      </c>
      <c r="DC17" s="6">
        <f t="shared" si="192"/>
        <v>0</v>
      </c>
      <c r="DD17" s="6">
        <f t="shared" si="192"/>
        <v>0</v>
      </c>
      <c r="DE17" s="6">
        <f t="shared" si="192"/>
        <v>0</v>
      </c>
      <c r="DF17" s="6">
        <f t="shared" si="192"/>
        <v>0</v>
      </c>
      <c r="DG17" s="6">
        <f t="shared" si="192"/>
        <v>0</v>
      </c>
      <c r="DH17" s="6">
        <f t="shared" si="192"/>
        <v>0</v>
      </c>
      <c r="DI17" s="6">
        <f t="shared" si="192"/>
        <v>0</v>
      </c>
      <c r="DJ17" s="6">
        <f t="shared" si="192"/>
        <v>0</v>
      </c>
      <c r="DK17" s="6">
        <f t="shared" si="192"/>
        <v>0</v>
      </c>
      <c r="DL17" s="6">
        <f t="shared" si="192"/>
        <v>0</v>
      </c>
      <c r="DM17" s="6">
        <f t="shared" si="192"/>
        <v>0</v>
      </c>
      <c r="DN17" s="6">
        <f t="shared" ref="DN17:EC18" si="193">DM17</f>
        <v>0</v>
      </c>
      <c r="DO17" s="6">
        <f t="shared" si="193"/>
        <v>0</v>
      </c>
      <c r="DP17" s="6">
        <f t="shared" si="193"/>
        <v>0</v>
      </c>
      <c r="DQ17" s="6">
        <f t="shared" si="193"/>
        <v>0</v>
      </c>
      <c r="DR17" s="6">
        <f t="shared" si="193"/>
        <v>0</v>
      </c>
      <c r="DS17" s="6">
        <f t="shared" si="193"/>
        <v>0</v>
      </c>
      <c r="DT17" s="6">
        <f t="shared" si="193"/>
        <v>0</v>
      </c>
      <c r="DU17" s="6">
        <f t="shared" si="193"/>
        <v>0</v>
      </c>
      <c r="DV17" s="6">
        <f t="shared" si="193"/>
        <v>0</v>
      </c>
      <c r="DW17" s="6">
        <f t="shared" si="193"/>
        <v>0</v>
      </c>
      <c r="DX17" s="6">
        <f t="shared" si="193"/>
        <v>0</v>
      </c>
      <c r="DY17" s="6">
        <f t="shared" si="193"/>
        <v>0</v>
      </c>
      <c r="DZ17" s="6">
        <f t="shared" si="193"/>
        <v>0</v>
      </c>
      <c r="EA17" s="6">
        <f t="shared" si="193"/>
        <v>0</v>
      </c>
      <c r="EB17" s="6">
        <f t="shared" si="193"/>
        <v>0</v>
      </c>
      <c r="EC17" s="6">
        <f t="shared" si="193"/>
        <v>0</v>
      </c>
      <c r="ED17" s="6">
        <f t="shared" ref="ED17:ES18" si="194">EC17</f>
        <v>0</v>
      </c>
      <c r="EE17" s="6">
        <f t="shared" si="194"/>
        <v>0</v>
      </c>
      <c r="EF17" s="6">
        <f t="shared" si="194"/>
        <v>0</v>
      </c>
      <c r="EG17" s="6">
        <f t="shared" si="194"/>
        <v>0</v>
      </c>
      <c r="EH17" s="6">
        <f t="shared" si="194"/>
        <v>0</v>
      </c>
      <c r="EI17" s="6">
        <f t="shared" si="194"/>
        <v>0</v>
      </c>
      <c r="EJ17" s="6">
        <f t="shared" si="194"/>
        <v>0</v>
      </c>
      <c r="EK17" s="6">
        <f t="shared" si="194"/>
        <v>0</v>
      </c>
      <c r="EL17" s="6">
        <f t="shared" si="194"/>
        <v>0</v>
      </c>
      <c r="EM17" s="6">
        <f t="shared" si="194"/>
        <v>0</v>
      </c>
      <c r="EN17" s="6">
        <f t="shared" si="194"/>
        <v>0</v>
      </c>
      <c r="EO17" s="6">
        <f t="shared" si="194"/>
        <v>0</v>
      </c>
      <c r="EP17" s="6">
        <f t="shared" si="194"/>
        <v>0</v>
      </c>
      <c r="EQ17" s="6">
        <f t="shared" si="194"/>
        <v>0</v>
      </c>
      <c r="ER17" s="6">
        <f t="shared" si="194"/>
        <v>0</v>
      </c>
      <c r="ES17" s="6">
        <f t="shared" si="194"/>
        <v>0</v>
      </c>
      <c r="ET17" s="6">
        <f t="shared" ref="ET17:EX18" si="195">ES17</f>
        <v>0</v>
      </c>
      <c r="EU17" s="6">
        <f t="shared" si="195"/>
        <v>0</v>
      </c>
      <c r="EV17" s="6">
        <f t="shared" si="195"/>
        <v>0</v>
      </c>
      <c r="EW17" s="6">
        <f t="shared" si="195"/>
        <v>0</v>
      </c>
      <c r="EX17" s="6">
        <f t="shared" si="195"/>
        <v>0</v>
      </c>
      <c r="EY17" s="5"/>
      <c r="EZ17" s="5"/>
      <c r="FA17" s="709"/>
      <c r="FB17" s="6">
        <v>3</v>
      </c>
      <c r="FC17" s="6">
        <f>FB17</f>
        <v>3</v>
      </c>
    </row>
    <row r="18" spans="2:159" x14ac:dyDescent="0.45">
      <c r="B18" s="135" t="s">
        <v>1162</v>
      </c>
      <c r="C18" s="136" t="s">
        <v>5</v>
      </c>
      <c r="D18">
        <v>1</v>
      </c>
      <c r="E18">
        <f>D18</f>
        <v>1</v>
      </c>
      <c r="F18">
        <f t="shared" si="186"/>
        <v>1</v>
      </c>
      <c r="G18">
        <f t="shared" si="186"/>
        <v>1</v>
      </c>
      <c r="H18">
        <f t="shared" si="186"/>
        <v>1</v>
      </c>
      <c r="I18">
        <f t="shared" si="186"/>
        <v>1</v>
      </c>
      <c r="J18">
        <f t="shared" si="186"/>
        <v>1</v>
      </c>
      <c r="K18">
        <f t="shared" si="186"/>
        <v>1</v>
      </c>
      <c r="L18">
        <f t="shared" si="186"/>
        <v>1</v>
      </c>
      <c r="M18">
        <f t="shared" si="186"/>
        <v>1</v>
      </c>
      <c r="N18">
        <f t="shared" si="186"/>
        <v>1</v>
      </c>
      <c r="O18">
        <f t="shared" si="186"/>
        <v>1</v>
      </c>
      <c r="P18">
        <f t="shared" si="186"/>
        <v>1</v>
      </c>
      <c r="Q18">
        <f t="shared" si="186"/>
        <v>1</v>
      </c>
      <c r="R18">
        <f t="shared" si="186"/>
        <v>1</v>
      </c>
      <c r="S18">
        <f t="shared" si="186"/>
        <v>1</v>
      </c>
      <c r="T18">
        <f t="shared" si="186"/>
        <v>1</v>
      </c>
      <c r="U18">
        <f t="shared" si="186"/>
        <v>1</v>
      </c>
      <c r="V18">
        <f t="shared" si="187"/>
        <v>1</v>
      </c>
      <c r="W18">
        <f t="shared" si="187"/>
        <v>1</v>
      </c>
      <c r="X18">
        <f t="shared" si="187"/>
        <v>1</v>
      </c>
      <c r="Y18">
        <f t="shared" si="187"/>
        <v>1</v>
      </c>
      <c r="Z18">
        <f t="shared" si="187"/>
        <v>1</v>
      </c>
      <c r="AA18">
        <f t="shared" si="187"/>
        <v>1</v>
      </c>
      <c r="AB18">
        <f t="shared" si="187"/>
        <v>1</v>
      </c>
      <c r="AC18">
        <f t="shared" si="187"/>
        <v>1</v>
      </c>
      <c r="AD18">
        <f t="shared" si="187"/>
        <v>1</v>
      </c>
      <c r="AE18">
        <f t="shared" si="187"/>
        <v>1</v>
      </c>
      <c r="AF18">
        <f t="shared" si="187"/>
        <v>1</v>
      </c>
      <c r="AG18">
        <f t="shared" si="187"/>
        <v>1</v>
      </c>
      <c r="AH18">
        <f t="shared" si="187"/>
        <v>1</v>
      </c>
      <c r="AI18">
        <f t="shared" si="187"/>
        <v>1</v>
      </c>
      <c r="AJ18">
        <f t="shared" si="187"/>
        <v>1</v>
      </c>
      <c r="AK18">
        <f t="shared" si="187"/>
        <v>1</v>
      </c>
      <c r="AL18">
        <f t="shared" si="188"/>
        <v>1</v>
      </c>
      <c r="AM18">
        <f t="shared" si="188"/>
        <v>1</v>
      </c>
      <c r="AN18">
        <f t="shared" si="188"/>
        <v>1</v>
      </c>
      <c r="AO18">
        <f t="shared" si="188"/>
        <v>1</v>
      </c>
      <c r="AP18">
        <f t="shared" si="188"/>
        <v>1</v>
      </c>
      <c r="AQ18">
        <f t="shared" si="188"/>
        <v>1</v>
      </c>
      <c r="AR18">
        <f t="shared" si="188"/>
        <v>1</v>
      </c>
      <c r="AS18">
        <f t="shared" si="188"/>
        <v>1</v>
      </c>
      <c r="AT18">
        <f t="shared" si="188"/>
        <v>1</v>
      </c>
      <c r="AU18">
        <f t="shared" si="188"/>
        <v>1</v>
      </c>
      <c r="AV18">
        <f t="shared" si="188"/>
        <v>1</v>
      </c>
      <c r="AW18">
        <f>AV18</f>
        <v>1</v>
      </c>
      <c r="AX18">
        <f t="shared" si="188"/>
        <v>1</v>
      </c>
      <c r="AY18">
        <f t="shared" si="188"/>
        <v>1</v>
      </c>
      <c r="AZ18">
        <f t="shared" si="188"/>
        <v>1</v>
      </c>
      <c r="BA18">
        <f t="shared" si="188"/>
        <v>1</v>
      </c>
      <c r="BB18">
        <f t="shared" si="189"/>
        <v>1</v>
      </c>
      <c r="BC18">
        <f t="shared" si="189"/>
        <v>1</v>
      </c>
      <c r="BD18">
        <f t="shared" si="189"/>
        <v>1</v>
      </c>
      <c r="BE18">
        <f t="shared" si="189"/>
        <v>1</v>
      </c>
      <c r="BF18">
        <f t="shared" si="189"/>
        <v>1</v>
      </c>
      <c r="BG18">
        <f t="shared" si="189"/>
        <v>1</v>
      </c>
      <c r="BH18">
        <f t="shared" si="189"/>
        <v>1</v>
      </c>
      <c r="BI18">
        <f t="shared" si="189"/>
        <v>1</v>
      </c>
      <c r="BJ18">
        <f t="shared" si="189"/>
        <v>1</v>
      </c>
      <c r="BK18">
        <f t="shared" si="189"/>
        <v>1</v>
      </c>
      <c r="BL18">
        <f t="shared" si="189"/>
        <v>1</v>
      </c>
      <c r="BM18">
        <f t="shared" si="189"/>
        <v>1</v>
      </c>
      <c r="BN18">
        <f t="shared" si="189"/>
        <v>1</v>
      </c>
      <c r="BO18">
        <f t="shared" si="189"/>
        <v>1</v>
      </c>
      <c r="BP18">
        <f t="shared" si="189"/>
        <v>1</v>
      </c>
      <c r="BQ18">
        <f t="shared" si="189"/>
        <v>1</v>
      </c>
      <c r="BR18">
        <f t="shared" si="190"/>
        <v>1</v>
      </c>
      <c r="BS18">
        <f t="shared" si="190"/>
        <v>1</v>
      </c>
      <c r="BT18">
        <f t="shared" si="190"/>
        <v>1</v>
      </c>
      <c r="BU18">
        <f t="shared" si="190"/>
        <v>1</v>
      </c>
      <c r="BV18">
        <f t="shared" si="190"/>
        <v>1</v>
      </c>
      <c r="BW18">
        <f t="shared" si="190"/>
        <v>1</v>
      </c>
      <c r="BX18">
        <f t="shared" si="190"/>
        <v>1</v>
      </c>
      <c r="BY18">
        <f t="shared" si="190"/>
        <v>1</v>
      </c>
      <c r="BZ18">
        <f t="shared" si="190"/>
        <v>1</v>
      </c>
      <c r="CA18">
        <f t="shared" si="190"/>
        <v>1</v>
      </c>
      <c r="CB18">
        <f t="shared" si="190"/>
        <v>1</v>
      </c>
      <c r="CC18">
        <f t="shared" si="190"/>
        <v>1</v>
      </c>
      <c r="CD18">
        <f t="shared" si="190"/>
        <v>1</v>
      </c>
      <c r="CE18">
        <f t="shared" si="190"/>
        <v>1</v>
      </c>
      <c r="CF18">
        <f t="shared" si="190"/>
        <v>1</v>
      </c>
      <c r="CG18">
        <f t="shared" si="190"/>
        <v>1</v>
      </c>
      <c r="CH18">
        <f t="shared" si="191"/>
        <v>1</v>
      </c>
      <c r="CI18">
        <f t="shared" si="191"/>
        <v>1</v>
      </c>
      <c r="CJ18">
        <f t="shared" si="191"/>
        <v>1</v>
      </c>
      <c r="CK18">
        <f t="shared" si="191"/>
        <v>1</v>
      </c>
      <c r="CL18">
        <f t="shared" si="191"/>
        <v>1</v>
      </c>
      <c r="CM18">
        <f t="shared" si="191"/>
        <v>1</v>
      </c>
      <c r="CN18">
        <f t="shared" si="191"/>
        <v>1</v>
      </c>
      <c r="CO18">
        <f t="shared" si="191"/>
        <v>1</v>
      </c>
      <c r="CP18">
        <f t="shared" si="191"/>
        <v>1</v>
      </c>
      <c r="CQ18">
        <f t="shared" si="191"/>
        <v>1</v>
      </c>
      <c r="CR18">
        <f t="shared" si="191"/>
        <v>1</v>
      </c>
      <c r="CS18">
        <f t="shared" si="191"/>
        <v>1</v>
      </c>
      <c r="CT18">
        <f t="shared" si="191"/>
        <v>1</v>
      </c>
      <c r="CU18">
        <f t="shared" si="191"/>
        <v>1</v>
      </c>
      <c r="CV18">
        <f t="shared" si="191"/>
        <v>1</v>
      </c>
      <c r="CW18">
        <f t="shared" si="191"/>
        <v>1</v>
      </c>
      <c r="CX18">
        <f t="shared" si="192"/>
        <v>1</v>
      </c>
      <c r="CY18">
        <f t="shared" si="192"/>
        <v>1</v>
      </c>
      <c r="CZ18">
        <f t="shared" si="192"/>
        <v>1</v>
      </c>
      <c r="DA18">
        <f t="shared" si="192"/>
        <v>1</v>
      </c>
      <c r="DB18">
        <f t="shared" si="192"/>
        <v>1</v>
      </c>
      <c r="DC18">
        <f t="shared" si="192"/>
        <v>1</v>
      </c>
      <c r="DD18">
        <f t="shared" si="192"/>
        <v>1</v>
      </c>
      <c r="DE18">
        <f t="shared" si="192"/>
        <v>1</v>
      </c>
      <c r="DF18">
        <f t="shared" si="192"/>
        <v>1</v>
      </c>
      <c r="DG18">
        <f t="shared" si="192"/>
        <v>1</v>
      </c>
      <c r="DH18">
        <f t="shared" si="192"/>
        <v>1</v>
      </c>
      <c r="DI18">
        <f t="shared" si="192"/>
        <v>1</v>
      </c>
      <c r="DJ18">
        <f t="shared" si="192"/>
        <v>1</v>
      </c>
      <c r="DK18">
        <f t="shared" si="192"/>
        <v>1</v>
      </c>
      <c r="DL18">
        <f t="shared" si="192"/>
        <v>1</v>
      </c>
      <c r="DM18">
        <f t="shared" si="192"/>
        <v>1</v>
      </c>
      <c r="DN18">
        <f t="shared" si="193"/>
        <v>1</v>
      </c>
      <c r="DO18">
        <f t="shared" si="193"/>
        <v>1</v>
      </c>
      <c r="DP18">
        <f t="shared" si="193"/>
        <v>1</v>
      </c>
      <c r="DQ18">
        <f t="shared" si="193"/>
        <v>1</v>
      </c>
      <c r="DR18">
        <f t="shared" si="193"/>
        <v>1</v>
      </c>
      <c r="DS18">
        <f t="shared" si="193"/>
        <v>1</v>
      </c>
      <c r="DT18">
        <f t="shared" si="193"/>
        <v>1</v>
      </c>
      <c r="DU18">
        <f t="shared" si="193"/>
        <v>1</v>
      </c>
      <c r="DV18">
        <f t="shared" si="193"/>
        <v>1</v>
      </c>
      <c r="DW18">
        <f t="shared" si="193"/>
        <v>1</v>
      </c>
      <c r="DX18">
        <f t="shared" si="193"/>
        <v>1</v>
      </c>
      <c r="DY18">
        <f t="shared" si="193"/>
        <v>1</v>
      </c>
      <c r="DZ18">
        <f t="shared" si="193"/>
        <v>1</v>
      </c>
      <c r="EA18">
        <f t="shared" si="193"/>
        <v>1</v>
      </c>
      <c r="EB18">
        <f t="shared" si="193"/>
        <v>1</v>
      </c>
      <c r="EC18">
        <f t="shared" si="193"/>
        <v>1</v>
      </c>
      <c r="ED18">
        <f t="shared" si="194"/>
        <v>1</v>
      </c>
      <c r="EE18">
        <f t="shared" si="194"/>
        <v>1</v>
      </c>
      <c r="EF18">
        <f t="shared" si="194"/>
        <v>1</v>
      </c>
      <c r="EG18">
        <f t="shared" si="194"/>
        <v>1</v>
      </c>
      <c r="EH18">
        <f t="shared" si="194"/>
        <v>1</v>
      </c>
      <c r="EI18">
        <f t="shared" si="194"/>
        <v>1</v>
      </c>
      <c r="EJ18">
        <f t="shared" si="194"/>
        <v>1</v>
      </c>
      <c r="EK18">
        <f t="shared" si="194"/>
        <v>1</v>
      </c>
      <c r="EL18">
        <f t="shared" si="194"/>
        <v>1</v>
      </c>
      <c r="EM18">
        <f t="shared" si="194"/>
        <v>1</v>
      </c>
      <c r="EN18">
        <f t="shared" si="194"/>
        <v>1</v>
      </c>
      <c r="EO18">
        <f t="shared" si="194"/>
        <v>1</v>
      </c>
      <c r="EP18">
        <f t="shared" si="194"/>
        <v>1</v>
      </c>
      <c r="EQ18">
        <f t="shared" si="194"/>
        <v>1</v>
      </c>
      <c r="ER18">
        <f t="shared" si="194"/>
        <v>1</v>
      </c>
      <c r="ES18">
        <f t="shared" si="194"/>
        <v>1</v>
      </c>
      <c r="ET18">
        <f t="shared" si="195"/>
        <v>1</v>
      </c>
      <c r="EU18">
        <f t="shared" si="195"/>
        <v>1</v>
      </c>
      <c r="EV18">
        <f t="shared" si="195"/>
        <v>1</v>
      </c>
      <c r="EW18">
        <f t="shared" si="195"/>
        <v>1</v>
      </c>
      <c r="EX18">
        <f t="shared" si="195"/>
        <v>1</v>
      </c>
      <c r="EY18" s="5"/>
      <c r="EZ18" s="5"/>
      <c r="FA18" s="709"/>
      <c r="FB18">
        <v>8</v>
      </c>
      <c r="FC18">
        <f>FB18</f>
        <v>8</v>
      </c>
    </row>
    <row r="19" spans="2:159" x14ac:dyDescent="0.45">
      <c r="B19" s="137" t="s">
        <v>1165</v>
      </c>
      <c r="C19" s="140" t="s">
        <v>1</v>
      </c>
      <c r="D19" s="3">
        <f t="shared" ref="D19:BO19" si="196">D11*D14</f>
        <v>10204.081632653062</v>
      </c>
      <c r="E19" s="3">
        <f t="shared" si="196"/>
        <v>10101.010101010101</v>
      </c>
      <c r="F19" s="3">
        <f t="shared" si="196"/>
        <v>10000</v>
      </c>
      <c r="G19" s="3">
        <f t="shared" si="196"/>
        <v>9900.9900990099013</v>
      </c>
      <c r="H19" s="3">
        <f t="shared" si="196"/>
        <v>9803.9215686274511</v>
      </c>
      <c r="I19" s="3">
        <f t="shared" si="196"/>
        <v>9708.7378640776697</v>
      </c>
      <c r="J19" s="3">
        <f t="shared" si="196"/>
        <v>9615.3846153846152</v>
      </c>
      <c r="K19" s="3">
        <f t="shared" si="196"/>
        <v>9523.8095238095229</v>
      </c>
      <c r="L19" s="3">
        <f t="shared" si="196"/>
        <v>9433.9622641509432</v>
      </c>
      <c r="M19" s="3">
        <f t="shared" si="196"/>
        <v>9345.7943925233649</v>
      </c>
      <c r="N19" s="3">
        <f>N11*N14</f>
        <v>9259.2592592592591</v>
      </c>
      <c r="O19" s="3">
        <f t="shared" si="196"/>
        <v>9174.3119266055037</v>
      </c>
      <c r="P19" s="3">
        <f t="shared" si="196"/>
        <v>9090.9090909090883</v>
      </c>
      <c r="Q19" s="3">
        <f t="shared" si="196"/>
        <v>9009.0090090090107</v>
      </c>
      <c r="R19" s="3">
        <f t="shared" si="196"/>
        <v>8928.5714285714294</v>
      </c>
      <c r="S19" s="3">
        <f t="shared" si="196"/>
        <v>8849.5575221238923</v>
      </c>
      <c r="T19" s="3">
        <f t="shared" si="196"/>
        <v>8771.9298245614027</v>
      </c>
      <c r="U19" s="3">
        <f t="shared" si="196"/>
        <v>8695.652173913044</v>
      </c>
      <c r="V19" s="3">
        <f t="shared" si="196"/>
        <v>8620.6896551724112</v>
      </c>
      <c r="W19" s="3">
        <f t="shared" si="196"/>
        <v>8547.0085470085469</v>
      </c>
      <c r="X19" s="3">
        <f t="shared" si="196"/>
        <v>8474.5762711864409</v>
      </c>
      <c r="Y19" s="3">
        <f t="shared" si="196"/>
        <v>8403.361344537816</v>
      </c>
      <c r="Z19" s="3">
        <f t="shared" si="196"/>
        <v>8333.3333333333339</v>
      </c>
      <c r="AA19" s="3">
        <f t="shared" si="196"/>
        <v>8264.4628099173551</v>
      </c>
      <c r="AB19" s="3">
        <f t="shared" si="196"/>
        <v>8196.7213114754104</v>
      </c>
      <c r="AC19" s="3">
        <f t="shared" si="196"/>
        <v>8130.081300813009</v>
      </c>
      <c r="AD19" s="3">
        <f t="shared" si="196"/>
        <v>8064.5161290322585</v>
      </c>
      <c r="AE19" s="3">
        <f t="shared" si="196"/>
        <v>8000</v>
      </c>
      <c r="AF19" s="3">
        <f t="shared" si="196"/>
        <v>7936.5079365079364</v>
      </c>
      <c r="AG19" s="3">
        <f t="shared" si="196"/>
        <v>7874.0157480314965</v>
      </c>
      <c r="AH19" s="3">
        <f t="shared" si="196"/>
        <v>7812.5</v>
      </c>
      <c r="AI19" s="3">
        <f t="shared" si="196"/>
        <v>7751.937984496124</v>
      </c>
      <c r="AJ19" s="3">
        <f t="shared" si="196"/>
        <v>7692.3076923076924</v>
      </c>
      <c r="AK19" s="3">
        <f t="shared" si="196"/>
        <v>7633.5877862595416</v>
      </c>
      <c r="AL19" s="3">
        <f t="shared" si="196"/>
        <v>7575.757575757576</v>
      </c>
      <c r="AM19" s="3">
        <f t="shared" si="196"/>
        <v>7518.7969924812032</v>
      </c>
      <c r="AN19" s="3">
        <f t="shared" si="196"/>
        <v>7462.686567164179</v>
      </c>
      <c r="AO19" s="3">
        <f t="shared" si="196"/>
        <v>7407.4074074074069</v>
      </c>
      <c r="AP19" s="3">
        <f t="shared" si="196"/>
        <v>7352.9411764705883</v>
      </c>
      <c r="AQ19" s="3">
        <f t="shared" si="196"/>
        <v>7299.270072992701</v>
      </c>
      <c r="AR19" s="3">
        <f t="shared" si="196"/>
        <v>7246.376811594203</v>
      </c>
      <c r="AS19" s="3">
        <f t="shared" si="196"/>
        <v>7194.2446043165464</v>
      </c>
      <c r="AT19" s="3">
        <f t="shared" si="196"/>
        <v>7142.8571428571431</v>
      </c>
      <c r="AU19" s="3">
        <f t="shared" si="196"/>
        <v>7092.1985815602839</v>
      </c>
      <c r="AV19" s="3">
        <f t="shared" si="196"/>
        <v>7042.2535211267605</v>
      </c>
      <c r="AW19" s="3">
        <f t="shared" si="196"/>
        <v>6993.0069930069931</v>
      </c>
      <c r="AX19" s="3">
        <f t="shared" si="196"/>
        <v>6944.4444444444443</v>
      </c>
      <c r="AY19" s="3">
        <f t="shared" si="196"/>
        <v>6896.5517241379303</v>
      </c>
      <c r="AZ19" s="3">
        <f t="shared" si="196"/>
        <v>6849.3150684931506</v>
      </c>
      <c r="BA19" s="3">
        <f t="shared" si="196"/>
        <v>6802.7210884353735</v>
      </c>
      <c r="BB19" s="3">
        <f t="shared" si="196"/>
        <v>6756.7567567567567</v>
      </c>
      <c r="BC19" s="3">
        <f t="shared" si="196"/>
        <v>6711.4093959731545</v>
      </c>
      <c r="BD19" s="3">
        <f t="shared" si="196"/>
        <v>6666.666666666667</v>
      </c>
      <c r="BE19" s="3">
        <f t="shared" si="196"/>
        <v>6622.5165562913908</v>
      </c>
      <c r="BF19" s="3">
        <f t="shared" si="196"/>
        <v>6578.9473684210525</v>
      </c>
      <c r="BG19" s="3">
        <f t="shared" si="196"/>
        <v>6535.9477124183004</v>
      </c>
      <c r="BH19" s="3">
        <f t="shared" si="196"/>
        <v>6493.5064935064938</v>
      </c>
      <c r="BI19" s="3">
        <f t="shared" si="196"/>
        <v>6451.6129032258068</v>
      </c>
      <c r="BJ19" s="3">
        <f t="shared" si="196"/>
        <v>6410.2564102564093</v>
      </c>
      <c r="BK19" s="3">
        <f t="shared" si="196"/>
        <v>6369.4267515923575</v>
      </c>
      <c r="BL19" s="3">
        <f t="shared" si="196"/>
        <v>6329.1139240506327</v>
      </c>
      <c r="BM19" s="3">
        <f t="shared" si="196"/>
        <v>6289.3081761006288</v>
      </c>
      <c r="BN19" s="3">
        <f t="shared" si="196"/>
        <v>6249.9999999999991</v>
      </c>
      <c r="BO19" s="3">
        <f t="shared" si="196"/>
        <v>6211.1801242236024</v>
      </c>
      <c r="BP19" s="3">
        <f t="shared" ref="BP19:EA19" si="197">BP11*BP14</f>
        <v>6172.8395061728397</v>
      </c>
      <c r="BQ19" s="3">
        <f t="shared" si="197"/>
        <v>6134.9693251533745</v>
      </c>
      <c r="BR19" s="3">
        <f t="shared" si="197"/>
        <v>6097.5609756097574</v>
      </c>
      <c r="BS19" s="3">
        <f t="shared" si="197"/>
        <v>6060.606060606061</v>
      </c>
      <c r="BT19" s="3">
        <f t="shared" si="197"/>
        <v>6024.0963855421687</v>
      </c>
      <c r="BU19" s="3">
        <f t="shared" si="197"/>
        <v>5988.0239520958085</v>
      </c>
      <c r="BV19" s="3">
        <f t="shared" si="197"/>
        <v>5952.3809523809523</v>
      </c>
      <c r="BW19" s="3">
        <f t="shared" si="197"/>
        <v>5917.1597633136098</v>
      </c>
      <c r="BX19" s="3">
        <f t="shared" si="197"/>
        <v>5882.3529411764703</v>
      </c>
      <c r="BY19" s="3">
        <f t="shared" si="197"/>
        <v>5847.9532163742688</v>
      </c>
      <c r="BZ19" s="3">
        <f t="shared" si="197"/>
        <v>5813.9534883720926</v>
      </c>
      <c r="CA19" s="3">
        <f t="shared" si="197"/>
        <v>5780.3468208092481</v>
      </c>
      <c r="CB19" s="3">
        <f t="shared" si="197"/>
        <v>5747.1264367816093</v>
      </c>
      <c r="CC19" s="3">
        <f t="shared" si="197"/>
        <v>5714.2857142857147</v>
      </c>
      <c r="CD19" s="3">
        <f t="shared" si="197"/>
        <v>5681.818181818182</v>
      </c>
      <c r="CE19" s="3">
        <f t="shared" si="197"/>
        <v>5649.7175141242951</v>
      </c>
      <c r="CF19" s="3">
        <f t="shared" si="197"/>
        <v>5617.9775280898875</v>
      </c>
      <c r="CG19" s="3">
        <f t="shared" si="197"/>
        <v>5586.5921787709503</v>
      </c>
      <c r="CH19" s="3">
        <f t="shared" si="197"/>
        <v>5555.5555555555547</v>
      </c>
      <c r="CI19" s="3">
        <f t="shared" si="197"/>
        <v>5524.861878453039</v>
      </c>
      <c r="CJ19" s="3">
        <f t="shared" si="197"/>
        <v>5494.5054945054944</v>
      </c>
      <c r="CK19" s="3">
        <f t="shared" si="197"/>
        <v>5464.4808743169397</v>
      </c>
      <c r="CL19" s="3">
        <f t="shared" si="197"/>
        <v>5434.782608695652</v>
      </c>
      <c r="CM19" s="3">
        <f t="shared" si="197"/>
        <v>5405.405405405405</v>
      </c>
      <c r="CN19" s="3">
        <f t="shared" si="197"/>
        <v>5376.3440860215051</v>
      </c>
      <c r="CO19" s="3">
        <f t="shared" si="197"/>
        <v>5347.5935828877018</v>
      </c>
      <c r="CP19" s="3">
        <f t="shared" si="197"/>
        <v>5319.1489361702133</v>
      </c>
      <c r="CQ19" s="3">
        <f t="shared" si="197"/>
        <v>5291.0052910052909</v>
      </c>
      <c r="CR19" s="3">
        <f t="shared" si="197"/>
        <v>5263.1578947368434</v>
      </c>
      <c r="CS19" s="3">
        <f t="shared" si="197"/>
        <v>5235.6020942408377</v>
      </c>
      <c r="CT19" s="3">
        <f t="shared" si="197"/>
        <v>5208.333333333333</v>
      </c>
      <c r="CU19" s="3">
        <f t="shared" si="197"/>
        <v>5181.3471502590673</v>
      </c>
      <c r="CV19" s="3">
        <f t="shared" si="197"/>
        <v>5154.6391752577319</v>
      </c>
      <c r="CW19" s="3">
        <f t="shared" si="197"/>
        <v>5128.2051282051279</v>
      </c>
      <c r="CX19" s="3">
        <f t="shared" si="197"/>
        <v>5102.0408163265311</v>
      </c>
      <c r="CY19" s="3">
        <f t="shared" si="197"/>
        <v>5076.1421319796964</v>
      </c>
      <c r="CZ19" s="3">
        <f t="shared" si="197"/>
        <v>5050.5050505050503</v>
      </c>
      <c r="DA19" s="3">
        <f t="shared" si="197"/>
        <v>5025.1256281407032</v>
      </c>
      <c r="DB19" s="3">
        <f t="shared" si="197"/>
        <v>5000</v>
      </c>
      <c r="DC19" s="3">
        <f t="shared" si="197"/>
        <v>4975.1243781094527</v>
      </c>
      <c r="DD19" s="3">
        <f t="shared" si="197"/>
        <v>4950.4950495049507</v>
      </c>
      <c r="DE19" s="3">
        <f t="shared" si="197"/>
        <v>4926.1083743842373</v>
      </c>
      <c r="DF19" s="3">
        <f t="shared" si="197"/>
        <v>4901.9607843137255</v>
      </c>
      <c r="DG19" s="3">
        <f t="shared" si="197"/>
        <v>4878.0487804878048</v>
      </c>
      <c r="DH19" s="3">
        <f t="shared" si="197"/>
        <v>4854.3689320388348</v>
      </c>
      <c r="DI19" s="3">
        <f t="shared" si="197"/>
        <v>4830.9178743961356</v>
      </c>
      <c r="DJ19" s="3">
        <f t="shared" si="197"/>
        <v>4807.6923076923076</v>
      </c>
      <c r="DK19" s="3">
        <f t="shared" si="197"/>
        <v>4784.6889952153106</v>
      </c>
      <c r="DL19" s="3">
        <f t="shared" si="197"/>
        <v>4761.9047619047615</v>
      </c>
      <c r="DM19" s="3">
        <f t="shared" si="197"/>
        <v>4739.336492890995</v>
      </c>
      <c r="DN19" s="3">
        <f t="shared" si="197"/>
        <v>4716.9811320754716</v>
      </c>
      <c r="DO19" s="3">
        <f t="shared" si="197"/>
        <v>4694.8356807511736</v>
      </c>
      <c r="DP19" s="3">
        <f t="shared" si="197"/>
        <v>4672.8971962616824</v>
      </c>
      <c r="DQ19" s="3">
        <f t="shared" si="197"/>
        <v>4651.1627906976746</v>
      </c>
      <c r="DR19" s="3">
        <f t="shared" si="197"/>
        <v>4629.6296296296296</v>
      </c>
      <c r="DS19" s="3">
        <f t="shared" si="197"/>
        <v>4608.294930875576</v>
      </c>
      <c r="DT19" s="3">
        <f t="shared" si="197"/>
        <v>4587.1559633027518</v>
      </c>
      <c r="DU19" s="3">
        <f t="shared" si="197"/>
        <v>4566.2100456621001</v>
      </c>
      <c r="DV19" s="3">
        <f t="shared" si="197"/>
        <v>4545.454545454545</v>
      </c>
      <c r="DW19" s="3">
        <f t="shared" si="197"/>
        <v>4524.8868778280539</v>
      </c>
      <c r="DX19" s="3">
        <f t="shared" si="197"/>
        <v>4504.5045045045053</v>
      </c>
      <c r="DY19" s="3">
        <f t="shared" si="197"/>
        <v>4484.3049327354247</v>
      </c>
      <c r="DZ19" s="3">
        <f t="shared" si="197"/>
        <v>4464.2857142857147</v>
      </c>
      <c r="EA19" s="3">
        <f t="shared" si="197"/>
        <v>4444.4444444444453</v>
      </c>
      <c r="EB19" s="3">
        <f t="shared" ref="EB19:FC19" si="198">EB11*EB14</f>
        <v>4424.7787610619471</v>
      </c>
      <c r="EC19" s="3">
        <f t="shared" si="198"/>
        <v>4405.2863436123343</v>
      </c>
      <c r="ED19" s="3">
        <f t="shared" si="198"/>
        <v>4385.9649122807014</v>
      </c>
      <c r="EE19" s="3">
        <f t="shared" si="198"/>
        <v>4366.812227074236</v>
      </c>
      <c r="EF19" s="3">
        <f t="shared" si="198"/>
        <v>4347.826086956522</v>
      </c>
      <c r="EG19" s="3">
        <f t="shared" si="198"/>
        <v>4329.0043290043286</v>
      </c>
      <c r="EH19" s="3">
        <f t="shared" si="198"/>
        <v>4310.3448275862065</v>
      </c>
      <c r="EI19" s="3">
        <f t="shared" si="198"/>
        <v>4291.8454935622312</v>
      </c>
      <c r="EJ19" s="3">
        <f t="shared" si="198"/>
        <v>4273.5042735042734</v>
      </c>
      <c r="EK19" s="3">
        <f t="shared" si="198"/>
        <v>4255.3191489361698</v>
      </c>
      <c r="EL19" s="3">
        <f t="shared" si="198"/>
        <v>4237.2881355932204</v>
      </c>
      <c r="EM19" s="3">
        <f t="shared" si="198"/>
        <v>4219.4092827004215</v>
      </c>
      <c r="EN19" s="3">
        <f t="shared" si="198"/>
        <v>4201.680672268908</v>
      </c>
      <c r="EO19" s="3">
        <f t="shared" si="198"/>
        <v>4184.1004184100429</v>
      </c>
      <c r="EP19" s="3">
        <f t="shared" si="198"/>
        <v>4166.666666666667</v>
      </c>
      <c r="EQ19" s="3">
        <f t="shared" si="198"/>
        <v>4149.3775933609959</v>
      </c>
      <c r="ER19" s="3">
        <f t="shared" si="198"/>
        <v>4132.2314049586776</v>
      </c>
      <c r="ES19" s="3">
        <f t="shared" si="198"/>
        <v>4115.2263374485601</v>
      </c>
      <c r="ET19" s="3">
        <f t="shared" si="198"/>
        <v>4098.3606557377052</v>
      </c>
      <c r="EU19" s="3">
        <f t="shared" si="198"/>
        <v>4081.6326530612241</v>
      </c>
      <c r="EV19" s="3">
        <f t="shared" si="198"/>
        <v>4065.0406504065045</v>
      </c>
      <c r="EW19" s="3">
        <f t="shared" si="198"/>
        <v>4048.5829959514176</v>
      </c>
      <c r="EX19" s="3">
        <f t="shared" si="198"/>
        <v>4032.2580645161293</v>
      </c>
      <c r="EY19" s="5"/>
      <c r="EZ19" s="5"/>
      <c r="FA19" s="709"/>
      <c r="FB19" s="3">
        <f t="shared" si="198"/>
        <v>10000</v>
      </c>
      <c r="FC19" s="3">
        <f t="shared" si="198"/>
        <v>8333.3333333333321</v>
      </c>
    </row>
    <row r="20" spans="2:159" x14ac:dyDescent="0.45">
      <c r="B20" s="135"/>
      <c r="C20" s="136" t="s">
        <v>900</v>
      </c>
      <c r="D20" s="62">
        <f>D19-D4</f>
        <v>0</v>
      </c>
      <c r="E20" s="62">
        <f t="shared" ref="E20:H20" si="199">E19-E4</f>
        <v>0</v>
      </c>
      <c r="F20" s="62">
        <f t="shared" si="199"/>
        <v>0</v>
      </c>
      <c r="G20" s="62">
        <f t="shared" si="199"/>
        <v>0</v>
      </c>
      <c r="H20" s="62">
        <f t="shared" si="199"/>
        <v>0</v>
      </c>
      <c r="I20" s="62">
        <f>I19-I4</f>
        <v>0</v>
      </c>
      <c r="J20" s="62">
        <f t="shared" ref="J20:BU20" si="200">J19-J4</f>
        <v>0</v>
      </c>
      <c r="K20" s="62">
        <f t="shared" si="200"/>
        <v>0</v>
      </c>
      <c r="L20" s="62">
        <f t="shared" si="200"/>
        <v>0</v>
      </c>
      <c r="M20" s="62">
        <f t="shared" si="200"/>
        <v>0</v>
      </c>
      <c r="N20" s="62">
        <f t="shared" si="200"/>
        <v>0</v>
      </c>
      <c r="O20" s="62">
        <f t="shared" si="200"/>
        <v>0</v>
      </c>
      <c r="P20" s="62">
        <f t="shared" si="200"/>
        <v>0</v>
      </c>
      <c r="Q20" s="62">
        <f t="shared" si="200"/>
        <v>0</v>
      </c>
      <c r="R20" s="62">
        <f t="shared" si="200"/>
        <v>0</v>
      </c>
      <c r="S20" s="62">
        <f t="shared" si="200"/>
        <v>0</v>
      </c>
      <c r="T20" s="62">
        <f t="shared" si="200"/>
        <v>0</v>
      </c>
      <c r="U20" s="62">
        <f t="shared" si="200"/>
        <v>0</v>
      </c>
      <c r="V20" s="62">
        <f t="shared" si="200"/>
        <v>0</v>
      </c>
      <c r="W20" s="62">
        <f t="shared" si="200"/>
        <v>0</v>
      </c>
      <c r="X20" s="62">
        <f t="shared" si="200"/>
        <v>0</v>
      </c>
      <c r="Y20" s="62">
        <f t="shared" si="200"/>
        <v>0</v>
      </c>
      <c r="Z20" s="62">
        <f t="shared" si="200"/>
        <v>0</v>
      </c>
      <c r="AA20" s="62">
        <f t="shared" si="200"/>
        <v>0</v>
      </c>
      <c r="AB20" s="62">
        <f t="shared" si="200"/>
        <v>0</v>
      </c>
      <c r="AC20" s="62">
        <f t="shared" si="200"/>
        <v>0</v>
      </c>
      <c r="AD20" s="62">
        <f t="shared" si="200"/>
        <v>0</v>
      </c>
      <c r="AE20" s="62">
        <f t="shared" si="200"/>
        <v>0</v>
      </c>
      <c r="AF20" s="62">
        <f t="shared" si="200"/>
        <v>0</v>
      </c>
      <c r="AG20" s="62">
        <f t="shared" si="200"/>
        <v>0</v>
      </c>
      <c r="AH20" s="62">
        <f t="shared" si="200"/>
        <v>0</v>
      </c>
      <c r="AI20" s="62">
        <f t="shared" si="200"/>
        <v>0</v>
      </c>
      <c r="AJ20" s="62">
        <f t="shared" si="200"/>
        <v>0</v>
      </c>
      <c r="AK20" s="62">
        <f t="shared" si="200"/>
        <v>0</v>
      </c>
      <c r="AL20" s="62">
        <f t="shared" si="200"/>
        <v>0</v>
      </c>
      <c r="AM20" s="62">
        <f t="shared" si="200"/>
        <v>0</v>
      </c>
      <c r="AN20" s="62">
        <f t="shared" si="200"/>
        <v>0</v>
      </c>
      <c r="AO20" s="62">
        <f t="shared" si="200"/>
        <v>0</v>
      </c>
      <c r="AP20" s="62">
        <f t="shared" si="200"/>
        <v>0</v>
      </c>
      <c r="AQ20" s="62">
        <f t="shared" si="200"/>
        <v>0</v>
      </c>
      <c r="AR20" s="62">
        <f t="shared" si="200"/>
        <v>0</v>
      </c>
      <c r="AS20" s="62">
        <f t="shared" si="200"/>
        <v>0</v>
      </c>
      <c r="AT20" s="62">
        <f t="shared" si="200"/>
        <v>0</v>
      </c>
      <c r="AU20" s="62">
        <f t="shared" si="200"/>
        <v>0</v>
      </c>
      <c r="AV20" s="62">
        <f t="shared" si="200"/>
        <v>0</v>
      </c>
      <c r="AW20" s="62">
        <f t="shared" si="200"/>
        <v>0</v>
      </c>
      <c r="AX20" s="62">
        <f t="shared" si="200"/>
        <v>0</v>
      </c>
      <c r="AY20" s="62">
        <f t="shared" si="200"/>
        <v>0</v>
      </c>
      <c r="AZ20" s="62">
        <f t="shared" si="200"/>
        <v>0</v>
      </c>
      <c r="BA20" s="62">
        <f t="shared" si="200"/>
        <v>0</v>
      </c>
      <c r="BB20" s="62">
        <f t="shared" si="200"/>
        <v>0</v>
      </c>
      <c r="BC20" s="62">
        <f t="shared" si="200"/>
        <v>0</v>
      </c>
      <c r="BD20" s="62">
        <f t="shared" si="200"/>
        <v>0</v>
      </c>
      <c r="BE20" s="62">
        <f t="shared" si="200"/>
        <v>0</v>
      </c>
      <c r="BF20" s="62">
        <f t="shared" si="200"/>
        <v>0</v>
      </c>
      <c r="BG20" s="62">
        <f t="shared" si="200"/>
        <v>0</v>
      </c>
      <c r="BH20" s="62">
        <f t="shared" si="200"/>
        <v>0</v>
      </c>
      <c r="BI20" s="62">
        <f t="shared" si="200"/>
        <v>0</v>
      </c>
      <c r="BJ20" s="62">
        <f t="shared" si="200"/>
        <v>0</v>
      </c>
      <c r="BK20" s="62">
        <f t="shared" si="200"/>
        <v>0</v>
      </c>
      <c r="BL20" s="62">
        <f t="shared" si="200"/>
        <v>0</v>
      </c>
      <c r="BM20" s="62">
        <f t="shared" si="200"/>
        <v>0</v>
      </c>
      <c r="BN20" s="62">
        <f t="shared" si="200"/>
        <v>0</v>
      </c>
      <c r="BO20" s="62">
        <f t="shared" si="200"/>
        <v>0</v>
      </c>
      <c r="BP20" s="62">
        <f t="shared" si="200"/>
        <v>0</v>
      </c>
      <c r="BQ20" s="62">
        <f t="shared" si="200"/>
        <v>0</v>
      </c>
      <c r="BR20" s="62">
        <f t="shared" si="200"/>
        <v>0</v>
      </c>
      <c r="BS20" s="62">
        <f t="shared" si="200"/>
        <v>0</v>
      </c>
      <c r="BT20" s="62">
        <f t="shared" si="200"/>
        <v>0</v>
      </c>
      <c r="BU20" s="62">
        <f t="shared" si="200"/>
        <v>0</v>
      </c>
      <c r="BV20" s="62">
        <f t="shared" ref="BV20:EG20" si="201">BV19-BV4</f>
        <v>0</v>
      </c>
      <c r="BW20" s="62">
        <f t="shared" si="201"/>
        <v>0</v>
      </c>
      <c r="BX20" s="62">
        <f t="shared" si="201"/>
        <v>0</v>
      </c>
      <c r="BY20" s="62">
        <f t="shared" si="201"/>
        <v>0</v>
      </c>
      <c r="BZ20" s="62">
        <f t="shared" si="201"/>
        <v>0</v>
      </c>
      <c r="CA20" s="62">
        <f t="shared" si="201"/>
        <v>0</v>
      </c>
      <c r="CB20" s="62">
        <f t="shared" si="201"/>
        <v>0</v>
      </c>
      <c r="CC20" s="62">
        <f t="shared" si="201"/>
        <v>0</v>
      </c>
      <c r="CD20" s="62">
        <f t="shared" si="201"/>
        <v>0</v>
      </c>
      <c r="CE20" s="62">
        <f t="shared" si="201"/>
        <v>0</v>
      </c>
      <c r="CF20" s="62">
        <f t="shared" si="201"/>
        <v>0</v>
      </c>
      <c r="CG20" s="62">
        <f t="shared" si="201"/>
        <v>0</v>
      </c>
      <c r="CH20" s="62">
        <f t="shared" si="201"/>
        <v>0</v>
      </c>
      <c r="CI20" s="62">
        <f t="shared" si="201"/>
        <v>0</v>
      </c>
      <c r="CJ20" s="62">
        <f t="shared" si="201"/>
        <v>0</v>
      </c>
      <c r="CK20" s="62">
        <f t="shared" si="201"/>
        <v>0</v>
      </c>
      <c r="CL20" s="62">
        <f t="shared" si="201"/>
        <v>0</v>
      </c>
      <c r="CM20" s="62">
        <f t="shared" si="201"/>
        <v>0</v>
      </c>
      <c r="CN20" s="62">
        <f t="shared" si="201"/>
        <v>0</v>
      </c>
      <c r="CO20" s="62">
        <f t="shared" si="201"/>
        <v>0</v>
      </c>
      <c r="CP20" s="62">
        <f t="shared" si="201"/>
        <v>0</v>
      </c>
      <c r="CQ20" s="62">
        <f t="shared" si="201"/>
        <v>0</v>
      </c>
      <c r="CR20" s="62">
        <f t="shared" si="201"/>
        <v>0</v>
      </c>
      <c r="CS20" s="62">
        <f t="shared" si="201"/>
        <v>0</v>
      </c>
      <c r="CT20" s="62">
        <f t="shared" si="201"/>
        <v>0</v>
      </c>
      <c r="CU20" s="62">
        <f t="shared" si="201"/>
        <v>0</v>
      </c>
      <c r="CV20" s="62">
        <f t="shared" si="201"/>
        <v>0</v>
      </c>
      <c r="CW20" s="62">
        <f t="shared" si="201"/>
        <v>0</v>
      </c>
      <c r="CX20" s="62">
        <f t="shared" si="201"/>
        <v>0</v>
      </c>
      <c r="CY20" s="62">
        <f t="shared" si="201"/>
        <v>0</v>
      </c>
      <c r="CZ20" s="62">
        <f t="shared" si="201"/>
        <v>0</v>
      </c>
      <c r="DA20" s="62">
        <f t="shared" si="201"/>
        <v>0</v>
      </c>
      <c r="DB20" s="62">
        <f t="shared" si="201"/>
        <v>0</v>
      </c>
      <c r="DC20" s="62">
        <f t="shared" si="201"/>
        <v>0</v>
      </c>
      <c r="DD20" s="62">
        <f t="shared" si="201"/>
        <v>0</v>
      </c>
      <c r="DE20" s="62">
        <f t="shared" si="201"/>
        <v>0</v>
      </c>
      <c r="DF20" s="62">
        <f t="shared" si="201"/>
        <v>0</v>
      </c>
      <c r="DG20" s="62">
        <f t="shared" si="201"/>
        <v>0</v>
      </c>
      <c r="DH20" s="62">
        <f t="shared" si="201"/>
        <v>0</v>
      </c>
      <c r="DI20" s="62">
        <f t="shared" si="201"/>
        <v>0</v>
      </c>
      <c r="DJ20" s="62">
        <f t="shared" si="201"/>
        <v>0</v>
      </c>
      <c r="DK20" s="62">
        <f t="shared" si="201"/>
        <v>0</v>
      </c>
      <c r="DL20" s="62">
        <f t="shared" si="201"/>
        <v>0</v>
      </c>
      <c r="DM20" s="62">
        <f t="shared" si="201"/>
        <v>0</v>
      </c>
      <c r="DN20" s="62">
        <f t="shared" si="201"/>
        <v>0</v>
      </c>
      <c r="DO20" s="62">
        <f t="shared" si="201"/>
        <v>0</v>
      </c>
      <c r="DP20" s="62">
        <f t="shared" si="201"/>
        <v>0</v>
      </c>
      <c r="DQ20" s="62">
        <f t="shared" si="201"/>
        <v>0</v>
      </c>
      <c r="DR20" s="62">
        <f t="shared" si="201"/>
        <v>0</v>
      </c>
      <c r="DS20" s="62">
        <f t="shared" si="201"/>
        <v>0</v>
      </c>
      <c r="DT20" s="62">
        <f t="shared" si="201"/>
        <v>0</v>
      </c>
      <c r="DU20" s="62">
        <f t="shared" si="201"/>
        <v>0</v>
      </c>
      <c r="DV20" s="62">
        <f t="shared" si="201"/>
        <v>0</v>
      </c>
      <c r="DW20" s="62">
        <f t="shared" si="201"/>
        <v>0</v>
      </c>
      <c r="DX20" s="62">
        <f t="shared" si="201"/>
        <v>0</v>
      </c>
      <c r="DY20" s="62">
        <f t="shared" si="201"/>
        <v>0</v>
      </c>
      <c r="DZ20" s="62">
        <f t="shared" si="201"/>
        <v>0</v>
      </c>
      <c r="EA20" s="62">
        <f t="shared" si="201"/>
        <v>0</v>
      </c>
      <c r="EB20" s="62">
        <f t="shared" si="201"/>
        <v>0</v>
      </c>
      <c r="EC20" s="62">
        <f t="shared" si="201"/>
        <v>0</v>
      </c>
      <c r="ED20" s="62">
        <f t="shared" si="201"/>
        <v>0</v>
      </c>
      <c r="EE20" s="62">
        <f t="shared" si="201"/>
        <v>0</v>
      </c>
      <c r="EF20" s="62">
        <f t="shared" si="201"/>
        <v>0</v>
      </c>
      <c r="EG20" s="62">
        <f t="shared" si="201"/>
        <v>0</v>
      </c>
      <c r="EH20" s="62">
        <f t="shared" ref="EH20:FC20" si="202">EH19-EH4</f>
        <v>0</v>
      </c>
      <c r="EI20" s="62">
        <f t="shared" si="202"/>
        <v>0</v>
      </c>
      <c r="EJ20" s="62">
        <f t="shared" si="202"/>
        <v>0</v>
      </c>
      <c r="EK20" s="62">
        <f t="shared" si="202"/>
        <v>0</v>
      </c>
      <c r="EL20" s="62">
        <f t="shared" si="202"/>
        <v>0</v>
      </c>
      <c r="EM20" s="62">
        <f t="shared" si="202"/>
        <v>0</v>
      </c>
      <c r="EN20" s="62">
        <f t="shared" si="202"/>
        <v>0</v>
      </c>
      <c r="EO20" s="62">
        <f t="shared" si="202"/>
        <v>0</v>
      </c>
      <c r="EP20" s="62">
        <f t="shared" si="202"/>
        <v>0</v>
      </c>
      <c r="EQ20" s="62">
        <f t="shared" si="202"/>
        <v>0</v>
      </c>
      <c r="ER20" s="62">
        <f t="shared" si="202"/>
        <v>0</v>
      </c>
      <c r="ES20" s="62">
        <f t="shared" si="202"/>
        <v>0</v>
      </c>
      <c r="ET20" s="62">
        <f t="shared" si="202"/>
        <v>0</v>
      </c>
      <c r="EU20" s="62">
        <f t="shared" si="202"/>
        <v>0</v>
      </c>
      <c r="EV20" s="62">
        <f t="shared" si="202"/>
        <v>0</v>
      </c>
      <c r="EW20" s="62">
        <f t="shared" si="202"/>
        <v>0</v>
      </c>
      <c r="EX20" s="62">
        <f t="shared" si="202"/>
        <v>0</v>
      </c>
      <c r="EY20" s="5"/>
      <c r="EZ20" s="5"/>
      <c r="FA20" s="709"/>
      <c r="FB20" s="62">
        <f t="shared" si="202"/>
        <v>0</v>
      </c>
      <c r="FC20" s="62">
        <f t="shared" si="202"/>
        <v>0</v>
      </c>
    </row>
    <row r="21" spans="2:159" x14ac:dyDescent="0.45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709"/>
      <c r="FB21" s="5"/>
      <c r="FC21" s="5"/>
    </row>
    <row r="22" spans="2:159" x14ac:dyDescent="0.45">
      <c r="B22" s="131" t="s">
        <v>1183</v>
      </c>
      <c r="C22" s="116"/>
      <c r="D22" s="116" t="s">
        <v>1159</v>
      </c>
      <c r="E22" s="120">
        <v>39.319200000000002</v>
      </c>
      <c r="F22" s="445" t="s">
        <v>0</v>
      </c>
      <c r="G22" s="116">
        <f>1/E22</f>
        <v>2.5432867403202504E-2</v>
      </c>
      <c r="H22" s="119" t="s">
        <v>1</v>
      </c>
      <c r="I22" s="116" t="s">
        <v>1158</v>
      </c>
      <c r="J22" s="188">
        <v>5</v>
      </c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9"/>
      <c r="DF22" s="119"/>
      <c r="DG22" s="119"/>
      <c r="DH22" s="119"/>
      <c r="DI22" s="119"/>
      <c r="DJ22" s="119"/>
      <c r="DK22" s="119"/>
      <c r="DL22" s="119"/>
      <c r="DM22" s="119"/>
      <c r="DN22" s="119"/>
      <c r="DO22" s="119"/>
      <c r="DP22" s="119"/>
      <c r="DQ22" s="119"/>
      <c r="DR22" s="119"/>
      <c r="DS22" s="119"/>
      <c r="DT22" s="119"/>
      <c r="DU22" s="119"/>
      <c r="DV22" s="119"/>
      <c r="DW22" s="119"/>
      <c r="DX22" s="119"/>
      <c r="DY22" s="119"/>
      <c r="DZ22" s="119"/>
      <c r="EA22" s="119"/>
      <c r="EB22" s="119"/>
      <c r="EC22" s="119"/>
      <c r="ED22" s="119"/>
      <c r="EE22" s="119"/>
      <c r="EF22" s="119"/>
      <c r="EG22" s="119"/>
      <c r="EH22" s="119"/>
      <c r="EI22" s="119"/>
      <c r="EJ22" s="119"/>
      <c r="EK22" s="119"/>
      <c r="EL22" s="119"/>
      <c r="EM22" s="119"/>
      <c r="EN22" s="119"/>
      <c r="EO22" s="119"/>
      <c r="EP22" s="119"/>
      <c r="EQ22" s="119"/>
      <c r="ER22" s="119"/>
      <c r="ES22" s="119"/>
      <c r="ET22" s="119"/>
      <c r="EU22" s="119"/>
      <c r="EV22" s="119"/>
      <c r="EW22" s="119"/>
      <c r="EX22" s="119"/>
      <c r="EY22" s="5"/>
      <c r="EZ22" s="5"/>
      <c r="FA22" s="709"/>
      <c r="FB22" s="119"/>
      <c r="FC22" s="119"/>
    </row>
    <row r="23" spans="2:159" x14ac:dyDescent="0.45">
      <c r="B23" s="133" t="s">
        <v>1181</v>
      </c>
      <c r="C23" s="134" t="s">
        <v>4</v>
      </c>
      <c r="D23" s="3">
        <v>100</v>
      </c>
      <c r="E23" s="3">
        <f>D23+$J$22</f>
        <v>105</v>
      </c>
      <c r="F23" s="3">
        <f>E23+$J$22</f>
        <v>110</v>
      </c>
      <c r="G23" s="3">
        <f t="shared" ref="G23:AF23" si="203">F23+$J$22</f>
        <v>115</v>
      </c>
      <c r="H23" s="3">
        <f t="shared" si="203"/>
        <v>120</v>
      </c>
      <c r="I23" s="3">
        <f t="shared" si="203"/>
        <v>125</v>
      </c>
      <c r="J23" s="3">
        <f t="shared" si="203"/>
        <v>130</v>
      </c>
      <c r="K23" s="3">
        <f t="shared" si="203"/>
        <v>135</v>
      </c>
      <c r="L23" s="3">
        <f t="shared" si="203"/>
        <v>140</v>
      </c>
      <c r="M23" s="3">
        <f t="shared" si="203"/>
        <v>145</v>
      </c>
      <c r="N23" s="3">
        <f t="shared" si="203"/>
        <v>150</v>
      </c>
      <c r="O23" s="3">
        <f t="shared" si="203"/>
        <v>155</v>
      </c>
      <c r="P23" s="3">
        <f t="shared" si="203"/>
        <v>160</v>
      </c>
      <c r="Q23" s="3">
        <f t="shared" si="203"/>
        <v>165</v>
      </c>
      <c r="R23" s="3">
        <f t="shared" si="203"/>
        <v>170</v>
      </c>
      <c r="S23" s="3">
        <f t="shared" si="203"/>
        <v>175</v>
      </c>
      <c r="T23" s="3">
        <f t="shared" si="203"/>
        <v>180</v>
      </c>
      <c r="U23" s="3">
        <f t="shared" si="203"/>
        <v>185</v>
      </c>
      <c r="V23" s="3">
        <f t="shared" si="203"/>
        <v>190</v>
      </c>
      <c r="W23" s="3">
        <f t="shared" si="203"/>
        <v>195</v>
      </c>
      <c r="X23" s="3">
        <f t="shared" si="203"/>
        <v>200</v>
      </c>
      <c r="Y23" s="3">
        <f t="shared" si="203"/>
        <v>205</v>
      </c>
      <c r="Z23" s="3">
        <f t="shared" si="203"/>
        <v>210</v>
      </c>
      <c r="AA23" s="3">
        <f t="shared" si="203"/>
        <v>215</v>
      </c>
      <c r="AB23" s="3">
        <f t="shared" si="203"/>
        <v>220</v>
      </c>
      <c r="AC23" s="3">
        <f t="shared" si="203"/>
        <v>225</v>
      </c>
      <c r="AD23" s="3">
        <f t="shared" si="203"/>
        <v>230</v>
      </c>
      <c r="AE23" s="3">
        <f t="shared" si="203"/>
        <v>235</v>
      </c>
      <c r="AF23" s="3">
        <f t="shared" si="203"/>
        <v>240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5"/>
      <c r="EZ23" s="5"/>
      <c r="FA23" s="709"/>
      <c r="FB23" s="3">
        <f>800</f>
        <v>800</v>
      </c>
      <c r="FC23" s="3">
        <v>960</v>
      </c>
    </row>
    <row r="24" spans="2:159" x14ac:dyDescent="0.45">
      <c r="B24" s="135"/>
      <c r="C24" s="136" t="s">
        <v>1</v>
      </c>
      <c r="D24" s="5">
        <f t="shared" ref="D24" si="204">1000000/(D23/D38)</f>
        <v>10000</v>
      </c>
      <c r="E24" s="5">
        <f>1000000/(E23/E38)</f>
        <v>9523.8095238095229</v>
      </c>
      <c r="F24" s="5">
        <f>1000000/(F23/F38)</f>
        <v>9090.9090909090901</v>
      </c>
      <c r="G24" s="5">
        <f t="shared" ref="G24:BQ24" si="205">1000000/(G23/G38)</f>
        <v>8695.652173913044</v>
      </c>
      <c r="H24" s="5">
        <f t="shared" si="205"/>
        <v>8333.3333333333339</v>
      </c>
      <c r="I24" s="5">
        <f t="shared" si="205"/>
        <v>8000</v>
      </c>
      <c r="J24" s="5">
        <f t="shared" si="205"/>
        <v>7692.3076923076924</v>
      </c>
      <c r="K24" s="5">
        <f t="shared" si="205"/>
        <v>7407.4074074074078</v>
      </c>
      <c r="L24" s="5">
        <f t="shared" si="205"/>
        <v>7142.8571428571431</v>
      </c>
      <c r="M24" s="5">
        <f t="shared" si="205"/>
        <v>6896.5517241379312</v>
      </c>
      <c r="N24" s="5">
        <f t="shared" si="205"/>
        <v>6666.666666666667</v>
      </c>
      <c r="O24" s="5">
        <f t="shared" si="205"/>
        <v>6451.6129032258068</v>
      </c>
      <c r="P24" s="5">
        <f t="shared" si="205"/>
        <v>6250</v>
      </c>
      <c r="Q24" s="5">
        <f t="shared" si="205"/>
        <v>6060.606060606061</v>
      </c>
      <c r="R24" s="5">
        <f t="shared" si="205"/>
        <v>5882.3529411764703</v>
      </c>
      <c r="S24" s="5">
        <f t="shared" si="205"/>
        <v>5714.2857142857147</v>
      </c>
      <c r="T24" s="5">
        <f t="shared" si="205"/>
        <v>5555.5555555555557</v>
      </c>
      <c r="U24" s="5">
        <f t="shared" si="205"/>
        <v>5405.405405405405</v>
      </c>
      <c r="V24" s="5">
        <f t="shared" si="205"/>
        <v>5263.1578947368425</v>
      </c>
      <c r="W24" s="5">
        <f t="shared" si="205"/>
        <v>5128.2051282051279</v>
      </c>
      <c r="X24" s="5">
        <f t="shared" si="205"/>
        <v>5000</v>
      </c>
      <c r="Y24" s="5">
        <f t="shared" si="205"/>
        <v>4878.0487804878048</v>
      </c>
      <c r="Z24" s="5">
        <f t="shared" si="205"/>
        <v>4761.9047619047615</v>
      </c>
      <c r="AA24" s="5">
        <f t="shared" si="205"/>
        <v>4651.1627906976746</v>
      </c>
      <c r="AB24" s="5">
        <f t="shared" si="205"/>
        <v>4545.454545454545</v>
      </c>
      <c r="AC24" s="5">
        <f t="shared" si="205"/>
        <v>4444.4444444444443</v>
      </c>
      <c r="AD24" s="5">
        <f t="shared" si="205"/>
        <v>4347.826086956522</v>
      </c>
      <c r="AE24" s="5">
        <f t="shared" si="205"/>
        <v>4255.3191489361698</v>
      </c>
      <c r="AF24" s="5">
        <f t="shared" si="205"/>
        <v>4166.666666666667</v>
      </c>
      <c r="AG24" s="5" t="e">
        <f t="shared" si="205"/>
        <v>#DIV/0!</v>
      </c>
      <c r="AH24" s="5" t="e">
        <f t="shared" si="205"/>
        <v>#DIV/0!</v>
      </c>
      <c r="AI24" s="5" t="e">
        <f t="shared" si="205"/>
        <v>#DIV/0!</v>
      </c>
      <c r="AJ24" s="5" t="e">
        <f t="shared" si="205"/>
        <v>#DIV/0!</v>
      </c>
      <c r="AK24" s="5" t="e">
        <f t="shared" si="205"/>
        <v>#DIV/0!</v>
      </c>
      <c r="AL24" s="5" t="e">
        <f t="shared" si="205"/>
        <v>#DIV/0!</v>
      </c>
      <c r="AM24" s="5" t="e">
        <f t="shared" si="205"/>
        <v>#DIV/0!</v>
      </c>
      <c r="AN24" s="5" t="e">
        <f t="shared" si="205"/>
        <v>#DIV/0!</v>
      </c>
      <c r="AO24" s="5" t="e">
        <f t="shared" si="205"/>
        <v>#DIV/0!</v>
      </c>
      <c r="AP24" s="5" t="e">
        <f t="shared" si="205"/>
        <v>#DIV/0!</v>
      </c>
      <c r="AQ24" s="5" t="e">
        <f t="shared" si="205"/>
        <v>#DIV/0!</v>
      </c>
      <c r="AR24" s="5" t="e">
        <f t="shared" si="205"/>
        <v>#DIV/0!</v>
      </c>
      <c r="AS24" s="5" t="e">
        <f t="shared" si="205"/>
        <v>#DIV/0!</v>
      </c>
      <c r="AT24" s="5" t="e">
        <f t="shared" si="205"/>
        <v>#DIV/0!</v>
      </c>
      <c r="AU24" s="5" t="e">
        <f t="shared" si="205"/>
        <v>#DIV/0!</v>
      </c>
      <c r="AV24" s="5" t="e">
        <f t="shared" si="205"/>
        <v>#DIV/0!</v>
      </c>
      <c r="AW24" s="5" t="e">
        <f t="shared" si="205"/>
        <v>#DIV/0!</v>
      </c>
      <c r="AX24" s="5" t="e">
        <f t="shared" si="205"/>
        <v>#DIV/0!</v>
      </c>
      <c r="AY24" s="5" t="e">
        <f t="shared" si="205"/>
        <v>#DIV/0!</v>
      </c>
      <c r="AZ24" s="5" t="e">
        <f t="shared" si="205"/>
        <v>#DIV/0!</v>
      </c>
      <c r="BA24" s="5" t="e">
        <f t="shared" si="205"/>
        <v>#DIV/0!</v>
      </c>
      <c r="BB24" s="5" t="e">
        <f t="shared" si="205"/>
        <v>#DIV/0!</v>
      </c>
      <c r="BC24" s="5" t="e">
        <f t="shared" si="205"/>
        <v>#DIV/0!</v>
      </c>
      <c r="BD24" s="5" t="e">
        <f t="shared" si="205"/>
        <v>#DIV/0!</v>
      </c>
      <c r="BE24" s="5" t="e">
        <f t="shared" si="205"/>
        <v>#DIV/0!</v>
      </c>
      <c r="BF24" s="5" t="e">
        <f t="shared" si="205"/>
        <v>#DIV/0!</v>
      </c>
      <c r="BG24" s="5" t="e">
        <f t="shared" si="205"/>
        <v>#DIV/0!</v>
      </c>
      <c r="BH24" s="5" t="e">
        <f t="shared" si="205"/>
        <v>#DIV/0!</v>
      </c>
      <c r="BI24" s="5" t="e">
        <f t="shared" si="205"/>
        <v>#DIV/0!</v>
      </c>
      <c r="BJ24" s="5" t="e">
        <f t="shared" si="205"/>
        <v>#DIV/0!</v>
      </c>
      <c r="BK24" s="5" t="e">
        <f t="shared" si="205"/>
        <v>#DIV/0!</v>
      </c>
      <c r="BL24" s="5" t="e">
        <f t="shared" si="205"/>
        <v>#DIV/0!</v>
      </c>
      <c r="BM24" s="5" t="e">
        <f t="shared" si="205"/>
        <v>#DIV/0!</v>
      </c>
      <c r="BN24" s="5" t="e">
        <f t="shared" si="205"/>
        <v>#DIV/0!</v>
      </c>
      <c r="BO24" s="5" t="e">
        <f t="shared" si="205"/>
        <v>#DIV/0!</v>
      </c>
      <c r="BP24" s="5" t="e">
        <f t="shared" si="205"/>
        <v>#DIV/0!</v>
      </c>
      <c r="BQ24" s="5" t="e">
        <f t="shared" si="205"/>
        <v>#DIV/0!</v>
      </c>
      <c r="BR24" s="5" t="e">
        <f t="shared" ref="BR24:EC24" si="206">1000000/(BR23/BR38)</f>
        <v>#DIV/0!</v>
      </c>
      <c r="BS24" s="5" t="e">
        <f t="shared" si="206"/>
        <v>#DIV/0!</v>
      </c>
      <c r="BT24" s="5" t="e">
        <f t="shared" si="206"/>
        <v>#DIV/0!</v>
      </c>
      <c r="BU24" s="5" t="e">
        <f t="shared" si="206"/>
        <v>#DIV/0!</v>
      </c>
      <c r="BV24" s="5" t="e">
        <f t="shared" si="206"/>
        <v>#DIV/0!</v>
      </c>
      <c r="BW24" s="5" t="e">
        <f t="shared" si="206"/>
        <v>#DIV/0!</v>
      </c>
      <c r="BX24" s="5" t="e">
        <f t="shared" si="206"/>
        <v>#DIV/0!</v>
      </c>
      <c r="BY24" s="5" t="e">
        <f t="shared" si="206"/>
        <v>#DIV/0!</v>
      </c>
      <c r="BZ24" s="5" t="e">
        <f t="shared" si="206"/>
        <v>#DIV/0!</v>
      </c>
      <c r="CA24" s="5" t="e">
        <f t="shared" si="206"/>
        <v>#DIV/0!</v>
      </c>
      <c r="CB24" s="5" t="e">
        <f t="shared" si="206"/>
        <v>#DIV/0!</v>
      </c>
      <c r="CC24" s="5" t="e">
        <f t="shared" si="206"/>
        <v>#DIV/0!</v>
      </c>
      <c r="CD24" s="5" t="e">
        <f t="shared" si="206"/>
        <v>#DIV/0!</v>
      </c>
      <c r="CE24" s="5" t="e">
        <f t="shared" si="206"/>
        <v>#DIV/0!</v>
      </c>
      <c r="CF24" s="5" t="e">
        <f t="shared" si="206"/>
        <v>#DIV/0!</v>
      </c>
      <c r="CG24" s="5" t="e">
        <f t="shared" si="206"/>
        <v>#DIV/0!</v>
      </c>
      <c r="CH24" s="5" t="e">
        <f t="shared" si="206"/>
        <v>#DIV/0!</v>
      </c>
      <c r="CI24" s="5" t="e">
        <f t="shared" si="206"/>
        <v>#DIV/0!</v>
      </c>
      <c r="CJ24" s="5" t="e">
        <f t="shared" si="206"/>
        <v>#DIV/0!</v>
      </c>
      <c r="CK24" s="5" t="e">
        <f t="shared" si="206"/>
        <v>#DIV/0!</v>
      </c>
      <c r="CL24" s="5" t="e">
        <f t="shared" si="206"/>
        <v>#DIV/0!</v>
      </c>
      <c r="CM24" s="5" t="e">
        <f t="shared" si="206"/>
        <v>#DIV/0!</v>
      </c>
      <c r="CN24" s="5" t="e">
        <f t="shared" si="206"/>
        <v>#DIV/0!</v>
      </c>
      <c r="CO24" s="5" t="e">
        <f t="shared" si="206"/>
        <v>#DIV/0!</v>
      </c>
      <c r="CP24" s="5" t="e">
        <f t="shared" si="206"/>
        <v>#DIV/0!</v>
      </c>
      <c r="CQ24" s="5" t="e">
        <f t="shared" si="206"/>
        <v>#DIV/0!</v>
      </c>
      <c r="CR24" s="5" t="e">
        <f t="shared" si="206"/>
        <v>#DIV/0!</v>
      </c>
      <c r="CS24" s="5" t="e">
        <f t="shared" si="206"/>
        <v>#DIV/0!</v>
      </c>
      <c r="CT24" s="5" t="e">
        <f t="shared" si="206"/>
        <v>#DIV/0!</v>
      </c>
      <c r="CU24" s="5" t="e">
        <f t="shared" si="206"/>
        <v>#DIV/0!</v>
      </c>
      <c r="CV24" s="5" t="e">
        <f t="shared" si="206"/>
        <v>#DIV/0!</v>
      </c>
      <c r="CW24" s="5" t="e">
        <f t="shared" si="206"/>
        <v>#DIV/0!</v>
      </c>
      <c r="CX24" s="5" t="e">
        <f t="shared" si="206"/>
        <v>#DIV/0!</v>
      </c>
      <c r="CY24" s="5" t="e">
        <f t="shared" si="206"/>
        <v>#DIV/0!</v>
      </c>
      <c r="CZ24" s="5" t="e">
        <f t="shared" si="206"/>
        <v>#DIV/0!</v>
      </c>
      <c r="DA24" s="5" t="e">
        <f t="shared" si="206"/>
        <v>#DIV/0!</v>
      </c>
      <c r="DB24" s="5" t="e">
        <f t="shared" si="206"/>
        <v>#DIV/0!</v>
      </c>
      <c r="DC24" s="5" t="e">
        <f t="shared" si="206"/>
        <v>#DIV/0!</v>
      </c>
      <c r="DD24" s="5" t="e">
        <f t="shared" si="206"/>
        <v>#DIV/0!</v>
      </c>
      <c r="DE24" s="5" t="e">
        <f t="shared" si="206"/>
        <v>#DIV/0!</v>
      </c>
      <c r="DF24" s="5" t="e">
        <f t="shared" si="206"/>
        <v>#DIV/0!</v>
      </c>
      <c r="DG24" s="5" t="e">
        <f t="shared" si="206"/>
        <v>#DIV/0!</v>
      </c>
      <c r="DH24" s="5" t="e">
        <f t="shared" si="206"/>
        <v>#DIV/0!</v>
      </c>
      <c r="DI24" s="5" t="e">
        <f t="shared" si="206"/>
        <v>#DIV/0!</v>
      </c>
      <c r="DJ24" s="5" t="e">
        <f t="shared" si="206"/>
        <v>#DIV/0!</v>
      </c>
      <c r="DK24" s="5" t="e">
        <f t="shared" si="206"/>
        <v>#DIV/0!</v>
      </c>
      <c r="DL24" s="5" t="e">
        <f t="shared" si="206"/>
        <v>#DIV/0!</v>
      </c>
      <c r="DM24" s="5" t="e">
        <f t="shared" si="206"/>
        <v>#DIV/0!</v>
      </c>
      <c r="DN24" s="5" t="e">
        <f t="shared" si="206"/>
        <v>#DIV/0!</v>
      </c>
      <c r="DO24" s="5" t="e">
        <f t="shared" si="206"/>
        <v>#DIV/0!</v>
      </c>
      <c r="DP24" s="5" t="e">
        <f t="shared" si="206"/>
        <v>#DIV/0!</v>
      </c>
      <c r="DQ24" s="5" t="e">
        <f t="shared" si="206"/>
        <v>#DIV/0!</v>
      </c>
      <c r="DR24" s="5" t="e">
        <f t="shared" si="206"/>
        <v>#DIV/0!</v>
      </c>
      <c r="DS24" s="5" t="e">
        <f t="shared" si="206"/>
        <v>#DIV/0!</v>
      </c>
      <c r="DT24" s="5" t="e">
        <f t="shared" si="206"/>
        <v>#DIV/0!</v>
      </c>
      <c r="DU24" s="5" t="e">
        <f t="shared" si="206"/>
        <v>#DIV/0!</v>
      </c>
      <c r="DV24" s="5" t="e">
        <f t="shared" si="206"/>
        <v>#DIV/0!</v>
      </c>
      <c r="DW24" s="5" t="e">
        <f t="shared" si="206"/>
        <v>#DIV/0!</v>
      </c>
      <c r="DX24" s="5" t="e">
        <f t="shared" si="206"/>
        <v>#DIV/0!</v>
      </c>
      <c r="DY24" s="5" t="e">
        <f t="shared" si="206"/>
        <v>#DIV/0!</v>
      </c>
      <c r="DZ24" s="5" t="e">
        <f t="shared" si="206"/>
        <v>#DIV/0!</v>
      </c>
      <c r="EA24" s="5" t="e">
        <f t="shared" si="206"/>
        <v>#DIV/0!</v>
      </c>
      <c r="EB24" s="5" t="e">
        <f t="shared" si="206"/>
        <v>#DIV/0!</v>
      </c>
      <c r="EC24" s="5" t="e">
        <f t="shared" si="206"/>
        <v>#DIV/0!</v>
      </c>
      <c r="ED24" s="5" t="e">
        <f t="shared" ref="ED24:FC24" si="207">1000000/(ED23/ED38)</f>
        <v>#DIV/0!</v>
      </c>
      <c r="EE24" s="5" t="e">
        <f t="shared" si="207"/>
        <v>#DIV/0!</v>
      </c>
      <c r="EF24" s="5" t="e">
        <f t="shared" si="207"/>
        <v>#DIV/0!</v>
      </c>
      <c r="EG24" s="5" t="e">
        <f t="shared" si="207"/>
        <v>#DIV/0!</v>
      </c>
      <c r="EH24" s="5" t="e">
        <f t="shared" si="207"/>
        <v>#DIV/0!</v>
      </c>
      <c r="EI24" s="5" t="e">
        <f t="shared" si="207"/>
        <v>#DIV/0!</v>
      </c>
      <c r="EJ24" s="5" t="e">
        <f t="shared" si="207"/>
        <v>#DIV/0!</v>
      </c>
      <c r="EK24" s="5" t="e">
        <f t="shared" si="207"/>
        <v>#DIV/0!</v>
      </c>
      <c r="EL24" s="5" t="e">
        <f t="shared" si="207"/>
        <v>#DIV/0!</v>
      </c>
      <c r="EM24" s="5" t="e">
        <f t="shared" si="207"/>
        <v>#DIV/0!</v>
      </c>
      <c r="EN24" s="5" t="e">
        <f t="shared" si="207"/>
        <v>#DIV/0!</v>
      </c>
      <c r="EO24" s="5" t="e">
        <f t="shared" si="207"/>
        <v>#DIV/0!</v>
      </c>
      <c r="EP24" s="5" t="e">
        <f t="shared" si="207"/>
        <v>#DIV/0!</v>
      </c>
      <c r="EQ24" s="5" t="e">
        <f t="shared" si="207"/>
        <v>#DIV/0!</v>
      </c>
      <c r="ER24" s="5" t="e">
        <f t="shared" si="207"/>
        <v>#DIV/0!</v>
      </c>
      <c r="ES24" s="5" t="e">
        <f t="shared" si="207"/>
        <v>#DIV/0!</v>
      </c>
      <c r="ET24" s="5" t="e">
        <f t="shared" si="207"/>
        <v>#DIV/0!</v>
      </c>
      <c r="EU24" s="5" t="e">
        <f t="shared" si="207"/>
        <v>#DIV/0!</v>
      </c>
      <c r="EV24" s="5" t="e">
        <f t="shared" si="207"/>
        <v>#DIV/0!</v>
      </c>
      <c r="EW24" s="5" t="e">
        <f t="shared" si="207"/>
        <v>#DIV/0!</v>
      </c>
      <c r="EX24" s="5" t="e">
        <f t="shared" si="207"/>
        <v>#DIV/0!</v>
      </c>
      <c r="EY24" s="5"/>
      <c r="EZ24" s="5"/>
      <c r="FA24" s="709"/>
      <c r="FB24" s="5">
        <f t="shared" si="207"/>
        <v>10000</v>
      </c>
      <c r="FC24" s="5">
        <f t="shared" si="207"/>
        <v>8333.3333333333339</v>
      </c>
    </row>
    <row r="25" spans="2:159" x14ac:dyDescent="0.45">
      <c r="B25" s="133" t="s">
        <v>1161</v>
      </c>
      <c r="C25" s="134" t="s">
        <v>18</v>
      </c>
      <c r="D25" s="1">
        <v>14</v>
      </c>
      <c r="E25" s="48">
        <f>D25</f>
        <v>14</v>
      </c>
      <c r="F25" s="48">
        <f>E25</f>
        <v>14</v>
      </c>
      <c r="G25" s="48">
        <f t="shared" ref="G25:BQ25" si="208">F25</f>
        <v>14</v>
      </c>
      <c r="H25" s="48">
        <f t="shared" si="208"/>
        <v>14</v>
      </c>
      <c r="I25" s="48">
        <f t="shared" si="208"/>
        <v>14</v>
      </c>
      <c r="J25" s="48">
        <f t="shared" si="208"/>
        <v>14</v>
      </c>
      <c r="K25" s="48">
        <f t="shared" si="208"/>
        <v>14</v>
      </c>
      <c r="L25" s="48">
        <f t="shared" si="208"/>
        <v>14</v>
      </c>
      <c r="M25" s="48">
        <f t="shared" si="208"/>
        <v>14</v>
      </c>
      <c r="N25" s="48">
        <f t="shared" si="208"/>
        <v>14</v>
      </c>
      <c r="O25" s="48">
        <f t="shared" si="208"/>
        <v>14</v>
      </c>
      <c r="P25" s="48">
        <f t="shared" si="208"/>
        <v>14</v>
      </c>
      <c r="Q25" s="48">
        <f t="shared" si="208"/>
        <v>14</v>
      </c>
      <c r="R25" s="48">
        <f t="shared" si="208"/>
        <v>14</v>
      </c>
      <c r="S25" s="48">
        <f t="shared" si="208"/>
        <v>14</v>
      </c>
      <c r="T25" s="48">
        <f t="shared" si="208"/>
        <v>14</v>
      </c>
      <c r="U25" s="48">
        <f t="shared" si="208"/>
        <v>14</v>
      </c>
      <c r="V25" s="48">
        <f t="shared" si="208"/>
        <v>14</v>
      </c>
      <c r="W25" s="48">
        <f t="shared" si="208"/>
        <v>14</v>
      </c>
      <c r="X25" s="48">
        <f t="shared" si="208"/>
        <v>14</v>
      </c>
      <c r="Y25" s="48">
        <f t="shared" si="208"/>
        <v>14</v>
      </c>
      <c r="Z25" s="48">
        <f t="shared" si="208"/>
        <v>14</v>
      </c>
      <c r="AA25" s="48">
        <f t="shared" si="208"/>
        <v>14</v>
      </c>
      <c r="AB25" s="48">
        <f t="shared" si="208"/>
        <v>14</v>
      </c>
      <c r="AC25" s="48">
        <f t="shared" si="208"/>
        <v>14</v>
      </c>
      <c r="AD25" s="48">
        <f t="shared" si="208"/>
        <v>14</v>
      </c>
      <c r="AE25" s="48">
        <f t="shared" si="208"/>
        <v>14</v>
      </c>
      <c r="AF25" s="48">
        <f t="shared" si="208"/>
        <v>14</v>
      </c>
      <c r="AG25" s="48">
        <f t="shared" si="208"/>
        <v>14</v>
      </c>
      <c r="AH25" s="48">
        <f t="shared" si="208"/>
        <v>14</v>
      </c>
      <c r="AI25" s="48">
        <f t="shared" si="208"/>
        <v>14</v>
      </c>
      <c r="AJ25" s="48">
        <f t="shared" si="208"/>
        <v>14</v>
      </c>
      <c r="AK25" s="48">
        <f t="shared" si="208"/>
        <v>14</v>
      </c>
      <c r="AL25" s="48">
        <f t="shared" si="208"/>
        <v>14</v>
      </c>
      <c r="AM25" s="48">
        <f t="shared" si="208"/>
        <v>14</v>
      </c>
      <c r="AN25" s="48">
        <f t="shared" si="208"/>
        <v>14</v>
      </c>
      <c r="AO25" s="48">
        <f t="shared" si="208"/>
        <v>14</v>
      </c>
      <c r="AP25" s="48">
        <f t="shared" si="208"/>
        <v>14</v>
      </c>
      <c r="AQ25" s="48">
        <f t="shared" si="208"/>
        <v>14</v>
      </c>
      <c r="AR25" s="48">
        <f t="shared" si="208"/>
        <v>14</v>
      </c>
      <c r="AS25" s="48">
        <f t="shared" si="208"/>
        <v>14</v>
      </c>
      <c r="AT25" s="48">
        <f t="shared" si="208"/>
        <v>14</v>
      </c>
      <c r="AU25" s="48">
        <f t="shared" si="208"/>
        <v>14</v>
      </c>
      <c r="AV25" s="48">
        <f t="shared" si="208"/>
        <v>14</v>
      </c>
      <c r="AW25" s="48">
        <f>AV25</f>
        <v>14</v>
      </c>
      <c r="AX25" s="48">
        <f t="shared" si="208"/>
        <v>14</v>
      </c>
      <c r="AY25" s="48">
        <f t="shared" si="208"/>
        <v>14</v>
      </c>
      <c r="AZ25" s="48">
        <f t="shared" si="208"/>
        <v>14</v>
      </c>
      <c r="BA25" s="48">
        <f t="shared" si="208"/>
        <v>14</v>
      </c>
      <c r="BB25" s="48">
        <f t="shared" si="208"/>
        <v>14</v>
      </c>
      <c r="BC25" s="48">
        <f t="shared" si="208"/>
        <v>14</v>
      </c>
      <c r="BD25" s="48">
        <f t="shared" si="208"/>
        <v>14</v>
      </c>
      <c r="BE25" s="48">
        <f t="shared" si="208"/>
        <v>14</v>
      </c>
      <c r="BF25" s="48">
        <f t="shared" si="208"/>
        <v>14</v>
      </c>
      <c r="BG25" s="48">
        <f t="shared" si="208"/>
        <v>14</v>
      </c>
      <c r="BH25" s="48">
        <f t="shared" si="208"/>
        <v>14</v>
      </c>
      <c r="BI25" s="48">
        <f t="shared" si="208"/>
        <v>14</v>
      </c>
      <c r="BJ25" s="48">
        <f t="shared" si="208"/>
        <v>14</v>
      </c>
      <c r="BK25" s="48">
        <f t="shared" si="208"/>
        <v>14</v>
      </c>
      <c r="BL25" s="48">
        <f t="shared" si="208"/>
        <v>14</v>
      </c>
      <c r="BM25" s="48">
        <f t="shared" si="208"/>
        <v>14</v>
      </c>
      <c r="BN25" s="48">
        <f t="shared" si="208"/>
        <v>14</v>
      </c>
      <c r="BO25" s="48">
        <f t="shared" si="208"/>
        <v>14</v>
      </c>
      <c r="BP25" s="48">
        <f t="shared" si="208"/>
        <v>14</v>
      </c>
      <c r="BQ25" s="48">
        <f t="shared" si="208"/>
        <v>14</v>
      </c>
      <c r="BR25" s="48">
        <f t="shared" ref="BR25:EC25" si="209">BQ25</f>
        <v>14</v>
      </c>
      <c r="BS25" s="48">
        <f t="shared" si="209"/>
        <v>14</v>
      </c>
      <c r="BT25" s="48">
        <f t="shared" si="209"/>
        <v>14</v>
      </c>
      <c r="BU25" s="48">
        <f t="shared" si="209"/>
        <v>14</v>
      </c>
      <c r="BV25" s="48">
        <f t="shared" si="209"/>
        <v>14</v>
      </c>
      <c r="BW25" s="48">
        <f t="shared" si="209"/>
        <v>14</v>
      </c>
      <c r="BX25" s="48">
        <f t="shared" si="209"/>
        <v>14</v>
      </c>
      <c r="BY25" s="48">
        <f t="shared" si="209"/>
        <v>14</v>
      </c>
      <c r="BZ25" s="48">
        <f t="shared" si="209"/>
        <v>14</v>
      </c>
      <c r="CA25" s="48">
        <f t="shared" si="209"/>
        <v>14</v>
      </c>
      <c r="CB25" s="48">
        <f t="shared" si="209"/>
        <v>14</v>
      </c>
      <c r="CC25" s="48">
        <f t="shared" si="209"/>
        <v>14</v>
      </c>
      <c r="CD25" s="48">
        <f t="shared" si="209"/>
        <v>14</v>
      </c>
      <c r="CE25" s="48">
        <f t="shared" si="209"/>
        <v>14</v>
      </c>
      <c r="CF25" s="48">
        <f t="shared" si="209"/>
        <v>14</v>
      </c>
      <c r="CG25" s="48">
        <f t="shared" si="209"/>
        <v>14</v>
      </c>
      <c r="CH25" s="48">
        <f t="shared" si="209"/>
        <v>14</v>
      </c>
      <c r="CI25" s="48">
        <f t="shared" si="209"/>
        <v>14</v>
      </c>
      <c r="CJ25" s="48">
        <f t="shared" si="209"/>
        <v>14</v>
      </c>
      <c r="CK25" s="48">
        <f t="shared" si="209"/>
        <v>14</v>
      </c>
      <c r="CL25" s="48">
        <f t="shared" si="209"/>
        <v>14</v>
      </c>
      <c r="CM25" s="48">
        <f t="shared" si="209"/>
        <v>14</v>
      </c>
      <c r="CN25" s="48">
        <f t="shared" si="209"/>
        <v>14</v>
      </c>
      <c r="CO25" s="48">
        <f t="shared" si="209"/>
        <v>14</v>
      </c>
      <c r="CP25" s="48">
        <f t="shared" si="209"/>
        <v>14</v>
      </c>
      <c r="CQ25" s="48">
        <f t="shared" si="209"/>
        <v>14</v>
      </c>
      <c r="CR25" s="48">
        <f t="shared" si="209"/>
        <v>14</v>
      </c>
      <c r="CS25" s="48">
        <f t="shared" si="209"/>
        <v>14</v>
      </c>
      <c r="CT25" s="48">
        <f t="shared" si="209"/>
        <v>14</v>
      </c>
      <c r="CU25" s="48">
        <f t="shared" si="209"/>
        <v>14</v>
      </c>
      <c r="CV25" s="48">
        <f t="shared" si="209"/>
        <v>14</v>
      </c>
      <c r="CW25" s="48">
        <f t="shared" si="209"/>
        <v>14</v>
      </c>
      <c r="CX25" s="48">
        <f t="shared" si="209"/>
        <v>14</v>
      </c>
      <c r="CY25" s="48">
        <f t="shared" si="209"/>
        <v>14</v>
      </c>
      <c r="CZ25" s="48">
        <f t="shared" si="209"/>
        <v>14</v>
      </c>
      <c r="DA25" s="48">
        <f t="shared" si="209"/>
        <v>14</v>
      </c>
      <c r="DB25" s="48">
        <f t="shared" si="209"/>
        <v>14</v>
      </c>
      <c r="DC25" s="48">
        <f t="shared" si="209"/>
        <v>14</v>
      </c>
      <c r="DD25" s="48">
        <f t="shared" si="209"/>
        <v>14</v>
      </c>
      <c r="DE25" s="48">
        <f t="shared" si="209"/>
        <v>14</v>
      </c>
      <c r="DF25" s="48">
        <f t="shared" si="209"/>
        <v>14</v>
      </c>
      <c r="DG25" s="48">
        <f t="shared" si="209"/>
        <v>14</v>
      </c>
      <c r="DH25" s="48">
        <f t="shared" si="209"/>
        <v>14</v>
      </c>
      <c r="DI25" s="48">
        <f t="shared" si="209"/>
        <v>14</v>
      </c>
      <c r="DJ25" s="48">
        <f t="shared" si="209"/>
        <v>14</v>
      </c>
      <c r="DK25" s="48">
        <f t="shared" si="209"/>
        <v>14</v>
      </c>
      <c r="DL25" s="48">
        <f t="shared" si="209"/>
        <v>14</v>
      </c>
      <c r="DM25" s="48">
        <f t="shared" si="209"/>
        <v>14</v>
      </c>
      <c r="DN25" s="48">
        <f t="shared" si="209"/>
        <v>14</v>
      </c>
      <c r="DO25" s="48">
        <f t="shared" si="209"/>
        <v>14</v>
      </c>
      <c r="DP25" s="48">
        <f t="shared" si="209"/>
        <v>14</v>
      </c>
      <c r="DQ25" s="48">
        <f t="shared" si="209"/>
        <v>14</v>
      </c>
      <c r="DR25" s="48">
        <f t="shared" si="209"/>
        <v>14</v>
      </c>
      <c r="DS25" s="48">
        <f t="shared" si="209"/>
        <v>14</v>
      </c>
      <c r="DT25" s="48">
        <f t="shared" si="209"/>
        <v>14</v>
      </c>
      <c r="DU25" s="48">
        <f t="shared" si="209"/>
        <v>14</v>
      </c>
      <c r="DV25" s="48">
        <f t="shared" si="209"/>
        <v>14</v>
      </c>
      <c r="DW25" s="48">
        <f t="shared" si="209"/>
        <v>14</v>
      </c>
      <c r="DX25" s="48">
        <f t="shared" si="209"/>
        <v>14</v>
      </c>
      <c r="DY25" s="48">
        <f t="shared" si="209"/>
        <v>14</v>
      </c>
      <c r="DZ25" s="48">
        <f t="shared" si="209"/>
        <v>14</v>
      </c>
      <c r="EA25" s="48">
        <f t="shared" si="209"/>
        <v>14</v>
      </c>
      <c r="EB25" s="48">
        <f t="shared" si="209"/>
        <v>14</v>
      </c>
      <c r="EC25" s="48">
        <f t="shared" si="209"/>
        <v>14</v>
      </c>
      <c r="ED25" s="48">
        <f t="shared" ref="ED25:FC25" si="210">EC25</f>
        <v>14</v>
      </c>
      <c r="EE25" s="48">
        <f t="shared" si="210"/>
        <v>14</v>
      </c>
      <c r="EF25" s="48">
        <f t="shared" si="210"/>
        <v>14</v>
      </c>
      <c r="EG25" s="48">
        <f t="shared" si="210"/>
        <v>14</v>
      </c>
      <c r="EH25" s="48">
        <f t="shared" si="210"/>
        <v>14</v>
      </c>
      <c r="EI25" s="48">
        <f t="shared" si="210"/>
        <v>14</v>
      </c>
      <c r="EJ25" s="48">
        <f t="shared" si="210"/>
        <v>14</v>
      </c>
      <c r="EK25" s="48">
        <f t="shared" si="210"/>
        <v>14</v>
      </c>
      <c r="EL25" s="48">
        <f t="shared" si="210"/>
        <v>14</v>
      </c>
      <c r="EM25" s="48">
        <f t="shared" si="210"/>
        <v>14</v>
      </c>
      <c r="EN25" s="48">
        <f t="shared" si="210"/>
        <v>14</v>
      </c>
      <c r="EO25" s="48">
        <f t="shared" si="210"/>
        <v>14</v>
      </c>
      <c r="EP25" s="48">
        <f t="shared" si="210"/>
        <v>14</v>
      </c>
      <c r="EQ25" s="48">
        <f t="shared" si="210"/>
        <v>14</v>
      </c>
      <c r="ER25" s="48">
        <f t="shared" si="210"/>
        <v>14</v>
      </c>
      <c r="ES25" s="48">
        <f t="shared" si="210"/>
        <v>14</v>
      </c>
      <c r="ET25" s="48">
        <f t="shared" si="210"/>
        <v>14</v>
      </c>
      <c r="EU25" s="48">
        <f t="shared" si="210"/>
        <v>14</v>
      </c>
      <c r="EV25" s="48">
        <f t="shared" si="210"/>
        <v>14</v>
      </c>
      <c r="EW25" s="48">
        <f t="shared" si="210"/>
        <v>14</v>
      </c>
      <c r="EX25" s="48">
        <f t="shared" si="210"/>
        <v>14</v>
      </c>
      <c r="EY25" s="716"/>
      <c r="EZ25" s="716"/>
      <c r="FA25" s="709"/>
      <c r="FB25" s="48">
        <v>11</v>
      </c>
      <c r="FC25" s="48">
        <f t="shared" si="210"/>
        <v>11</v>
      </c>
    </row>
    <row r="26" spans="2:159" x14ac:dyDescent="0.45">
      <c r="B26" s="137"/>
      <c r="C26" s="138" t="s">
        <v>1158</v>
      </c>
      <c r="D26">
        <f>2^D25-1</f>
        <v>16383</v>
      </c>
      <c r="E26">
        <f t="shared" ref="E26:BP26" si="211">2^E25-1</f>
        <v>16383</v>
      </c>
      <c r="F26">
        <f t="shared" ref="F26" si="212">2^F25-1</f>
        <v>16383</v>
      </c>
      <c r="G26">
        <f t="shared" si="211"/>
        <v>16383</v>
      </c>
      <c r="H26">
        <f t="shared" si="211"/>
        <v>16383</v>
      </c>
      <c r="I26">
        <f t="shared" si="211"/>
        <v>16383</v>
      </c>
      <c r="J26">
        <f t="shared" si="211"/>
        <v>16383</v>
      </c>
      <c r="K26">
        <f t="shared" si="211"/>
        <v>16383</v>
      </c>
      <c r="L26">
        <f t="shared" si="211"/>
        <v>16383</v>
      </c>
      <c r="M26">
        <f t="shared" si="211"/>
        <v>16383</v>
      </c>
      <c r="N26">
        <f t="shared" si="211"/>
        <v>16383</v>
      </c>
      <c r="O26">
        <f t="shared" si="211"/>
        <v>16383</v>
      </c>
      <c r="P26">
        <f t="shared" si="211"/>
        <v>16383</v>
      </c>
      <c r="Q26">
        <f t="shared" si="211"/>
        <v>16383</v>
      </c>
      <c r="R26">
        <f t="shared" si="211"/>
        <v>16383</v>
      </c>
      <c r="S26">
        <f t="shared" si="211"/>
        <v>16383</v>
      </c>
      <c r="T26">
        <f t="shared" si="211"/>
        <v>16383</v>
      </c>
      <c r="U26">
        <f t="shared" si="211"/>
        <v>16383</v>
      </c>
      <c r="V26">
        <f t="shared" si="211"/>
        <v>16383</v>
      </c>
      <c r="W26">
        <f t="shared" si="211"/>
        <v>16383</v>
      </c>
      <c r="X26">
        <f t="shared" si="211"/>
        <v>16383</v>
      </c>
      <c r="Y26">
        <f t="shared" si="211"/>
        <v>16383</v>
      </c>
      <c r="Z26">
        <f t="shared" si="211"/>
        <v>16383</v>
      </c>
      <c r="AA26">
        <f t="shared" si="211"/>
        <v>16383</v>
      </c>
      <c r="AB26">
        <f t="shared" si="211"/>
        <v>16383</v>
      </c>
      <c r="AC26">
        <f t="shared" si="211"/>
        <v>16383</v>
      </c>
      <c r="AD26">
        <f t="shared" si="211"/>
        <v>16383</v>
      </c>
      <c r="AE26">
        <f t="shared" si="211"/>
        <v>16383</v>
      </c>
      <c r="AF26">
        <f t="shared" si="211"/>
        <v>16383</v>
      </c>
      <c r="AG26">
        <f t="shared" si="211"/>
        <v>16383</v>
      </c>
      <c r="AH26">
        <f t="shared" si="211"/>
        <v>16383</v>
      </c>
      <c r="AI26">
        <f t="shared" si="211"/>
        <v>16383</v>
      </c>
      <c r="AJ26">
        <f t="shared" si="211"/>
        <v>16383</v>
      </c>
      <c r="AK26">
        <f t="shared" si="211"/>
        <v>16383</v>
      </c>
      <c r="AL26">
        <f t="shared" si="211"/>
        <v>16383</v>
      </c>
      <c r="AM26">
        <f t="shared" si="211"/>
        <v>16383</v>
      </c>
      <c r="AN26">
        <f t="shared" si="211"/>
        <v>16383</v>
      </c>
      <c r="AO26">
        <f t="shared" si="211"/>
        <v>16383</v>
      </c>
      <c r="AP26">
        <f t="shared" si="211"/>
        <v>16383</v>
      </c>
      <c r="AQ26">
        <f t="shared" si="211"/>
        <v>16383</v>
      </c>
      <c r="AR26">
        <f t="shared" si="211"/>
        <v>16383</v>
      </c>
      <c r="AS26">
        <f t="shared" si="211"/>
        <v>16383</v>
      </c>
      <c r="AT26">
        <f t="shared" si="211"/>
        <v>16383</v>
      </c>
      <c r="AU26">
        <f t="shared" si="211"/>
        <v>16383</v>
      </c>
      <c r="AV26">
        <f t="shared" si="211"/>
        <v>16383</v>
      </c>
      <c r="AW26">
        <f t="shared" si="211"/>
        <v>16383</v>
      </c>
      <c r="AX26">
        <f t="shared" si="211"/>
        <v>16383</v>
      </c>
      <c r="AY26">
        <f t="shared" si="211"/>
        <v>16383</v>
      </c>
      <c r="AZ26">
        <f t="shared" si="211"/>
        <v>16383</v>
      </c>
      <c r="BA26">
        <f t="shared" si="211"/>
        <v>16383</v>
      </c>
      <c r="BB26">
        <f t="shared" si="211"/>
        <v>16383</v>
      </c>
      <c r="BC26">
        <f t="shared" si="211"/>
        <v>16383</v>
      </c>
      <c r="BD26">
        <f t="shared" si="211"/>
        <v>16383</v>
      </c>
      <c r="BE26">
        <f t="shared" si="211"/>
        <v>16383</v>
      </c>
      <c r="BF26">
        <f t="shared" si="211"/>
        <v>16383</v>
      </c>
      <c r="BG26">
        <f t="shared" si="211"/>
        <v>16383</v>
      </c>
      <c r="BH26">
        <f t="shared" si="211"/>
        <v>16383</v>
      </c>
      <c r="BI26">
        <f t="shared" si="211"/>
        <v>16383</v>
      </c>
      <c r="BJ26">
        <f t="shared" si="211"/>
        <v>16383</v>
      </c>
      <c r="BK26">
        <f t="shared" si="211"/>
        <v>16383</v>
      </c>
      <c r="BL26">
        <f t="shared" si="211"/>
        <v>16383</v>
      </c>
      <c r="BM26">
        <f t="shared" si="211"/>
        <v>16383</v>
      </c>
      <c r="BN26">
        <f t="shared" si="211"/>
        <v>16383</v>
      </c>
      <c r="BO26">
        <f t="shared" si="211"/>
        <v>16383</v>
      </c>
      <c r="BP26">
        <f t="shared" si="211"/>
        <v>16383</v>
      </c>
      <c r="BQ26">
        <f t="shared" ref="BQ26:EB26" si="213">2^BQ25-1</f>
        <v>16383</v>
      </c>
      <c r="BR26">
        <f t="shared" si="213"/>
        <v>16383</v>
      </c>
      <c r="BS26">
        <f t="shared" si="213"/>
        <v>16383</v>
      </c>
      <c r="BT26">
        <f t="shared" si="213"/>
        <v>16383</v>
      </c>
      <c r="BU26">
        <f t="shared" si="213"/>
        <v>16383</v>
      </c>
      <c r="BV26">
        <f t="shared" si="213"/>
        <v>16383</v>
      </c>
      <c r="BW26">
        <f t="shared" si="213"/>
        <v>16383</v>
      </c>
      <c r="BX26">
        <f t="shared" si="213"/>
        <v>16383</v>
      </c>
      <c r="BY26">
        <f t="shared" si="213"/>
        <v>16383</v>
      </c>
      <c r="BZ26">
        <f t="shared" si="213"/>
        <v>16383</v>
      </c>
      <c r="CA26">
        <f t="shared" si="213"/>
        <v>16383</v>
      </c>
      <c r="CB26">
        <f t="shared" si="213"/>
        <v>16383</v>
      </c>
      <c r="CC26">
        <f t="shared" si="213"/>
        <v>16383</v>
      </c>
      <c r="CD26">
        <f t="shared" si="213"/>
        <v>16383</v>
      </c>
      <c r="CE26">
        <f t="shared" si="213"/>
        <v>16383</v>
      </c>
      <c r="CF26">
        <f t="shared" si="213"/>
        <v>16383</v>
      </c>
      <c r="CG26">
        <f t="shared" si="213"/>
        <v>16383</v>
      </c>
      <c r="CH26">
        <f t="shared" si="213"/>
        <v>16383</v>
      </c>
      <c r="CI26">
        <f t="shared" si="213"/>
        <v>16383</v>
      </c>
      <c r="CJ26">
        <f t="shared" si="213"/>
        <v>16383</v>
      </c>
      <c r="CK26">
        <f t="shared" si="213"/>
        <v>16383</v>
      </c>
      <c r="CL26">
        <f t="shared" si="213"/>
        <v>16383</v>
      </c>
      <c r="CM26">
        <f t="shared" si="213"/>
        <v>16383</v>
      </c>
      <c r="CN26">
        <f t="shared" si="213"/>
        <v>16383</v>
      </c>
      <c r="CO26">
        <f t="shared" si="213"/>
        <v>16383</v>
      </c>
      <c r="CP26">
        <f t="shared" si="213"/>
        <v>16383</v>
      </c>
      <c r="CQ26">
        <f t="shared" si="213"/>
        <v>16383</v>
      </c>
      <c r="CR26">
        <f t="shared" si="213"/>
        <v>16383</v>
      </c>
      <c r="CS26">
        <f t="shared" si="213"/>
        <v>16383</v>
      </c>
      <c r="CT26">
        <f t="shared" si="213"/>
        <v>16383</v>
      </c>
      <c r="CU26">
        <f t="shared" si="213"/>
        <v>16383</v>
      </c>
      <c r="CV26">
        <f t="shared" si="213"/>
        <v>16383</v>
      </c>
      <c r="CW26">
        <f t="shared" si="213"/>
        <v>16383</v>
      </c>
      <c r="CX26">
        <f t="shared" si="213"/>
        <v>16383</v>
      </c>
      <c r="CY26">
        <f t="shared" si="213"/>
        <v>16383</v>
      </c>
      <c r="CZ26">
        <f t="shared" si="213"/>
        <v>16383</v>
      </c>
      <c r="DA26">
        <f t="shared" si="213"/>
        <v>16383</v>
      </c>
      <c r="DB26">
        <f t="shared" si="213"/>
        <v>16383</v>
      </c>
      <c r="DC26">
        <f t="shared" si="213"/>
        <v>16383</v>
      </c>
      <c r="DD26">
        <f t="shared" si="213"/>
        <v>16383</v>
      </c>
      <c r="DE26">
        <f t="shared" si="213"/>
        <v>16383</v>
      </c>
      <c r="DF26">
        <f t="shared" si="213"/>
        <v>16383</v>
      </c>
      <c r="DG26">
        <f t="shared" si="213"/>
        <v>16383</v>
      </c>
      <c r="DH26">
        <f t="shared" si="213"/>
        <v>16383</v>
      </c>
      <c r="DI26">
        <f t="shared" si="213"/>
        <v>16383</v>
      </c>
      <c r="DJ26">
        <f t="shared" si="213"/>
        <v>16383</v>
      </c>
      <c r="DK26">
        <f t="shared" si="213"/>
        <v>16383</v>
      </c>
      <c r="DL26">
        <f t="shared" si="213"/>
        <v>16383</v>
      </c>
      <c r="DM26">
        <f t="shared" si="213"/>
        <v>16383</v>
      </c>
      <c r="DN26">
        <f t="shared" si="213"/>
        <v>16383</v>
      </c>
      <c r="DO26">
        <f t="shared" si="213"/>
        <v>16383</v>
      </c>
      <c r="DP26">
        <f t="shared" si="213"/>
        <v>16383</v>
      </c>
      <c r="DQ26">
        <f t="shared" si="213"/>
        <v>16383</v>
      </c>
      <c r="DR26">
        <f t="shared" si="213"/>
        <v>16383</v>
      </c>
      <c r="DS26">
        <f t="shared" si="213"/>
        <v>16383</v>
      </c>
      <c r="DT26">
        <f t="shared" si="213"/>
        <v>16383</v>
      </c>
      <c r="DU26">
        <f t="shared" si="213"/>
        <v>16383</v>
      </c>
      <c r="DV26">
        <f t="shared" si="213"/>
        <v>16383</v>
      </c>
      <c r="DW26">
        <f t="shared" si="213"/>
        <v>16383</v>
      </c>
      <c r="DX26">
        <f t="shared" si="213"/>
        <v>16383</v>
      </c>
      <c r="DY26">
        <f t="shared" si="213"/>
        <v>16383</v>
      </c>
      <c r="DZ26">
        <f t="shared" si="213"/>
        <v>16383</v>
      </c>
      <c r="EA26">
        <f t="shared" si="213"/>
        <v>16383</v>
      </c>
      <c r="EB26">
        <f t="shared" si="213"/>
        <v>16383</v>
      </c>
      <c r="EC26">
        <f t="shared" ref="EC26:FC26" si="214">2^EC25-1</f>
        <v>16383</v>
      </c>
      <c r="ED26">
        <f t="shared" si="214"/>
        <v>16383</v>
      </c>
      <c r="EE26">
        <f t="shared" si="214"/>
        <v>16383</v>
      </c>
      <c r="EF26">
        <f t="shared" si="214"/>
        <v>16383</v>
      </c>
      <c r="EG26">
        <f t="shared" si="214"/>
        <v>16383</v>
      </c>
      <c r="EH26">
        <f t="shared" si="214"/>
        <v>16383</v>
      </c>
      <c r="EI26">
        <f t="shared" si="214"/>
        <v>16383</v>
      </c>
      <c r="EJ26">
        <f t="shared" si="214"/>
        <v>16383</v>
      </c>
      <c r="EK26">
        <f t="shared" si="214"/>
        <v>16383</v>
      </c>
      <c r="EL26">
        <f t="shared" si="214"/>
        <v>16383</v>
      </c>
      <c r="EM26">
        <f t="shared" si="214"/>
        <v>16383</v>
      </c>
      <c r="EN26">
        <f t="shared" si="214"/>
        <v>16383</v>
      </c>
      <c r="EO26">
        <f t="shared" si="214"/>
        <v>16383</v>
      </c>
      <c r="EP26">
        <f t="shared" si="214"/>
        <v>16383</v>
      </c>
      <c r="EQ26">
        <f t="shared" si="214"/>
        <v>16383</v>
      </c>
      <c r="ER26">
        <f t="shared" si="214"/>
        <v>16383</v>
      </c>
      <c r="ES26">
        <f t="shared" si="214"/>
        <v>16383</v>
      </c>
      <c r="ET26">
        <f t="shared" si="214"/>
        <v>16383</v>
      </c>
      <c r="EU26">
        <f t="shared" si="214"/>
        <v>16383</v>
      </c>
      <c r="EV26">
        <f t="shared" si="214"/>
        <v>16383</v>
      </c>
      <c r="EW26">
        <f t="shared" si="214"/>
        <v>16383</v>
      </c>
      <c r="EX26">
        <f t="shared" si="214"/>
        <v>16383</v>
      </c>
      <c r="EY26" s="5"/>
      <c r="EZ26" s="5"/>
      <c r="FA26" s="709"/>
      <c r="FB26">
        <f t="shared" si="214"/>
        <v>2047</v>
      </c>
      <c r="FC26">
        <f t="shared" si="214"/>
        <v>2047</v>
      </c>
    </row>
    <row r="27" spans="2:159" x14ac:dyDescent="0.45">
      <c r="B27" s="135"/>
      <c r="C27" s="139" t="s">
        <v>1157</v>
      </c>
      <c r="D27" s="22">
        <f t="shared" ref="D27:BO27" si="215">D24/(D26*D38)</f>
        <v>0.61038881767686015</v>
      </c>
      <c r="E27" s="22">
        <f t="shared" si="215"/>
        <v>0.58132268350177152</v>
      </c>
      <c r="F27" s="22">
        <f t="shared" ref="F27" si="216">F24/(F26*F38)</f>
        <v>0.55489892516078188</v>
      </c>
      <c r="G27" s="22">
        <f t="shared" si="215"/>
        <v>0.53077288493640018</v>
      </c>
      <c r="H27" s="22">
        <f t="shared" si="215"/>
        <v>0.50865734806405016</v>
      </c>
      <c r="I27" s="22">
        <f t="shared" si="215"/>
        <v>0.48831105414148812</v>
      </c>
      <c r="J27" s="22">
        <f t="shared" si="215"/>
        <v>0.46952985975143091</v>
      </c>
      <c r="K27" s="22">
        <f t="shared" si="215"/>
        <v>0.45213986494582237</v>
      </c>
      <c r="L27" s="22">
        <f t="shared" si="215"/>
        <v>0.4359920126263287</v>
      </c>
      <c r="M27" s="22">
        <f t="shared" si="215"/>
        <v>0.42095780529438631</v>
      </c>
      <c r="N27" s="22">
        <f t="shared" si="215"/>
        <v>0.40692587845124012</v>
      </c>
      <c r="O27" s="22">
        <f t="shared" si="215"/>
        <v>0.39379923721087756</v>
      </c>
      <c r="P27" s="22">
        <f t="shared" si="215"/>
        <v>0.38149301104803762</v>
      </c>
      <c r="Q27" s="22">
        <f t="shared" si="215"/>
        <v>0.36993261677385464</v>
      </c>
      <c r="R27" s="22">
        <f t="shared" si="215"/>
        <v>0.35905224569227068</v>
      </c>
      <c r="S27" s="22">
        <f t="shared" si="215"/>
        <v>0.34879361010106297</v>
      </c>
      <c r="T27" s="22">
        <f t="shared" si="215"/>
        <v>0.33910489870936678</v>
      </c>
      <c r="U27" s="22">
        <f t="shared" si="215"/>
        <v>0.3299399014469514</v>
      </c>
      <c r="V27" s="22">
        <f t="shared" si="215"/>
        <v>0.32125727246150537</v>
      </c>
      <c r="W27" s="22">
        <f t="shared" si="215"/>
        <v>0.3130199065009539</v>
      </c>
      <c r="X27" s="22">
        <f t="shared" si="215"/>
        <v>0.30519440883843008</v>
      </c>
      <c r="Y27" s="22">
        <f t="shared" si="215"/>
        <v>0.2977506427692001</v>
      </c>
      <c r="Z27" s="22">
        <f t="shared" si="215"/>
        <v>0.29066134175088576</v>
      </c>
      <c r="AA27" s="22">
        <f t="shared" si="215"/>
        <v>0.28390177566365588</v>
      </c>
      <c r="AB27" s="22">
        <f t="shared" si="215"/>
        <v>0.27744946258039094</v>
      </c>
      <c r="AC27" s="22">
        <f t="shared" si="215"/>
        <v>0.27128391896749338</v>
      </c>
      <c r="AD27" s="22">
        <f t="shared" si="215"/>
        <v>0.26538644246820009</v>
      </c>
      <c r="AE27" s="22">
        <f t="shared" si="215"/>
        <v>0.25973992241568516</v>
      </c>
      <c r="AF27" s="22">
        <f t="shared" si="215"/>
        <v>0.25432867403202508</v>
      </c>
      <c r="AG27" s="22" t="e">
        <f t="shared" si="215"/>
        <v>#DIV/0!</v>
      </c>
      <c r="AH27" s="22" t="e">
        <f t="shared" si="215"/>
        <v>#DIV/0!</v>
      </c>
      <c r="AI27" s="22" t="e">
        <f t="shared" si="215"/>
        <v>#DIV/0!</v>
      </c>
      <c r="AJ27" s="22" t="e">
        <f t="shared" si="215"/>
        <v>#DIV/0!</v>
      </c>
      <c r="AK27" s="22" t="e">
        <f t="shared" si="215"/>
        <v>#DIV/0!</v>
      </c>
      <c r="AL27" s="22" t="e">
        <f t="shared" si="215"/>
        <v>#DIV/0!</v>
      </c>
      <c r="AM27" s="22" t="e">
        <f t="shared" si="215"/>
        <v>#DIV/0!</v>
      </c>
      <c r="AN27" s="22" t="e">
        <f t="shared" si="215"/>
        <v>#DIV/0!</v>
      </c>
      <c r="AO27" s="22" t="e">
        <f t="shared" si="215"/>
        <v>#DIV/0!</v>
      </c>
      <c r="AP27" s="22" t="e">
        <f t="shared" si="215"/>
        <v>#DIV/0!</v>
      </c>
      <c r="AQ27" s="22" t="e">
        <f t="shared" si="215"/>
        <v>#DIV/0!</v>
      </c>
      <c r="AR27" s="22" t="e">
        <f t="shared" si="215"/>
        <v>#DIV/0!</v>
      </c>
      <c r="AS27" s="22" t="e">
        <f t="shared" si="215"/>
        <v>#DIV/0!</v>
      </c>
      <c r="AT27" s="22" t="e">
        <f t="shared" si="215"/>
        <v>#DIV/0!</v>
      </c>
      <c r="AU27" s="22" t="e">
        <f t="shared" si="215"/>
        <v>#DIV/0!</v>
      </c>
      <c r="AV27" s="22" t="e">
        <f t="shared" si="215"/>
        <v>#DIV/0!</v>
      </c>
      <c r="AW27" s="22" t="e">
        <f t="shared" si="215"/>
        <v>#DIV/0!</v>
      </c>
      <c r="AX27" s="22" t="e">
        <f t="shared" si="215"/>
        <v>#DIV/0!</v>
      </c>
      <c r="AY27" s="22" t="e">
        <f t="shared" si="215"/>
        <v>#DIV/0!</v>
      </c>
      <c r="AZ27" s="22" t="e">
        <f t="shared" si="215"/>
        <v>#DIV/0!</v>
      </c>
      <c r="BA27" s="22" t="e">
        <f t="shared" si="215"/>
        <v>#DIV/0!</v>
      </c>
      <c r="BB27" s="22" t="e">
        <f t="shared" si="215"/>
        <v>#DIV/0!</v>
      </c>
      <c r="BC27" s="22" t="e">
        <f t="shared" si="215"/>
        <v>#DIV/0!</v>
      </c>
      <c r="BD27" s="22" t="e">
        <f t="shared" si="215"/>
        <v>#DIV/0!</v>
      </c>
      <c r="BE27" s="22" t="e">
        <f t="shared" si="215"/>
        <v>#DIV/0!</v>
      </c>
      <c r="BF27" s="22" t="e">
        <f t="shared" si="215"/>
        <v>#DIV/0!</v>
      </c>
      <c r="BG27" s="22" t="e">
        <f t="shared" si="215"/>
        <v>#DIV/0!</v>
      </c>
      <c r="BH27" s="22" t="e">
        <f t="shared" si="215"/>
        <v>#DIV/0!</v>
      </c>
      <c r="BI27" s="22" t="e">
        <f t="shared" si="215"/>
        <v>#DIV/0!</v>
      </c>
      <c r="BJ27" s="22" t="e">
        <f t="shared" si="215"/>
        <v>#DIV/0!</v>
      </c>
      <c r="BK27" s="22" t="e">
        <f t="shared" si="215"/>
        <v>#DIV/0!</v>
      </c>
      <c r="BL27" s="22" t="e">
        <f t="shared" si="215"/>
        <v>#DIV/0!</v>
      </c>
      <c r="BM27" s="22" t="e">
        <f t="shared" si="215"/>
        <v>#DIV/0!</v>
      </c>
      <c r="BN27" s="22" t="e">
        <f t="shared" si="215"/>
        <v>#DIV/0!</v>
      </c>
      <c r="BO27" s="22" t="e">
        <f t="shared" si="215"/>
        <v>#DIV/0!</v>
      </c>
      <c r="BP27" s="22" t="e">
        <f t="shared" ref="BP27:EA27" si="217">BP24/(BP26*BP38)</f>
        <v>#DIV/0!</v>
      </c>
      <c r="BQ27" s="22" t="e">
        <f t="shared" si="217"/>
        <v>#DIV/0!</v>
      </c>
      <c r="BR27" s="22" t="e">
        <f t="shared" si="217"/>
        <v>#DIV/0!</v>
      </c>
      <c r="BS27" s="22" t="e">
        <f t="shared" si="217"/>
        <v>#DIV/0!</v>
      </c>
      <c r="BT27" s="22" t="e">
        <f t="shared" si="217"/>
        <v>#DIV/0!</v>
      </c>
      <c r="BU27" s="22" t="e">
        <f t="shared" si="217"/>
        <v>#DIV/0!</v>
      </c>
      <c r="BV27" s="22" t="e">
        <f t="shared" si="217"/>
        <v>#DIV/0!</v>
      </c>
      <c r="BW27" s="22" t="e">
        <f t="shared" si="217"/>
        <v>#DIV/0!</v>
      </c>
      <c r="BX27" s="22" t="e">
        <f t="shared" si="217"/>
        <v>#DIV/0!</v>
      </c>
      <c r="BY27" s="22" t="e">
        <f t="shared" si="217"/>
        <v>#DIV/0!</v>
      </c>
      <c r="BZ27" s="22" t="e">
        <f t="shared" si="217"/>
        <v>#DIV/0!</v>
      </c>
      <c r="CA27" s="22" t="e">
        <f t="shared" si="217"/>
        <v>#DIV/0!</v>
      </c>
      <c r="CB27" s="22" t="e">
        <f t="shared" si="217"/>
        <v>#DIV/0!</v>
      </c>
      <c r="CC27" s="22" t="e">
        <f t="shared" si="217"/>
        <v>#DIV/0!</v>
      </c>
      <c r="CD27" s="22" t="e">
        <f t="shared" si="217"/>
        <v>#DIV/0!</v>
      </c>
      <c r="CE27" s="22" t="e">
        <f t="shared" si="217"/>
        <v>#DIV/0!</v>
      </c>
      <c r="CF27" s="22" t="e">
        <f t="shared" si="217"/>
        <v>#DIV/0!</v>
      </c>
      <c r="CG27" s="22" t="e">
        <f t="shared" si="217"/>
        <v>#DIV/0!</v>
      </c>
      <c r="CH27" s="22" t="e">
        <f t="shared" si="217"/>
        <v>#DIV/0!</v>
      </c>
      <c r="CI27" s="22" t="e">
        <f t="shared" si="217"/>
        <v>#DIV/0!</v>
      </c>
      <c r="CJ27" s="22" t="e">
        <f t="shared" si="217"/>
        <v>#DIV/0!</v>
      </c>
      <c r="CK27" s="22" t="e">
        <f t="shared" si="217"/>
        <v>#DIV/0!</v>
      </c>
      <c r="CL27" s="22" t="e">
        <f t="shared" si="217"/>
        <v>#DIV/0!</v>
      </c>
      <c r="CM27" s="22" t="e">
        <f t="shared" si="217"/>
        <v>#DIV/0!</v>
      </c>
      <c r="CN27" s="22" t="e">
        <f t="shared" si="217"/>
        <v>#DIV/0!</v>
      </c>
      <c r="CO27" s="22" t="e">
        <f t="shared" si="217"/>
        <v>#DIV/0!</v>
      </c>
      <c r="CP27" s="22" t="e">
        <f t="shared" si="217"/>
        <v>#DIV/0!</v>
      </c>
      <c r="CQ27" s="22" t="e">
        <f t="shared" si="217"/>
        <v>#DIV/0!</v>
      </c>
      <c r="CR27" s="22" t="e">
        <f t="shared" si="217"/>
        <v>#DIV/0!</v>
      </c>
      <c r="CS27" s="22" t="e">
        <f t="shared" si="217"/>
        <v>#DIV/0!</v>
      </c>
      <c r="CT27" s="22" t="e">
        <f t="shared" si="217"/>
        <v>#DIV/0!</v>
      </c>
      <c r="CU27" s="22" t="e">
        <f t="shared" si="217"/>
        <v>#DIV/0!</v>
      </c>
      <c r="CV27" s="22" t="e">
        <f t="shared" si="217"/>
        <v>#DIV/0!</v>
      </c>
      <c r="CW27" s="22" t="e">
        <f t="shared" si="217"/>
        <v>#DIV/0!</v>
      </c>
      <c r="CX27" s="22" t="e">
        <f t="shared" si="217"/>
        <v>#DIV/0!</v>
      </c>
      <c r="CY27" s="22" t="e">
        <f t="shared" si="217"/>
        <v>#DIV/0!</v>
      </c>
      <c r="CZ27" s="22" t="e">
        <f t="shared" si="217"/>
        <v>#DIV/0!</v>
      </c>
      <c r="DA27" s="22" t="e">
        <f t="shared" si="217"/>
        <v>#DIV/0!</v>
      </c>
      <c r="DB27" s="22" t="e">
        <f t="shared" si="217"/>
        <v>#DIV/0!</v>
      </c>
      <c r="DC27" s="22" t="e">
        <f t="shared" si="217"/>
        <v>#DIV/0!</v>
      </c>
      <c r="DD27" s="22" t="e">
        <f t="shared" si="217"/>
        <v>#DIV/0!</v>
      </c>
      <c r="DE27" s="22" t="e">
        <f t="shared" si="217"/>
        <v>#DIV/0!</v>
      </c>
      <c r="DF27" s="22" t="e">
        <f t="shared" si="217"/>
        <v>#DIV/0!</v>
      </c>
      <c r="DG27" s="22" t="e">
        <f t="shared" si="217"/>
        <v>#DIV/0!</v>
      </c>
      <c r="DH27" s="22" t="e">
        <f t="shared" si="217"/>
        <v>#DIV/0!</v>
      </c>
      <c r="DI27" s="22" t="e">
        <f t="shared" si="217"/>
        <v>#DIV/0!</v>
      </c>
      <c r="DJ27" s="22" t="e">
        <f t="shared" si="217"/>
        <v>#DIV/0!</v>
      </c>
      <c r="DK27" s="22" t="e">
        <f t="shared" si="217"/>
        <v>#DIV/0!</v>
      </c>
      <c r="DL27" s="22" t="e">
        <f t="shared" si="217"/>
        <v>#DIV/0!</v>
      </c>
      <c r="DM27" s="22" t="e">
        <f t="shared" si="217"/>
        <v>#DIV/0!</v>
      </c>
      <c r="DN27" s="22" t="e">
        <f t="shared" si="217"/>
        <v>#DIV/0!</v>
      </c>
      <c r="DO27" s="22" t="e">
        <f t="shared" si="217"/>
        <v>#DIV/0!</v>
      </c>
      <c r="DP27" s="22" t="e">
        <f t="shared" si="217"/>
        <v>#DIV/0!</v>
      </c>
      <c r="DQ27" s="22" t="e">
        <f t="shared" si="217"/>
        <v>#DIV/0!</v>
      </c>
      <c r="DR27" s="22" t="e">
        <f t="shared" si="217"/>
        <v>#DIV/0!</v>
      </c>
      <c r="DS27" s="22" t="e">
        <f t="shared" si="217"/>
        <v>#DIV/0!</v>
      </c>
      <c r="DT27" s="22" t="e">
        <f t="shared" si="217"/>
        <v>#DIV/0!</v>
      </c>
      <c r="DU27" s="22" t="e">
        <f t="shared" si="217"/>
        <v>#DIV/0!</v>
      </c>
      <c r="DV27" s="22" t="e">
        <f t="shared" si="217"/>
        <v>#DIV/0!</v>
      </c>
      <c r="DW27" s="22" t="e">
        <f t="shared" si="217"/>
        <v>#DIV/0!</v>
      </c>
      <c r="DX27" s="22" t="e">
        <f t="shared" si="217"/>
        <v>#DIV/0!</v>
      </c>
      <c r="DY27" s="22" t="e">
        <f t="shared" si="217"/>
        <v>#DIV/0!</v>
      </c>
      <c r="DZ27" s="22" t="e">
        <f t="shared" si="217"/>
        <v>#DIV/0!</v>
      </c>
      <c r="EA27" s="22" t="e">
        <f t="shared" si="217"/>
        <v>#DIV/0!</v>
      </c>
      <c r="EB27" s="22" t="e">
        <f t="shared" ref="EB27:FC27" si="218">EB24/(EB26*EB38)</f>
        <v>#DIV/0!</v>
      </c>
      <c r="EC27" s="22" t="e">
        <f t="shared" si="218"/>
        <v>#DIV/0!</v>
      </c>
      <c r="ED27" s="22" t="e">
        <f t="shared" si="218"/>
        <v>#DIV/0!</v>
      </c>
      <c r="EE27" s="22" t="e">
        <f t="shared" si="218"/>
        <v>#DIV/0!</v>
      </c>
      <c r="EF27" s="22" t="e">
        <f t="shared" si="218"/>
        <v>#DIV/0!</v>
      </c>
      <c r="EG27" s="22" t="e">
        <f t="shared" si="218"/>
        <v>#DIV/0!</v>
      </c>
      <c r="EH27" s="22" t="e">
        <f t="shared" si="218"/>
        <v>#DIV/0!</v>
      </c>
      <c r="EI27" s="22" t="e">
        <f t="shared" si="218"/>
        <v>#DIV/0!</v>
      </c>
      <c r="EJ27" s="22" t="e">
        <f t="shared" si="218"/>
        <v>#DIV/0!</v>
      </c>
      <c r="EK27" s="22" t="e">
        <f t="shared" si="218"/>
        <v>#DIV/0!</v>
      </c>
      <c r="EL27" s="22" t="e">
        <f t="shared" si="218"/>
        <v>#DIV/0!</v>
      </c>
      <c r="EM27" s="22" t="e">
        <f t="shared" si="218"/>
        <v>#DIV/0!</v>
      </c>
      <c r="EN27" s="22" t="e">
        <f t="shared" si="218"/>
        <v>#DIV/0!</v>
      </c>
      <c r="EO27" s="22" t="e">
        <f t="shared" si="218"/>
        <v>#DIV/0!</v>
      </c>
      <c r="EP27" s="22" t="e">
        <f t="shared" si="218"/>
        <v>#DIV/0!</v>
      </c>
      <c r="EQ27" s="22" t="e">
        <f t="shared" si="218"/>
        <v>#DIV/0!</v>
      </c>
      <c r="ER27" s="22" t="e">
        <f t="shared" si="218"/>
        <v>#DIV/0!</v>
      </c>
      <c r="ES27" s="22" t="e">
        <f t="shared" si="218"/>
        <v>#DIV/0!</v>
      </c>
      <c r="ET27" s="22" t="e">
        <f t="shared" si="218"/>
        <v>#DIV/0!</v>
      </c>
      <c r="EU27" s="22" t="e">
        <f t="shared" si="218"/>
        <v>#DIV/0!</v>
      </c>
      <c r="EV27" s="22" t="e">
        <f t="shared" si="218"/>
        <v>#DIV/0!</v>
      </c>
      <c r="EW27" s="22" t="e">
        <f t="shared" si="218"/>
        <v>#DIV/0!</v>
      </c>
      <c r="EX27" s="22" t="e">
        <f t="shared" si="218"/>
        <v>#DIV/0!</v>
      </c>
      <c r="EY27" s="5"/>
      <c r="EZ27" s="5"/>
      <c r="FA27" s="709"/>
      <c r="FB27" s="22">
        <f t="shared" si="218"/>
        <v>0.61064973131411826</v>
      </c>
      <c r="FC27" s="22">
        <f t="shared" si="218"/>
        <v>0.50887477609509857</v>
      </c>
    </row>
    <row r="28" spans="2:159" x14ac:dyDescent="0.45">
      <c r="B28" s="133" t="s">
        <v>16</v>
      </c>
      <c r="C28" s="134" t="s">
        <v>5</v>
      </c>
      <c r="D28" s="147">
        <f>D27/$G$22</f>
        <v>24.000000000000004</v>
      </c>
      <c r="E28" s="147">
        <f t="shared" ref="E28:BP28" si="219">E27/$G$22</f>
        <v>22.857142857142858</v>
      </c>
      <c r="F28" s="147">
        <f t="shared" ref="F28" si="220">F27/$G$22</f>
        <v>21.818181818181817</v>
      </c>
      <c r="G28" s="147">
        <f t="shared" si="219"/>
        <v>20.869565217391308</v>
      </c>
      <c r="H28" s="147">
        <f t="shared" si="219"/>
        <v>20.000000000000004</v>
      </c>
      <c r="I28" s="147">
        <f t="shared" si="219"/>
        <v>19.200000000000003</v>
      </c>
      <c r="J28" s="147">
        <f t="shared" si="219"/>
        <v>18.461538461538463</v>
      </c>
      <c r="K28" s="147">
        <f t="shared" si="219"/>
        <v>17.777777777777782</v>
      </c>
      <c r="L28" s="147">
        <f t="shared" si="219"/>
        <v>17.142857142857146</v>
      </c>
      <c r="M28" s="147">
        <f t="shared" si="219"/>
        <v>16.551724137931036</v>
      </c>
      <c r="N28" s="147">
        <f t="shared" si="219"/>
        <v>16.000000000000004</v>
      </c>
      <c r="O28" s="147">
        <f t="shared" si="219"/>
        <v>15.483870967741939</v>
      </c>
      <c r="P28" s="147">
        <f t="shared" si="219"/>
        <v>15.000000000000002</v>
      </c>
      <c r="Q28" s="147">
        <f t="shared" si="219"/>
        <v>14.545454545454547</v>
      </c>
      <c r="R28" s="147">
        <f t="shared" si="219"/>
        <v>14.117647058823531</v>
      </c>
      <c r="S28" s="147">
        <f t="shared" si="219"/>
        <v>13.714285714285717</v>
      </c>
      <c r="T28" s="147">
        <f t="shared" si="219"/>
        <v>13.333333333333336</v>
      </c>
      <c r="U28" s="147">
        <f t="shared" si="219"/>
        <v>12.972972972972974</v>
      </c>
      <c r="V28" s="147">
        <f t="shared" si="219"/>
        <v>12.631578947368423</v>
      </c>
      <c r="W28" s="147">
        <f t="shared" si="219"/>
        <v>12.307692307692308</v>
      </c>
      <c r="X28" s="147">
        <f t="shared" si="219"/>
        <v>12.000000000000002</v>
      </c>
      <c r="Y28" s="147">
        <f t="shared" si="219"/>
        <v>11.707317073170733</v>
      </c>
      <c r="Z28" s="147">
        <f t="shared" si="219"/>
        <v>11.428571428571429</v>
      </c>
      <c r="AA28" s="147">
        <f t="shared" si="219"/>
        <v>11.162790697674419</v>
      </c>
      <c r="AB28" s="147">
        <f t="shared" si="219"/>
        <v>10.909090909090908</v>
      </c>
      <c r="AC28" s="147">
        <f t="shared" si="219"/>
        <v>10.666666666666666</v>
      </c>
      <c r="AD28" s="147">
        <f t="shared" si="219"/>
        <v>10.434782608695654</v>
      </c>
      <c r="AE28" s="147">
        <f t="shared" si="219"/>
        <v>10.212765957446809</v>
      </c>
      <c r="AF28" s="147">
        <f t="shared" si="219"/>
        <v>10.000000000000002</v>
      </c>
      <c r="AG28" s="147" t="e">
        <f t="shared" si="219"/>
        <v>#DIV/0!</v>
      </c>
      <c r="AH28" s="147" t="e">
        <f t="shared" si="219"/>
        <v>#DIV/0!</v>
      </c>
      <c r="AI28" s="147" t="e">
        <f t="shared" si="219"/>
        <v>#DIV/0!</v>
      </c>
      <c r="AJ28" s="147" t="e">
        <f t="shared" si="219"/>
        <v>#DIV/0!</v>
      </c>
      <c r="AK28" s="147" t="e">
        <f t="shared" si="219"/>
        <v>#DIV/0!</v>
      </c>
      <c r="AL28" s="147" t="e">
        <f t="shared" si="219"/>
        <v>#DIV/0!</v>
      </c>
      <c r="AM28" s="147" t="e">
        <f t="shared" si="219"/>
        <v>#DIV/0!</v>
      </c>
      <c r="AN28" s="147" t="e">
        <f t="shared" si="219"/>
        <v>#DIV/0!</v>
      </c>
      <c r="AO28" s="147" t="e">
        <f t="shared" si="219"/>
        <v>#DIV/0!</v>
      </c>
      <c r="AP28" s="147" t="e">
        <f t="shared" si="219"/>
        <v>#DIV/0!</v>
      </c>
      <c r="AQ28" s="147" t="e">
        <f t="shared" si="219"/>
        <v>#DIV/0!</v>
      </c>
      <c r="AR28" s="147" t="e">
        <f t="shared" si="219"/>
        <v>#DIV/0!</v>
      </c>
      <c r="AS28" s="147" t="e">
        <f t="shared" si="219"/>
        <v>#DIV/0!</v>
      </c>
      <c r="AT28" s="147" t="e">
        <f t="shared" si="219"/>
        <v>#DIV/0!</v>
      </c>
      <c r="AU28" s="147" t="e">
        <f t="shared" si="219"/>
        <v>#DIV/0!</v>
      </c>
      <c r="AV28" s="147" t="e">
        <f t="shared" si="219"/>
        <v>#DIV/0!</v>
      </c>
      <c r="AW28" s="147" t="e">
        <f t="shared" si="219"/>
        <v>#DIV/0!</v>
      </c>
      <c r="AX28" s="147" t="e">
        <f t="shared" si="219"/>
        <v>#DIV/0!</v>
      </c>
      <c r="AY28" s="147" t="e">
        <f t="shared" si="219"/>
        <v>#DIV/0!</v>
      </c>
      <c r="AZ28" s="147" t="e">
        <f t="shared" si="219"/>
        <v>#DIV/0!</v>
      </c>
      <c r="BA28" s="147" t="e">
        <f t="shared" si="219"/>
        <v>#DIV/0!</v>
      </c>
      <c r="BB28" s="147" t="e">
        <f t="shared" si="219"/>
        <v>#DIV/0!</v>
      </c>
      <c r="BC28" s="147" t="e">
        <f t="shared" si="219"/>
        <v>#DIV/0!</v>
      </c>
      <c r="BD28" s="147" t="e">
        <f t="shared" si="219"/>
        <v>#DIV/0!</v>
      </c>
      <c r="BE28" s="147" t="e">
        <f t="shared" si="219"/>
        <v>#DIV/0!</v>
      </c>
      <c r="BF28" s="147" t="e">
        <f t="shared" si="219"/>
        <v>#DIV/0!</v>
      </c>
      <c r="BG28" s="147" t="e">
        <f t="shared" si="219"/>
        <v>#DIV/0!</v>
      </c>
      <c r="BH28" s="147" t="e">
        <f t="shared" si="219"/>
        <v>#DIV/0!</v>
      </c>
      <c r="BI28" s="147" t="e">
        <f t="shared" si="219"/>
        <v>#DIV/0!</v>
      </c>
      <c r="BJ28" s="147" t="e">
        <f t="shared" si="219"/>
        <v>#DIV/0!</v>
      </c>
      <c r="BK28" s="147" t="e">
        <f t="shared" si="219"/>
        <v>#DIV/0!</v>
      </c>
      <c r="BL28" s="147" t="e">
        <f t="shared" si="219"/>
        <v>#DIV/0!</v>
      </c>
      <c r="BM28" s="147" t="e">
        <f t="shared" si="219"/>
        <v>#DIV/0!</v>
      </c>
      <c r="BN28" s="147" t="e">
        <f t="shared" si="219"/>
        <v>#DIV/0!</v>
      </c>
      <c r="BO28" s="147" t="e">
        <f t="shared" si="219"/>
        <v>#DIV/0!</v>
      </c>
      <c r="BP28" s="147" t="e">
        <f t="shared" si="219"/>
        <v>#DIV/0!</v>
      </c>
      <c r="BQ28" s="147" t="e">
        <f t="shared" ref="BQ28:EB28" si="221">BQ27/$G$22</f>
        <v>#DIV/0!</v>
      </c>
      <c r="BR28" s="147" t="e">
        <f t="shared" si="221"/>
        <v>#DIV/0!</v>
      </c>
      <c r="BS28" s="147" t="e">
        <f t="shared" si="221"/>
        <v>#DIV/0!</v>
      </c>
      <c r="BT28" s="147" t="e">
        <f t="shared" si="221"/>
        <v>#DIV/0!</v>
      </c>
      <c r="BU28" s="147" t="e">
        <f t="shared" si="221"/>
        <v>#DIV/0!</v>
      </c>
      <c r="BV28" s="147" t="e">
        <f t="shared" si="221"/>
        <v>#DIV/0!</v>
      </c>
      <c r="BW28" s="147" t="e">
        <f t="shared" si="221"/>
        <v>#DIV/0!</v>
      </c>
      <c r="BX28" s="147" t="e">
        <f t="shared" si="221"/>
        <v>#DIV/0!</v>
      </c>
      <c r="BY28" s="147" t="e">
        <f t="shared" si="221"/>
        <v>#DIV/0!</v>
      </c>
      <c r="BZ28" s="147" t="e">
        <f t="shared" si="221"/>
        <v>#DIV/0!</v>
      </c>
      <c r="CA28" s="147" t="e">
        <f t="shared" si="221"/>
        <v>#DIV/0!</v>
      </c>
      <c r="CB28" s="147" t="e">
        <f t="shared" si="221"/>
        <v>#DIV/0!</v>
      </c>
      <c r="CC28" s="147" t="e">
        <f t="shared" si="221"/>
        <v>#DIV/0!</v>
      </c>
      <c r="CD28" s="147" t="e">
        <f t="shared" si="221"/>
        <v>#DIV/0!</v>
      </c>
      <c r="CE28" s="147" t="e">
        <f t="shared" si="221"/>
        <v>#DIV/0!</v>
      </c>
      <c r="CF28" s="147" t="e">
        <f t="shared" si="221"/>
        <v>#DIV/0!</v>
      </c>
      <c r="CG28" s="147" t="e">
        <f t="shared" si="221"/>
        <v>#DIV/0!</v>
      </c>
      <c r="CH28" s="147" t="e">
        <f t="shared" si="221"/>
        <v>#DIV/0!</v>
      </c>
      <c r="CI28" s="147" t="e">
        <f t="shared" si="221"/>
        <v>#DIV/0!</v>
      </c>
      <c r="CJ28" s="147" t="e">
        <f t="shared" si="221"/>
        <v>#DIV/0!</v>
      </c>
      <c r="CK28" s="147" t="e">
        <f t="shared" si="221"/>
        <v>#DIV/0!</v>
      </c>
      <c r="CL28" s="147" t="e">
        <f t="shared" si="221"/>
        <v>#DIV/0!</v>
      </c>
      <c r="CM28" s="147" t="e">
        <f t="shared" si="221"/>
        <v>#DIV/0!</v>
      </c>
      <c r="CN28" s="147" t="e">
        <f t="shared" si="221"/>
        <v>#DIV/0!</v>
      </c>
      <c r="CO28" s="147" t="e">
        <f t="shared" si="221"/>
        <v>#DIV/0!</v>
      </c>
      <c r="CP28" s="147" t="e">
        <f t="shared" si="221"/>
        <v>#DIV/0!</v>
      </c>
      <c r="CQ28" s="147" t="e">
        <f t="shared" si="221"/>
        <v>#DIV/0!</v>
      </c>
      <c r="CR28" s="147" t="e">
        <f t="shared" si="221"/>
        <v>#DIV/0!</v>
      </c>
      <c r="CS28" s="147" t="e">
        <f t="shared" si="221"/>
        <v>#DIV/0!</v>
      </c>
      <c r="CT28" s="147" t="e">
        <f t="shared" si="221"/>
        <v>#DIV/0!</v>
      </c>
      <c r="CU28" s="147" t="e">
        <f t="shared" si="221"/>
        <v>#DIV/0!</v>
      </c>
      <c r="CV28" s="147" t="e">
        <f t="shared" si="221"/>
        <v>#DIV/0!</v>
      </c>
      <c r="CW28" s="147" t="e">
        <f t="shared" si="221"/>
        <v>#DIV/0!</v>
      </c>
      <c r="CX28" s="147" t="e">
        <f t="shared" si="221"/>
        <v>#DIV/0!</v>
      </c>
      <c r="CY28" s="147" t="e">
        <f t="shared" si="221"/>
        <v>#DIV/0!</v>
      </c>
      <c r="CZ28" s="147" t="e">
        <f t="shared" si="221"/>
        <v>#DIV/0!</v>
      </c>
      <c r="DA28" s="147" t="e">
        <f t="shared" si="221"/>
        <v>#DIV/0!</v>
      </c>
      <c r="DB28" s="147" t="e">
        <f t="shared" si="221"/>
        <v>#DIV/0!</v>
      </c>
      <c r="DC28" s="147" t="e">
        <f t="shared" si="221"/>
        <v>#DIV/0!</v>
      </c>
      <c r="DD28" s="147" t="e">
        <f t="shared" si="221"/>
        <v>#DIV/0!</v>
      </c>
      <c r="DE28" s="147" t="e">
        <f t="shared" si="221"/>
        <v>#DIV/0!</v>
      </c>
      <c r="DF28" s="147" t="e">
        <f t="shared" si="221"/>
        <v>#DIV/0!</v>
      </c>
      <c r="DG28" s="147" t="e">
        <f t="shared" si="221"/>
        <v>#DIV/0!</v>
      </c>
      <c r="DH28" s="147" t="e">
        <f t="shared" si="221"/>
        <v>#DIV/0!</v>
      </c>
      <c r="DI28" s="147" t="e">
        <f t="shared" si="221"/>
        <v>#DIV/0!</v>
      </c>
      <c r="DJ28" s="147" t="e">
        <f t="shared" si="221"/>
        <v>#DIV/0!</v>
      </c>
      <c r="DK28" s="147" t="e">
        <f t="shared" si="221"/>
        <v>#DIV/0!</v>
      </c>
      <c r="DL28" s="147" t="e">
        <f t="shared" si="221"/>
        <v>#DIV/0!</v>
      </c>
      <c r="DM28" s="147" t="e">
        <f t="shared" si="221"/>
        <v>#DIV/0!</v>
      </c>
      <c r="DN28" s="147" t="e">
        <f t="shared" si="221"/>
        <v>#DIV/0!</v>
      </c>
      <c r="DO28" s="147" t="e">
        <f t="shared" si="221"/>
        <v>#DIV/0!</v>
      </c>
      <c r="DP28" s="147" t="e">
        <f t="shared" si="221"/>
        <v>#DIV/0!</v>
      </c>
      <c r="DQ28" s="147" t="e">
        <f t="shared" si="221"/>
        <v>#DIV/0!</v>
      </c>
      <c r="DR28" s="147" t="e">
        <f t="shared" si="221"/>
        <v>#DIV/0!</v>
      </c>
      <c r="DS28" s="147" t="e">
        <f t="shared" si="221"/>
        <v>#DIV/0!</v>
      </c>
      <c r="DT28" s="147" t="e">
        <f t="shared" si="221"/>
        <v>#DIV/0!</v>
      </c>
      <c r="DU28" s="147" t="e">
        <f t="shared" si="221"/>
        <v>#DIV/0!</v>
      </c>
      <c r="DV28" s="147" t="e">
        <f t="shared" si="221"/>
        <v>#DIV/0!</v>
      </c>
      <c r="DW28" s="147" t="e">
        <f t="shared" si="221"/>
        <v>#DIV/0!</v>
      </c>
      <c r="DX28" s="147" t="e">
        <f t="shared" si="221"/>
        <v>#DIV/0!</v>
      </c>
      <c r="DY28" s="147" t="e">
        <f t="shared" si="221"/>
        <v>#DIV/0!</v>
      </c>
      <c r="DZ28" s="147" t="e">
        <f t="shared" si="221"/>
        <v>#DIV/0!</v>
      </c>
      <c r="EA28" s="147" t="e">
        <f t="shared" si="221"/>
        <v>#DIV/0!</v>
      </c>
      <c r="EB28" s="147" t="e">
        <f t="shared" si="221"/>
        <v>#DIV/0!</v>
      </c>
      <c r="EC28" s="147" t="e">
        <f t="shared" ref="EC28:FC28" si="222">EC27/$G$22</f>
        <v>#DIV/0!</v>
      </c>
      <c r="ED28" s="147" t="e">
        <f t="shared" si="222"/>
        <v>#DIV/0!</v>
      </c>
      <c r="EE28" s="147" t="e">
        <f t="shared" si="222"/>
        <v>#DIV/0!</v>
      </c>
      <c r="EF28" s="147" t="e">
        <f t="shared" si="222"/>
        <v>#DIV/0!</v>
      </c>
      <c r="EG28" s="147" t="e">
        <f t="shared" si="222"/>
        <v>#DIV/0!</v>
      </c>
      <c r="EH28" s="147" t="e">
        <f t="shared" si="222"/>
        <v>#DIV/0!</v>
      </c>
      <c r="EI28" s="147" t="e">
        <f t="shared" si="222"/>
        <v>#DIV/0!</v>
      </c>
      <c r="EJ28" s="147" t="e">
        <f t="shared" si="222"/>
        <v>#DIV/0!</v>
      </c>
      <c r="EK28" s="147" t="e">
        <f t="shared" si="222"/>
        <v>#DIV/0!</v>
      </c>
      <c r="EL28" s="147" t="e">
        <f t="shared" si="222"/>
        <v>#DIV/0!</v>
      </c>
      <c r="EM28" s="147" t="e">
        <f t="shared" si="222"/>
        <v>#DIV/0!</v>
      </c>
      <c r="EN28" s="147" t="e">
        <f t="shared" si="222"/>
        <v>#DIV/0!</v>
      </c>
      <c r="EO28" s="147" t="e">
        <f t="shared" si="222"/>
        <v>#DIV/0!</v>
      </c>
      <c r="EP28" s="147" t="e">
        <f t="shared" si="222"/>
        <v>#DIV/0!</v>
      </c>
      <c r="EQ28" s="147" t="e">
        <f t="shared" si="222"/>
        <v>#DIV/0!</v>
      </c>
      <c r="ER28" s="147" t="e">
        <f t="shared" si="222"/>
        <v>#DIV/0!</v>
      </c>
      <c r="ES28" s="147" t="e">
        <f t="shared" si="222"/>
        <v>#DIV/0!</v>
      </c>
      <c r="ET28" s="147" t="e">
        <f t="shared" si="222"/>
        <v>#DIV/0!</v>
      </c>
      <c r="EU28" s="147" t="e">
        <f t="shared" si="222"/>
        <v>#DIV/0!</v>
      </c>
      <c r="EV28" s="147" t="e">
        <f t="shared" si="222"/>
        <v>#DIV/0!</v>
      </c>
      <c r="EW28" s="147" t="e">
        <f t="shared" si="222"/>
        <v>#DIV/0!</v>
      </c>
      <c r="EX28" s="147" t="e">
        <f t="shared" si="222"/>
        <v>#DIV/0!</v>
      </c>
      <c r="EY28" s="5"/>
      <c r="EZ28" s="5"/>
      <c r="FA28" s="709"/>
      <c r="FB28" s="147">
        <f t="shared" si="222"/>
        <v>24.01025891548608</v>
      </c>
      <c r="FC28" s="147">
        <f t="shared" si="222"/>
        <v>20.008549096238401</v>
      </c>
    </row>
    <row r="29" spans="2:159" x14ac:dyDescent="0.45">
      <c r="B29" s="137"/>
      <c r="C29" s="140" t="s">
        <v>5</v>
      </c>
      <c r="D29" s="148">
        <f>MROUND(D28,1)</f>
        <v>24</v>
      </c>
      <c r="E29" s="148">
        <f t="shared" ref="E29:BP29" si="223">MROUND(E28,1)</f>
        <v>23</v>
      </c>
      <c r="F29" s="148">
        <f t="shared" ref="F29" si="224">MROUND(F28,1)</f>
        <v>22</v>
      </c>
      <c r="G29" s="148">
        <f t="shared" si="223"/>
        <v>21</v>
      </c>
      <c r="H29" s="148">
        <f t="shared" si="223"/>
        <v>20</v>
      </c>
      <c r="I29" s="148">
        <f t="shared" si="223"/>
        <v>19</v>
      </c>
      <c r="J29" s="148">
        <f t="shared" si="223"/>
        <v>18</v>
      </c>
      <c r="K29" s="148">
        <f t="shared" si="223"/>
        <v>18</v>
      </c>
      <c r="L29" s="148">
        <f t="shared" si="223"/>
        <v>17</v>
      </c>
      <c r="M29" s="148">
        <f t="shared" si="223"/>
        <v>17</v>
      </c>
      <c r="N29" s="148">
        <f t="shared" si="223"/>
        <v>16</v>
      </c>
      <c r="O29" s="148">
        <f t="shared" si="223"/>
        <v>15</v>
      </c>
      <c r="P29" s="148">
        <f t="shared" si="223"/>
        <v>15</v>
      </c>
      <c r="Q29" s="148">
        <f t="shared" si="223"/>
        <v>15</v>
      </c>
      <c r="R29" s="148">
        <f t="shared" si="223"/>
        <v>14</v>
      </c>
      <c r="S29" s="148">
        <f t="shared" si="223"/>
        <v>14</v>
      </c>
      <c r="T29" s="148">
        <f t="shared" si="223"/>
        <v>13</v>
      </c>
      <c r="U29" s="148">
        <f t="shared" si="223"/>
        <v>13</v>
      </c>
      <c r="V29" s="148">
        <f t="shared" si="223"/>
        <v>13</v>
      </c>
      <c r="W29" s="148">
        <f t="shared" si="223"/>
        <v>12</v>
      </c>
      <c r="X29" s="148">
        <f t="shared" si="223"/>
        <v>12</v>
      </c>
      <c r="Y29" s="148">
        <f t="shared" si="223"/>
        <v>12</v>
      </c>
      <c r="Z29" s="148">
        <f t="shared" si="223"/>
        <v>11</v>
      </c>
      <c r="AA29" s="148">
        <f t="shared" si="223"/>
        <v>11</v>
      </c>
      <c r="AB29" s="148">
        <f t="shared" si="223"/>
        <v>11</v>
      </c>
      <c r="AC29" s="148">
        <f t="shared" si="223"/>
        <v>11</v>
      </c>
      <c r="AD29" s="148">
        <f t="shared" si="223"/>
        <v>10</v>
      </c>
      <c r="AE29" s="148">
        <f t="shared" si="223"/>
        <v>10</v>
      </c>
      <c r="AF29" s="148">
        <f t="shared" si="223"/>
        <v>10</v>
      </c>
      <c r="AG29" s="148" t="e">
        <f t="shared" si="223"/>
        <v>#DIV/0!</v>
      </c>
      <c r="AH29" s="148" t="e">
        <f t="shared" si="223"/>
        <v>#DIV/0!</v>
      </c>
      <c r="AI29" s="148" t="e">
        <f t="shared" si="223"/>
        <v>#DIV/0!</v>
      </c>
      <c r="AJ29" s="148" t="e">
        <f t="shared" si="223"/>
        <v>#DIV/0!</v>
      </c>
      <c r="AK29" s="148" t="e">
        <f t="shared" si="223"/>
        <v>#DIV/0!</v>
      </c>
      <c r="AL29" s="148" t="e">
        <f t="shared" si="223"/>
        <v>#DIV/0!</v>
      </c>
      <c r="AM29" s="148" t="e">
        <f t="shared" si="223"/>
        <v>#DIV/0!</v>
      </c>
      <c r="AN29" s="148" t="e">
        <f t="shared" si="223"/>
        <v>#DIV/0!</v>
      </c>
      <c r="AO29" s="148" t="e">
        <f t="shared" si="223"/>
        <v>#DIV/0!</v>
      </c>
      <c r="AP29" s="148" t="e">
        <f t="shared" si="223"/>
        <v>#DIV/0!</v>
      </c>
      <c r="AQ29" s="148" t="e">
        <f t="shared" si="223"/>
        <v>#DIV/0!</v>
      </c>
      <c r="AR29" s="148" t="e">
        <f t="shared" si="223"/>
        <v>#DIV/0!</v>
      </c>
      <c r="AS29" s="148" t="e">
        <f t="shared" si="223"/>
        <v>#DIV/0!</v>
      </c>
      <c r="AT29" s="148" t="e">
        <f t="shared" si="223"/>
        <v>#DIV/0!</v>
      </c>
      <c r="AU29" s="148" t="e">
        <f t="shared" si="223"/>
        <v>#DIV/0!</v>
      </c>
      <c r="AV29" s="148" t="e">
        <f t="shared" si="223"/>
        <v>#DIV/0!</v>
      </c>
      <c r="AW29" s="148" t="e">
        <f t="shared" si="223"/>
        <v>#DIV/0!</v>
      </c>
      <c r="AX29" s="148" t="e">
        <f t="shared" si="223"/>
        <v>#DIV/0!</v>
      </c>
      <c r="AY29" s="148" t="e">
        <f t="shared" si="223"/>
        <v>#DIV/0!</v>
      </c>
      <c r="AZ29" s="148" t="e">
        <f t="shared" si="223"/>
        <v>#DIV/0!</v>
      </c>
      <c r="BA29" s="148" t="e">
        <f t="shared" si="223"/>
        <v>#DIV/0!</v>
      </c>
      <c r="BB29" s="148" t="e">
        <f t="shared" si="223"/>
        <v>#DIV/0!</v>
      </c>
      <c r="BC29" s="148" t="e">
        <f t="shared" si="223"/>
        <v>#DIV/0!</v>
      </c>
      <c r="BD29" s="148" t="e">
        <f t="shared" si="223"/>
        <v>#DIV/0!</v>
      </c>
      <c r="BE29" s="148" t="e">
        <f t="shared" si="223"/>
        <v>#DIV/0!</v>
      </c>
      <c r="BF29" s="148" t="e">
        <f t="shared" si="223"/>
        <v>#DIV/0!</v>
      </c>
      <c r="BG29" s="148" t="e">
        <f t="shared" si="223"/>
        <v>#DIV/0!</v>
      </c>
      <c r="BH29" s="148" t="e">
        <f t="shared" si="223"/>
        <v>#DIV/0!</v>
      </c>
      <c r="BI29" s="148" t="e">
        <f t="shared" si="223"/>
        <v>#DIV/0!</v>
      </c>
      <c r="BJ29" s="148" t="e">
        <f t="shared" si="223"/>
        <v>#DIV/0!</v>
      </c>
      <c r="BK29" s="148" t="e">
        <f t="shared" si="223"/>
        <v>#DIV/0!</v>
      </c>
      <c r="BL29" s="148" t="e">
        <f t="shared" si="223"/>
        <v>#DIV/0!</v>
      </c>
      <c r="BM29" s="148" t="e">
        <f t="shared" si="223"/>
        <v>#DIV/0!</v>
      </c>
      <c r="BN29" s="148" t="e">
        <f t="shared" si="223"/>
        <v>#DIV/0!</v>
      </c>
      <c r="BO29" s="148" t="e">
        <f t="shared" si="223"/>
        <v>#DIV/0!</v>
      </c>
      <c r="BP29" s="148" t="e">
        <f t="shared" si="223"/>
        <v>#DIV/0!</v>
      </c>
      <c r="BQ29" s="148" t="e">
        <f t="shared" ref="BQ29:EB29" si="225">MROUND(BQ28,1)</f>
        <v>#DIV/0!</v>
      </c>
      <c r="BR29" s="148" t="e">
        <f t="shared" si="225"/>
        <v>#DIV/0!</v>
      </c>
      <c r="BS29" s="148" t="e">
        <f t="shared" si="225"/>
        <v>#DIV/0!</v>
      </c>
      <c r="BT29" s="148" t="e">
        <f t="shared" si="225"/>
        <v>#DIV/0!</v>
      </c>
      <c r="BU29" s="148" t="e">
        <f t="shared" si="225"/>
        <v>#DIV/0!</v>
      </c>
      <c r="BV29" s="148" t="e">
        <f t="shared" si="225"/>
        <v>#DIV/0!</v>
      </c>
      <c r="BW29" s="148" t="e">
        <f t="shared" si="225"/>
        <v>#DIV/0!</v>
      </c>
      <c r="BX29" s="148" t="e">
        <f t="shared" si="225"/>
        <v>#DIV/0!</v>
      </c>
      <c r="BY29" s="148" t="e">
        <f t="shared" si="225"/>
        <v>#DIV/0!</v>
      </c>
      <c r="BZ29" s="148" t="e">
        <f t="shared" si="225"/>
        <v>#DIV/0!</v>
      </c>
      <c r="CA29" s="148" t="e">
        <f t="shared" si="225"/>
        <v>#DIV/0!</v>
      </c>
      <c r="CB29" s="148" t="e">
        <f t="shared" si="225"/>
        <v>#DIV/0!</v>
      </c>
      <c r="CC29" s="148" t="e">
        <f t="shared" si="225"/>
        <v>#DIV/0!</v>
      </c>
      <c r="CD29" s="148" t="e">
        <f t="shared" si="225"/>
        <v>#DIV/0!</v>
      </c>
      <c r="CE29" s="148" t="e">
        <f t="shared" si="225"/>
        <v>#DIV/0!</v>
      </c>
      <c r="CF29" s="148" t="e">
        <f t="shared" si="225"/>
        <v>#DIV/0!</v>
      </c>
      <c r="CG29" s="148" t="e">
        <f t="shared" si="225"/>
        <v>#DIV/0!</v>
      </c>
      <c r="CH29" s="148" t="e">
        <f t="shared" si="225"/>
        <v>#DIV/0!</v>
      </c>
      <c r="CI29" s="148" t="e">
        <f t="shared" si="225"/>
        <v>#DIV/0!</v>
      </c>
      <c r="CJ29" s="148" t="e">
        <f t="shared" si="225"/>
        <v>#DIV/0!</v>
      </c>
      <c r="CK29" s="148" t="e">
        <f t="shared" si="225"/>
        <v>#DIV/0!</v>
      </c>
      <c r="CL29" s="148" t="e">
        <f t="shared" si="225"/>
        <v>#DIV/0!</v>
      </c>
      <c r="CM29" s="148" t="e">
        <f t="shared" si="225"/>
        <v>#DIV/0!</v>
      </c>
      <c r="CN29" s="148" t="e">
        <f t="shared" si="225"/>
        <v>#DIV/0!</v>
      </c>
      <c r="CO29" s="148" t="e">
        <f t="shared" si="225"/>
        <v>#DIV/0!</v>
      </c>
      <c r="CP29" s="148" t="e">
        <f t="shared" si="225"/>
        <v>#DIV/0!</v>
      </c>
      <c r="CQ29" s="148" t="e">
        <f t="shared" si="225"/>
        <v>#DIV/0!</v>
      </c>
      <c r="CR29" s="148" t="e">
        <f t="shared" si="225"/>
        <v>#DIV/0!</v>
      </c>
      <c r="CS29" s="148" t="e">
        <f t="shared" si="225"/>
        <v>#DIV/0!</v>
      </c>
      <c r="CT29" s="148" t="e">
        <f t="shared" si="225"/>
        <v>#DIV/0!</v>
      </c>
      <c r="CU29" s="148" t="e">
        <f t="shared" si="225"/>
        <v>#DIV/0!</v>
      </c>
      <c r="CV29" s="148" t="e">
        <f t="shared" si="225"/>
        <v>#DIV/0!</v>
      </c>
      <c r="CW29" s="148" t="e">
        <f t="shared" si="225"/>
        <v>#DIV/0!</v>
      </c>
      <c r="CX29" s="148" t="e">
        <f t="shared" si="225"/>
        <v>#DIV/0!</v>
      </c>
      <c r="CY29" s="148" t="e">
        <f t="shared" si="225"/>
        <v>#DIV/0!</v>
      </c>
      <c r="CZ29" s="148" t="e">
        <f t="shared" si="225"/>
        <v>#DIV/0!</v>
      </c>
      <c r="DA29" s="148" t="e">
        <f t="shared" si="225"/>
        <v>#DIV/0!</v>
      </c>
      <c r="DB29" s="148" t="e">
        <f t="shared" si="225"/>
        <v>#DIV/0!</v>
      </c>
      <c r="DC29" s="148" t="e">
        <f t="shared" si="225"/>
        <v>#DIV/0!</v>
      </c>
      <c r="DD29" s="148" t="e">
        <f t="shared" si="225"/>
        <v>#DIV/0!</v>
      </c>
      <c r="DE29" s="148" t="e">
        <f t="shared" si="225"/>
        <v>#DIV/0!</v>
      </c>
      <c r="DF29" s="148" t="e">
        <f t="shared" si="225"/>
        <v>#DIV/0!</v>
      </c>
      <c r="DG29" s="148" t="e">
        <f t="shared" si="225"/>
        <v>#DIV/0!</v>
      </c>
      <c r="DH29" s="148" t="e">
        <f t="shared" si="225"/>
        <v>#DIV/0!</v>
      </c>
      <c r="DI29" s="148" t="e">
        <f t="shared" si="225"/>
        <v>#DIV/0!</v>
      </c>
      <c r="DJ29" s="148" t="e">
        <f t="shared" si="225"/>
        <v>#DIV/0!</v>
      </c>
      <c r="DK29" s="148" t="e">
        <f t="shared" si="225"/>
        <v>#DIV/0!</v>
      </c>
      <c r="DL29" s="148" t="e">
        <f t="shared" si="225"/>
        <v>#DIV/0!</v>
      </c>
      <c r="DM29" s="148" t="e">
        <f t="shared" si="225"/>
        <v>#DIV/0!</v>
      </c>
      <c r="DN29" s="148" t="e">
        <f t="shared" si="225"/>
        <v>#DIV/0!</v>
      </c>
      <c r="DO29" s="148" t="e">
        <f t="shared" si="225"/>
        <v>#DIV/0!</v>
      </c>
      <c r="DP29" s="148" t="e">
        <f t="shared" si="225"/>
        <v>#DIV/0!</v>
      </c>
      <c r="DQ29" s="148" t="e">
        <f t="shared" si="225"/>
        <v>#DIV/0!</v>
      </c>
      <c r="DR29" s="148" t="e">
        <f t="shared" si="225"/>
        <v>#DIV/0!</v>
      </c>
      <c r="DS29" s="148" t="e">
        <f t="shared" si="225"/>
        <v>#DIV/0!</v>
      </c>
      <c r="DT29" s="148" t="e">
        <f t="shared" si="225"/>
        <v>#DIV/0!</v>
      </c>
      <c r="DU29" s="148" t="e">
        <f t="shared" si="225"/>
        <v>#DIV/0!</v>
      </c>
      <c r="DV29" s="148" t="e">
        <f t="shared" si="225"/>
        <v>#DIV/0!</v>
      </c>
      <c r="DW29" s="148" t="e">
        <f t="shared" si="225"/>
        <v>#DIV/0!</v>
      </c>
      <c r="DX29" s="148" t="e">
        <f t="shared" si="225"/>
        <v>#DIV/0!</v>
      </c>
      <c r="DY29" s="148" t="e">
        <f t="shared" si="225"/>
        <v>#DIV/0!</v>
      </c>
      <c r="DZ29" s="148" t="e">
        <f t="shared" si="225"/>
        <v>#DIV/0!</v>
      </c>
      <c r="EA29" s="148" t="e">
        <f t="shared" si="225"/>
        <v>#DIV/0!</v>
      </c>
      <c r="EB29" s="148" t="e">
        <f t="shared" si="225"/>
        <v>#DIV/0!</v>
      </c>
      <c r="EC29" s="148" t="e">
        <f t="shared" ref="EC29:EL29" si="226">MROUND(EC28,1)</f>
        <v>#DIV/0!</v>
      </c>
      <c r="ED29" s="148" t="e">
        <f t="shared" si="226"/>
        <v>#DIV/0!</v>
      </c>
      <c r="EE29" s="148" t="e">
        <f t="shared" si="226"/>
        <v>#DIV/0!</v>
      </c>
      <c r="EF29" s="148" t="e">
        <f t="shared" si="226"/>
        <v>#DIV/0!</v>
      </c>
      <c r="EG29" s="148" t="e">
        <f t="shared" si="226"/>
        <v>#DIV/0!</v>
      </c>
      <c r="EH29" s="148" t="e">
        <f t="shared" si="226"/>
        <v>#DIV/0!</v>
      </c>
      <c r="EI29" s="148" t="e">
        <f t="shared" si="226"/>
        <v>#DIV/0!</v>
      </c>
      <c r="EJ29" s="148" t="e">
        <f t="shared" si="226"/>
        <v>#DIV/0!</v>
      </c>
      <c r="EK29" s="148" t="e">
        <f t="shared" si="226"/>
        <v>#DIV/0!</v>
      </c>
      <c r="EL29" s="148" t="e">
        <f t="shared" si="226"/>
        <v>#DIV/0!</v>
      </c>
      <c r="EM29" s="148" t="e">
        <f>MROUND(EM28,1)</f>
        <v>#DIV/0!</v>
      </c>
      <c r="EN29" s="148" t="e">
        <f t="shared" ref="EN29:FC29" si="227">MROUND(EN28,1)</f>
        <v>#DIV/0!</v>
      </c>
      <c r="EO29" s="148" t="e">
        <f t="shared" si="227"/>
        <v>#DIV/0!</v>
      </c>
      <c r="EP29" s="148" t="e">
        <f t="shared" si="227"/>
        <v>#DIV/0!</v>
      </c>
      <c r="EQ29" s="148" t="e">
        <f t="shared" si="227"/>
        <v>#DIV/0!</v>
      </c>
      <c r="ER29" s="148" t="e">
        <f t="shared" si="227"/>
        <v>#DIV/0!</v>
      </c>
      <c r="ES29" s="148" t="e">
        <f t="shared" si="227"/>
        <v>#DIV/0!</v>
      </c>
      <c r="ET29" s="148" t="e">
        <f t="shared" si="227"/>
        <v>#DIV/0!</v>
      </c>
      <c r="EU29" s="148" t="e">
        <f t="shared" si="227"/>
        <v>#DIV/0!</v>
      </c>
      <c r="EV29" s="148" t="e">
        <f t="shared" si="227"/>
        <v>#DIV/0!</v>
      </c>
      <c r="EW29" s="148" t="e">
        <f t="shared" si="227"/>
        <v>#DIV/0!</v>
      </c>
      <c r="EX29" s="148" t="e">
        <f t="shared" si="227"/>
        <v>#DIV/0!</v>
      </c>
      <c r="EY29" s="5"/>
      <c r="EZ29" s="5"/>
      <c r="FA29" s="709"/>
      <c r="FB29" s="148">
        <f t="shared" si="227"/>
        <v>24</v>
      </c>
      <c r="FC29" s="148">
        <f t="shared" si="227"/>
        <v>20</v>
      </c>
    </row>
    <row r="30" spans="2:159" x14ac:dyDescent="0.45">
      <c r="B30" s="135"/>
      <c r="C30" s="136" t="s">
        <v>5</v>
      </c>
      <c r="D30" s="149">
        <f>D29-1</f>
        <v>23</v>
      </c>
      <c r="E30" s="149">
        <f>E29-1</f>
        <v>22</v>
      </c>
      <c r="F30" s="149">
        <f>F29-1</f>
        <v>21</v>
      </c>
      <c r="G30" s="149">
        <f t="shared" ref="G30:BQ30" si="228">G29-1</f>
        <v>20</v>
      </c>
      <c r="H30" s="149">
        <f t="shared" si="228"/>
        <v>19</v>
      </c>
      <c r="I30" s="149">
        <f t="shared" si="228"/>
        <v>18</v>
      </c>
      <c r="J30" s="149">
        <f t="shared" si="228"/>
        <v>17</v>
      </c>
      <c r="K30" s="149">
        <f t="shared" si="228"/>
        <v>17</v>
      </c>
      <c r="L30" s="149">
        <f t="shared" si="228"/>
        <v>16</v>
      </c>
      <c r="M30" s="149">
        <f t="shared" si="228"/>
        <v>16</v>
      </c>
      <c r="N30" s="149">
        <f t="shared" si="228"/>
        <v>15</v>
      </c>
      <c r="O30" s="149">
        <f t="shared" si="228"/>
        <v>14</v>
      </c>
      <c r="P30" s="149">
        <f t="shared" si="228"/>
        <v>14</v>
      </c>
      <c r="Q30" s="149">
        <f t="shared" si="228"/>
        <v>14</v>
      </c>
      <c r="R30" s="149">
        <f t="shared" si="228"/>
        <v>13</v>
      </c>
      <c r="S30" s="149">
        <f t="shared" si="228"/>
        <v>13</v>
      </c>
      <c r="T30" s="149">
        <f t="shared" si="228"/>
        <v>12</v>
      </c>
      <c r="U30" s="149">
        <f t="shared" si="228"/>
        <v>12</v>
      </c>
      <c r="V30" s="149">
        <f t="shared" si="228"/>
        <v>12</v>
      </c>
      <c r="W30" s="149">
        <f t="shared" si="228"/>
        <v>11</v>
      </c>
      <c r="X30" s="149">
        <f t="shared" si="228"/>
        <v>11</v>
      </c>
      <c r="Y30" s="149">
        <f t="shared" si="228"/>
        <v>11</v>
      </c>
      <c r="Z30" s="149">
        <f t="shared" si="228"/>
        <v>10</v>
      </c>
      <c r="AA30" s="149">
        <f t="shared" si="228"/>
        <v>10</v>
      </c>
      <c r="AB30" s="149">
        <f t="shared" si="228"/>
        <v>10</v>
      </c>
      <c r="AC30" s="149">
        <f t="shared" si="228"/>
        <v>10</v>
      </c>
      <c r="AD30" s="149">
        <f t="shared" si="228"/>
        <v>9</v>
      </c>
      <c r="AE30" s="149">
        <f t="shared" si="228"/>
        <v>9</v>
      </c>
      <c r="AF30" s="149">
        <f t="shared" si="228"/>
        <v>9</v>
      </c>
      <c r="AG30" s="149" t="e">
        <f t="shared" si="228"/>
        <v>#DIV/0!</v>
      </c>
      <c r="AH30" s="149" t="e">
        <f t="shared" si="228"/>
        <v>#DIV/0!</v>
      </c>
      <c r="AI30" s="149" t="e">
        <f t="shared" si="228"/>
        <v>#DIV/0!</v>
      </c>
      <c r="AJ30" s="149" t="e">
        <f t="shared" si="228"/>
        <v>#DIV/0!</v>
      </c>
      <c r="AK30" s="149" t="e">
        <f t="shared" si="228"/>
        <v>#DIV/0!</v>
      </c>
      <c r="AL30" s="149" t="e">
        <f t="shared" si="228"/>
        <v>#DIV/0!</v>
      </c>
      <c r="AM30" s="149" t="e">
        <f t="shared" si="228"/>
        <v>#DIV/0!</v>
      </c>
      <c r="AN30" s="149" t="e">
        <f t="shared" si="228"/>
        <v>#DIV/0!</v>
      </c>
      <c r="AO30" s="149" t="e">
        <f t="shared" si="228"/>
        <v>#DIV/0!</v>
      </c>
      <c r="AP30" s="149" t="e">
        <f t="shared" si="228"/>
        <v>#DIV/0!</v>
      </c>
      <c r="AQ30" s="149" t="e">
        <f t="shared" si="228"/>
        <v>#DIV/0!</v>
      </c>
      <c r="AR30" s="149" t="e">
        <f t="shared" si="228"/>
        <v>#DIV/0!</v>
      </c>
      <c r="AS30" s="149" t="e">
        <f t="shared" si="228"/>
        <v>#DIV/0!</v>
      </c>
      <c r="AT30" s="149" t="e">
        <f t="shared" si="228"/>
        <v>#DIV/0!</v>
      </c>
      <c r="AU30" s="149" t="e">
        <f t="shared" si="228"/>
        <v>#DIV/0!</v>
      </c>
      <c r="AV30" s="149" t="e">
        <f t="shared" si="228"/>
        <v>#DIV/0!</v>
      </c>
      <c r="AW30" s="149" t="e">
        <f t="shared" si="228"/>
        <v>#DIV/0!</v>
      </c>
      <c r="AX30" s="149" t="e">
        <f t="shared" si="228"/>
        <v>#DIV/0!</v>
      </c>
      <c r="AY30" s="149" t="e">
        <f t="shared" si="228"/>
        <v>#DIV/0!</v>
      </c>
      <c r="AZ30" s="149" t="e">
        <f t="shared" si="228"/>
        <v>#DIV/0!</v>
      </c>
      <c r="BA30" s="149" t="e">
        <f t="shared" si="228"/>
        <v>#DIV/0!</v>
      </c>
      <c r="BB30" s="149" t="e">
        <f t="shared" si="228"/>
        <v>#DIV/0!</v>
      </c>
      <c r="BC30" s="149" t="e">
        <f t="shared" si="228"/>
        <v>#DIV/0!</v>
      </c>
      <c r="BD30" s="149" t="e">
        <f t="shared" si="228"/>
        <v>#DIV/0!</v>
      </c>
      <c r="BE30" s="149" t="e">
        <f t="shared" si="228"/>
        <v>#DIV/0!</v>
      </c>
      <c r="BF30" s="149" t="e">
        <f t="shared" si="228"/>
        <v>#DIV/0!</v>
      </c>
      <c r="BG30" s="149" t="e">
        <f t="shared" si="228"/>
        <v>#DIV/0!</v>
      </c>
      <c r="BH30" s="149" t="e">
        <f t="shared" si="228"/>
        <v>#DIV/0!</v>
      </c>
      <c r="BI30" s="149" t="e">
        <f t="shared" si="228"/>
        <v>#DIV/0!</v>
      </c>
      <c r="BJ30" s="149" t="e">
        <f t="shared" si="228"/>
        <v>#DIV/0!</v>
      </c>
      <c r="BK30" s="149" t="e">
        <f t="shared" si="228"/>
        <v>#DIV/0!</v>
      </c>
      <c r="BL30" s="149" t="e">
        <f t="shared" si="228"/>
        <v>#DIV/0!</v>
      </c>
      <c r="BM30" s="149" t="e">
        <f t="shared" si="228"/>
        <v>#DIV/0!</v>
      </c>
      <c r="BN30" s="149" t="e">
        <f t="shared" si="228"/>
        <v>#DIV/0!</v>
      </c>
      <c r="BO30" s="149" t="e">
        <f t="shared" si="228"/>
        <v>#DIV/0!</v>
      </c>
      <c r="BP30" s="149" t="e">
        <f t="shared" si="228"/>
        <v>#DIV/0!</v>
      </c>
      <c r="BQ30" s="149" t="e">
        <f t="shared" si="228"/>
        <v>#DIV/0!</v>
      </c>
      <c r="BR30" s="149" t="e">
        <f t="shared" ref="BR30:EC30" si="229">BR29-1</f>
        <v>#DIV/0!</v>
      </c>
      <c r="BS30" s="149" t="e">
        <f t="shared" si="229"/>
        <v>#DIV/0!</v>
      </c>
      <c r="BT30" s="149" t="e">
        <f t="shared" si="229"/>
        <v>#DIV/0!</v>
      </c>
      <c r="BU30" s="149" t="e">
        <f t="shared" si="229"/>
        <v>#DIV/0!</v>
      </c>
      <c r="BV30" s="149" t="e">
        <f t="shared" si="229"/>
        <v>#DIV/0!</v>
      </c>
      <c r="BW30" s="149" t="e">
        <f t="shared" si="229"/>
        <v>#DIV/0!</v>
      </c>
      <c r="BX30" s="149" t="e">
        <f t="shared" si="229"/>
        <v>#DIV/0!</v>
      </c>
      <c r="BY30" s="149" t="e">
        <f t="shared" si="229"/>
        <v>#DIV/0!</v>
      </c>
      <c r="BZ30" s="149" t="e">
        <f t="shared" si="229"/>
        <v>#DIV/0!</v>
      </c>
      <c r="CA30" s="149" t="e">
        <f t="shared" si="229"/>
        <v>#DIV/0!</v>
      </c>
      <c r="CB30" s="149" t="e">
        <f t="shared" si="229"/>
        <v>#DIV/0!</v>
      </c>
      <c r="CC30" s="149" t="e">
        <f t="shared" si="229"/>
        <v>#DIV/0!</v>
      </c>
      <c r="CD30" s="149" t="e">
        <f t="shared" si="229"/>
        <v>#DIV/0!</v>
      </c>
      <c r="CE30" s="149" t="e">
        <f t="shared" si="229"/>
        <v>#DIV/0!</v>
      </c>
      <c r="CF30" s="149" t="e">
        <f t="shared" si="229"/>
        <v>#DIV/0!</v>
      </c>
      <c r="CG30" s="149" t="e">
        <f t="shared" si="229"/>
        <v>#DIV/0!</v>
      </c>
      <c r="CH30" s="149" t="e">
        <f t="shared" si="229"/>
        <v>#DIV/0!</v>
      </c>
      <c r="CI30" s="149" t="e">
        <f t="shared" si="229"/>
        <v>#DIV/0!</v>
      </c>
      <c r="CJ30" s="149" t="e">
        <f t="shared" si="229"/>
        <v>#DIV/0!</v>
      </c>
      <c r="CK30" s="149" t="e">
        <f t="shared" si="229"/>
        <v>#DIV/0!</v>
      </c>
      <c r="CL30" s="149" t="e">
        <f t="shared" si="229"/>
        <v>#DIV/0!</v>
      </c>
      <c r="CM30" s="149" t="e">
        <f t="shared" si="229"/>
        <v>#DIV/0!</v>
      </c>
      <c r="CN30" s="149" t="e">
        <f t="shared" si="229"/>
        <v>#DIV/0!</v>
      </c>
      <c r="CO30" s="149" t="e">
        <f t="shared" si="229"/>
        <v>#DIV/0!</v>
      </c>
      <c r="CP30" s="149" t="e">
        <f t="shared" si="229"/>
        <v>#DIV/0!</v>
      </c>
      <c r="CQ30" s="149" t="e">
        <f t="shared" si="229"/>
        <v>#DIV/0!</v>
      </c>
      <c r="CR30" s="149" t="e">
        <f t="shared" si="229"/>
        <v>#DIV/0!</v>
      </c>
      <c r="CS30" s="149" t="e">
        <f t="shared" si="229"/>
        <v>#DIV/0!</v>
      </c>
      <c r="CT30" s="149" t="e">
        <f t="shared" si="229"/>
        <v>#DIV/0!</v>
      </c>
      <c r="CU30" s="149" t="e">
        <f t="shared" si="229"/>
        <v>#DIV/0!</v>
      </c>
      <c r="CV30" s="149" t="e">
        <f t="shared" si="229"/>
        <v>#DIV/0!</v>
      </c>
      <c r="CW30" s="149" t="e">
        <f t="shared" si="229"/>
        <v>#DIV/0!</v>
      </c>
      <c r="CX30" s="149" t="e">
        <f t="shared" si="229"/>
        <v>#DIV/0!</v>
      </c>
      <c r="CY30" s="149" t="e">
        <f t="shared" si="229"/>
        <v>#DIV/0!</v>
      </c>
      <c r="CZ30" s="149" t="e">
        <f t="shared" si="229"/>
        <v>#DIV/0!</v>
      </c>
      <c r="DA30" s="149" t="e">
        <f t="shared" si="229"/>
        <v>#DIV/0!</v>
      </c>
      <c r="DB30" s="149" t="e">
        <f t="shared" si="229"/>
        <v>#DIV/0!</v>
      </c>
      <c r="DC30" s="149" t="e">
        <f t="shared" si="229"/>
        <v>#DIV/0!</v>
      </c>
      <c r="DD30" s="149" t="e">
        <f t="shared" si="229"/>
        <v>#DIV/0!</v>
      </c>
      <c r="DE30" s="149" t="e">
        <f t="shared" si="229"/>
        <v>#DIV/0!</v>
      </c>
      <c r="DF30" s="149" t="e">
        <f t="shared" si="229"/>
        <v>#DIV/0!</v>
      </c>
      <c r="DG30" s="149" t="e">
        <f t="shared" si="229"/>
        <v>#DIV/0!</v>
      </c>
      <c r="DH30" s="149" t="e">
        <f t="shared" si="229"/>
        <v>#DIV/0!</v>
      </c>
      <c r="DI30" s="149" t="e">
        <f t="shared" si="229"/>
        <v>#DIV/0!</v>
      </c>
      <c r="DJ30" s="149" t="e">
        <f t="shared" si="229"/>
        <v>#DIV/0!</v>
      </c>
      <c r="DK30" s="149" t="e">
        <f t="shared" si="229"/>
        <v>#DIV/0!</v>
      </c>
      <c r="DL30" s="149" t="e">
        <f t="shared" si="229"/>
        <v>#DIV/0!</v>
      </c>
      <c r="DM30" s="149" t="e">
        <f t="shared" si="229"/>
        <v>#DIV/0!</v>
      </c>
      <c r="DN30" s="149" t="e">
        <f t="shared" si="229"/>
        <v>#DIV/0!</v>
      </c>
      <c r="DO30" s="149" t="e">
        <f t="shared" si="229"/>
        <v>#DIV/0!</v>
      </c>
      <c r="DP30" s="149" t="e">
        <f t="shared" si="229"/>
        <v>#DIV/0!</v>
      </c>
      <c r="DQ30" s="149" t="e">
        <f t="shared" si="229"/>
        <v>#DIV/0!</v>
      </c>
      <c r="DR30" s="149" t="e">
        <f t="shared" si="229"/>
        <v>#DIV/0!</v>
      </c>
      <c r="DS30" s="149" t="e">
        <f t="shared" si="229"/>
        <v>#DIV/0!</v>
      </c>
      <c r="DT30" s="149" t="e">
        <f t="shared" si="229"/>
        <v>#DIV/0!</v>
      </c>
      <c r="DU30" s="149" t="e">
        <f t="shared" si="229"/>
        <v>#DIV/0!</v>
      </c>
      <c r="DV30" s="149" t="e">
        <f t="shared" si="229"/>
        <v>#DIV/0!</v>
      </c>
      <c r="DW30" s="149" t="e">
        <f t="shared" si="229"/>
        <v>#DIV/0!</v>
      </c>
      <c r="DX30" s="149" t="e">
        <f t="shared" si="229"/>
        <v>#DIV/0!</v>
      </c>
      <c r="DY30" s="149" t="e">
        <f t="shared" si="229"/>
        <v>#DIV/0!</v>
      </c>
      <c r="DZ30" s="149" t="e">
        <f t="shared" si="229"/>
        <v>#DIV/0!</v>
      </c>
      <c r="EA30" s="149" t="e">
        <f t="shared" si="229"/>
        <v>#DIV/0!</v>
      </c>
      <c r="EB30" s="149" t="e">
        <f t="shared" si="229"/>
        <v>#DIV/0!</v>
      </c>
      <c r="EC30" s="149" t="e">
        <f t="shared" si="229"/>
        <v>#DIV/0!</v>
      </c>
      <c r="ED30" s="149" t="e">
        <f t="shared" ref="ED30:FC30" si="230">ED29-1</f>
        <v>#DIV/0!</v>
      </c>
      <c r="EE30" s="149" t="e">
        <f t="shared" si="230"/>
        <v>#DIV/0!</v>
      </c>
      <c r="EF30" s="149" t="e">
        <f t="shared" si="230"/>
        <v>#DIV/0!</v>
      </c>
      <c r="EG30" s="149" t="e">
        <f t="shared" si="230"/>
        <v>#DIV/0!</v>
      </c>
      <c r="EH30" s="149" t="e">
        <f t="shared" si="230"/>
        <v>#DIV/0!</v>
      </c>
      <c r="EI30" s="149" t="e">
        <f t="shared" si="230"/>
        <v>#DIV/0!</v>
      </c>
      <c r="EJ30" s="149" t="e">
        <f t="shared" si="230"/>
        <v>#DIV/0!</v>
      </c>
      <c r="EK30" s="149" t="e">
        <f t="shared" si="230"/>
        <v>#DIV/0!</v>
      </c>
      <c r="EL30" s="149" t="e">
        <f t="shared" si="230"/>
        <v>#DIV/0!</v>
      </c>
      <c r="EM30" s="149" t="e">
        <f t="shared" si="230"/>
        <v>#DIV/0!</v>
      </c>
      <c r="EN30" s="149" t="e">
        <f t="shared" si="230"/>
        <v>#DIV/0!</v>
      </c>
      <c r="EO30" s="149" t="e">
        <f t="shared" si="230"/>
        <v>#DIV/0!</v>
      </c>
      <c r="EP30" s="149" t="e">
        <f t="shared" si="230"/>
        <v>#DIV/0!</v>
      </c>
      <c r="EQ30" s="149" t="e">
        <f t="shared" si="230"/>
        <v>#DIV/0!</v>
      </c>
      <c r="ER30" s="149" t="e">
        <f t="shared" si="230"/>
        <v>#DIV/0!</v>
      </c>
      <c r="ES30" s="149" t="e">
        <f t="shared" si="230"/>
        <v>#DIV/0!</v>
      </c>
      <c r="ET30" s="149" t="e">
        <f t="shared" si="230"/>
        <v>#DIV/0!</v>
      </c>
      <c r="EU30" s="149" t="e">
        <f t="shared" si="230"/>
        <v>#DIV/0!</v>
      </c>
      <c r="EV30" s="149" t="e">
        <f t="shared" si="230"/>
        <v>#DIV/0!</v>
      </c>
      <c r="EW30" s="149" t="e">
        <f t="shared" si="230"/>
        <v>#DIV/0!</v>
      </c>
      <c r="EX30" s="149" t="e">
        <f t="shared" si="230"/>
        <v>#DIV/0!</v>
      </c>
      <c r="EY30" s="5"/>
      <c r="EZ30" s="5"/>
      <c r="FA30" s="709"/>
      <c r="FB30" s="149">
        <f t="shared" si="230"/>
        <v>23</v>
      </c>
      <c r="FC30" s="149">
        <f t="shared" si="230"/>
        <v>19</v>
      </c>
    </row>
    <row r="31" spans="2:159" x14ac:dyDescent="0.45">
      <c r="B31" s="133" t="s">
        <v>2</v>
      </c>
      <c r="C31" s="134" t="s">
        <v>1</v>
      </c>
      <c r="D31" s="22">
        <f>D24/(D26*D38)/D29</f>
        <v>2.5432867403202507E-2</v>
      </c>
      <c r="E31" s="22">
        <f t="shared" ref="E31:M31" si="231">E24/(E26*E38)/E29</f>
        <v>2.5274899282685719E-2</v>
      </c>
      <c r="F31" s="22">
        <f t="shared" ref="F31" si="232">F24/(F26*F38)/F29</f>
        <v>2.5222678416399177E-2</v>
      </c>
      <c r="G31" s="22">
        <f t="shared" si="231"/>
        <v>2.5274899282685722E-2</v>
      </c>
      <c r="H31" s="22">
        <f t="shared" si="231"/>
        <v>2.5432867403202507E-2</v>
      </c>
      <c r="I31" s="22">
        <f t="shared" si="231"/>
        <v>2.5700581796920429E-2</v>
      </c>
      <c r="J31" s="22">
        <f t="shared" si="231"/>
        <v>2.608499220841283E-2</v>
      </c>
      <c r="K31" s="22">
        <f t="shared" si="231"/>
        <v>2.5118881385879019E-2</v>
      </c>
      <c r="L31" s="22">
        <f t="shared" si="231"/>
        <v>2.5646588978019334E-2</v>
      </c>
      <c r="M31" s="22">
        <f t="shared" si="231"/>
        <v>2.4762223840846254E-2</v>
      </c>
      <c r="N31" s="22">
        <f>N24/(N26*N38)/N29</f>
        <v>2.5432867403202507E-2</v>
      </c>
      <c r="O31" s="22">
        <f t="shared" ref="O31:BZ31" si="233">O24/(O26*O38)/O29</f>
        <v>2.6253282480725171E-2</v>
      </c>
      <c r="P31" s="22">
        <f t="shared" si="233"/>
        <v>2.5432867403202507E-2</v>
      </c>
      <c r="Q31" s="22">
        <f t="shared" si="233"/>
        <v>2.4662174451590309E-2</v>
      </c>
      <c r="R31" s="22">
        <f t="shared" si="233"/>
        <v>2.5646588978019334E-2</v>
      </c>
      <c r="S31" s="22">
        <f t="shared" si="233"/>
        <v>2.4913829292933069E-2</v>
      </c>
      <c r="T31" s="22">
        <f t="shared" si="233"/>
        <v>2.608499220841283E-2</v>
      </c>
      <c r="U31" s="22">
        <f t="shared" si="233"/>
        <v>2.5379992418996262E-2</v>
      </c>
      <c r="V31" s="22">
        <f t="shared" si="233"/>
        <v>2.4712097881654259E-2</v>
      </c>
      <c r="W31" s="22">
        <f t="shared" si="233"/>
        <v>2.6084992208412826E-2</v>
      </c>
      <c r="X31" s="22">
        <f t="shared" si="233"/>
        <v>2.5432867403202507E-2</v>
      </c>
      <c r="Y31" s="22">
        <f t="shared" si="233"/>
        <v>2.4812553564100007E-2</v>
      </c>
      <c r="Z31" s="22">
        <f t="shared" si="233"/>
        <v>2.6423758340989614E-2</v>
      </c>
      <c r="AA31" s="22">
        <f t="shared" si="233"/>
        <v>2.5809252333059626E-2</v>
      </c>
      <c r="AB31" s="22">
        <f t="shared" si="233"/>
        <v>2.5222678416399177E-2</v>
      </c>
      <c r="AC31" s="22">
        <f t="shared" si="233"/>
        <v>2.4662174451590305E-2</v>
      </c>
      <c r="AD31" s="22">
        <f t="shared" si="233"/>
        <v>2.6538644246820009E-2</v>
      </c>
      <c r="AE31" s="22">
        <f t="shared" si="233"/>
        <v>2.5973992241568516E-2</v>
      </c>
      <c r="AF31" s="22">
        <f t="shared" si="233"/>
        <v>2.5432867403202507E-2</v>
      </c>
      <c r="AG31" s="22" t="e">
        <f t="shared" si="233"/>
        <v>#DIV/0!</v>
      </c>
      <c r="AH31" s="22" t="e">
        <f t="shared" si="233"/>
        <v>#DIV/0!</v>
      </c>
      <c r="AI31" s="22" t="e">
        <f t="shared" si="233"/>
        <v>#DIV/0!</v>
      </c>
      <c r="AJ31" s="22" t="e">
        <f t="shared" si="233"/>
        <v>#DIV/0!</v>
      </c>
      <c r="AK31" s="22" t="e">
        <f t="shared" si="233"/>
        <v>#DIV/0!</v>
      </c>
      <c r="AL31" s="22" t="e">
        <f t="shared" si="233"/>
        <v>#DIV/0!</v>
      </c>
      <c r="AM31" s="22" t="e">
        <f t="shared" si="233"/>
        <v>#DIV/0!</v>
      </c>
      <c r="AN31" s="22" t="e">
        <f t="shared" si="233"/>
        <v>#DIV/0!</v>
      </c>
      <c r="AO31" s="22" t="e">
        <f t="shared" si="233"/>
        <v>#DIV/0!</v>
      </c>
      <c r="AP31" s="22" t="e">
        <f t="shared" si="233"/>
        <v>#DIV/0!</v>
      </c>
      <c r="AQ31" s="22" t="e">
        <f t="shared" si="233"/>
        <v>#DIV/0!</v>
      </c>
      <c r="AR31" s="22" t="e">
        <f t="shared" si="233"/>
        <v>#DIV/0!</v>
      </c>
      <c r="AS31" s="22" t="e">
        <f t="shared" si="233"/>
        <v>#DIV/0!</v>
      </c>
      <c r="AT31" s="22" t="e">
        <f t="shared" si="233"/>
        <v>#DIV/0!</v>
      </c>
      <c r="AU31" s="22" t="e">
        <f t="shared" si="233"/>
        <v>#DIV/0!</v>
      </c>
      <c r="AV31" s="22" t="e">
        <f t="shared" si="233"/>
        <v>#DIV/0!</v>
      </c>
      <c r="AW31" s="22" t="e">
        <f t="shared" si="233"/>
        <v>#DIV/0!</v>
      </c>
      <c r="AX31" s="22" t="e">
        <f t="shared" si="233"/>
        <v>#DIV/0!</v>
      </c>
      <c r="AY31" s="22" t="e">
        <f t="shared" si="233"/>
        <v>#DIV/0!</v>
      </c>
      <c r="AZ31" s="22" t="e">
        <f t="shared" si="233"/>
        <v>#DIV/0!</v>
      </c>
      <c r="BA31" s="22" t="e">
        <f t="shared" si="233"/>
        <v>#DIV/0!</v>
      </c>
      <c r="BB31" s="22" t="e">
        <f t="shared" si="233"/>
        <v>#DIV/0!</v>
      </c>
      <c r="BC31" s="22" t="e">
        <f t="shared" si="233"/>
        <v>#DIV/0!</v>
      </c>
      <c r="BD31" s="22" t="e">
        <f t="shared" si="233"/>
        <v>#DIV/0!</v>
      </c>
      <c r="BE31" s="22" t="e">
        <f t="shared" si="233"/>
        <v>#DIV/0!</v>
      </c>
      <c r="BF31" s="22" t="e">
        <f t="shared" si="233"/>
        <v>#DIV/0!</v>
      </c>
      <c r="BG31" s="22" t="e">
        <f t="shared" si="233"/>
        <v>#DIV/0!</v>
      </c>
      <c r="BH31" s="22" t="e">
        <f t="shared" si="233"/>
        <v>#DIV/0!</v>
      </c>
      <c r="BI31" s="22" t="e">
        <f t="shared" si="233"/>
        <v>#DIV/0!</v>
      </c>
      <c r="BJ31" s="22" t="e">
        <f t="shared" si="233"/>
        <v>#DIV/0!</v>
      </c>
      <c r="BK31" s="22" t="e">
        <f t="shared" si="233"/>
        <v>#DIV/0!</v>
      </c>
      <c r="BL31" s="22" t="e">
        <f t="shared" si="233"/>
        <v>#DIV/0!</v>
      </c>
      <c r="BM31" s="22" t="e">
        <f t="shared" si="233"/>
        <v>#DIV/0!</v>
      </c>
      <c r="BN31" s="22" t="e">
        <f t="shared" si="233"/>
        <v>#DIV/0!</v>
      </c>
      <c r="BO31" s="22" t="e">
        <f t="shared" si="233"/>
        <v>#DIV/0!</v>
      </c>
      <c r="BP31" s="22" t="e">
        <f t="shared" si="233"/>
        <v>#DIV/0!</v>
      </c>
      <c r="BQ31" s="22" t="e">
        <f t="shared" si="233"/>
        <v>#DIV/0!</v>
      </c>
      <c r="BR31" s="22" t="e">
        <f t="shared" si="233"/>
        <v>#DIV/0!</v>
      </c>
      <c r="BS31" s="22" t="e">
        <f t="shared" si="233"/>
        <v>#DIV/0!</v>
      </c>
      <c r="BT31" s="22" t="e">
        <f t="shared" si="233"/>
        <v>#DIV/0!</v>
      </c>
      <c r="BU31" s="22" t="e">
        <f t="shared" si="233"/>
        <v>#DIV/0!</v>
      </c>
      <c r="BV31" s="22" t="e">
        <f t="shared" si="233"/>
        <v>#DIV/0!</v>
      </c>
      <c r="BW31" s="22" t="e">
        <f t="shared" si="233"/>
        <v>#DIV/0!</v>
      </c>
      <c r="BX31" s="22" t="e">
        <f t="shared" si="233"/>
        <v>#DIV/0!</v>
      </c>
      <c r="BY31" s="22" t="e">
        <f t="shared" si="233"/>
        <v>#DIV/0!</v>
      </c>
      <c r="BZ31" s="22" t="e">
        <f t="shared" si="233"/>
        <v>#DIV/0!</v>
      </c>
      <c r="CA31" s="22" t="e">
        <f t="shared" ref="CA31:EL31" si="234">CA24/(CA26*CA38)/CA29</f>
        <v>#DIV/0!</v>
      </c>
      <c r="CB31" s="22" t="e">
        <f t="shared" si="234"/>
        <v>#DIV/0!</v>
      </c>
      <c r="CC31" s="22" t="e">
        <f t="shared" si="234"/>
        <v>#DIV/0!</v>
      </c>
      <c r="CD31" s="22" t="e">
        <f t="shared" si="234"/>
        <v>#DIV/0!</v>
      </c>
      <c r="CE31" s="22" t="e">
        <f t="shared" si="234"/>
        <v>#DIV/0!</v>
      </c>
      <c r="CF31" s="22" t="e">
        <f t="shared" si="234"/>
        <v>#DIV/0!</v>
      </c>
      <c r="CG31" s="22" t="e">
        <f t="shared" si="234"/>
        <v>#DIV/0!</v>
      </c>
      <c r="CH31" s="22" t="e">
        <f t="shared" si="234"/>
        <v>#DIV/0!</v>
      </c>
      <c r="CI31" s="22" t="e">
        <f t="shared" si="234"/>
        <v>#DIV/0!</v>
      </c>
      <c r="CJ31" s="22" t="e">
        <f t="shared" si="234"/>
        <v>#DIV/0!</v>
      </c>
      <c r="CK31" s="22" t="e">
        <f t="shared" si="234"/>
        <v>#DIV/0!</v>
      </c>
      <c r="CL31" s="22" t="e">
        <f t="shared" si="234"/>
        <v>#DIV/0!</v>
      </c>
      <c r="CM31" s="22" t="e">
        <f t="shared" si="234"/>
        <v>#DIV/0!</v>
      </c>
      <c r="CN31" s="22" t="e">
        <f t="shared" si="234"/>
        <v>#DIV/0!</v>
      </c>
      <c r="CO31" s="22" t="e">
        <f t="shared" si="234"/>
        <v>#DIV/0!</v>
      </c>
      <c r="CP31" s="22" t="e">
        <f t="shared" si="234"/>
        <v>#DIV/0!</v>
      </c>
      <c r="CQ31" s="22" t="e">
        <f t="shared" si="234"/>
        <v>#DIV/0!</v>
      </c>
      <c r="CR31" s="22" t="e">
        <f t="shared" si="234"/>
        <v>#DIV/0!</v>
      </c>
      <c r="CS31" s="22" t="e">
        <f t="shared" si="234"/>
        <v>#DIV/0!</v>
      </c>
      <c r="CT31" s="22" t="e">
        <f t="shared" si="234"/>
        <v>#DIV/0!</v>
      </c>
      <c r="CU31" s="22" t="e">
        <f t="shared" si="234"/>
        <v>#DIV/0!</v>
      </c>
      <c r="CV31" s="22" t="e">
        <f t="shared" si="234"/>
        <v>#DIV/0!</v>
      </c>
      <c r="CW31" s="22" t="e">
        <f t="shared" si="234"/>
        <v>#DIV/0!</v>
      </c>
      <c r="CX31" s="22" t="e">
        <f t="shared" si="234"/>
        <v>#DIV/0!</v>
      </c>
      <c r="CY31" s="22" t="e">
        <f t="shared" si="234"/>
        <v>#DIV/0!</v>
      </c>
      <c r="CZ31" s="22" t="e">
        <f t="shared" si="234"/>
        <v>#DIV/0!</v>
      </c>
      <c r="DA31" s="22" t="e">
        <f t="shared" si="234"/>
        <v>#DIV/0!</v>
      </c>
      <c r="DB31" s="22" t="e">
        <f t="shared" si="234"/>
        <v>#DIV/0!</v>
      </c>
      <c r="DC31" s="22" t="e">
        <f t="shared" si="234"/>
        <v>#DIV/0!</v>
      </c>
      <c r="DD31" s="22" t="e">
        <f t="shared" si="234"/>
        <v>#DIV/0!</v>
      </c>
      <c r="DE31" s="22" t="e">
        <f t="shared" si="234"/>
        <v>#DIV/0!</v>
      </c>
      <c r="DF31" s="22" t="e">
        <f t="shared" si="234"/>
        <v>#DIV/0!</v>
      </c>
      <c r="DG31" s="22" t="e">
        <f t="shared" si="234"/>
        <v>#DIV/0!</v>
      </c>
      <c r="DH31" s="22" t="e">
        <f t="shared" si="234"/>
        <v>#DIV/0!</v>
      </c>
      <c r="DI31" s="22" t="e">
        <f t="shared" si="234"/>
        <v>#DIV/0!</v>
      </c>
      <c r="DJ31" s="22" t="e">
        <f t="shared" si="234"/>
        <v>#DIV/0!</v>
      </c>
      <c r="DK31" s="22" t="e">
        <f t="shared" si="234"/>
        <v>#DIV/0!</v>
      </c>
      <c r="DL31" s="22" t="e">
        <f t="shared" si="234"/>
        <v>#DIV/0!</v>
      </c>
      <c r="DM31" s="22" t="e">
        <f t="shared" si="234"/>
        <v>#DIV/0!</v>
      </c>
      <c r="DN31" s="22" t="e">
        <f t="shared" si="234"/>
        <v>#DIV/0!</v>
      </c>
      <c r="DO31" s="22" t="e">
        <f t="shared" si="234"/>
        <v>#DIV/0!</v>
      </c>
      <c r="DP31" s="22" t="e">
        <f t="shared" si="234"/>
        <v>#DIV/0!</v>
      </c>
      <c r="DQ31" s="22" t="e">
        <f t="shared" si="234"/>
        <v>#DIV/0!</v>
      </c>
      <c r="DR31" s="22" t="e">
        <f t="shared" si="234"/>
        <v>#DIV/0!</v>
      </c>
      <c r="DS31" s="22" t="e">
        <f t="shared" si="234"/>
        <v>#DIV/0!</v>
      </c>
      <c r="DT31" s="22" t="e">
        <f t="shared" si="234"/>
        <v>#DIV/0!</v>
      </c>
      <c r="DU31" s="22" t="e">
        <f t="shared" si="234"/>
        <v>#DIV/0!</v>
      </c>
      <c r="DV31" s="22" t="e">
        <f t="shared" si="234"/>
        <v>#DIV/0!</v>
      </c>
      <c r="DW31" s="22" t="e">
        <f t="shared" si="234"/>
        <v>#DIV/0!</v>
      </c>
      <c r="DX31" s="22" t="e">
        <f t="shared" si="234"/>
        <v>#DIV/0!</v>
      </c>
      <c r="DY31" s="22" t="e">
        <f t="shared" si="234"/>
        <v>#DIV/0!</v>
      </c>
      <c r="DZ31" s="22" t="e">
        <f t="shared" si="234"/>
        <v>#DIV/0!</v>
      </c>
      <c r="EA31" s="22" t="e">
        <f t="shared" si="234"/>
        <v>#DIV/0!</v>
      </c>
      <c r="EB31" s="22" t="e">
        <f t="shared" si="234"/>
        <v>#DIV/0!</v>
      </c>
      <c r="EC31" s="22" t="e">
        <f t="shared" si="234"/>
        <v>#DIV/0!</v>
      </c>
      <c r="ED31" s="22" t="e">
        <f t="shared" si="234"/>
        <v>#DIV/0!</v>
      </c>
      <c r="EE31" s="22" t="e">
        <f t="shared" si="234"/>
        <v>#DIV/0!</v>
      </c>
      <c r="EF31" s="22" t="e">
        <f t="shared" si="234"/>
        <v>#DIV/0!</v>
      </c>
      <c r="EG31" s="22" t="e">
        <f t="shared" si="234"/>
        <v>#DIV/0!</v>
      </c>
      <c r="EH31" s="22" t="e">
        <f t="shared" si="234"/>
        <v>#DIV/0!</v>
      </c>
      <c r="EI31" s="22" t="e">
        <f t="shared" si="234"/>
        <v>#DIV/0!</v>
      </c>
      <c r="EJ31" s="22" t="e">
        <f t="shared" si="234"/>
        <v>#DIV/0!</v>
      </c>
      <c r="EK31" s="22" t="e">
        <f t="shared" si="234"/>
        <v>#DIV/0!</v>
      </c>
      <c r="EL31" s="22" t="e">
        <f t="shared" si="234"/>
        <v>#DIV/0!</v>
      </c>
      <c r="EM31" s="22" t="e">
        <f t="shared" ref="EM31:FC31" si="235">EM24/(EM26*EM38)/EM29</f>
        <v>#DIV/0!</v>
      </c>
      <c r="EN31" s="22" t="e">
        <f t="shared" si="235"/>
        <v>#DIV/0!</v>
      </c>
      <c r="EO31" s="22" t="e">
        <f t="shared" si="235"/>
        <v>#DIV/0!</v>
      </c>
      <c r="EP31" s="22" t="e">
        <f t="shared" si="235"/>
        <v>#DIV/0!</v>
      </c>
      <c r="EQ31" s="22" t="e">
        <f t="shared" si="235"/>
        <v>#DIV/0!</v>
      </c>
      <c r="ER31" s="22" t="e">
        <f t="shared" si="235"/>
        <v>#DIV/0!</v>
      </c>
      <c r="ES31" s="22" t="e">
        <f t="shared" si="235"/>
        <v>#DIV/0!</v>
      </c>
      <c r="ET31" s="22" t="e">
        <f t="shared" si="235"/>
        <v>#DIV/0!</v>
      </c>
      <c r="EU31" s="22" t="e">
        <f t="shared" si="235"/>
        <v>#DIV/0!</v>
      </c>
      <c r="EV31" s="22" t="e">
        <f t="shared" si="235"/>
        <v>#DIV/0!</v>
      </c>
      <c r="EW31" s="22" t="e">
        <f t="shared" si="235"/>
        <v>#DIV/0!</v>
      </c>
      <c r="EX31" s="22" t="e">
        <f t="shared" si="235"/>
        <v>#DIV/0!</v>
      </c>
      <c r="EY31" s="5"/>
      <c r="EZ31" s="5"/>
      <c r="FA31" s="709"/>
      <c r="FB31" s="22">
        <f t="shared" si="235"/>
        <v>2.5443738804754926E-2</v>
      </c>
      <c r="FC31" s="22">
        <f t="shared" si="235"/>
        <v>2.544373880475493E-2</v>
      </c>
    </row>
    <row r="32" spans="2:159" x14ac:dyDescent="0.45">
      <c r="B32" s="137"/>
      <c r="C32" s="140" t="s">
        <v>0</v>
      </c>
      <c r="D32" s="75">
        <f>1/D31</f>
        <v>39.319200000000002</v>
      </c>
      <c r="E32" s="75">
        <f t="shared" ref="E32:BP32" si="236">1/E31</f>
        <v>39.564945000000002</v>
      </c>
      <c r="F32" s="75">
        <f t="shared" ref="F32" si="237">1/F31</f>
        <v>39.646860000000004</v>
      </c>
      <c r="G32" s="75">
        <f t="shared" si="236"/>
        <v>39.564945000000002</v>
      </c>
      <c r="H32" s="75">
        <f t="shared" si="236"/>
        <v>39.319200000000002</v>
      </c>
      <c r="I32" s="75">
        <f t="shared" si="236"/>
        <v>38.909624999999998</v>
      </c>
      <c r="J32" s="75">
        <f t="shared" si="236"/>
        <v>38.336219999999997</v>
      </c>
      <c r="K32" s="75">
        <f t="shared" si="236"/>
        <v>39.810690000000001</v>
      </c>
      <c r="L32" s="75">
        <f t="shared" si="236"/>
        <v>38.991540000000001</v>
      </c>
      <c r="M32" s="75">
        <f t="shared" si="236"/>
        <v>40.384095000000002</v>
      </c>
      <c r="N32" s="75">
        <f t="shared" si="236"/>
        <v>39.319200000000002</v>
      </c>
      <c r="O32" s="180">
        <f t="shared" si="236"/>
        <v>38.090474999999998</v>
      </c>
      <c r="P32" s="75">
        <f t="shared" si="236"/>
        <v>39.319200000000002</v>
      </c>
      <c r="Q32" s="75">
        <f t="shared" si="236"/>
        <v>40.547924999999999</v>
      </c>
      <c r="R32" s="75">
        <f t="shared" si="236"/>
        <v>38.991540000000001</v>
      </c>
      <c r="S32" s="75">
        <f t="shared" ref="S32" si="238">1/S31</f>
        <v>40.138349999999996</v>
      </c>
      <c r="T32" s="75">
        <f t="shared" si="236"/>
        <v>38.336219999999997</v>
      </c>
      <c r="U32" s="75">
        <f t="shared" si="236"/>
        <v>39.401115000000004</v>
      </c>
      <c r="V32" s="75">
        <f t="shared" si="236"/>
        <v>40.466009999999997</v>
      </c>
      <c r="W32" s="75">
        <f t="shared" si="236"/>
        <v>38.336220000000004</v>
      </c>
      <c r="X32" s="75">
        <f t="shared" si="236"/>
        <v>39.319200000000002</v>
      </c>
      <c r="Y32" s="75">
        <f t="shared" si="236"/>
        <v>40.30218</v>
      </c>
      <c r="Z32" s="75">
        <f t="shared" si="236"/>
        <v>37.844730000000006</v>
      </c>
      <c r="AA32" s="75">
        <f t="shared" si="236"/>
        <v>38.745795000000001</v>
      </c>
      <c r="AB32" s="75">
        <f t="shared" si="236"/>
        <v>39.646860000000004</v>
      </c>
      <c r="AC32" s="75">
        <f t="shared" si="236"/>
        <v>40.547925000000006</v>
      </c>
      <c r="AD32" s="75">
        <f t="shared" si="236"/>
        <v>37.680899999999994</v>
      </c>
      <c r="AE32" s="75">
        <f t="shared" si="236"/>
        <v>38.500050000000002</v>
      </c>
      <c r="AF32" s="75">
        <f t="shared" si="236"/>
        <v>39.319200000000002</v>
      </c>
      <c r="AG32" s="75" t="e">
        <f t="shared" si="236"/>
        <v>#DIV/0!</v>
      </c>
      <c r="AH32" s="75" t="e">
        <f t="shared" si="236"/>
        <v>#DIV/0!</v>
      </c>
      <c r="AI32" s="75" t="e">
        <f t="shared" si="236"/>
        <v>#DIV/0!</v>
      </c>
      <c r="AJ32" s="75" t="e">
        <f t="shared" si="236"/>
        <v>#DIV/0!</v>
      </c>
      <c r="AK32" s="75" t="e">
        <f t="shared" si="236"/>
        <v>#DIV/0!</v>
      </c>
      <c r="AL32" s="75" t="e">
        <f t="shared" si="236"/>
        <v>#DIV/0!</v>
      </c>
      <c r="AM32" s="75" t="e">
        <f t="shared" si="236"/>
        <v>#DIV/0!</v>
      </c>
      <c r="AN32" s="75" t="e">
        <f t="shared" si="236"/>
        <v>#DIV/0!</v>
      </c>
      <c r="AO32" s="75" t="e">
        <f t="shared" si="236"/>
        <v>#DIV/0!</v>
      </c>
      <c r="AP32" s="75" t="e">
        <f t="shared" si="236"/>
        <v>#DIV/0!</v>
      </c>
      <c r="AQ32" s="75" t="e">
        <f t="shared" si="236"/>
        <v>#DIV/0!</v>
      </c>
      <c r="AR32" s="75" t="e">
        <f t="shared" si="236"/>
        <v>#DIV/0!</v>
      </c>
      <c r="AS32" s="75" t="e">
        <f t="shared" si="236"/>
        <v>#DIV/0!</v>
      </c>
      <c r="AT32" s="75" t="e">
        <f t="shared" si="236"/>
        <v>#DIV/0!</v>
      </c>
      <c r="AU32" s="75" t="e">
        <f t="shared" si="236"/>
        <v>#DIV/0!</v>
      </c>
      <c r="AV32" s="75" t="e">
        <f t="shared" si="236"/>
        <v>#DIV/0!</v>
      </c>
      <c r="AW32" s="75" t="e">
        <f t="shared" si="236"/>
        <v>#DIV/0!</v>
      </c>
      <c r="AX32" s="75" t="e">
        <f t="shared" si="236"/>
        <v>#DIV/0!</v>
      </c>
      <c r="AY32" s="75" t="e">
        <f t="shared" si="236"/>
        <v>#DIV/0!</v>
      </c>
      <c r="AZ32" s="75" t="e">
        <f t="shared" si="236"/>
        <v>#DIV/0!</v>
      </c>
      <c r="BA32" s="75" t="e">
        <f t="shared" si="236"/>
        <v>#DIV/0!</v>
      </c>
      <c r="BB32" s="75" t="e">
        <f t="shared" si="236"/>
        <v>#DIV/0!</v>
      </c>
      <c r="BC32" s="75" t="e">
        <f t="shared" si="236"/>
        <v>#DIV/0!</v>
      </c>
      <c r="BD32" s="75" t="e">
        <f t="shared" si="236"/>
        <v>#DIV/0!</v>
      </c>
      <c r="BE32" s="75" t="e">
        <f t="shared" si="236"/>
        <v>#DIV/0!</v>
      </c>
      <c r="BF32" s="75" t="e">
        <f t="shared" si="236"/>
        <v>#DIV/0!</v>
      </c>
      <c r="BG32" s="75" t="e">
        <f t="shared" si="236"/>
        <v>#DIV/0!</v>
      </c>
      <c r="BH32" s="75" t="e">
        <f t="shared" si="236"/>
        <v>#DIV/0!</v>
      </c>
      <c r="BI32" s="75" t="e">
        <f t="shared" si="236"/>
        <v>#DIV/0!</v>
      </c>
      <c r="BJ32" s="75" t="e">
        <f t="shared" si="236"/>
        <v>#DIV/0!</v>
      </c>
      <c r="BK32" s="75" t="e">
        <f t="shared" si="236"/>
        <v>#DIV/0!</v>
      </c>
      <c r="BL32" s="75" t="e">
        <f t="shared" si="236"/>
        <v>#DIV/0!</v>
      </c>
      <c r="BM32" s="75" t="e">
        <f t="shared" si="236"/>
        <v>#DIV/0!</v>
      </c>
      <c r="BN32" s="75" t="e">
        <f t="shared" si="236"/>
        <v>#DIV/0!</v>
      </c>
      <c r="BO32" s="75" t="e">
        <f t="shared" si="236"/>
        <v>#DIV/0!</v>
      </c>
      <c r="BP32" s="75" t="e">
        <f t="shared" si="236"/>
        <v>#DIV/0!</v>
      </c>
      <c r="BQ32" s="75" t="e">
        <f t="shared" ref="BQ32:EB32" si="239">1/BQ31</f>
        <v>#DIV/0!</v>
      </c>
      <c r="BR32" s="75" t="e">
        <f t="shared" si="239"/>
        <v>#DIV/0!</v>
      </c>
      <c r="BS32" s="75" t="e">
        <f t="shared" si="239"/>
        <v>#DIV/0!</v>
      </c>
      <c r="BT32" s="75" t="e">
        <f t="shared" si="239"/>
        <v>#DIV/0!</v>
      </c>
      <c r="BU32" s="75" t="e">
        <f t="shared" si="239"/>
        <v>#DIV/0!</v>
      </c>
      <c r="BV32" s="75" t="e">
        <f t="shared" si="239"/>
        <v>#DIV/0!</v>
      </c>
      <c r="BW32" s="75" t="e">
        <f t="shared" si="239"/>
        <v>#DIV/0!</v>
      </c>
      <c r="BX32" s="75" t="e">
        <f t="shared" si="239"/>
        <v>#DIV/0!</v>
      </c>
      <c r="BY32" s="75" t="e">
        <f t="shared" si="239"/>
        <v>#DIV/0!</v>
      </c>
      <c r="BZ32" s="75" t="e">
        <f t="shared" si="239"/>
        <v>#DIV/0!</v>
      </c>
      <c r="CA32" s="75" t="e">
        <f t="shared" si="239"/>
        <v>#DIV/0!</v>
      </c>
      <c r="CB32" s="75" t="e">
        <f t="shared" si="239"/>
        <v>#DIV/0!</v>
      </c>
      <c r="CC32" s="75" t="e">
        <f t="shared" si="239"/>
        <v>#DIV/0!</v>
      </c>
      <c r="CD32" s="75" t="e">
        <f t="shared" si="239"/>
        <v>#DIV/0!</v>
      </c>
      <c r="CE32" s="75" t="e">
        <f t="shared" si="239"/>
        <v>#DIV/0!</v>
      </c>
      <c r="CF32" s="75" t="e">
        <f t="shared" si="239"/>
        <v>#DIV/0!</v>
      </c>
      <c r="CG32" s="75" t="e">
        <f t="shared" si="239"/>
        <v>#DIV/0!</v>
      </c>
      <c r="CH32" s="75" t="e">
        <f t="shared" si="239"/>
        <v>#DIV/0!</v>
      </c>
      <c r="CI32" s="75" t="e">
        <f t="shared" si="239"/>
        <v>#DIV/0!</v>
      </c>
      <c r="CJ32" s="75" t="e">
        <f t="shared" si="239"/>
        <v>#DIV/0!</v>
      </c>
      <c r="CK32" s="75" t="e">
        <f t="shared" si="239"/>
        <v>#DIV/0!</v>
      </c>
      <c r="CL32" s="75" t="e">
        <f t="shared" si="239"/>
        <v>#DIV/0!</v>
      </c>
      <c r="CM32" s="75" t="e">
        <f t="shared" si="239"/>
        <v>#DIV/0!</v>
      </c>
      <c r="CN32" s="75" t="e">
        <f t="shared" si="239"/>
        <v>#DIV/0!</v>
      </c>
      <c r="CO32" s="75" t="e">
        <f t="shared" si="239"/>
        <v>#DIV/0!</v>
      </c>
      <c r="CP32" s="75" t="e">
        <f t="shared" si="239"/>
        <v>#DIV/0!</v>
      </c>
      <c r="CQ32" s="75" t="e">
        <f t="shared" si="239"/>
        <v>#DIV/0!</v>
      </c>
      <c r="CR32" s="75" t="e">
        <f t="shared" si="239"/>
        <v>#DIV/0!</v>
      </c>
      <c r="CS32" s="75" t="e">
        <f t="shared" si="239"/>
        <v>#DIV/0!</v>
      </c>
      <c r="CT32" s="75" t="e">
        <f t="shared" si="239"/>
        <v>#DIV/0!</v>
      </c>
      <c r="CU32" s="75" t="e">
        <f t="shared" si="239"/>
        <v>#DIV/0!</v>
      </c>
      <c r="CV32" s="75" t="e">
        <f t="shared" si="239"/>
        <v>#DIV/0!</v>
      </c>
      <c r="CW32" s="75" t="e">
        <f t="shared" si="239"/>
        <v>#DIV/0!</v>
      </c>
      <c r="CX32" s="75" t="e">
        <f t="shared" si="239"/>
        <v>#DIV/0!</v>
      </c>
      <c r="CY32" s="75" t="e">
        <f t="shared" si="239"/>
        <v>#DIV/0!</v>
      </c>
      <c r="CZ32" s="75" t="e">
        <f t="shared" si="239"/>
        <v>#DIV/0!</v>
      </c>
      <c r="DA32" s="75" t="e">
        <f t="shared" si="239"/>
        <v>#DIV/0!</v>
      </c>
      <c r="DB32" s="75" t="e">
        <f t="shared" si="239"/>
        <v>#DIV/0!</v>
      </c>
      <c r="DC32" s="75" t="e">
        <f t="shared" si="239"/>
        <v>#DIV/0!</v>
      </c>
      <c r="DD32" s="75" t="e">
        <f t="shared" si="239"/>
        <v>#DIV/0!</v>
      </c>
      <c r="DE32" s="75" t="e">
        <f t="shared" si="239"/>
        <v>#DIV/0!</v>
      </c>
      <c r="DF32" s="75" t="e">
        <f t="shared" si="239"/>
        <v>#DIV/0!</v>
      </c>
      <c r="DG32" s="75" t="e">
        <f t="shared" si="239"/>
        <v>#DIV/0!</v>
      </c>
      <c r="DH32" s="75" t="e">
        <f t="shared" si="239"/>
        <v>#DIV/0!</v>
      </c>
      <c r="DI32" s="75" t="e">
        <f t="shared" si="239"/>
        <v>#DIV/0!</v>
      </c>
      <c r="DJ32" s="75" t="e">
        <f t="shared" si="239"/>
        <v>#DIV/0!</v>
      </c>
      <c r="DK32" s="75" t="e">
        <f t="shared" si="239"/>
        <v>#DIV/0!</v>
      </c>
      <c r="DL32" s="75" t="e">
        <f t="shared" si="239"/>
        <v>#DIV/0!</v>
      </c>
      <c r="DM32" s="75" t="e">
        <f t="shared" si="239"/>
        <v>#DIV/0!</v>
      </c>
      <c r="DN32" s="75" t="e">
        <f t="shared" si="239"/>
        <v>#DIV/0!</v>
      </c>
      <c r="DO32" s="75" t="e">
        <f t="shared" si="239"/>
        <v>#DIV/0!</v>
      </c>
      <c r="DP32" s="75" t="e">
        <f t="shared" si="239"/>
        <v>#DIV/0!</v>
      </c>
      <c r="DQ32" s="75" t="e">
        <f t="shared" si="239"/>
        <v>#DIV/0!</v>
      </c>
      <c r="DR32" s="75" t="e">
        <f t="shared" si="239"/>
        <v>#DIV/0!</v>
      </c>
      <c r="DS32" s="75" t="e">
        <f t="shared" si="239"/>
        <v>#DIV/0!</v>
      </c>
      <c r="DT32" s="75" t="e">
        <f t="shared" si="239"/>
        <v>#DIV/0!</v>
      </c>
      <c r="DU32" s="75" t="e">
        <f t="shared" si="239"/>
        <v>#DIV/0!</v>
      </c>
      <c r="DV32" s="75" t="e">
        <f t="shared" si="239"/>
        <v>#DIV/0!</v>
      </c>
      <c r="DW32" s="75" t="e">
        <f t="shared" si="239"/>
        <v>#DIV/0!</v>
      </c>
      <c r="DX32" s="75" t="e">
        <f t="shared" si="239"/>
        <v>#DIV/0!</v>
      </c>
      <c r="DY32" s="75" t="e">
        <f t="shared" si="239"/>
        <v>#DIV/0!</v>
      </c>
      <c r="DZ32" s="75" t="e">
        <f t="shared" si="239"/>
        <v>#DIV/0!</v>
      </c>
      <c r="EA32" s="75" t="e">
        <f t="shared" si="239"/>
        <v>#DIV/0!</v>
      </c>
      <c r="EB32" s="75" t="e">
        <f t="shared" si="239"/>
        <v>#DIV/0!</v>
      </c>
      <c r="EC32" s="75" t="e">
        <f t="shared" ref="EC32:FC32" si="240">1/EC31</f>
        <v>#DIV/0!</v>
      </c>
      <c r="ED32" s="75" t="e">
        <f t="shared" si="240"/>
        <v>#DIV/0!</v>
      </c>
      <c r="EE32" s="75" t="e">
        <f t="shared" si="240"/>
        <v>#DIV/0!</v>
      </c>
      <c r="EF32" s="75" t="e">
        <f t="shared" si="240"/>
        <v>#DIV/0!</v>
      </c>
      <c r="EG32" s="75" t="e">
        <f t="shared" si="240"/>
        <v>#DIV/0!</v>
      </c>
      <c r="EH32" s="75" t="e">
        <f t="shared" si="240"/>
        <v>#DIV/0!</v>
      </c>
      <c r="EI32" s="75" t="e">
        <f t="shared" si="240"/>
        <v>#DIV/0!</v>
      </c>
      <c r="EJ32" s="75" t="e">
        <f t="shared" si="240"/>
        <v>#DIV/0!</v>
      </c>
      <c r="EK32" s="75" t="e">
        <f t="shared" si="240"/>
        <v>#DIV/0!</v>
      </c>
      <c r="EL32" s="75" t="e">
        <f t="shared" si="240"/>
        <v>#DIV/0!</v>
      </c>
      <c r="EM32" s="75" t="e">
        <f t="shared" si="240"/>
        <v>#DIV/0!</v>
      </c>
      <c r="EN32" s="75" t="e">
        <f t="shared" si="240"/>
        <v>#DIV/0!</v>
      </c>
      <c r="EO32" s="75" t="e">
        <f t="shared" si="240"/>
        <v>#DIV/0!</v>
      </c>
      <c r="EP32" s="75" t="e">
        <f t="shared" si="240"/>
        <v>#DIV/0!</v>
      </c>
      <c r="EQ32" s="75" t="e">
        <f t="shared" si="240"/>
        <v>#DIV/0!</v>
      </c>
      <c r="ER32" s="75" t="e">
        <f t="shared" si="240"/>
        <v>#DIV/0!</v>
      </c>
      <c r="ES32" s="75" t="e">
        <f t="shared" si="240"/>
        <v>#DIV/0!</v>
      </c>
      <c r="ET32" s="75" t="e">
        <f t="shared" si="240"/>
        <v>#DIV/0!</v>
      </c>
      <c r="EU32" s="75" t="e">
        <f t="shared" si="240"/>
        <v>#DIV/0!</v>
      </c>
      <c r="EV32" s="75" t="e">
        <f t="shared" si="240"/>
        <v>#DIV/0!</v>
      </c>
      <c r="EW32" s="75" t="e">
        <f t="shared" si="240"/>
        <v>#DIV/0!</v>
      </c>
      <c r="EX32" s="75" t="e">
        <f t="shared" si="240"/>
        <v>#DIV/0!</v>
      </c>
      <c r="EY32" s="714">
        <f>MIN(D32:AF32)</f>
        <v>37.680899999999994</v>
      </c>
      <c r="EZ32" s="714">
        <f>MAX(D32:AF32)</f>
        <v>40.547925000000006</v>
      </c>
      <c r="FA32" s="709"/>
      <c r="FB32" s="75">
        <f t="shared" si="240"/>
        <v>39.302399999999999</v>
      </c>
      <c r="FC32" s="75">
        <f t="shared" si="240"/>
        <v>39.302399999999992</v>
      </c>
    </row>
    <row r="33" spans="2:159" s="31" customFormat="1" x14ac:dyDescent="0.45">
      <c r="B33" s="151"/>
      <c r="C33" s="152" t="s">
        <v>1160</v>
      </c>
      <c r="D33" s="153">
        <f>(D32-$E$22)/$E$22</f>
        <v>0</v>
      </c>
      <c r="E33" s="153">
        <f t="shared" ref="E33:BP33" si="241">(E32-$E$22)/$E$22</f>
        <v>6.2499999999999856E-3</v>
      </c>
      <c r="F33" s="153">
        <f t="shared" ref="F33" si="242">(F32-$E$22)/$E$22</f>
        <v>8.3333333333333749E-3</v>
      </c>
      <c r="G33" s="153">
        <f t="shared" si="241"/>
        <v>6.2499999999999856E-3</v>
      </c>
      <c r="H33" s="153">
        <f t="shared" si="241"/>
        <v>0</v>
      </c>
      <c r="I33" s="153">
        <f t="shared" si="241"/>
        <v>-1.0416666666666763E-2</v>
      </c>
      <c r="J33" s="153">
        <f t="shared" si="241"/>
        <v>-2.5000000000000123E-2</v>
      </c>
      <c r="K33" s="153">
        <f t="shared" si="241"/>
        <v>1.2499999999999971E-2</v>
      </c>
      <c r="L33" s="153">
        <f t="shared" si="241"/>
        <v>-8.3333333333333749E-3</v>
      </c>
      <c r="M33" s="153">
        <f t="shared" si="241"/>
        <v>2.7083333333333331E-2</v>
      </c>
      <c r="N33" s="153">
        <f t="shared" si="241"/>
        <v>0</v>
      </c>
      <c r="O33" s="153">
        <f t="shared" si="241"/>
        <v>-3.1250000000000104E-2</v>
      </c>
      <c r="P33" s="153">
        <f t="shared" si="241"/>
        <v>0</v>
      </c>
      <c r="Q33" s="153">
        <f t="shared" si="241"/>
        <v>3.1249999999999927E-2</v>
      </c>
      <c r="R33" s="153">
        <f t="shared" si="241"/>
        <v>-8.3333333333333749E-3</v>
      </c>
      <c r="S33" s="153">
        <f t="shared" ref="S33" si="243">(S32-$E$22)/$E$22</f>
        <v>2.0833333333333166E-2</v>
      </c>
      <c r="T33" s="153">
        <f t="shared" si="241"/>
        <v>-2.5000000000000123E-2</v>
      </c>
      <c r="U33" s="153">
        <f t="shared" si="241"/>
        <v>2.0833333333333888E-3</v>
      </c>
      <c r="V33" s="153">
        <f t="shared" si="241"/>
        <v>2.9166666666666539E-2</v>
      </c>
      <c r="W33" s="153">
        <f t="shared" si="241"/>
        <v>-2.4999999999999942E-2</v>
      </c>
      <c r="X33" s="153">
        <f t="shared" si="241"/>
        <v>0</v>
      </c>
      <c r="Y33" s="153">
        <f t="shared" si="241"/>
        <v>2.4999999999999942E-2</v>
      </c>
      <c r="Z33" s="153">
        <f t="shared" si="241"/>
        <v>-3.7499999999999915E-2</v>
      </c>
      <c r="AA33" s="153">
        <f t="shared" si="241"/>
        <v>-1.458333333333336E-2</v>
      </c>
      <c r="AB33" s="153">
        <f t="shared" si="241"/>
        <v>8.3333333333333749E-3</v>
      </c>
      <c r="AC33" s="153">
        <f t="shared" si="241"/>
        <v>3.1250000000000104E-2</v>
      </c>
      <c r="AD33" s="153">
        <f t="shared" si="241"/>
        <v>-4.1666666666666873E-2</v>
      </c>
      <c r="AE33" s="153">
        <f t="shared" si="241"/>
        <v>-2.0833333333333346E-2</v>
      </c>
      <c r="AF33" s="153">
        <f t="shared" si="241"/>
        <v>0</v>
      </c>
      <c r="AG33" s="153" t="e">
        <f t="shared" si="241"/>
        <v>#DIV/0!</v>
      </c>
      <c r="AH33" s="153" t="e">
        <f t="shared" si="241"/>
        <v>#DIV/0!</v>
      </c>
      <c r="AI33" s="153" t="e">
        <f t="shared" si="241"/>
        <v>#DIV/0!</v>
      </c>
      <c r="AJ33" s="153" t="e">
        <f t="shared" si="241"/>
        <v>#DIV/0!</v>
      </c>
      <c r="AK33" s="153" t="e">
        <f t="shared" si="241"/>
        <v>#DIV/0!</v>
      </c>
      <c r="AL33" s="153" t="e">
        <f t="shared" si="241"/>
        <v>#DIV/0!</v>
      </c>
      <c r="AM33" s="153" t="e">
        <f t="shared" si="241"/>
        <v>#DIV/0!</v>
      </c>
      <c r="AN33" s="153" t="e">
        <f t="shared" si="241"/>
        <v>#DIV/0!</v>
      </c>
      <c r="AO33" s="153" t="e">
        <f t="shared" si="241"/>
        <v>#DIV/0!</v>
      </c>
      <c r="AP33" s="153" t="e">
        <f t="shared" si="241"/>
        <v>#DIV/0!</v>
      </c>
      <c r="AQ33" s="153" t="e">
        <f t="shared" si="241"/>
        <v>#DIV/0!</v>
      </c>
      <c r="AR33" s="153" t="e">
        <f t="shared" si="241"/>
        <v>#DIV/0!</v>
      </c>
      <c r="AS33" s="153" t="e">
        <f t="shared" si="241"/>
        <v>#DIV/0!</v>
      </c>
      <c r="AT33" s="153" t="e">
        <f t="shared" si="241"/>
        <v>#DIV/0!</v>
      </c>
      <c r="AU33" s="153" t="e">
        <f t="shared" si="241"/>
        <v>#DIV/0!</v>
      </c>
      <c r="AV33" s="153" t="e">
        <f t="shared" si="241"/>
        <v>#DIV/0!</v>
      </c>
      <c r="AW33" s="153" t="e">
        <f t="shared" si="241"/>
        <v>#DIV/0!</v>
      </c>
      <c r="AX33" s="153" t="e">
        <f t="shared" si="241"/>
        <v>#DIV/0!</v>
      </c>
      <c r="AY33" s="153" t="e">
        <f t="shared" si="241"/>
        <v>#DIV/0!</v>
      </c>
      <c r="AZ33" s="153" t="e">
        <f t="shared" si="241"/>
        <v>#DIV/0!</v>
      </c>
      <c r="BA33" s="153" t="e">
        <f t="shared" si="241"/>
        <v>#DIV/0!</v>
      </c>
      <c r="BB33" s="153" t="e">
        <f t="shared" si="241"/>
        <v>#DIV/0!</v>
      </c>
      <c r="BC33" s="153" t="e">
        <f t="shared" si="241"/>
        <v>#DIV/0!</v>
      </c>
      <c r="BD33" s="153" t="e">
        <f t="shared" si="241"/>
        <v>#DIV/0!</v>
      </c>
      <c r="BE33" s="153" t="e">
        <f t="shared" si="241"/>
        <v>#DIV/0!</v>
      </c>
      <c r="BF33" s="153" t="e">
        <f t="shared" si="241"/>
        <v>#DIV/0!</v>
      </c>
      <c r="BG33" s="153" t="e">
        <f t="shared" si="241"/>
        <v>#DIV/0!</v>
      </c>
      <c r="BH33" s="153" t="e">
        <f t="shared" si="241"/>
        <v>#DIV/0!</v>
      </c>
      <c r="BI33" s="153" t="e">
        <f t="shared" si="241"/>
        <v>#DIV/0!</v>
      </c>
      <c r="BJ33" s="153" t="e">
        <f t="shared" si="241"/>
        <v>#DIV/0!</v>
      </c>
      <c r="BK33" s="153" t="e">
        <f t="shared" si="241"/>
        <v>#DIV/0!</v>
      </c>
      <c r="BL33" s="153" t="e">
        <f t="shared" si="241"/>
        <v>#DIV/0!</v>
      </c>
      <c r="BM33" s="153" t="e">
        <f t="shared" si="241"/>
        <v>#DIV/0!</v>
      </c>
      <c r="BN33" s="153" t="e">
        <f t="shared" si="241"/>
        <v>#DIV/0!</v>
      </c>
      <c r="BO33" s="153" t="e">
        <f t="shared" si="241"/>
        <v>#DIV/0!</v>
      </c>
      <c r="BP33" s="153" t="e">
        <f t="shared" si="241"/>
        <v>#DIV/0!</v>
      </c>
      <c r="BQ33" s="153" t="e">
        <f t="shared" ref="BQ33:EB33" si="244">(BQ32-$E$22)/$E$22</f>
        <v>#DIV/0!</v>
      </c>
      <c r="BR33" s="153" t="e">
        <f t="shared" si="244"/>
        <v>#DIV/0!</v>
      </c>
      <c r="BS33" s="153" t="e">
        <f t="shared" si="244"/>
        <v>#DIV/0!</v>
      </c>
      <c r="BT33" s="153" t="e">
        <f t="shared" si="244"/>
        <v>#DIV/0!</v>
      </c>
      <c r="BU33" s="153" t="e">
        <f t="shared" si="244"/>
        <v>#DIV/0!</v>
      </c>
      <c r="BV33" s="153" t="e">
        <f t="shared" si="244"/>
        <v>#DIV/0!</v>
      </c>
      <c r="BW33" s="153" t="e">
        <f t="shared" si="244"/>
        <v>#DIV/0!</v>
      </c>
      <c r="BX33" s="153" t="e">
        <f t="shared" si="244"/>
        <v>#DIV/0!</v>
      </c>
      <c r="BY33" s="153" t="e">
        <f t="shared" si="244"/>
        <v>#DIV/0!</v>
      </c>
      <c r="BZ33" s="153" t="e">
        <f t="shared" si="244"/>
        <v>#DIV/0!</v>
      </c>
      <c r="CA33" s="153" t="e">
        <f t="shared" si="244"/>
        <v>#DIV/0!</v>
      </c>
      <c r="CB33" s="153" t="e">
        <f t="shared" si="244"/>
        <v>#DIV/0!</v>
      </c>
      <c r="CC33" s="153" t="e">
        <f t="shared" si="244"/>
        <v>#DIV/0!</v>
      </c>
      <c r="CD33" s="153" t="e">
        <f t="shared" si="244"/>
        <v>#DIV/0!</v>
      </c>
      <c r="CE33" s="153" t="e">
        <f t="shared" si="244"/>
        <v>#DIV/0!</v>
      </c>
      <c r="CF33" s="153" t="e">
        <f t="shared" si="244"/>
        <v>#DIV/0!</v>
      </c>
      <c r="CG33" s="153" t="e">
        <f t="shared" si="244"/>
        <v>#DIV/0!</v>
      </c>
      <c r="CH33" s="153" t="e">
        <f t="shared" si="244"/>
        <v>#DIV/0!</v>
      </c>
      <c r="CI33" s="153" t="e">
        <f t="shared" si="244"/>
        <v>#DIV/0!</v>
      </c>
      <c r="CJ33" s="153" t="e">
        <f t="shared" si="244"/>
        <v>#DIV/0!</v>
      </c>
      <c r="CK33" s="153" t="e">
        <f t="shared" si="244"/>
        <v>#DIV/0!</v>
      </c>
      <c r="CL33" s="153" t="e">
        <f t="shared" si="244"/>
        <v>#DIV/0!</v>
      </c>
      <c r="CM33" s="153" t="e">
        <f t="shared" si="244"/>
        <v>#DIV/0!</v>
      </c>
      <c r="CN33" s="153" t="e">
        <f t="shared" si="244"/>
        <v>#DIV/0!</v>
      </c>
      <c r="CO33" s="153" t="e">
        <f t="shared" si="244"/>
        <v>#DIV/0!</v>
      </c>
      <c r="CP33" s="153" t="e">
        <f t="shared" si="244"/>
        <v>#DIV/0!</v>
      </c>
      <c r="CQ33" s="153" t="e">
        <f t="shared" si="244"/>
        <v>#DIV/0!</v>
      </c>
      <c r="CR33" s="153" t="e">
        <f t="shared" si="244"/>
        <v>#DIV/0!</v>
      </c>
      <c r="CS33" s="153" t="e">
        <f t="shared" si="244"/>
        <v>#DIV/0!</v>
      </c>
      <c r="CT33" s="153" t="e">
        <f t="shared" si="244"/>
        <v>#DIV/0!</v>
      </c>
      <c r="CU33" s="153" t="e">
        <f t="shared" si="244"/>
        <v>#DIV/0!</v>
      </c>
      <c r="CV33" s="153" t="e">
        <f t="shared" si="244"/>
        <v>#DIV/0!</v>
      </c>
      <c r="CW33" s="153" t="e">
        <f t="shared" si="244"/>
        <v>#DIV/0!</v>
      </c>
      <c r="CX33" s="153" t="e">
        <f t="shared" si="244"/>
        <v>#DIV/0!</v>
      </c>
      <c r="CY33" s="153" t="e">
        <f t="shared" si="244"/>
        <v>#DIV/0!</v>
      </c>
      <c r="CZ33" s="153" t="e">
        <f t="shared" si="244"/>
        <v>#DIV/0!</v>
      </c>
      <c r="DA33" s="153" t="e">
        <f t="shared" si="244"/>
        <v>#DIV/0!</v>
      </c>
      <c r="DB33" s="153" t="e">
        <f t="shared" si="244"/>
        <v>#DIV/0!</v>
      </c>
      <c r="DC33" s="153" t="e">
        <f t="shared" si="244"/>
        <v>#DIV/0!</v>
      </c>
      <c r="DD33" s="153" t="e">
        <f t="shared" si="244"/>
        <v>#DIV/0!</v>
      </c>
      <c r="DE33" s="153" t="e">
        <f t="shared" si="244"/>
        <v>#DIV/0!</v>
      </c>
      <c r="DF33" s="153" t="e">
        <f t="shared" si="244"/>
        <v>#DIV/0!</v>
      </c>
      <c r="DG33" s="153" t="e">
        <f t="shared" si="244"/>
        <v>#DIV/0!</v>
      </c>
      <c r="DH33" s="153" t="e">
        <f t="shared" si="244"/>
        <v>#DIV/0!</v>
      </c>
      <c r="DI33" s="153" t="e">
        <f t="shared" si="244"/>
        <v>#DIV/0!</v>
      </c>
      <c r="DJ33" s="153" t="e">
        <f t="shared" si="244"/>
        <v>#DIV/0!</v>
      </c>
      <c r="DK33" s="153" t="e">
        <f t="shared" si="244"/>
        <v>#DIV/0!</v>
      </c>
      <c r="DL33" s="153" t="e">
        <f t="shared" si="244"/>
        <v>#DIV/0!</v>
      </c>
      <c r="DM33" s="153" t="e">
        <f t="shared" si="244"/>
        <v>#DIV/0!</v>
      </c>
      <c r="DN33" s="153" t="e">
        <f t="shared" si="244"/>
        <v>#DIV/0!</v>
      </c>
      <c r="DO33" s="153" t="e">
        <f t="shared" si="244"/>
        <v>#DIV/0!</v>
      </c>
      <c r="DP33" s="153" t="e">
        <f t="shared" si="244"/>
        <v>#DIV/0!</v>
      </c>
      <c r="DQ33" s="153" t="e">
        <f t="shared" si="244"/>
        <v>#DIV/0!</v>
      </c>
      <c r="DR33" s="153" t="e">
        <f t="shared" si="244"/>
        <v>#DIV/0!</v>
      </c>
      <c r="DS33" s="153" t="e">
        <f t="shared" si="244"/>
        <v>#DIV/0!</v>
      </c>
      <c r="DT33" s="153" t="e">
        <f t="shared" si="244"/>
        <v>#DIV/0!</v>
      </c>
      <c r="DU33" s="153" t="e">
        <f t="shared" si="244"/>
        <v>#DIV/0!</v>
      </c>
      <c r="DV33" s="153" t="e">
        <f t="shared" si="244"/>
        <v>#DIV/0!</v>
      </c>
      <c r="DW33" s="153" t="e">
        <f t="shared" si="244"/>
        <v>#DIV/0!</v>
      </c>
      <c r="DX33" s="153" t="e">
        <f t="shared" si="244"/>
        <v>#DIV/0!</v>
      </c>
      <c r="DY33" s="153" t="e">
        <f t="shared" si="244"/>
        <v>#DIV/0!</v>
      </c>
      <c r="DZ33" s="153" t="e">
        <f t="shared" si="244"/>
        <v>#DIV/0!</v>
      </c>
      <c r="EA33" s="153" t="e">
        <f t="shared" si="244"/>
        <v>#DIV/0!</v>
      </c>
      <c r="EB33" s="153" t="e">
        <f t="shared" si="244"/>
        <v>#DIV/0!</v>
      </c>
      <c r="EC33" s="153" t="e">
        <f t="shared" ref="EC33:FC33" si="245">(EC32-$E$22)/$E$22</f>
        <v>#DIV/0!</v>
      </c>
      <c r="ED33" s="153" t="e">
        <f t="shared" si="245"/>
        <v>#DIV/0!</v>
      </c>
      <c r="EE33" s="153" t="e">
        <f t="shared" si="245"/>
        <v>#DIV/0!</v>
      </c>
      <c r="EF33" s="153" t="e">
        <f t="shared" si="245"/>
        <v>#DIV/0!</v>
      </c>
      <c r="EG33" s="153" t="e">
        <f t="shared" si="245"/>
        <v>#DIV/0!</v>
      </c>
      <c r="EH33" s="153" t="e">
        <f t="shared" si="245"/>
        <v>#DIV/0!</v>
      </c>
      <c r="EI33" s="153" t="e">
        <f t="shared" si="245"/>
        <v>#DIV/0!</v>
      </c>
      <c r="EJ33" s="153" t="e">
        <f t="shared" si="245"/>
        <v>#DIV/0!</v>
      </c>
      <c r="EK33" s="153" t="e">
        <f t="shared" si="245"/>
        <v>#DIV/0!</v>
      </c>
      <c r="EL33" s="153" t="e">
        <f t="shared" si="245"/>
        <v>#DIV/0!</v>
      </c>
      <c r="EM33" s="153" t="e">
        <f t="shared" si="245"/>
        <v>#DIV/0!</v>
      </c>
      <c r="EN33" s="153" t="e">
        <f t="shared" si="245"/>
        <v>#DIV/0!</v>
      </c>
      <c r="EO33" s="153" t="e">
        <f t="shared" si="245"/>
        <v>#DIV/0!</v>
      </c>
      <c r="EP33" s="153" t="e">
        <f t="shared" si="245"/>
        <v>#DIV/0!</v>
      </c>
      <c r="EQ33" s="153" t="e">
        <f t="shared" si="245"/>
        <v>#DIV/0!</v>
      </c>
      <c r="ER33" s="153" t="e">
        <f t="shared" si="245"/>
        <v>#DIV/0!</v>
      </c>
      <c r="ES33" s="153" t="e">
        <f t="shared" si="245"/>
        <v>#DIV/0!</v>
      </c>
      <c r="ET33" s="153" t="e">
        <f t="shared" si="245"/>
        <v>#DIV/0!</v>
      </c>
      <c r="EU33" s="153" t="e">
        <f t="shared" si="245"/>
        <v>#DIV/0!</v>
      </c>
      <c r="EV33" s="153" t="e">
        <f t="shared" si="245"/>
        <v>#DIV/0!</v>
      </c>
      <c r="EW33" s="153" t="e">
        <f t="shared" si="245"/>
        <v>#DIV/0!</v>
      </c>
      <c r="EX33" s="153" t="e">
        <f t="shared" si="245"/>
        <v>#DIV/0!</v>
      </c>
      <c r="EY33" s="722">
        <f>MIN(D33:AF33)</f>
        <v>-4.1666666666666873E-2</v>
      </c>
      <c r="EZ33" s="722">
        <f>MAX(D33:AF33)</f>
        <v>3.1250000000000104E-2</v>
      </c>
      <c r="FA33" s="709"/>
      <c r="FB33" s="153">
        <f t="shared" si="245"/>
        <v>-4.2727217237389058E-4</v>
      </c>
      <c r="FC33" s="153">
        <f t="shared" si="245"/>
        <v>-4.2727217237407126E-4</v>
      </c>
    </row>
    <row r="34" spans="2:159" x14ac:dyDescent="0.45">
      <c r="B34" s="133" t="s">
        <v>7</v>
      </c>
      <c r="C34" s="134" t="s">
        <v>5</v>
      </c>
      <c r="D34" s="74">
        <f t="shared" ref="D34:BO34" si="246">D26*D38*D29</f>
        <v>393192</v>
      </c>
      <c r="E34" s="74">
        <f t="shared" si="246"/>
        <v>376809</v>
      </c>
      <c r="F34" s="74">
        <f t="shared" ref="F34" si="247">F26*F38*F29</f>
        <v>360426</v>
      </c>
      <c r="G34" s="74">
        <f t="shared" si="246"/>
        <v>344043</v>
      </c>
      <c r="H34" s="74">
        <f t="shared" si="246"/>
        <v>327660</v>
      </c>
      <c r="I34" s="74">
        <f t="shared" si="246"/>
        <v>311277</v>
      </c>
      <c r="J34" s="74">
        <f t="shared" si="246"/>
        <v>294894</v>
      </c>
      <c r="K34" s="74">
        <f t="shared" si="246"/>
        <v>294894</v>
      </c>
      <c r="L34" s="74">
        <f t="shared" si="246"/>
        <v>278511</v>
      </c>
      <c r="M34" s="74">
        <f t="shared" si="246"/>
        <v>278511</v>
      </c>
      <c r="N34" s="74">
        <f t="shared" si="246"/>
        <v>262128</v>
      </c>
      <c r="O34" s="74">
        <f t="shared" si="246"/>
        <v>245745</v>
      </c>
      <c r="P34" s="74">
        <f t="shared" si="246"/>
        <v>245745</v>
      </c>
      <c r="Q34" s="74">
        <f t="shared" si="246"/>
        <v>245745</v>
      </c>
      <c r="R34" s="74">
        <f t="shared" si="246"/>
        <v>229362</v>
      </c>
      <c r="S34" s="74">
        <f t="shared" si="246"/>
        <v>229362</v>
      </c>
      <c r="T34" s="74">
        <f t="shared" si="246"/>
        <v>212979</v>
      </c>
      <c r="U34" s="74">
        <f t="shared" si="246"/>
        <v>212979</v>
      </c>
      <c r="V34" s="74">
        <f t="shared" si="246"/>
        <v>212979</v>
      </c>
      <c r="W34" s="74">
        <f t="shared" si="246"/>
        <v>196596</v>
      </c>
      <c r="X34" s="74">
        <f t="shared" si="246"/>
        <v>196596</v>
      </c>
      <c r="Y34" s="74">
        <f t="shared" si="246"/>
        <v>196596</v>
      </c>
      <c r="Z34" s="74">
        <f t="shared" si="246"/>
        <v>180213</v>
      </c>
      <c r="AA34" s="74">
        <f t="shared" si="246"/>
        <v>180213</v>
      </c>
      <c r="AB34" s="74">
        <f t="shared" si="246"/>
        <v>180213</v>
      </c>
      <c r="AC34" s="74">
        <f t="shared" si="246"/>
        <v>180213</v>
      </c>
      <c r="AD34" s="74">
        <f t="shared" si="246"/>
        <v>163830</v>
      </c>
      <c r="AE34" s="74">
        <f t="shared" si="246"/>
        <v>163830</v>
      </c>
      <c r="AF34" s="74">
        <f t="shared" si="246"/>
        <v>163830</v>
      </c>
      <c r="AG34" s="74" t="e">
        <f t="shared" si="246"/>
        <v>#DIV/0!</v>
      </c>
      <c r="AH34" s="74" t="e">
        <f t="shared" si="246"/>
        <v>#DIV/0!</v>
      </c>
      <c r="AI34" s="74" t="e">
        <f t="shared" si="246"/>
        <v>#DIV/0!</v>
      </c>
      <c r="AJ34" s="74" t="e">
        <f t="shared" si="246"/>
        <v>#DIV/0!</v>
      </c>
      <c r="AK34" s="74" t="e">
        <f t="shared" si="246"/>
        <v>#DIV/0!</v>
      </c>
      <c r="AL34" s="74" t="e">
        <f t="shared" si="246"/>
        <v>#DIV/0!</v>
      </c>
      <c r="AM34" s="74" t="e">
        <f t="shared" si="246"/>
        <v>#DIV/0!</v>
      </c>
      <c r="AN34" s="74" t="e">
        <f>AN26*AN38*AN29</f>
        <v>#DIV/0!</v>
      </c>
      <c r="AO34" s="74" t="e">
        <f t="shared" si="246"/>
        <v>#DIV/0!</v>
      </c>
      <c r="AP34" s="74" t="e">
        <f t="shared" si="246"/>
        <v>#DIV/0!</v>
      </c>
      <c r="AQ34" s="74" t="e">
        <f t="shared" si="246"/>
        <v>#DIV/0!</v>
      </c>
      <c r="AR34" s="74" t="e">
        <f t="shared" si="246"/>
        <v>#DIV/0!</v>
      </c>
      <c r="AS34" s="74" t="e">
        <f t="shared" si="246"/>
        <v>#DIV/0!</v>
      </c>
      <c r="AT34" s="74" t="e">
        <f t="shared" si="246"/>
        <v>#DIV/0!</v>
      </c>
      <c r="AU34" s="74" t="e">
        <f t="shared" si="246"/>
        <v>#DIV/0!</v>
      </c>
      <c r="AV34" s="74" t="e">
        <f t="shared" si="246"/>
        <v>#DIV/0!</v>
      </c>
      <c r="AW34" s="74" t="e">
        <f t="shared" si="246"/>
        <v>#DIV/0!</v>
      </c>
      <c r="AX34" s="74" t="e">
        <f t="shared" si="246"/>
        <v>#DIV/0!</v>
      </c>
      <c r="AY34" s="74" t="e">
        <f t="shared" si="246"/>
        <v>#DIV/0!</v>
      </c>
      <c r="AZ34" s="74" t="e">
        <f t="shared" si="246"/>
        <v>#DIV/0!</v>
      </c>
      <c r="BA34" s="74" t="e">
        <f t="shared" si="246"/>
        <v>#DIV/0!</v>
      </c>
      <c r="BB34" s="74" t="e">
        <f t="shared" si="246"/>
        <v>#DIV/0!</v>
      </c>
      <c r="BC34" s="74" t="e">
        <f t="shared" si="246"/>
        <v>#DIV/0!</v>
      </c>
      <c r="BD34" s="74" t="e">
        <f t="shared" si="246"/>
        <v>#DIV/0!</v>
      </c>
      <c r="BE34" s="74" t="e">
        <f t="shared" si="246"/>
        <v>#DIV/0!</v>
      </c>
      <c r="BF34" s="74" t="e">
        <f t="shared" si="246"/>
        <v>#DIV/0!</v>
      </c>
      <c r="BG34" s="74" t="e">
        <f t="shared" si="246"/>
        <v>#DIV/0!</v>
      </c>
      <c r="BH34" s="74" t="e">
        <f t="shared" si="246"/>
        <v>#DIV/0!</v>
      </c>
      <c r="BI34" s="74" t="e">
        <f t="shared" si="246"/>
        <v>#DIV/0!</v>
      </c>
      <c r="BJ34" s="74" t="e">
        <f t="shared" si="246"/>
        <v>#DIV/0!</v>
      </c>
      <c r="BK34" s="74" t="e">
        <f t="shared" si="246"/>
        <v>#DIV/0!</v>
      </c>
      <c r="BL34" s="74" t="e">
        <f t="shared" si="246"/>
        <v>#DIV/0!</v>
      </c>
      <c r="BM34" s="74" t="e">
        <f t="shared" si="246"/>
        <v>#DIV/0!</v>
      </c>
      <c r="BN34" s="74" t="e">
        <f t="shared" si="246"/>
        <v>#DIV/0!</v>
      </c>
      <c r="BO34" s="74" t="e">
        <f t="shared" si="246"/>
        <v>#DIV/0!</v>
      </c>
      <c r="BP34" s="74" t="e">
        <f t="shared" ref="BP34:EA34" si="248">BP26*BP38*BP29</f>
        <v>#DIV/0!</v>
      </c>
      <c r="BQ34" s="74" t="e">
        <f t="shared" si="248"/>
        <v>#DIV/0!</v>
      </c>
      <c r="BR34" s="74" t="e">
        <f t="shared" si="248"/>
        <v>#DIV/0!</v>
      </c>
      <c r="BS34" s="74" t="e">
        <f t="shared" si="248"/>
        <v>#DIV/0!</v>
      </c>
      <c r="BT34" s="74" t="e">
        <f t="shared" si="248"/>
        <v>#DIV/0!</v>
      </c>
      <c r="BU34" s="74" t="e">
        <f t="shared" si="248"/>
        <v>#DIV/0!</v>
      </c>
      <c r="BV34" s="74" t="e">
        <f t="shared" si="248"/>
        <v>#DIV/0!</v>
      </c>
      <c r="BW34" s="74" t="e">
        <f t="shared" si="248"/>
        <v>#DIV/0!</v>
      </c>
      <c r="BX34" s="74" t="e">
        <f t="shared" si="248"/>
        <v>#DIV/0!</v>
      </c>
      <c r="BY34" s="74" t="e">
        <f t="shared" si="248"/>
        <v>#DIV/0!</v>
      </c>
      <c r="BZ34" s="74" t="e">
        <f t="shared" si="248"/>
        <v>#DIV/0!</v>
      </c>
      <c r="CA34" s="74" t="e">
        <f t="shared" si="248"/>
        <v>#DIV/0!</v>
      </c>
      <c r="CB34" s="74" t="e">
        <f t="shared" si="248"/>
        <v>#DIV/0!</v>
      </c>
      <c r="CC34" s="74" t="e">
        <f t="shared" si="248"/>
        <v>#DIV/0!</v>
      </c>
      <c r="CD34" s="74" t="e">
        <f t="shared" si="248"/>
        <v>#DIV/0!</v>
      </c>
      <c r="CE34" s="74" t="e">
        <f t="shared" si="248"/>
        <v>#DIV/0!</v>
      </c>
      <c r="CF34" s="74" t="e">
        <f t="shared" si="248"/>
        <v>#DIV/0!</v>
      </c>
      <c r="CG34" s="74" t="e">
        <f t="shared" si="248"/>
        <v>#DIV/0!</v>
      </c>
      <c r="CH34" s="74" t="e">
        <f t="shared" si="248"/>
        <v>#DIV/0!</v>
      </c>
      <c r="CI34" s="74" t="e">
        <f t="shared" si="248"/>
        <v>#DIV/0!</v>
      </c>
      <c r="CJ34" s="74" t="e">
        <f t="shared" si="248"/>
        <v>#DIV/0!</v>
      </c>
      <c r="CK34" s="74" t="e">
        <f t="shared" si="248"/>
        <v>#DIV/0!</v>
      </c>
      <c r="CL34" s="74" t="e">
        <f t="shared" si="248"/>
        <v>#DIV/0!</v>
      </c>
      <c r="CM34" s="74" t="e">
        <f t="shared" si="248"/>
        <v>#DIV/0!</v>
      </c>
      <c r="CN34" s="74" t="e">
        <f t="shared" si="248"/>
        <v>#DIV/0!</v>
      </c>
      <c r="CO34" s="74" t="e">
        <f t="shared" si="248"/>
        <v>#DIV/0!</v>
      </c>
      <c r="CP34" s="74" t="e">
        <f t="shared" si="248"/>
        <v>#DIV/0!</v>
      </c>
      <c r="CQ34" s="74" t="e">
        <f t="shared" si="248"/>
        <v>#DIV/0!</v>
      </c>
      <c r="CR34" s="74" t="e">
        <f t="shared" si="248"/>
        <v>#DIV/0!</v>
      </c>
      <c r="CS34" s="74" t="e">
        <f t="shared" si="248"/>
        <v>#DIV/0!</v>
      </c>
      <c r="CT34" s="74" t="e">
        <f t="shared" si="248"/>
        <v>#DIV/0!</v>
      </c>
      <c r="CU34" s="74" t="e">
        <f t="shared" si="248"/>
        <v>#DIV/0!</v>
      </c>
      <c r="CV34" s="74" t="e">
        <f t="shared" si="248"/>
        <v>#DIV/0!</v>
      </c>
      <c r="CW34" s="74" t="e">
        <f t="shared" si="248"/>
        <v>#DIV/0!</v>
      </c>
      <c r="CX34" s="74" t="e">
        <f t="shared" si="248"/>
        <v>#DIV/0!</v>
      </c>
      <c r="CY34" s="74" t="e">
        <f t="shared" si="248"/>
        <v>#DIV/0!</v>
      </c>
      <c r="CZ34" s="74" t="e">
        <f t="shared" si="248"/>
        <v>#DIV/0!</v>
      </c>
      <c r="DA34" s="74" t="e">
        <f t="shared" si="248"/>
        <v>#DIV/0!</v>
      </c>
      <c r="DB34" s="74" t="e">
        <f t="shared" si="248"/>
        <v>#DIV/0!</v>
      </c>
      <c r="DC34" s="74" t="e">
        <f t="shared" si="248"/>
        <v>#DIV/0!</v>
      </c>
      <c r="DD34" s="74" t="e">
        <f t="shared" si="248"/>
        <v>#DIV/0!</v>
      </c>
      <c r="DE34" s="74" t="e">
        <f t="shared" si="248"/>
        <v>#DIV/0!</v>
      </c>
      <c r="DF34" s="74" t="e">
        <f t="shared" si="248"/>
        <v>#DIV/0!</v>
      </c>
      <c r="DG34" s="74" t="e">
        <f t="shared" si="248"/>
        <v>#DIV/0!</v>
      </c>
      <c r="DH34" s="74" t="e">
        <f t="shared" si="248"/>
        <v>#DIV/0!</v>
      </c>
      <c r="DI34" s="74" t="e">
        <f t="shared" si="248"/>
        <v>#DIV/0!</v>
      </c>
      <c r="DJ34" s="74" t="e">
        <f t="shared" si="248"/>
        <v>#DIV/0!</v>
      </c>
      <c r="DK34" s="74" t="e">
        <f t="shared" si="248"/>
        <v>#DIV/0!</v>
      </c>
      <c r="DL34" s="74" t="e">
        <f t="shared" si="248"/>
        <v>#DIV/0!</v>
      </c>
      <c r="DM34" s="74" t="e">
        <f t="shared" si="248"/>
        <v>#DIV/0!</v>
      </c>
      <c r="DN34" s="74" t="e">
        <f t="shared" si="248"/>
        <v>#DIV/0!</v>
      </c>
      <c r="DO34" s="74" t="e">
        <f t="shared" si="248"/>
        <v>#DIV/0!</v>
      </c>
      <c r="DP34" s="74" t="e">
        <f t="shared" si="248"/>
        <v>#DIV/0!</v>
      </c>
      <c r="DQ34" s="74" t="e">
        <f t="shared" si="248"/>
        <v>#DIV/0!</v>
      </c>
      <c r="DR34" s="74" t="e">
        <f t="shared" si="248"/>
        <v>#DIV/0!</v>
      </c>
      <c r="DS34" s="74" t="e">
        <f t="shared" si="248"/>
        <v>#DIV/0!</v>
      </c>
      <c r="DT34" s="74" t="e">
        <f t="shared" si="248"/>
        <v>#DIV/0!</v>
      </c>
      <c r="DU34" s="74" t="e">
        <f t="shared" si="248"/>
        <v>#DIV/0!</v>
      </c>
      <c r="DV34" s="74" t="e">
        <f t="shared" si="248"/>
        <v>#DIV/0!</v>
      </c>
      <c r="DW34" s="74" t="e">
        <f t="shared" si="248"/>
        <v>#DIV/0!</v>
      </c>
      <c r="DX34" s="74" t="e">
        <f t="shared" si="248"/>
        <v>#DIV/0!</v>
      </c>
      <c r="DY34" s="74" t="e">
        <f t="shared" si="248"/>
        <v>#DIV/0!</v>
      </c>
      <c r="DZ34" s="74" t="e">
        <f t="shared" si="248"/>
        <v>#DIV/0!</v>
      </c>
      <c r="EA34" s="74" t="e">
        <f t="shared" si="248"/>
        <v>#DIV/0!</v>
      </c>
      <c r="EB34" s="74" t="e">
        <f t="shared" ref="EB34:FC34" si="249">EB26*EB38*EB29</f>
        <v>#DIV/0!</v>
      </c>
      <c r="EC34" s="74" t="e">
        <f t="shared" si="249"/>
        <v>#DIV/0!</v>
      </c>
      <c r="ED34" s="74" t="e">
        <f t="shared" si="249"/>
        <v>#DIV/0!</v>
      </c>
      <c r="EE34" s="74" t="e">
        <f t="shared" si="249"/>
        <v>#DIV/0!</v>
      </c>
      <c r="EF34" s="74" t="e">
        <f t="shared" si="249"/>
        <v>#DIV/0!</v>
      </c>
      <c r="EG34" s="74" t="e">
        <f t="shared" si="249"/>
        <v>#DIV/0!</v>
      </c>
      <c r="EH34" s="74" t="e">
        <f t="shared" si="249"/>
        <v>#DIV/0!</v>
      </c>
      <c r="EI34" s="74" t="e">
        <f t="shared" si="249"/>
        <v>#DIV/0!</v>
      </c>
      <c r="EJ34" s="74" t="e">
        <f t="shared" si="249"/>
        <v>#DIV/0!</v>
      </c>
      <c r="EK34" s="74" t="e">
        <f t="shared" si="249"/>
        <v>#DIV/0!</v>
      </c>
      <c r="EL34" s="74" t="e">
        <f t="shared" si="249"/>
        <v>#DIV/0!</v>
      </c>
      <c r="EM34" s="74" t="e">
        <f t="shared" si="249"/>
        <v>#DIV/0!</v>
      </c>
      <c r="EN34" s="74" t="e">
        <f t="shared" si="249"/>
        <v>#DIV/0!</v>
      </c>
      <c r="EO34" s="74" t="e">
        <f t="shared" si="249"/>
        <v>#DIV/0!</v>
      </c>
      <c r="EP34" s="74" t="e">
        <f t="shared" si="249"/>
        <v>#DIV/0!</v>
      </c>
      <c r="EQ34" s="74" t="e">
        <f t="shared" si="249"/>
        <v>#DIV/0!</v>
      </c>
      <c r="ER34" s="74" t="e">
        <f t="shared" si="249"/>
        <v>#DIV/0!</v>
      </c>
      <c r="ES34" s="74" t="e">
        <f t="shared" si="249"/>
        <v>#DIV/0!</v>
      </c>
      <c r="ET34" s="74" t="e">
        <f t="shared" si="249"/>
        <v>#DIV/0!</v>
      </c>
      <c r="EU34" s="74" t="e">
        <f t="shared" si="249"/>
        <v>#DIV/0!</v>
      </c>
      <c r="EV34" s="74" t="e">
        <f t="shared" si="249"/>
        <v>#DIV/0!</v>
      </c>
      <c r="EW34" s="74" t="e">
        <f t="shared" si="249"/>
        <v>#DIV/0!</v>
      </c>
      <c r="EX34" s="74" t="e">
        <f t="shared" si="249"/>
        <v>#DIV/0!</v>
      </c>
      <c r="EY34" s="5"/>
      <c r="EZ34" s="5"/>
      <c r="FA34" s="709"/>
      <c r="FB34" s="74">
        <f t="shared" si="249"/>
        <v>393024</v>
      </c>
      <c r="FC34" s="74">
        <f t="shared" si="249"/>
        <v>327520</v>
      </c>
    </row>
    <row r="35" spans="2:159" x14ac:dyDescent="0.45">
      <c r="B35" s="137"/>
      <c r="C35" s="141">
        <v>1E-3</v>
      </c>
      <c r="D35" s="150">
        <f>MROUND(D34+D34*$C$35,1)</f>
        <v>393585</v>
      </c>
      <c r="E35" s="150">
        <f t="shared" ref="E35:BP35" si="250">MROUND(E34+E34*$C$35,1)</f>
        <v>377186</v>
      </c>
      <c r="F35" s="150">
        <f t="shared" ref="F35" si="251">MROUND(F34+F34*$C$35,1)</f>
        <v>360786</v>
      </c>
      <c r="G35" s="150">
        <f t="shared" si="250"/>
        <v>344387</v>
      </c>
      <c r="H35" s="150">
        <f t="shared" si="250"/>
        <v>327988</v>
      </c>
      <c r="I35" s="150">
        <f t="shared" si="250"/>
        <v>311588</v>
      </c>
      <c r="J35" s="150">
        <f t="shared" si="250"/>
        <v>295189</v>
      </c>
      <c r="K35" s="150">
        <f t="shared" si="250"/>
        <v>295189</v>
      </c>
      <c r="L35" s="150">
        <f t="shared" si="250"/>
        <v>278790</v>
      </c>
      <c r="M35" s="150">
        <f t="shared" si="250"/>
        <v>278790</v>
      </c>
      <c r="N35" s="150">
        <f t="shared" si="250"/>
        <v>262390</v>
      </c>
      <c r="O35" s="150">
        <f t="shared" si="250"/>
        <v>245991</v>
      </c>
      <c r="P35" s="150">
        <f t="shared" si="250"/>
        <v>245991</v>
      </c>
      <c r="Q35" s="150">
        <f t="shared" si="250"/>
        <v>245991</v>
      </c>
      <c r="R35" s="150">
        <f t="shared" si="250"/>
        <v>229591</v>
      </c>
      <c r="S35" s="150">
        <f t="shared" si="250"/>
        <v>229591</v>
      </c>
      <c r="T35" s="150">
        <f t="shared" si="250"/>
        <v>213192</v>
      </c>
      <c r="U35" s="150">
        <f t="shared" si="250"/>
        <v>213192</v>
      </c>
      <c r="V35" s="150">
        <f t="shared" si="250"/>
        <v>213192</v>
      </c>
      <c r="W35" s="150">
        <f t="shared" si="250"/>
        <v>196793</v>
      </c>
      <c r="X35" s="150">
        <f t="shared" si="250"/>
        <v>196793</v>
      </c>
      <c r="Y35" s="150">
        <f t="shared" si="250"/>
        <v>196793</v>
      </c>
      <c r="Z35" s="150">
        <f t="shared" si="250"/>
        <v>180393</v>
      </c>
      <c r="AA35" s="150">
        <f t="shared" si="250"/>
        <v>180393</v>
      </c>
      <c r="AB35" s="150">
        <f t="shared" si="250"/>
        <v>180393</v>
      </c>
      <c r="AC35" s="150">
        <f t="shared" si="250"/>
        <v>180393</v>
      </c>
      <c r="AD35" s="150">
        <f t="shared" si="250"/>
        <v>163994</v>
      </c>
      <c r="AE35" s="150">
        <f t="shared" si="250"/>
        <v>163994</v>
      </c>
      <c r="AF35" s="150">
        <f t="shared" si="250"/>
        <v>163994</v>
      </c>
      <c r="AG35" s="150" t="e">
        <f t="shared" si="250"/>
        <v>#DIV/0!</v>
      </c>
      <c r="AH35" s="150" t="e">
        <f t="shared" si="250"/>
        <v>#DIV/0!</v>
      </c>
      <c r="AI35" s="150" t="e">
        <f t="shared" si="250"/>
        <v>#DIV/0!</v>
      </c>
      <c r="AJ35" s="150" t="e">
        <f t="shared" si="250"/>
        <v>#DIV/0!</v>
      </c>
      <c r="AK35" s="150" t="e">
        <f t="shared" si="250"/>
        <v>#DIV/0!</v>
      </c>
      <c r="AL35" s="150" t="e">
        <f t="shared" si="250"/>
        <v>#DIV/0!</v>
      </c>
      <c r="AM35" s="150" t="e">
        <f t="shared" si="250"/>
        <v>#DIV/0!</v>
      </c>
      <c r="AN35" s="150" t="e">
        <f t="shared" si="250"/>
        <v>#DIV/0!</v>
      </c>
      <c r="AO35" s="150" t="e">
        <f t="shared" si="250"/>
        <v>#DIV/0!</v>
      </c>
      <c r="AP35" s="150" t="e">
        <f t="shared" si="250"/>
        <v>#DIV/0!</v>
      </c>
      <c r="AQ35" s="150" t="e">
        <f t="shared" si="250"/>
        <v>#DIV/0!</v>
      </c>
      <c r="AR35" s="150" t="e">
        <f t="shared" si="250"/>
        <v>#DIV/0!</v>
      </c>
      <c r="AS35" s="150" t="e">
        <f t="shared" si="250"/>
        <v>#DIV/0!</v>
      </c>
      <c r="AT35" s="150" t="e">
        <f t="shared" si="250"/>
        <v>#DIV/0!</v>
      </c>
      <c r="AU35" s="150" t="e">
        <f t="shared" si="250"/>
        <v>#DIV/0!</v>
      </c>
      <c r="AV35" s="150" t="e">
        <f t="shared" si="250"/>
        <v>#DIV/0!</v>
      </c>
      <c r="AW35" s="150" t="e">
        <f t="shared" si="250"/>
        <v>#DIV/0!</v>
      </c>
      <c r="AX35" s="150" t="e">
        <f t="shared" si="250"/>
        <v>#DIV/0!</v>
      </c>
      <c r="AY35" s="150" t="e">
        <f t="shared" si="250"/>
        <v>#DIV/0!</v>
      </c>
      <c r="AZ35" s="150" t="e">
        <f t="shared" si="250"/>
        <v>#DIV/0!</v>
      </c>
      <c r="BA35" s="150" t="e">
        <f t="shared" si="250"/>
        <v>#DIV/0!</v>
      </c>
      <c r="BB35" s="150" t="e">
        <f t="shared" si="250"/>
        <v>#DIV/0!</v>
      </c>
      <c r="BC35" s="150" t="e">
        <f t="shared" si="250"/>
        <v>#DIV/0!</v>
      </c>
      <c r="BD35" s="150" t="e">
        <f t="shared" si="250"/>
        <v>#DIV/0!</v>
      </c>
      <c r="BE35" s="150" t="e">
        <f t="shared" si="250"/>
        <v>#DIV/0!</v>
      </c>
      <c r="BF35" s="150" t="e">
        <f t="shared" si="250"/>
        <v>#DIV/0!</v>
      </c>
      <c r="BG35" s="150" t="e">
        <f t="shared" si="250"/>
        <v>#DIV/0!</v>
      </c>
      <c r="BH35" s="150" t="e">
        <f t="shared" si="250"/>
        <v>#DIV/0!</v>
      </c>
      <c r="BI35" s="150" t="e">
        <f t="shared" si="250"/>
        <v>#DIV/0!</v>
      </c>
      <c r="BJ35" s="150" t="e">
        <f t="shared" si="250"/>
        <v>#DIV/0!</v>
      </c>
      <c r="BK35" s="150" t="e">
        <f t="shared" si="250"/>
        <v>#DIV/0!</v>
      </c>
      <c r="BL35" s="150" t="e">
        <f t="shared" si="250"/>
        <v>#DIV/0!</v>
      </c>
      <c r="BM35" s="150" t="e">
        <f t="shared" si="250"/>
        <v>#DIV/0!</v>
      </c>
      <c r="BN35" s="150" t="e">
        <f t="shared" si="250"/>
        <v>#DIV/0!</v>
      </c>
      <c r="BO35" s="150" t="e">
        <f t="shared" si="250"/>
        <v>#DIV/0!</v>
      </c>
      <c r="BP35" s="150" t="e">
        <f t="shared" si="250"/>
        <v>#DIV/0!</v>
      </c>
      <c r="BQ35" s="150" t="e">
        <f t="shared" ref="BQ35:EB35" si="252">MROUND(BQ34+BQ34*$C$35,1)</f>
        <v>#DIV/0!</v>
      </c>
      <c r="BR35" s="150" t="e">
        <f t="shared" si="252"/>
        <v>#DIV/0!</v>
      </c>
      <c r="BS35" s="150" t="e">
        <f t="shared" si="252"/>
        <v>#DIV/0!</v>
      </c>
      <c r="BT35" s="150" t="e">
        <f t="shared" si="252"/>
        <v>#DIV/0!</v>
      </c>
      <c r="BU35" s="150" t="e">
        <f t="shared" si="252"/>
        <v>#DIV/0!</v>
      </c>
      <c r="BV35" s="150" t="e">
        <f t="shared" si="252"/>
        <v>#DIV/0!</v>
      </c>
      <c r="BW35" s="150" t="e">
        <f t="shared" si="252"/>
        <v>#DIV/0!</v>
      </c>
      <c r="BX35" s="150" t="e">
        <f t="shared" si="252"/>
        <v>#DIV/0!</v>
      </c>
      <c r="BY35" s="150" t="e">
        <f t="shared" si="252"/>
        <v>#DIV/0!</v>
      </c>
      <c r="BZ35" s="150" t="e">
        <f t="shared" si="252"/>
        <v>#DIV/0!</v>
      </c>
      <c r="CA35" s="150" t="e">
        <f t="shared" si="252"/>
        <v>#DIV/0!</v>
      </c>
      <c r="CB35" s="150" t="e">
        <f t="shared" si="252"/>
        <v>#DIV/0!</v>
      </c>
      <c r="CC35" s="150" t="e">
        <f t="shared" si="252"/>
        <v>#DIV/0!</v>
      </c>
      <c r="CD35" s="150" t="e">
        <f t="shared" si="252"/>
        <v>#DIV/0!</v>
      </c>
      <c r="CE35" s="150" t="e">
        <f t="shared" si="252"/>
        <v>#DIV/0!</v>
      </c>
      <c r="CF35" s="150" t="e">
        <f t="shared" si="252"/>
        <v>#DIV/0!</v>
      </c>
      <c r="CG35" s="150" t="e">
        <f t="shared" si="252"/>
        <v>#DIV/0!</v>
      </c>
      <c r="CH35" s="150" t="e">
        <f t="shared" si="252"/>
        <v>#DIV/0!</v>
      </c>
      <c r="CI35" s="150" t="e">
        <f t="shared" si="252"/>
        <v>#DIV/0!</v>
      </c>
      <c r="CJ35" s="150" t="e">
        <f t="shared" si="252"/>
        <v>#DIV/0!</v>
      </c>
      <c r="CK35" s="150" t="e">
        <f t="shared" si="252"/>
        <v>#DIV/0!</v>
      </c>
      <c r="CL35" s="150" t="e">
        <f t="shared" si="252"/>
        <v>#DIV/0!</v>
      </c>
      <c r="CM35" s="150" t="e">
        <f t="shared" si="252"/>
        <v>#DIV/0!</v>
      </c>
      <c r="CN35" s="150" t="e">
        <f t="shared" si="252"/>
        <v>#DIV/0!</v>
      </c>
      <c r="CO35" s="150" t="e">
        <f t="shared" si="252"/>
        <v>#DIV/0!</v>
      </c>
      <c r="CP35" s="150" t="e">
        <f t="shared" si="252"/>
        <v>#DIV/0!</v>
      </c>
      <c r="CQ35" s="150" t="e">
        <f t="shared" si="252"/>
        <v>#DIV/0!</v>
      </c>
      <c r="CR35" s="150" t="e">
        <f t="shared" si="252"/>
        <v>#DIV/0!</v>
      </c>
      <c r="CS35" s="150" t="e">
        <f t="shared" si="252"/>
        <v>#DIV/0!</v>
      </c>
      <c r="CT35" s="150" t="e">
        <f t="shared" si="252"/>
        <v>#DIV/0!</v>
      </c>
      <c r="CU35" s="150" t="e">
        <f t="shared" si="252"/>
        <v>#DIV/0!</v>
      </c>
      <c r="CV35" s="150" t="e">
        <f t="shared" si="252"/>
        <v>#DIV/0!</v>
      </c>
      <c r="CW35" s="150" t="e">
        <f t="shared" si="252"/>
        <v>#DIV/0!</v>
      </c>
      <c r="CX35" s="150" t="e">
        <f t="shared" si="252"/>
        <v>#DIV/0!</v>
      </c>
      <c r="CY35" s="150" t="e">
        <f t="shared" si="252"/>
        <v>#DIV/0!</v>
      </c>
      <c r="CZ35" s="150" t="e">
        <f t="shared" si="252"/>
        <v>#DIV/0!</v>
      </c>
      <c r="DA35" s="150" t="e">
        <f t="shared" si="252"/>
        <v>#DIV/0!</v>
      </c>
      <c r="DB35" s="150" t="e">
        <f t="shared" si="252"/>
        <v>#DIV/0!</v>
      </c>
      <c r="DC35" s="150" t="e">
        <f t="shared" si="252"/>
        <v>#DIV/0!</v>
      </c>
      <c r="DD35" s="150" t="e">
        <f t="shared" si="252"/>
        <v>#DIV/0!</v>
      </c>
      <c r="DE35" s="150" t="e">
        <f t="shared" si="252"/>
        <v>#DIV/0!</v>
      </c>
      <c r="DF35" s="150" t="e">
        <f t="shared" si="252"/>
        <v>#DIV/0!</v>
      </c>
      <c r="DG35" s="150" t="e">
        <f t="shared" si="252"/>
        <v>#DIV/0!</v>
      </c>
      <c r="DH35" s="150" t="e">
        <f t="shared" si="252"/>
        <v>#DIV/0!</v>
      </c>
      <c r="DI35" s="150" t="e">
        <f t="shared" si="252"/>
        <v>#DIV/0!</v>
      </c>
      <c r="DJ35" s="150" t="e">
        <f t="shared" si="252"/>
        <v>#DIV/0!</v>
      </c>
      <c r="DK35" s="150" t="e">
        <f t="shared" si="252"/>
        <v>#DIV/0!</v>
      </c>
      <c r="DL35" s="150" t="e">
        <f t="shared" si="252"/>
        <v>#DIV/0!</v>
      </c>
      <c r="DM35" s="150" t="e">
        <f t="shared" si="252"/>
        <v>#DIV/0!</v>
      </c>
      <c r="DN35" s="150" t="e">
        <f t="shared" si="252"/>
        <v>#DIV/0!</v>
      </c>
      <c r="DO35" s="150" t="e">
        <f t="shared" si="252"/>
        <v>#DIV/0!</v>
      </c>
      <c r="DP35" s="150" t="e">
        <f t="shared" si="252"/>
        <v>#DIV/0!</v>
      </c>
      <c r="DQ35" s="150" t="e">
        <f t="shared" si="252"/>
        <v>#DIV/0!</v>
      </c>
      <c r="DR35" s="150" t="e">
        <f t="shared" si="252"/>
        <v>#DIV/0!</v>
      </c>
      <c r="DS35" s="150" t="e">
        <f t="shared" si="252"/>
        <v>#DIV/0!</v>
      </c>
      <c r="DT35" s="150" t="e">
        <f t="shared" si="252"/>
        <v>#DIV/0!</v>
      </c>
      <c r="DU35" s="150" t="e">
        <f t="shared" si="252"/>
        <v>#DIV/0!</v>
      </c>
      <c r="DV35" s="150" t="e">
        <f t="shared" si="252"/>
        <v>#DIV/0!</v>
      </c>
      <c r="DW35" s="150" t="e">
        <f t="shared" si="252"/>
        <v>#DIV/0!</v>
      </c>
      <c r="DX35" s="150" t="e">
        <f t="shared" si="252"/>
        <v>#DIV/0!</v>
      </c>
      <c r="DY35" s="150" t="e">
        <f t="shared" si="252"/>
        <v>#DIV/0!</v>
      </c>
      <c r="DZ35" s="150" t="e">
        <f t="shared" si="252"/>
        <v>#DIV/0!</v>
      </c>
      <c r="EA35" s="150" t="e">
        <f t="shared" si="252"/>
        <v>#DIV/0!</v>
      </c>
      <c r="EB35" s="150" t="e">
        <f t="shared" si="252"/>
        <v>#DIV/0!</v>
      </c>
      <c r="EC35" s="150" t="e">
        <f t="shared" ref="EC35:FC35" si="253">MROUND(EC34+EC34*$C$35,1)</f>
        <v>#DIV/0!</v>
      </c>
      <c r="ED35" s="150" t="e">
        <f t="shared" si="253"/>
        <v>#DIV/0!</v>
      </c>
      <c r="EE35" s="150" t="e">
        <f t="shared" si="253"/>
        <v>#DIV/0!</v>
      </c>
      <c r="EF35" s="150" t="e">
        <f t="shared" si="253"/>
        <v>#DIV/0!</v>
      </c>
      <c r="EG35" s="150" t="e">
        <f t="shared" si="253"/>
        <v>#DIV/0!</v>
      </c>
      <c r="EH35" s="150" t="e">
        <f t="shared" si="253"/>
        <v>#DIV/0!</v>
      </c>
      <c r="EI35" s="150" t="e">
        <f t="shared" si="253"/>
        <v>#DIV/0!</v>
      </c>
      <c r="EJ35" s="150" t="e">
        <f t="shared" si="253"/>
        <v>#DIV/0!</v>
      </c>
      <c r="EK35" s="150" t="e">
        <f t="shared" si="253"/>
        <v>#DIV/0!</v>
      </c>
      <c r="EL35" s="150" t="e">
        <f t="shared" si="253"/>
        <v>#DIV/0!</v>
      </c>
      <c r="EM35" s="150" t="e">
        <f t="shared" si="253"/>
        <v>#DIV/0!</v>
      </c>
      <c r="EN35" s="150" t="e">
        <f t="shared" si="253"/>
        <v>#DIV/0!</v>
      </c>
      <c r="EO35" s="150" t="e">
        <f t="shared" si="253"/>
        <v>#DIV/0!</v>
      </c>
      <c r="EP35" s="150" t="e">
        <f t="shared" si="253"/>
        <v>#DIV/0!</v>
      </c>
      <c r="EQ35" s="150" t="e">
        <f t="shared" si="253"/>
        <v>#DIV/0!</v>
      </c>
      <c r="ER35" s="150" t="e">
        <f t="shared" si="253"/>
        <v>#DIV/0!</v>
      </c>
      <c r="ES35" s="150" t="e">
        <f t="shared" si="253"/>
        <v>#DIV/0!</v>
      </c>
      <c r="ET35" s="150" t="e">
        <f t="shared" si="253"/>
        <v>#DIV/0!</v>
      </c>
      <c r="EU35" s="150" t="e">
        <f t="shared" si="253"/>
        <v>#DIV/0!</v>
      </c>
      <c r="EV35" s="150" t="e">
        <f t="shared" si="253"/>
        <v>#DIV/0!</v>
      </c>
      <c r="EW35" s="150" t="e">
        <f t="shared" si="253"/>
        <v>#DIV/0!</v>
      </c>
      <c r="EX35" s="150" t="e">
        <f t="shared" si="253"/>
        <v>#DIV/0!</v>
      </c>
      <c r="EY35" s="5"/>
      <c r="EZ35" s="5"/>
      <c r="FA35" s="709"/>
      <c r="FB35" s="150">
        <f t="shared" si="253"/>
        <v>393417</v>
      </c>
      <c r="FC35" s="150">
        <f t="shared" si="253"/>
        <v>327848</v>
      </c>
    </row>
    <row r="36" spans="2:159" x14ac:dyDescent="0.45">
      <c r="B36" s="135"/>
      <c r="C36" s="136" t="s">
        <v>8</v>
      </c>
      <c r="D36" s="71" t="str">
        <f>DEC2HEX(D35)</f>
        <v>60171</v>
      </c>
      <c r="E36" s="71" t="str">
        <f>DEC2HEX(E35)</f>
        <v>5C162</v>
      </c>
      <c r="F36" s="71" t="str">
        <f>DEC2HEX(F35)</f>
        <v>58152</v>
      </c>
      <c r="G36" s="71" t="str">
        <f t="shared" ref="G36:BQ36" si="254">DEC2HEX(G35)</f>
        <v>54143</v>
      </c>
      <c r="H36" s="71" t="str">
        <f t="shared" si="254"/>
        <v>50134</v>
      </c>
      <c r="I36" s="71" t="str">
        <f t="shared" si="254"/>
        <v>4C124</v>
      </c>
      <c r="J36" s="71" t="str">
        <f t="shared" si="254"/>
        <v>48115</v>
      </c>
      <c r="K36" s="71" t="str">
        <f t="shared" si="254"/>
        <v>48115</v>
      </c>
      <c r="L36" s="71" t="str">
        <f t="shared" si="254"/>
        <v>44106</v>
      </c>
      <c r="M36" s="71" t="str">
        <f t="shared" si="254"/>
        <v>44106</v>
      </c>
      <c r="N36" s="71" t="str">
        <f t="shared" si="254"/>
        <v>400F6</v>
      </c>
      <c r="O36" s="71" t="str">
        <f t="shared" si="254"/>
        <v>3C0E7</v>
      </c>
      <c r="P36" s="71" t="str">
        <f t="shared" si="254"/>
        <v>3C0E7</v>
      </c>
      <c r="Q36" s="71" t="str">
        <f t="shared" si="254"/>
        <v>3C0E7</v>
      </c>
      <c r="R36" s="71" t="str">
        <f t="shared" si="254"/>
        <v>380D7</v>
      </c>
      <c r="S36" s="71" t="str">
        <f t="shared" si="254"/>
        <v>380D7</v>
      </c>
      <c r="T36" s="71" t="str">
        <f t="shared" si="254"/>
        <v>340C8</v>
      </c>
      <c r="U36" s="71" t="str">
        <f t="shared" si="254"/>
        <v>340C8</v>
      </c>
      <c r="V36" s="71" t="str">
        <f t="shared" si="254"/>
        <v>340C8</v>
      </c>
      <c r="W36" s="71" t="str">
        <f t="shared" si="254"/>
        <v>300B9</v>
      </c>
      <c r="X36" s="71" t="str">
        <f t="shared" si="254"/>
        <v>300B9</v>
      </c>
      <c r="Y36" s="71" t="str">
        <f t="shared" si="254"/>
        <v>300B9</v>
      </c>
      <c r="Z36" s="71" t="str">
        <f t="shared" si="254"/>
        <v>2C0A9</v>
      </c>
      <c r="AA36" s="71" t="str">
        <f t="shared" si="254"/>
        <v>2C0A9</v>
      </c>
      <c r="AB36" s="71" t="str">
        <f t="shared" si="254"/>
        <v>2C0A9</v>
      </c>
      <c r="AC36" s="71" t="str">
        <f t="shared" si="254"/>
        <v>2C0A9</v>
      </c>
      <c r="AD36" s="71" t="str">
        <f t="shared" si="254"/>
        <v>2809A</v>
      </c>
      <c r="AE36" s="71" t="str">
        <f t="shared" si="254"/>
        <v>2809A</v>
      </c>
      <c r="AF36" s="71" t="str">
        <f t="shared" si="254"/>
        <v>2809A</v>
      </c>
      <c r="AG36" s="71" t="e">
        <f t="shared" si="254"/>
        <v>#DIV/0!</v>
      </c>
      <c r="AH36" s="71" t="e">
        <f t="shared" si="254"/>
        <v>#DIV/0!</v>
      </c>
      <c r="AI36" s="71" t="e">
        <f t="shared" si="254"/>
        <v>#DIV/0!</v>
      </c>
      <c r="AJ36" s="71" t="e">
        <f t="shared" si="254"/>
        <v>#DIV/0!</v>
      </c>
      <c r="AK36" s="71" t="e">
        <f t="shared" si="254"/>
        <v>#DIV/0!</v>
      </c>
      <c r="AL36" s="71" t="e">
        <f t="shared" si="254"/>
        <v>#DIV/0!</v>
      </c>
      <c r="AM36" s="71" t="e">
        <f t="shared" si="254"/>
        <v>#DIV/0!</v>
      </c>
      <c r="AN36" s="71" t="e">
        <f t="shared" si="254"/>
        <v>#DIV/0!</v>
      </c>
      <c r="AO36" s="71" t="e">
        <f t="shared" si="254"/>
        <v>#DIV/0!</v>
      </c>
      <c r="AP36" s="71" t="e">
        <f t="shared" si="254"/>
        <v>#DIV/0!</v>
      </c>
      <c r="AQ36" s="71" t="e">
        <f t="shared" si="254"/>
        <v>#DIV/0!</v>
      </c>
      <c r="AR36" s="71" t="e">
        <f t="shared" si="254"/>
        <v>#DIV/0!</v>
      </c>
      <c r="AS36" s="71" t="e">
        <f t="shared" si="254"/>
        <v>#DIV/0!</v>
      </c>
      <c r="AT36" s="71" t="e">
        <f t="shared" si="254"/>
        <v>#DIV/0!</v>
      </c>
      <c r="AU36" s="71" t="e">
        <f t="shared" si="254"/>
        <v>#DIV/0!</v>
      </c>
      <c r="AV36" s="71" t="e">
        <f t="shared" si="254"/>
        <v>#DIV/0!</v>
      </c>
      <c r="AW36" s="71" t="e">
        <f t="shared" si="254"/>
        <v>#DIV/0!</v>
      </c>
      <c r="AX36" s="71" t="e">
        <f t="shared" si="254"/>
        <v>#DIV/0!</v>
      </c>
      <c r="AY36" s="71" t="e">
        <f t="shared" si="254"/>
        <v>#DIV/0!</v>
      </c>
      <c r="AZ36" s="71" t="e">
        <f t="shared" si="254"/>
        <v>#DIV/0!</v>
      </c>
      <c r="BA36" s="71" t="e">
        <f t="shared" si="254"/>
        <v>#DIV/0!</v>
      </c>
      <c r="BB36" s="71" t="e">
        <f t="shared" si="254"/>
        <v>#DIV/0!</v>
      </c>
      <c r="BC36" s="71" t="e">
        <f t="shared" si="254"/>
        <v>#DIV/0!</v>
      </c>
      <c r="BD36" s="71" t="e">
        <f t="shared" si="254"/>
        <v>#DIV/0!</v>
      </c>
      <c r="BE36" s="71" t="e">
        <f t="shared" si="254"/>
        <v>#DIV/0!</v>
      </c>
      <c r="BF36" s="71" t="e">
        <f t="shared" si="254"/>
        <v>#DIV/0!</v>
      </c>
      <c r="BG36" s="71" t="e">
        <f t="shared" si="254"/>
        <v>#DIV/0!</v>
      </c>
      <c r="BH36" s="71" t="e">
        <f t="shared" si="254"/>
        <v>#DIV/0!</v>
      </c>
      <c r="BI36" s="71" t="e">
        <f t="shared" si="254"/>
        <v>#DIV/0!</v>
      </c>
      <c r="BJ36" s="71" t="e">
        <f t="shared" si="254"/>
        <v>#DIV/0!</v>
      </c>
      <c r="BK36" s="71" t="e">
        <f t="shared" si="254"/>
        <v>#DIV/0!</v>
      </c>
      <c r="BL36" s="71" t="e">
        <f t="shared" si="254"/>
        <v>#DIV/0!</v>
      </c>
      <c r="BM36" s="71" t="e">
        <f t="shared" si="254"/>
        <v>#DIV/0!</v>
      </c>
      <c r="BN36" s="71" t="e">
        <f t="shared" si="254"/>
        <v>#DIV/0!</v>
      </c>
      <c r="BO36" s="71" t="e">
        <f t="shared" si="254"/>
        <v>#DIV/0!</v>
      </c>
      <c r="BP36" s="71" t="e">
        <f t="shared" si="254"/>
        <v>#DIV/0!</v>
      </c>
      <c r="BQ36" s="71" t="e">
        <f t="shared" si="254"/>
        <v>#DIV/0!</v>
      </c>
      <c r="BR36" s="71" t="e">
        <f t="shared" ref="BR36:EC36" si="255">DEC2HEX(BR35)</f>
        <v>#DIV/0!</v>
      </c>
      <c r="BS36" s="71" t="e">
        <f t="shared" si="255"/>
        <v>#DIV/0!</v>
      </c>
      <c r="BT36" s="71" t="e">
        <f t="shared" si="255"/>
        <v>#DIV/0!</v>
      </c>
      <c r="BU36" s="71" t="e">
        <f t="shared" si="255"/>
        <v>#DIV/0!</v>
      </c>
      <c r="BV36" s="71" t="e">
        <f t="shared" si="255"/>
        <v>#DIV/0!</v>
      </c>
      <c r="BW36" s="71" t="e">
        <f t="shared" si="255"/>
        <v>#DIV/0!</v>
      </c>
      <c r="BX36" s="71" t="e">
        <f t="shared" si="255"/>
        <v>#DIV/0!</v>
      </c>
      <c r="BY36" s="71" t="e">
        <f t="shared" si="255"/>
        <v>#DIV/0!</v>
      </c>
      <c r="BZ36" s="71" t="e">
        <f t="shared" si="255"/>
        <v>#DIV/0!</v>
      </c>
      <c r="CA36" s="71" t="e">
        <f t="shared" si="255"/>
        <v>#DIV/0!</v>
      </c>
      <c r="CB36" s="71" t="e">
        <f t="shared" si="255"/>
        <v>#DIV/0!</v>
      </c>
      <c r="CC36" s="71" t="e">
        <f t="shared" si="255"/>
        <v>#DIV/0!</v>
      </c>
      <c r="CD36" s="71" t="e">
        <f t="shared" si="255"/>
        <v>#DIV/0!</v>
      </c>
      <c r="CE36" s="71" t="e">
        <f t="shared" si="255"/>
        <v>#DIV/0!</v>
      </c>
      <c r="CF36" s="71" t="e">
        <f t="shared" si="255"/>
        <v>#DIV/0!</v>
      </c>
      <c r="CG36" s="71" t="e">
        <f t="shared" si="255"/>
        <v>#DIV/0!</v>
      </c>
      <c r="CH36" s="71" t="e">
        <f t="shared" si="255"/>
        <v>#DIV/0!</v>
      </c>
      <c r="CI36" s="71" t="e">
        <f t="shared" si="255"/>
        <v>#DIV/0!</v>
      </c>
      <c r="CJ36" s="71" t="e">
        <f t="shared" si="255"/>
        <v>#DIV/0!</v>
      </c>
      <c r="CK36" s="71" t="e">
        <f t="shared" si="255"/>
        <v>#DIV/0!</v>
      </c>
      <c r="CL36" s="71" t="e">
        <f t="shared" si="255"/>
        <v>#DIV/0!</v>
      </c>
      <c r="CM36" s="71" t="e">
        <f t="shared" si="255"/>
        <v>#DIV/0!</v>
      </c>
      <c r="CN36" s="71" t="e">
        <f t="shared" si="255"/>
        <v>#DIV/0!</v>
      </c>
      <c r="CO36" s="71" t="e">
        <f t="shared" si="255"/>
        <v>#DIV/0!</v>
      </c>
      <c r="CP36" s="71" t="e">
        <f t="shared" si="255"/>
        <v>#DIV/0!</v>
      </c>
      <c r="CQ36" s="71" t="e">
        <f t="shared" si="255"/>
        <v>#DIV/0!</v>
      </c>
      <c r="CR36" s="71" t="e">
        <f t="shared" si="255"/>
        <v>#DIV/0!</v>
      </c>
      <c r="CS36" s="71" t="e">
        <f t="shared" si="255"/>
        <v>#DIV/0!</v>
      </c>
      <c r="CT36" s="71" t="e">
        <f t="shared" si="255"/>
        <v>#DIV/0!</v>
      </c>
      <c r="CU36" s="71" t="e">
        <f t="shared" si="255"/>
        <v>#DIV/0!</v>
      </c>
      <c r="CV36" s="71" t="e">
        <f t="shared" si="255"/>
        <v>#DIV/0!</v>
      </c>
      <c r="CW36" s="71" t="e">
        <f t="shared" si="255"/>
        <v>#DIV/0!</v>
      </c>
      <c r="CX36" s="71" t="e">
        <f t="shared" si="255"/>
        <v>#DIV/0!</v>
      </c>
      <c r="CY36" s="71" t="e">
        <f t="shared" si="255"/>
        <v>#DIV/0!</v>
      </c>
      <c r="CZ36" s="71" t="e">
        <f t="shared" si="255"/>
        <v>#DIV/0!</v>
      </c>
      <c r="DA36" s="71" t="e">
        <f t="shared" si="255"/>
        <v>#DIV/0!</v>
      </c>
      <c r="DB36" s="71" t="e">
        <f t="shared" si="255"/>
        <v>#DIV/0!</v>
      </c>
      <c r="DC36" s="71" t="e">
        <f t="shared" si="255"/>
        <v>#DIV/0!</v>
      </c>
      <c r="DD36" s="71" t="e">
        <f t="shared" si="255"/>
        <v>#DIV/0!</v>
      </c>
      <c r="DE36" s="71" t="e">
        <f t="shared" si="255"/>
        <v>#DIV/0!</v>
      </c>
      <c r="DF36" s="71" t="e">
        <f t="shared" si="255"/>
        <v>#DIV/0!</v>
      </c>
      <c r="DG36" s="71" t="e">
        <f t="shared" si="255"/>
        <v>#DIV/0!</v>
      </c>
      <c r="DH36" s="71" t="e">
        <f t="shared" si="255"/>
        <v>#DIV/0!</v>
      </c>
      <c r="DI36" s="71" t="e">
        <f t="shared" si="255"/>
        <v>#DIV/0!</v>
      </c>
      <c r="DJ36" s="71" t="e">
        <f t="shared" si="255"/>
        <v>#DIV/0!</v>
      </c>
      <c r="DK36" s="71" t="e">
        <f t="shared" si="255"/>
        <v>#DIV/0!</v>
      </c>
      <c r="DL36" s="71" t="e">
        <f t="shared" si="255"/>
        <v>#DIV/0!</v>
      </c>
      <c r="DM36" s="71" t="e">
        <f t="shared" si="255"/>
        <v>#DIV/0!</v>
      </c>
      <c r="DN36" s="71" t="e">
        <f t="shared" si="255"/>
        <v>#DIV/0!</v>
      </c>
      <c r="DO36" s="71" t="e">
        <f t="shared" si="255"/>
        <v>#DIV/0!</v>
      </c>
      <c r="DP36" s="71" t="e">
        <f t="shared" si="255"/>
        <v>#DIV/0!</v>
      </c>
      <c r="DQ36" s="71" t="e">
        <f t="shared" si="255"/>
        <v>#DIV/0!</v>
      </c>
      <c r="DR36" s="71" t="e">
        <f t="shared" si="255"/>
        <v>#DIV/0!</v>
      </c>
      <c r="DS36" s="71" t="e">
        <f t="shared" si="255"/>
        <v>#DIV/0!</v>
      </c>
      <c r="DT36" s="71" t="e">
        <f t="shared" si="255"/>
        <v>#DIV/0!</v>
      </c>
      <c r="DU36" s="71" t="e">
        <f t="shared" si="255"/>
        <v>#DIV/0!</v>
      </c>
      <c r="DV36" s="71" t="e">
        <f t="shared" si="255"/>
        <v>#DIV/0!</v>
      </c>
      <c r="DW36" s="71" t="e">
        <f t="shared" si="255"/>
        <v>#DIV/0!</v>
      </c>
      <c r="DX36" s="71" t="e">
        <f t="shared" si="255"/>
        <v>#DIV/0!</v>
      </c>
      <c r="DY36" s="71" t="e">
        <f t="shared" si="255"/>
        <v>#DIV/0!</v>
      </c>
      <c r="DZ36" s="71" t="e">
        <f t="shared" si="255"/>
        <v>#DIV/0!</v>
      </c>
      <c r="EA36" s="71" t="e">
        <f t="shared" si="255"/>
        <v>#DIV/0!</v>
      </c>
      <c r="EB36" s="71" t="e">
        <f t="shared" si="255"/>
        <v>#DIV/0!</v>
      </c>
      <c r="EC36" s="71" t="e">
        <f t="shared" si="255"/>
        <v>#DIV/0!</v>
      </c>
      <c r="ED36" s="71" t="e">
        <f t="shared" ref="ED36:FC36" si="256">DEC2HEX(ED35)</f>
        <v>#DIV/0!</v>
      </c>
      <c r="EE36" s="71" t="e">
        <f t="shared" si="256"/>
        <v>#DIV/0!</v>
      </c>
      <c r="EF36" s="71" t="e">
        <f t="shared" si="256"/>
        <v>#DIV/0!</v>
      </c>
      <c r="EG36" s="71" t="e">
        <f t="shared" si="256"/>
        <v>#DIV/0!</v>
      </c>
      <c r="EH36" s="71" t="e">
        <f t="shared" si="256"/>
        <v>#DIV/0!</v>
      </c>
      <c r="EI36" s="71" t="e">
        <f t="shared" si="256"/>
        <v>#DIV/0!</v>
      </c>
      <c r="EJ36" s="71" t="e">
        <f t="shared" si="256"/>
        <v>#DIV/0!</v>
      </c>
      <c r="EK36" s="71" t="e">
        <f t="shared" si="256"/>
        <v>#DIV/0!</v>
      </c>
      <c r="EL36" s="71" t="e">
        <f t="shared" si="256"/>
        <v>#DIV/0!</v>
      </c>
      <c r="EM36" s="71" t="e">
        <f t="shared" si="256"/>
        <v>#DIV/0!</v>
      </c>
      <c r="EN36" s="71" t="e">
        <f t="shared" si="256"/>
        <v>#DIV/0!</v>
      </c>
      <c r="EO36" s="71" t="e">
        <f t="shared" si="256"/>
        <v>#DIV/0!</v>
      </c>
      <c r="EP36" s="71" t="e">
        <f t="shared" si="256"/>
        <v>#DIV/0!</v>
      </c>
      <c r="EQ36" s="71" t="e">
        <f t="shared" si="256"/>
        <v>#DIV/0!</v>
      </c>
      <c r="ER36" s="71" t="e">
        <f t="shared" si="256"/>
        <v>#DIV/0!</v>
      </c>
      <c r="ES36" s="71" t="e">
        <f t="shared" si="256"/>
        <v>#DIV/0!</v>
      </c>
      <c r="ET36" s="71" t="e">
        <f t="shared" si="256"/>
        <v>#DIV/0!</v>
      </c>
      <c r="EU36" s="71" t="e">
        <f t="shared" si="256"/>
        <v>#DIV/0!</v>
      </c>
      <c r="EV36" s="71" t="e">
        <f t="shared" si="256"/>
        <v>#DIV/0!</v>
      </c>
      <c r="EW36" s="71" t="e">
        <f t="shared" si="256"/>
        <v>#DIV/0!</v>
      </c>
      <c r="EX36" s="71" t="e">
        <f t="shared" si="256"/>
        <v>#DIV/0!</v>
      </c>
      <c r="EY36" s="59"/>
      <c r="EZ36" s="59"/>
      <c r="FA36" s="709"/>
      <c r="FB36" s="71" t="str">
        <f t="shared" si="256"/>
        <v>600C9</v>
      </c>
      <c r="FC36" s="71" t="str">
        <f t="shared" si="256"/>
        <v>500A8</v>
      </c>
    </row>
    <row r="37" spans="2:159" x14ac:dyDescent="0.45">
      <c r="B37" s="133" t="s">
        <v>1166</v>
      </c>
      <c r="C37" s="134" t="s">
        <v>5</v>
      </c>
      <c r="D37" s="6">
        <v>0</v>
      </c>
      <c r="E37" s="6">
        <f>D37</f>
        <v>0</v>
      </c>
      <c r="F37" s="6">
        <f>E37</f>
        <v>0</v>
      </c>
      <c r="G37" s="6">
        <f t="shared" ref="G37:U38" si="257">F37</f>
        <v>0</v>
      </c>
      <c r="H37" s="6">
        <f t="shared" si="257"/>
        <v>0</v>
      </c>
      <c r="I37" s="6">
        <f t="shared" si="257"/>
        <v>0</v>
      </c>
      <c r="J37" s="6">
        <f t="shared" si="257"/>
        <v>0</v>
      </c>
      <c r="K37" s="6">
        <f t="shared" si="257"/>
        <v>0</v>
      </c>
      <c r="L37" s="6">
        <f t="shared" si="257"/>
        <v>0</v>
      </c>
      <c r="M37" s="6">
        <f t="shared" si="257"/>
        <v>0</v>
      </c>
      <c r="N37" s="6">
        <f t="shared" si="257"/>
        <v>0</v>
      </c>
      <c r="O37" s="6">
        <f t="shared" si="257"/>
        <v>0</v>
      </c>
      <c r="P37" s="6">
        <f t="shared" si="257"/>
        <v>0</v>
      </c>
      <c r="Q37" s="6">
        <f t="shared" si="257"/>
        <v>0</v>
      </c>
      <c r="R37" s="6">
        <f t="shared" si="257"/>
        <v>0</v>
      </c>
      <c r="S37" s="6">
        <f t="shared" si="257"/>
        <v>0</v>
      </c>
      <c r="T37" s="6">
        <f t="shared" si="257"/>
        <v>0</v>
      </c>
      <c r="U37" s="6">
        <f t="shared" si="257"/>
        <v>0</v>
      </c>
      <c r="V37" s="6">
        <f t="shared" ref="V37:AK38" si="258">U37</f>
        <v>0</v>
      </c>
      <c r="W37" s="6">
        <f t="shared" si="258"/>
        <v>0</v>
      </c>
      <c r="X37" s="6">
        <f t="shared" si="258"/>
        <v>0</v>
      </c>
      <c r="Y37" s="6">
        <f t="shared" si="258"/>
        <v>0</v>
      </c>
      <c r="Z37" s="6">
        <f t="shared" si="258"/>
        <v>0</v>
      </c>
      <c r="AA37" s="6">
        <f t="shared" si="258"/>
        <v>0</v>
      </c>
      <c r="AB37" s="6">
        <f t="shared" si="258"/>
        <v>0</v>
      </c>
      <c r="AC37" s="6">
        <f t="shared" si="258"/>
        <v>0</v>
      </c>
      <c r="AD37" s="6">
        <f t="shared" si="258"/>
        <v>0</v>
      </c>
      <c r="AE37" s="6">
        <f t="shared" si="258"/>
        <v>0</v>
      </c>
      <c r="AF37" s="6">
        <f t="shared" si="258"/>
        <v>0</v>
      </c>
      <c r="AG37" s="6">
        <f t="shared" si="258"/>
        <v>0</v>
      </c>
      <c r="AH37" s="6">
        <f t="shared" si="258"/>
        <v>0</v>
      </c>
      <c r="AI37" s="6">
        <f t="shared" si="258"/>
        <v>0</v>
      </c>
      <c r="AJ37" s="6">
        <f t="shared" si="258"/>
        <v>0</v>
      </c>
      <c r="AK37" s="6">
        <f t="shared" si="258"/>
        <v>0</v>
      </c>
      <c r="AL37" s="6">
        <f t="shared" ref="AL37:BA38" si="259">AK37</f>
        <v>0</v>
      </c>
      <c r="AM37" s="6">
        <f t="shared" si="259"/>
        <v>0</v>
      </c>
      <c r="AN37" s="6">
        <f t="shared" si="259"/>
        <v>0</v>
      </c>
      <c r="AO37" s="6">
        <f t="shared" si="259"/>
        <v>0</v>
      </c>
      <c r="AP37" s="6">
        <f t="shared" si="259"/>
        <v>0</v>
      </c>
      <c r="AQ37" s="6">
        <f t="shared" si="259"/>
        <v>0</v>
      </c>
      <c r="AR37" s="6">
        <f t="shared" si="259"/>
        <v>0</v>
      </c>
      <c r="AS37" s="6">
        <f t="shared" si="259"/>
        <v>0</v>
      </c>
      <c r="AT37" s="6">
        <f t="shared" si="259"/>
        <v>0</v>
      </c>
      <c r="AU37" s="6">
        <f t="shared" si="259"/>
        <v>0</v>
      </c>
      <c r="AV37" s="6">
        <f t="shared" si="259"/>
        <v>0</v>
      </c>
      <c r="AW37" s="6">
        <f>AV37</f>
        <v>0</v>
      </c>
      <c r="AX37" s="6">
        <f t="shared" si="259"/>
        <v>0</v>
      </c>
      <c r="AY37" s="6">
        <f t="shared" si="259"/>
        <v>0</v>
      </c>
      <c r="AZ37" s="6">
        <f t="shared" si="259"/>
        <v>0</v>
      </c>
      <c r="BA37" s="6">
        <f t="shared" si="259"/>
        <v>0</v>
      </c>
      <c r="BB37" s="6">
        <f t="shared" ref="BB37:BQ38" si="260">BA37</f>
        <v>0</v>
      </c>
      <c r="BC37" s="6">
        <f t="shared" si="260"/>
        <v>0</v>
      </c>
      <c r="BD37" s="6">
        <f t="shared" si="260"/>
        <v>0</v>
      </c>
      <c r="BE37" s="6">
        <f t="shared" si="260"/>
        <v>0</v>
      </c>
      <c r="BF37" s="6">
        <f t="shared" si="260"/>
        <v>0</v>
      </c>
      <c r="BG37" s="6">
        <f t="shared" si="260"/>
        <v>0</v>
      </c>
      <c r="BH37" s="6">
        <f t="shared" si="260"/>
        <v>0</v>
      </c>
      <c r="BI37" s="6">
        <f t="shared" si="260"/>
        <v>0</v>
      </c>
      <c r="BJ37" s="6">
        <f t="shared" si="260"/>
        <v>0</v>
      </c>
      <c r="BK37" s="6">
        <f t="shared" si="260"/>
        <v>0</v>
      </c>
      <c r="BL37" s="6">
        <f t="shared" si="260"/>
        <v>0</v>
      </c>
      <c r="BM37" s="6">
        <f t="shared" si="260"/>
        <v>0</v>
      </c>
      <c r="BN37" s="6">
        <f t="shared" si="260"/>
        <v>0</v>
      </c>
      <c r="BO37" s="6">
        <f t="shared" si="260"/>
        <v>0</v>
      </c>
      <c r="BP37" s="6">
        <f t="shared" si="260"/>
        <v>0</v>
      </c>
      <c r="BQ37" s="6">
        <f t="shared" si="260"/>
        <v>0</v>
      </c>
      <c r="BR37" s="6">
        <f t="shared" ref="BR37:CG38" si="261">BQ37</f>
        <v>0</v>
      </c>
      <c r="BS37" s="6">
        <f t="shared" si="261"/>
        <v>0</v>
      </c>
      <c r="BT37" s="6">
        <f t="shared" si="261"/>
        <v>0</v>
      </c>
      <c r="BU37" s="6">
        <f t="shared" si="261"/>
        <v>0</v>
      </c>
      <c r="BV37" s="6">
        <f t="shared" si="261"/>
        <v>0</v>
      </c>
      <c r="BW37" s="6">
        <f t="shared" si="261"/>
        <v>0</v>
      </c>
      <c r="BX37" s="6">
        <f t="shared" si="261"/>
        <v>0</v>
      </c>
      <c r="BY37" s="6">
        <f t="shared" si="261"/>
        <v>0</v>
      </c>
      <c r="BZ37" s="6">
        <f t="shared" si="261"/>
        <v>0</v>
      </c>
      <c r="CA37" s="6">
        <f t="shared" si="261"/>
        <v>0</v>
      </c>
      <c r="CB37" s="6">
        <f t="shared" si="261"/>
        <v>0</v>
      </c>
      <c r="CC37" s="6">
        <f t="shared" si="261"/>
        <v>0</v>
      </c>
      <c r="CD37" s="6">
        <f t="shared" si="261"/>
        <v>0</v>
      </c>
      <c r="CE37" s="6">
        <f t="shared" si="261"/>
        <v>0</v>
      </c>
      <c r="CF37" s="6">
        <f t="shared" si="261"/>
        <v>0</v>
      </c>
      <c r="CG37" s="6">
        <f t="shared" si="261"/>
        <v>0</v>
      </c>
      <c r="CH37" s="6">
        <f t="shared" ref="CH37:CW38" si="262">CG37</f>
        <v>0</v>
      </c>
      <c r="CI37" s="6">
        <f t="shared" si="262"/>
        <v>0</v>
      </c>
      <c r="CJ37" s="6">
        <f t="shared" si="262"/>
        <v>0</v>
      </c>
      <c r="CK37" s="6">
        <f t="shared" si="262"/>
        <v>0</v>
      </c>
      <c r="CL37" s="6">
        <f t="shared" si="262"/>
        <v>0</v>
      </c>
      <c r="CM37" s="6">
        <f t="shared" si="262"/>
        <v>0</v>
      </c>
      <c r="CN37" s="6">
        <f t="shared" si="262"/>
        <v>0</v>
      </c>
      <c r="CO37" s="6">
        <f t="shared" si="262"/>
        <v>0</v>
      </c>
      <c r="CP37" s="6">
        <f t="shared" si="262"/>
        <v>0</v>
      </c>
      <c r="CQ37" s="6">
        <f t="shared" si="262"/>
        <v>0</v>
      </c>
      <c r="CR37" s="6">
        <f t="shared" si="262"/>
        <v>0</v>
      </c>
      <c r="CS37" s="6">
        <f t="shared" si="262"/>
        <v>0</v>
      </c>
      <c r="CT37" s="6">
        <f t="shared" si="262"/>
        <v>0</v>
      </c>
      <c r="CU37" s="6">
        <f t="shared" si="262"/>
        <v>0</v>
      </c>
      <c r="CV37" s="6">
        <f t="shared" si="262"/>
        <v>0</v>
      </c>
      <c r="CW37" s="6">
        <f t="shared" si="262"/>
        <v>0</v>
      </c>
      <c r="CX37" s="6">
        <f t="shared" ref="CX37:DM38" si="263">CW37</f>
        <v>0</v>
      </c>
      <c r="CY37" s="6">
        <f t="shared" si="263"/>
        <v>0</v>
      </c>
      <c r="CZ37" s="6">
        <f t="shared" si="263"/>
        <v>0</v>
      </c>
      <c r="DA37" s="6">
        <f t="shared" si="263"/>
        <v>0</v>
      </c>
      <c r="DB37" s="6">
        <f t="shared" si="263"/>
        <v>0</v>
      </c>
      <c r="DC37" s="6">
        <f t="shared" si="263"/>
        <v>0</v>
      </c>
      <c r="DD37" s="6">
        <f t="shared" si="263"/>
        <v>0</v>
      </c>
      <c r="DE37" s="6">
        <f t="shared" si="263"/>
        <v>0</v>
      </c>
      <c r="DF37" s="6">
        <f t="shared" si="263"/>
        <v>0</v>
      </c>
      <c r="DG37" s="6">
        <f t="shared" si="263"/>
        <v>0</v>
      </c>
      <c r="DH37" s="6">
        <f t="shared" si="263"/>
        <v>0</v>
      </c>
      <c r="DI37" s="6">
        <f t="shared" si="263"/>
        <v>0</v>
      </c>
      <c r="DJ37" s="6">
        <f t="shared" si="263"/>
        <v>0</v>
      </c>
      <c r="DK37" s="6">
        <f t="shared" si="263"/>
        <v>0</v>
      </c>
      <c r="DL37" s="6">
        <f t="shared" si="263"/>
        <v>0</v>
      </c>
      <c r="DM37" s="6">
        <f t="shared" si="263"/>
        <v>0</v>
      </c>
      <c r="DN37" s="6">
        <f t="shared" ref="DN37:EC38" si="264">DM37</f>
        <v>0</v>
      </c>
      <c r="DO37" s="6">
        <f t="shared" si="264"/>
        <v>0</v>
      </c>
      <c r="DP37" s="6">
        <f t="shared" si="264"/>
        <v>0</v>
      </c>
      <c r="DQ37" s="6">
        <f t="shared" si="264"/>
        <v>0</v>
      </c>
      <c r="DR37" s="6">
        <f t="shared" si="264"/>
        <v>0</v>
      </c>
      <c r="DS37" s="6">
        <f t="shared" si="264"/>
        <v>0</v>
      </c>
      <c r="DT37" s="6">
        <f t="shared" si="264"/>
        <v>0</v>
      </c>
      <c r="DU37" s="6">
        <f t="shared" si="264"/>
        <v>0</v>
      </c>
      <c r="DV37" s="6">
        <f t="shared" si="264"/>
        <v>0</v>
      </c>
      <c r="DW37" s="6">
        <f t="shared" si="264"/>
        <v>0</v>
      </c>
      <c r="DX37" s="6">
        <f t="shared" si="264"/>
        <v>0</v>
      </c>
      <c r="DY37" s="6">
        <f t="shared" si="264"/>
        <v>0</v>
      </c>
      <c r="DZ37" s="6">
        <f t="shared" si="264"/>
        <v>0</v>
      </c>
      <c r="EA37" s="6">
        <f t="shared" si="264"/>
        <v>0</v>
      </c>
      <c r="EB37" s="6">
        <f t="shared" si="264"/>
        <v>0</v>
      </c>
      <c r="EC37" s="6">
        <f t="shared" si="264"/>
        <v>0</v>
      </c>
      <c r="ED37" s="6">
        <f t="shared" ref="ED37:ES38" si="265">EC37</f>
        <v>0</v>
      </c>
      <c r="EE37" s="6">
        <f t="shared" si="265"/>
        <v>0</v>
      </c>
      <c r="EF37" s="6">
        <f t="shared" si="265"/>
        <v>0</v>
      </c>
      <c r="EG37" s="6">
        <f t="shared" si="265"/>
        <v>0</v>
      </c>
      <c r="EH37" s="6">
        <f t="shared" si="265"/>
        <v>0</v>
      </c>
      <c r="EI37" s="6">
        <f t="shared" si="265"/>
        <v>0</v>
      </c>
      <c r="EJ37" s="6">
        <f t="shared" si="265"/>
        <v>0</v>
      </c>
      <c r="EK37" s="6">
        <f t="shared" si="265"/>
        <v>0</v>
      </c>
      <c r="EL37" s="6">
        <f t="shared" si="265"/>
        <v>0</v>
      </c>
      <c r="EM37" s="6">
        <f t="shared" si="265"/>
        <v>0</v>
      </c>
      <c r="EN37" s="6">
        <f t="shared" si="265"/>
        <v>0</v>
      </c>
      <c r="EO37" s="6">
        <f t="shared" si="265"/>
        <v>0</v>
      </c>
      <c r="EP37" s="6">
        <f t="shared" si="265"/>
        <v>0</v>
      </c>
      <c r="EQ37" s="6">
        <f t="shared" si="265"/>
        <v>0</v>
      </c>
      <c r="ER37" s="6">
        <f t="shared" si="265"/>
        <v>0</v>
      </c>
      <c r="ES37" s="6">
        <f t="shared" si="265"/>
        <v>0</v>
      </c>
      <c r="ET37" s="6">
        <f t="shared" ref="ET37:EX38" si="266">ES37</f>
        <v>0</v>
      </c>
      <c r="EU37" s="6">
        <f t="shared" si="266"/>
        <v>0</v>
      </c>
      <c r="EV37" s="6">
        <f t="shared" si="266"/>
        <v>0</v>
      </c>
      <c r="EW37" s="6">
        <f t="shared" si="266"/>
        <v>0</v>
      </c>
      <c r="EX37" s="6">
        <f t="shared" si="266"/>
        <v>0</v>
      </c>
      <c r="EY37" s="5"/>
      <c r="EZ37" s="5"/>
      <c r="FA37" s="709"/>
      <c r="FB37" s="6">
        <v>3</v>
      </c>
      <c r="FC37" s="6">
        <f>FB37</f>
        <v>3</v>
      </c>
    </row>
    <row r="38" spans="2:159" x14ac:dyDescent="0.45">
      <c r="B38" s="135" t="s">
        <v>1162</v>
      </c>
      <c r="C38" s="136" t="s">
        <v>5</v>
      </c>
      <c r="D38">
        <v>1</v>
      </c>
      <c r="E38">
        <f>D38</f>
        <v>1</v>
      </c>
      <c r="F38">
        <f>E38</f>
        <v>1</v>
      </c>
      <c r="G38">
        <f t="shared" si="257"/>
        <v>1</v>
      </c>
      <c r="H38">
        <f t="shared" si="257"/>
        <v>1</v>
      </c>
      <c r="I38">
        <f t="shared" si="257"/>
        <v>1</v>
      </c>
      <c r="J38">
        <f t="shared" si="257"/>
        <v>1</v>
      </c>
      <c r="K38">
        <f t="shared" si="257"/>
        <v>1</v>
      </c>
      <c r="L38">
        <f t="shared" si="257"/>
        <v>1</v>
      </c>
      <c r="M38">
        <f t="shared" si="257"/>
        <v>1</v>
      </c>
      <c r="N38">
        <f t="shared" si="257"/>
        <v>1</v>
      </c>
      <c r="O38">
        <f t="shared" si="257"/>
        <v>1</v>
      </c>
      <c r="P38">
        <f t="shared" si="257"/>
        <v>1</v>
      </c>
      <c r="Q38">
        <f t="shared" si="257"/>
        <v>1</v>
      </c>
      <c r="R38">
        <f t="shared" si="257"/>
        <v>1</v>
      </c>
      <c r="S38">
        <f t="shared" si="257"/>
        <v>1</v>
      </c>
      <c r="T38">
        <f t="shared" si="257"/>
        <v>1</v>
      </c>
      <c r="U38">
        <f t="shared" si="257"/>
        <v>1</v>
      </c>
      <c r="V38">
        <f t="shared" si="258"/>
        <v>1</v>
      </c>
      <c r="W38">
        <f t="shared" si="258"/>
        <v>1</v>
      </c>
      <c r="X38">
        <f t="shared" si="258"/>
        <v>1</v>
      </c>
      <c r="Y38">
        <f t="shared" si="258"/>
        <v>1</v>
      </c>
      <c r="Z38">
        <f t="shared" si="258"/>
        <v>1</v>
      </c>
      <c r="AA38">
        <f t="shared" si="258"/>
        <v>1</v>
      </c>
      <c r="AB38">
        <f t="shared" si="258"/>
        <v>1</v>
      </c>
      <c r="AC38">
        <f t="shared" si="258"/>
        <v>1</v>
      </c>
      <c r="AD38">
        <f t="shared" si="258"/>
        <v>1</v>
      </c>
      <c r="AE38">
        <f t="shared" si="258"/>
        <v>1</v>
      </c>
      <c r="AF38">
        <f t="shared" si="258"/>
        <v>1</v>
      </c>
      <c r="AG38">
        <f t="shared" si="258"/>
        <v>1</v>
      </c>
      <c r="AH38">
        <f t="shared" si="258"/>
        <v>1</v>
      </c>
      <c r="AI38">
        <f t="shared" si="258"/>
        <v>1</v>
      </c>
      <c r="AJ38">
        <f t="shared" si="258"/>
        <v>1</v>
      </c>
      <c r="AK38">
        <f t="shared" si="258"/>
        <v>1</v>
      </c>
      <c r="AL38">
        <f t="shared" si="259"/>
        <v>1</v>
      </c>
      <c r="AM38">
        <f t="shared" si="259"/>
        <v>1</v>
      </c>
      <c r="AN38">
        <v>8</v>
      </c>
      <c r="AO38">
        <f t="shared" si="259"/>
        <v>8</v>
      </c>
      <c r="AP38">
        <f t="shared" si="259"/>
        <v>8</v>
      </c>
      <c r="AQ38">
        <f t="shared" si="259"/>
        <v>8</v>
      </c>
      <c r="AR38">
        <f t="shared" si="259"/>
        <v>8</v>
      </c>
      <c r="AS38">
        <f t="shared" si="259"/>
        <v>8</v>
      </c>
      <c r="AT38">
        <f t="shared" si="259"/>
        <v>8</v>
      </c>
      <c r="AU38">
        <f t="shared" si="259"/>
        <v>8</v>
      </c>
      <c r="AV38">
        <f t="shared" si="259"/>
        <v>8</v>
      </c>
      <c r="AW38">
        <f>AV38</f>
        <v>8</v>
      </c>
      <c r="AX38">
        <f t="shared" si="259"/>
        <v>8</v>
      </c>
      <c r="AY38">
        <f t="shared" si="259"/>
        <v>8</v>
      </c>
      <c r="AZ38">
        <f t="shared" si="259"/>
        <v>8</v>
      </c>
      <c r="BA38">
        <f t="shared" si="259"/>
        <v>8</v>
      </c>
      <c r="BB38">
        <f t="shared" si="260"/>
        <v>8</v>
      </c>
      <c r="BC38">
        <f t="shared" si="260"/>
        <v>8</v>
      </c>
      <c r="BD38">
        <f t="shared" si="260"/>
        <v>8</v>
      </c>
      <c r="BE38">
        <f t="shared" si="260"/>
        <v>8</v>
      </c>
      <c r="BF38">
        <f t="shared" si="260"/>
        <v>8</v>
      </c>
      <c r="BG38">
        <f t="shared" si="260"/>
        <v>8</v>
      </c>
      <c r="BH38">
        <f t="shared" si="260"/>
        <v>8</v>
      </c>
      <c r="BI38">
        <f t="shared" si="260"/>
        <v>8</v>
      </c>
      <c r="BJ38">
        <f t="shared" si="260"/>
        <v>8</v>
      </c>
      <c r="BK38">
        <f t="shared" si="260"/>
        <v>8</v>
      </c>
      <c r="BL38">
        <f t="shared" si="260"/>
        <v>8</v>
      </c>
      <c r="BM38">
        <f t="shared" si="260"/>
        <v>8</v>
      </c>
      <c r="BN38">
        <f t="shared" si="260"/>
        <v>8</v>
      </c>
      <c r="BO38">
        <f t="shared" si="260"/>
        <v>8</v>
      </c>
      <c r="BP38">
        <f t="shared" si="260"/>
        <v>8</v>
      </c>
      <c r="BQ38">
        <f t="shared" si="260"/>
        <v>8</v>
      </c>
      <c r="BR38">
        <f t="shared" si="261"/>
        <v>8</v>
      </c>
      <c r="BS38">
        <f t="shared" si="261"/>
        <v>8</v>
      </c>
      <c r="BT38">
        <f t="shared" si="261"/>
        <v>8</v>
      </c>
      <c r="BU38">
        <f t="shared" si="261"/>
        <v>8</v>
      </c>
      <c r="BV38">
        <f t="shared" si="261"/>
        <v>8</v>
      </c>
      <c r="BW38">
        <f t="shared" si="261"/>
        <v>8</v>
      </c>
      <c r="BX38">
        <f t="shared" si="261"/>
        <v>8</v>
      </c>
      <c r="BY38">
        <f t="shared" si="261"/>
        <v>8</v>
      </c>
      <c r="BZ38">
        <f t="shared" si="261"/>
        <v>8</v>
      </c>
      <c r="CA38">
        <f t="shared" si="261"/>
        <v>8</v>
      </c>
      <c r="CB38">
        <f t="shared" si="261"/>
        <v>8</v>
      </c>
      <c r="CC38">
        <f t="shared" si="261"/>
        <v>8</v>
      </c>
      <c r="CD38">
        <f t="shared" si="261"/>
        <v>8</v>
      </c>
      <c r="CE38">
        <f t="shared" si="261"/>
        <v>8</v>
      </c>
      <c r="CF38">
        <f t="shared" si="261"/>
        <v>8</v>
      </c>
      <c r="CG38">
        <f t="shared" si="261"/>
        <v>8</v>
      </c>
      <c r="CH38">
        <f t="shared" si="262"/>
        <v>8</v>
      </c>
      <c r="CI38">
        <f t="shared" si="262"/>
        <v>8</v>
      </c>
      <c r="CJ38">
        <f t="shared" si="262"/>
        <v>8</v>
      </c>
      <c r="CK38">
        <f t="shared" si="262"/>
        <v>8</v>
      </c>
      <c r="CL38">
        <f t="shared" si="262"/>
        <v>8</v>
      </c>
      <c r="CM38">
        <f t="shared" si="262"/>
        <v>8</v>
      </c>
      <c r="CN38">
        <f t="shared" si="262"/>
        <v>8</v>
      </c>
      <c r="CO38">
        <f t="shared" si="262"/>
        <v>8</v>
      </c>
      <c r="CP38">
        <f t="shared" si="262"/>
        <v>8</v>
      </c>
      <c r="CQ38">
        <f t="shared" si="262"/>
        <v>8</v>
      </c>
      <c r="CR38">
        <f t="shared" si="262"/>
        <v>8</v>
      </c>
      <c r="CS38">
        <f t="shared" si="262"/>
        <v>8</v>
      </c>
      <c r="CT38">
        <f t="shared" si="262"/>
        <v>8</v>
      </c>
      <c r="CU38">
        <f t="shared" si="262"/>
        <v>8</v>
      </c>
      <c r="CV38">
        <f t="shared" si="262"/>
        <v>8</v>
      </c>
      <c r="CW38">
        <f t="shared" si="262"/>
        <v>8</v>
      </c>
      <c r="CX38">
        <f t="shared" si="263"/>
        <v>8</v>
      </c>
      <c r="CY38">
        <f t="shared" si="263"/>
        <v>8</v>
      </c>
      <c r="CZ38">
        <f t="shared" si="263"/>
        <v>8</v>
      </c>
      <c r="DA38">
        <f t="shared" si="263"/>
        <v>8</v>
      </c>
      <c r="DB38">
        <f t="shared" si="263"/>
        <v>8</v>
      </c>
      <c r="DC38">
        <f t="shared" si="263"/>
        <v>8</v>
      </c>
      <c r="DD38">
        <f t="shared" si="263"/>
        <v>8</v>
      </c>
      <c r="DE38">
        <f t="shared" si="263"/>
        <v>8</v>
      </c>
      <c r="DF38">
        <f t="shared" si="263"/>
        <v>8</v>
      </c>
      <c r="DG38">
        <f t="shared" si="263"/>
        <v>8</v>
      </c>
      <c r="DH38">
        <f t="shared" si="263"/>
        <v>8</v>
      </c>
      <c r="DI38">
        <f t="shared" si="263"/>
        <v>8</v>
      </c>
      <c r="DJ38">
        <f t="shared" si="263"/>
        <v>8</v>
      </c>
      <c r="DK38">
        <f t="shared" si="263"/>
        <v>8</v>
      </c>
      <c r="DL38">
        <f t="shared" si="263"/>
        <v>8</v>
      </c>
      <c r="DM38">
        <f t="shared" si="263"/>
        <v>8</v>
      </c>
      <c r="DN38">
        <f t="shared" si="264"/>
        <v>8</v>
      </c>
      <c r="DO38">
        <f t="shared" si="264"/>
        <v>8</v>
      </c>
      <c r="DP38">
        <f t="shared" si="264"/>
        <v>8</v>
      </c>
      <c r="DQ38">
        <f t="shared" si="264"/>
        <v>8</v>
      </c>
      <c r="DR38">
        <f t="shared" si="264"/>
        <v>8</v>
      </c>
      <c r="DS38">
        <f t="shared" si="264"/>
        <v>8</v>
      </c>
      <c r="DT38">
        <f t="shared" si="264"/>
        <v>8</v>
      </c>
      <c r="DU38">
        <f t="shared" si="264"/>
        <v>8</v>
      </c>
      <c r="DV38">
        <f t="shared" si="264"/>
        <v>8</v>
      </c>
      <c r="DW38">
        <f t="shared" si="264"/>
        <v>8</v>
      </c>
      <c r="DX38">
        <f t="shared" si="264"/>
        <v>8</v>
      </c>
      <c r="DY38">
        <f t="shared" si="264"/>
        <v>8</v>
      </c>
      <c r="DZ38">
        <f t="shared" si="264"/>
        <v>8</v>
      </c>
      <c r="EA38">
        <f t="shared" si="264"/>
        <v>8</v>
      </c>
      <c r="EB38">
        <f t="shared" si="264"/>
        <v>8</v>
      </c>
      <c r="EC38">
        <f t="shared" si="264"/>
        <v>8</v>
      </c>
      <c r="ED38">
        <f t="shared" si="265"/>
        <v>8</v>
      </c>
      <c r="EE38">
        <f t="shared" si="265"/>
        <v>8</v>
      </c>
      <c r="EF38">
        <f t="shared" si="265"/>
        <v>8</v>
      </c>
      <c r="EG38">
        <f t="shared" si="265"/>
        <v>8</v>
      </c>
      <c r="EH38">
        <f t="shared" si="265"/>
        <v>8</v>
      </c>
      <c r="EI38">
        <f t="shared" si="265"/>
        <v>8</v>
      </c>
      <c r="EJ38">
        <f t="shared" si="265"/>
        <v>8</v>
      </c>
      <c r="EK38">
        <f t="shared" si="265"/>
        <v>8</v>
      </c>
      <c r="EL38">
        <f t="shared" si="265"/>
        <v>8</v>
      </c>
      <c r="EM38">
        <f t="shared" si="265"/>
        <v>8</v>
      </c>
      <c r="EN38">
        <f t="shared" si="265"/>
        <v>8</v>
      </c>
      <c r="EO38">
        <f t="shared" si="265"/>
        <v>8</v>
      </c>
      <c r="EP38">
        <f t="shared" si="265"/>
        <v>8</v>
      </c>
      <c r="EQ38">
        <f t="shared" si="265"/>
        <v>8</v>
      </c>
      <c r="ER38">
        <f t="shared" si="265"/>
        <v>8</v>
      </c>
      <c r="ES38">
        <f t="shared" si="265"/>
        <v>8</v>
      </c>
      <c r="ET38">
        <f t="shared" si="266"/>
        <v>8</v>
      </c>
      <c r="EU38">
        <f t="shared" si="266"/>
        <v>8</v>
      </c>
      <c r="EV38">
        <f t="shared" si="266"/>
        <v>8</v>
      </c>
      <c r="EW38">
        <f t="shared" si="266"/>
        <v>8</v>
      </c>
      <c r="EX38">
        <f t="shared" si="266"/>
        <v>8</v>
      </c>
      <c r="EY38" s="5"/>
      <c r="EZ38" s="5"/>
      <c r="FA38" s="709"/>
      <c r="FB38">
        <v>8</v>
      </c>
      <c r="FC38">
        <f>FB38</f>
        <v>8</v>
      </c>
    </row>
    <row r="39" spans="2:159" x14ac:dyDescent="0.45">
      <c r="B39" s="137" t="s">
        <v>1165</v>
      </c>
      <c r="C39" s="140" t="s">
        <v>1</v>
      </c>
      <c r="D39" s="3">
        <f t="shared" ref="D39:M39" si="267">D31*D34</f>
        <v>10000</v>
      </c>
      <c r="E39" s="3">
        <f t="shared" si="267"/>
        <v>9523.8095238095229</v>
      </c>
      <c r="F39" s="3">
        <f t="shared" ref="F39" si="268">F31*F34</f>
        <v>9090.9090909090901</v>
      </c>
      <c r="G39" s="3">
        <f t="shared" si="267"/>
        <v>8695.652173913044</v>
      </c>
      <c r="H39" s="3">
        <f t="shared" si="267"/>
        <v>8333.3333333333339</v>
      </c>
      <c r="I39" s="3">
        <f t="shared" si="267"/>
        <v>8000</v>
      </c>
      <c r="J39" s="3">
        <f t="shared" si="267"/>
        <v>7692.3076923076933</v>
      </c>
      <c r="K39" s="3">
        <f t="shared" si="267"/>
        <v>7407.4074074074069</v>
      </c>
      <c r="L39" s="3">
        <f t="shared" si="267"/>
        <v>7142.8571428571422</v>
      </c>
      <c r="M39" s="3">
        <f t="shared" si="267"/>
        <v>6896.5517241379312</v>
      </c>
      <c r="N39" s="3">
        <f>N31*N34</f>
        <v>6666.666666666667</v>
      </c>
      <c r="O39" s="3">
        <f t="shared" ref="O39:BZ39" si="269">O31*O34</f>
        <v>6451.6129032258068</v>
      </c>
      <c r="P39" s="3">
        <f t="shared" si="269"/>
        <v>6250</v>
      </c>
      <c r="Q39" s="3">
        <f t="shared" si="269"/>
        <v>6060.6060606060601</v>
      </c>
      <c r="R39" s="3">
        <f t="shared" si="269"/>
        <v>5882.3529411764703</v>
      </c>
      <c r="S39" s="3">
        <f>S31*S34</f>
        <v>5714.2857142857147</v>
      </c>
      <c r="T39" s="3">
        <f t="shared" si="269"/>
        <v>5555.5555555555557</v>
      </c>
      <c r="U39" s="3">
        <f t="shared" si="269"/>
        <v>5405.405405405405</v>
      </c>
      <c r="V39" s="3">
        <f t="shared" si="269"/>
        <v>5263.1578947368425</v>
      </c>
      <c r="W39" s="3">
        <f t="shared" si="269"/>
        <v>5128.2051282051279</v>
      </c>
      <c r="X39" s="3">
        <f t="shared" si="269"/>
        <v>5000</v>
      </c>
      <c r="Y39" s="3">
        <f t="shared" si="269"/>
        <v>4878.0487804878048</v>
      </c>
      <c r="Z39" s="3">
        <f t="shared" si="269"/>
        <v>4761.9047619047615</v>
      </c>
      <c r="AA39" s="3">
        <f t="shared" si="269"/>
        <v>4651.1627906976746</v>
      </c>
      <c r="AB39" s="3">
        <f t="shared" si="269"/>
        <v>4545.454545454545</v>
      </c>
      <c r="AC39" s="3">
        <f t="shared" si="269"/>
        <v>4444.4444444444434</v>
      </c>
      <c r="AD39" s="3">
        <f t="shared" si="269"/>
        <v>4347.826086956522</v>
      </c>
      <c r="AE39" s="3">
        <f t="shared" si="269"/>
        <v>4255.3191489361698</v>
      </c>
      <c r="AF39" s="3">
        <f t="shared" si="269"/>
        <v>4166.666666666667</v>
      </c>
      <c r="AG39" s="3" t="e">
        <f t="shared" si="269"/>
        <v>#DIV/0!</v>
      </c>
      <c r="AH39" s="3" t="e">
        <f t="shared" si="269"/>
        <v>#DIV/0!</v>
      </c>
      <c r="AI39" s="3" t="e">
        <f t="shared" si="269"/>
        <v>#DIV/0!</v>
      </c>
      <c r="AJ39" s="3" t="e">
        <f t="shared" si="269"/>
        <v>#DIV/0!</v>
      </c>
      <c r="AK39" s="3" t="e">
        <f t="shared" si="269"/>
        <v>#DIV/0!</v>
      </c>
      <c r="AL39" s="3" t="e">
        <f t="shared" si="269"/>
        <v>#DIV/0!</v>
      </c>
      <c r="AM39" s="3" t="e">
        <f t="shared" si="269"/>
        <v>#DIV/0!</v>
      </c>
      <c r="AN39" s="3" t="e">
        <f t="shared" si="269"/>
        <v>#DIV/0!</v>
      </c>
      <c r="AO39" s="3" t="e">
        <f t="shared" si="269"/>
        <v>#DIV/0!</v>
      </c>
      <c r="AP39" s="3" t="e">
        <f t="shared" si="269"/>
        <v>#DIV/0!</v>
      </c>
      <c r="AQ39" s="3" t="e">
        <f t="shared" si="269"/>
        <v>#DIV/0!</v>
      </c>
      <c r="AR39" s="3" t="e">
        <f t="shared" si="269"/>
        <v>#DIV/0!</v>
      </c>
      <c r="AS39" s="3" t="e">
        <f t="shared" si="269"/>
        <v>#DIV/0!</v>
      </c>
      <c r="AT39" s="3" t="e">
        <f t="shared" si="269"/>
        <v>#DIV/0!</v>
      </c>
      <c r="AU39" s="3" t="e">
        <f t="shared" si="269"/>
        <v>#DIV/0!</v>
      </c>
      <c r="AV39" s="3" t="e">
        <f t="shared" si="269"/>
        <v>#DIV/0!</v>
      </c>
      <c r="AW39" s="3" t="e">
        <f t="shared" si="269"/>
        <v>#DIV/0!</v>
      </c>
      <c r="AX39" s="3" t="e">
        <f t="shared" si="269"/>
        <v>#DIV/0!</v>
      </c>
      <c r="AY39" s="3" t="e">
        <f t="shared" si="269"/>
        <v>#DIV/0!</v>
      </c>
      <c r="AZ39" s="3" t="e">
        <f t="shared" si="269"/>
        <v>#DIV/0!</v>
      </c>
      <c r="BA39" s="3" t="e">
        <f t="shared" si="269"/>
        <v>#DIV/0!</v>
      </c>
      <c r="BB39" s="3" t="e">
        <f t="shared" si="269"/>
        <v>#DIV/0!</v>
      </c>
      <c r="BC39" s="3" t="e">
        <f t="shared" si="269"/>
        <v>#DIV/0!</v>
      </c>
      <c r="BD39" s="3" t="e">
        <f t="shared" si="269"/>
        <v>#DIV/0!</v>
      </c>
      <c r="BE39" s="3" t="e">
        <f t="shared" si="269"/>
        <v>#DIV/0!</v>
      </c>
      <c r="BF39" s="3" t="e">
        <f t="shared" si="269"/>
        <v>#DIV/0!</v>
      </c>
      <c r="BG39" s="3" t="e">
        <f t="shared" si="269"/>
        <v>#DIV/0!</v>
      </c>
      <c r="BH39" s="3" t="e">
        <f t="shared" si="269"/>
        <v>#DIV/0!</v>
      </c>
      <c r="BI39" s="3" t="e">
        <f t="shared" si="269"/>
        <v>#DIV/0!</v>
      </c>
      <c r="BJ39" s="3" t="e">
        <f t="shared" si="269"/>
        <v>#DIV/0!</v>
      </c>
      <c r="BK39" s="3" t="e">
        <f t="shared" si="269"/>
        <v>#DIV/0!</v>
      </c>
      <c r="BL39" s="3" t="e">
        <f t="shared" si="269"/>
        <v>#DIV/0!</v>
      </c>
      <c r="BM39" s="3" t="e">
        <f t="shared" si="269"/>
        <v>#DIV/0!</v>
      </c>
      <c r="BN39" s="3" t="e">
        <f t="shared" si="269"/>
        <v>#DIV/0!</v>
      </c>
      <c r="BO39" s="3" t="e">
        <f t="shared" si="269"/>
        <v>#DIV/0!</v>
      </c>
      <c r="BP39" s="3" t="e">
        <f t="shared" si="269"/>
        <v>#DIV/0!</v>
      </c>
      <c r="BQ39" s="3" t="e">
        <f t="shared" si="269"/>
        <v>#DIV/0!</v>
      </c>
      <c r="BR39" s="3" t="e">
        <f t="shared" si="269"/>
        <v>#DIV/0!</v>
      </c>
      <c r="BS39" s="3" t="e">
        <f t="shared" si="269"/>
        <v>#DIV/0!</v>
      </c>
      <c r="BT39" s="3" t="e">
        <f t="shared" si="269"/>
        <v>#DIV/0!</v>
      </c>
      <c r="BU39" s="3" t="e">
        <f t="shared" si="269"/>
        <v>#DIV/0!</v>
      </c>
      <c r="BV39" s="3" t="e">
        <f t="shared" si="269"/>
        <v>#DIV/0!</v>
      </c>
      <c r="BW39" s="3" t="e">
        <f t="shared" si="269"/>
        <v>#DIV/0!</v>
      </c>
      <c r="BX39" s="3" t="e">
        <f t="shared" si="269"/>
        <v>#DIV/0!</v>
      </c>
      <c r="BY39" s="3" t="e">
        <f t="shared" si="269"/>
        <v>#DIV/0!</v>
      </c>
      <c r="BZ39" s="3" t="e">
        <f t="shared" si="269"/>
        <v>#DIV/0!</v>
      </c>
      <c r="CA39" s="3" t="e">
        <f t="shared" ref="CA39:EL39" si="270">CA31*CA34</f>
        <v>#DIV/0!</v>
      </c>
      <c r="CB39" s="3" t="e">
        <f t="shared" si="270"/>
        <v>#DIV/0!</v>
      </c>
      <c r="CC39" s="3" t="e">
        <f t="shared" si="270"/>
        <v>#DIV/0!</v>
      </c>
      <c r="CD39" s="3" t="e">
        <f t="shared" si="270"/>
        <v>#DIV/0!</v>
      </c>
      <c r="CE39" s="3" t="e">
        <f t="shared" si="270"/>
        <v>#DIV/0!</v>
      </c>
      <c r="CF39" s="3" t="e">
        <f t="shared" si="270"/>
        <v>#DIV/0!</v>
      </c>
      <c r="CG39" s="3" t="e">
        <f t="shared" si="270"/>
        <v>#DIV/0!</v>
      </c>
      <c r="CH39" s="3" t="e">
        <f t="shared" si="270"/>
        <v>#DIV/0!</v>
      </c>
      <c r="CI39" s="3" t="e">
        <f t="shared" si="270"/>
        <v>#DIV/0!</v>
      </c>
      <c r="CJ39" s="3" t="e">
        <f t="shared" si="270"/>
        <v>#DIV/0!</v>
      </c>
      <c r="CK39" s="3" t="e">
        <f t="shared" si="270"/>
        <v>#DIV/0!</v>
      </c>
      <c r="CL39" s="3" t="e">
        <f t="shared" si="270"/>
        <v>#DIV/0!</v>
      </c>
      <c r="CM39" s="3" t="e">
        <f t="shared" si="270"/>
        <v>#DIV/0!</v>
      </c>
      <c r="CN39" s="3" t="e">
        <f t="shared" si="270"/>
        <v>#DIV/0!</v>
      </c>
      <c r="CO39" s="3" t="e">
        <f t="shared" si="270"/>
        <v>#DIV/0!</v>
      </c>
      <c r="CP39" s="3" t="e">
        <f t="shared" si="270"/>
        <v>#DIV/0!</v>
      </c>
      <c r="CQ39" s="3" t="e">
        <f t="shared" si="270"/>
        <v>#DIV/0!</v>
      </c>
      <c r="CR39" s="3" t="e">
        <f t="shared" si="270"/>
        <v>#DIV/0!</v>
      </c>
      <c r="CS39" s="3" t="e">
        <f t="shared" si="270"/>
        <v>#DIV/0!</v>
      </c>
      <c r="CT39" s="3" t="e">
        <f t="shared" si="270"/>
        <v>#DIV/0!</v>
      </c>
      <c r="CU39" s="3" t="e">
        <f t="shared" si="270"/>
        <v>#DIV/0!</v>
      </c>
      <c r="CV39" s="3" t="e">
        <f t="shared" si="270"/>
        <v>#DIV/0!</v>
      </c>
      <c r="CW39" s="3" t="e">
        <f t="shared" si="270"/>
        <v>#DIV/0!</v>
      </c>
      <c r="CX39" s="3" t="e">
        <f t="shared" si="270"/>
        <v>#DIV/0!</v>
      </c>
      <c r="CY39" s="3" t="e">
        <f t="shared" si="270"/>
        <v>#DIV/0!</v>
      </c>
      <c r="CZ39" s="3" t="e">
        <f t="shared" si="270"/>
        <v>#DIV/0!</v>
      </c>
      <c r="DA39" s="3" t="e">
        <f t="shared" si="270"/>
        <v>#DIV/0!</v>
      </c>
      <c r="DB39" s="3" t="e">
        <f t="shared" si="270"/>
        <v>#DIV/0!</v>
      </c>
      <c r="DC39" s="3" t="e">
        <f t="shared" si="270"/>
        <v>#DIV/0!</v>
      </c>
      <c r="DD39" s="3" t="e">
        <f t="shared" si="270"/>
        <v>#DIV/0!</v>
      </c>
      <c r="DE39" s="3" t="e">
        <f t="shared" si="270"/>
        <v>#DIV/0!</v>
      </c>
      <c r="DF39" s="3" t="e">
        <f t="shared" si="270"/>
        <v>#DIV/0!</v>
      </c>
      <c r="DG39" s="3" t="e">
        <f t="shared" si="270"/>
        <v>#DIV/0!</v>
      </c>
      <c r="DH39" s="3" t="e">
        <f t="shared" si="270"/>
        <v>#DIV/0!</v>
      </c>
      <c r="DI39" s="3" t="e">
        <f t="shared" si="270"/>
        <v>#DIV/0!</v>
      </c>
      <c r="DJ39" s="3" t="e">
        <f t="shared" si="270"/>
        <v>#DIV/0!</v>
      </c>
      <c r="DK39" s="3" t="e">
        <f t="shared" si="270"/>
        <v>#DIV/0!</v>
      </c>
      <c r="DL39" s="3" t="e">
        <f t="shared" si="270"/>
        <v>#DIV/0!</v>
      </c>
      <c r="DM39" s="3" t="e">
        <f t="shared" si="270"/>
        <v>#DIV/0!</v>
      </c>
      <c r="DN39" s="3" t="e">
        <f t="shared" si="270"/>
        <v>#DIV/0!</v>
      </c>
      <c r="DO39" s="3" t="e">
        <f t="shared" si="270"/>
        <v>#DIV/0!</v>
      </c>
      <c r="DP39" s="3" t="e">
        <f t="shared" si="270"/>
        <v>#DIV/0!</v>
      </c>
      <c r="DQ39" s="3" t="e">
        <f t="shared" si="270"/>
        <v>#DIV/0!</v>
      </c>
      <c r="DR39" s="3" t="e">
        <f t="shared" si="270"/>
        <v>#DIV/0!</v>
      </c>
      <c r="DS39" s="3" t="e">
        <f t="shared" si="270"/>
        <v>#DIV/0!</v>
      </c>
      <c r="DT39" s="3" t="e">
        <f t="shared" si="270"/>
        <v>#DIV/0!</v>
      </c>
      <c r="DU39" s="3" t="e">
        <f t="shared" si="270"/>
        <v>#DIV/0!</v>
      </c>
      <c r="DV39" s="3" t="e">
        <f t="shared" si="270"/>
        <v>#DIV/0!</v>
      </c>
      <c r="DW39" s="3" t="e">
        <f t="shared" si="270"/>
        <v>#DIV/0!</v>
      </c>
      <c r="DX39" s="3" t="e">
        <f t="shared" si="270"/>
        <v>#DIV/0!</v>
      </c>
      <c r="DY39" s="3" t="e">
        <f t="shared" si="270"/>
        <v>#DIV/0!</v>
      </c>
      <c r="DZ39" s="3" t="e">
        <f t="shared" si="270"/>
        <v>#DIV/0!</v>
      </c>
      <c r="EA39" s="3" t="e">
        <f t="shared" si="270"/>
        <v>#DIV/0!</v>
      </c>
      <c r="EB39" s="3" t="e">
        <f t="shared" si="270"/>
        <v>#DIV/0!</v>
      </c>
      <c r="EC39" s="3" t="e">
        <f t="shared" si="270"/>
        <v>#DIV/0!</v>
      </c>
      <c r="ED39" s="3" t="e">
        <f t="shared" si="270"/>
        <v>#DIV/0!</v>
      </c>
      <c r="EE39" s="3" t="e">
        <f t="shared" si="270"/>
        <v>#DIV/0!</v>
      </c>
      <c r="EF39" s="3" t="e">
        <f t="shared" si="270"/>
        <v>#DIV/0!</v>
      </c>
      <c r="EG39" s="3" t="e">
        <f t="shared" si="270"/>
        <v>#DIV/0!</v>
      </c>
      <c r="EH39" s="3" t="e">
        <f t="shared" si="270"/>
        <v>#DIV/0!</v>
      </c>
      <c r="EI39" s="3" t="e">
        <f t="shared" si="270"/>
        <v>#DIV/0!</v>
      </c>
      <c r="EJ39" s="3" t="e">
        <f t="shared" si="270"/>
        <v>#DIV/0!</v>
      </c>
      <c r="EK39" s="3" t="e">
        <f t="shared" si="270"/>
        <v>#DIV/0!</v>
      </c>
      <c r="EL39" s="3" t="e">
        <f t="shared" si="270"/>
        <v>#DIV/0!</v>
      </c>
      <c r="EM39" s="3" t="e">
        <f t="shared" ref="EM39:FC39" si="271">EM31*EM34</f>
        <v>#DIV/0!</v>
      </c>
      <c r="EN39" s="3" t="e">
        <f t="shared" si="271"/>
        <v>#DIV/0!</v>
      </c>
      <c r="EO39" s="3" t="e">
        <f t="shared" si="271"/>
        <v>#DIV/0!</v>
      </c>
      <c r="EP39" s="3" t="e">
        <f t="shared" si="271"/>
        <v>#DIV/0!</v>
      </c>
      <c r="EQ39" s="3" t="e">
        <f t="shared" si="271"/>
        <v>#DIV/0!</v>
      </c>
      <c r="ER39" s="3" t="e">
        <f t="shared" si="271"/>
        <v>#DIV/0!</v>
      </c>
      <c r="ES39" s="3" t="e">
        <f t="shared" si="271"/>
        <v>#DIV/0!</v>
      </c>
      <c r="ET39" s="3" t="e">
        <f t="shared" si="271"/>
        <v>#DIV/0!</v>
      </c>
      <c r="EU39" s="3" t="e">
        <f t="shared" si="271"/>
        <v>#DIV/0!</v>
      </c>
      <c r="EV39" s="3" t="e">
        <f t="shared" si="271"/>
        <v>#DIV/0!</v>
      </c>
      <c r="EW39" s="3" t="e">
        <f t="shared" si="271"/>
        <v>#DIV/0!</v>
      </c>
      <c r="EX39" s="3" t="e">
        <f t="shared" si="271"/>
        <v>#DIV/0!</v>
      </c>
      <c r="EY39" s="5"/>
      <c r="EZ39" s="5"/>
      <c r="FA39" s="709"/>
      <c r="FB39" s="3">
        <f t="shared" si="271"/>
        <v>10000</v>
      </c>
      <c r="FC39" s="3">
        <f t="shared" si="271"/>
        <v>8333.3333333333339</v>
      </c>
    </row>
    <row r="40" spans="2:159" x14ac:dyDescent="0.45">
      <c r="B40" s="135"/>
      <c r="C40" s="136" t="s">
        <v>900</v>
      </c>
      <c r="D40" s="62">
        <f>D39-D24</f>
        <v>0</v>
      </c>
      <c r="E40" s="62">
        <f t="shared" ref="E40:H40" si="272">E39-E24</f>
        <v>0</v>
      </c>
      <c r="F40" s="62">
        <f t="shared" ref="F40" si="273">F39-F24</f>
        <v>0</v>
      </c>
      <c r="G40" s="62">
        <f t="shared" si="272"/>
        <v>0</v>
      </c>
      <c r="H40" s="62">
        <f t="shared" si="272"/>
        <v>0</v>
      </c>
      <c r="I40" s="62">
        <f>I39-I24</f>
        <v>0</v>
      </c>
      <c r="J40" s="62">
        <f t="shared" ref="J40:BU40" si="274">J39-J24</f>
        <v>0</v>
      </c>
      <c r="K40" s="62">
        <f t="shared" si="274"/>
        <v>0</v>
      </c>
      <c r="L40" s="62">
        <f t="shared" si="274"/>
        <v>0</v>
      </c>
      <c r="M40" s="62">
        <f t="shared" si="274"/>
        <v>0</v>
      </c>
      <c r="N40" s="62">
        <f t="shared" si="274"/>
        <v>0</v>
      </c>
      <c r="O40" s="62">
        <f t="shared" si="274"/>
        <v>0</v>
      </c>
      <c r="P40" s="62">
        <f t="shared" si="274"/>
        <v>0</v>
      </c>
      <c r="Q40" s="62">
        <f t="shared" si="274"/>
        <v>0</v>
      </c>
      <c r="R40" s="62">
        <f t="shared" si="274"/>
        <v>0</v>
      </c>
      <c r="S40" s="62">
        <f>S39-S24</f>
        <v>0</v>
      </c>
      <c r="T40" s="62">
        <f t="shared" si="274"/>
        <v>0</v>
      </c>
      <c r="U40" s="62">
        <f t="shared" si="274"/>
        <v>0</v>
      </c>
      <c r="V40" s="62">
        <f t="shared" si="274"/>
        <v>0</v>
      </c>
      <c r="W40" s="62">
        <f t="shared" si="274"/>
        <v>0</v>
      </c>
      <c r="X40" s="62">
        <f t="shared" si="274"/>
        <v>0</v>
      </c>
      <c r="Y40" s="62">
        <f t="shared" si="274"/>
        <v>0</v>
      </c>
      <c r="Z40" s="62">
        <f t="shared" si="274"/>
        <v>0</v>
      </c>
      <c r="AA40" s="62">
        <f t="shared" si="274"/>
        <v>0</v>
      </c>
      <c r="AB40" s="62">
        <f t="shared" si="274"/>
        <v>0</v>
      </c>
      <c r="AC40" s="62">
        <f t="shared" si="274"/>
        <v>0</v>
      </c>
      <c r="AD40" s="62">
        <f t="shared" si="274"/>
        <v>0</v>
      </c>
      <c r="AE40" s="62">
        <f t="shared" si="274"/>
        <v>0</v>
      </c>
      <c r="AF40" s="62">
        <f t="shared" si="274"/>
        <v>0</v>
      </c>
      <c r="AG40" s="62" t="e">
        <f t="shared" si="274"/>
        <v>#DIV/0!</v>
      </c>
      <c r="AH40" s="62" t="e">
        <f t="shared" si="274"/>
        <v>#DIV/0!</v>
      </c>
      <c r="AI40" s="62" t="e">
        <f t="shared" si="274"/>
        <v>#DIV/0!</v>
      </c>
      <c r="AJ40" s="62" t="e">
        <f t="shared" si="274"/>
        <v>#DIV/0!</v>
      </c>
      <c r="AK40" s="62" t="e">
        <f t="shared" si="274"/>
        <v>#DIV/0!</v>
      </c>
      <c r="AL40" s="62" t="e">
        <f t="shared" si="274"/>
        <v>#DIV/0!</v>
      </c>
      <c r="AM40" s="62" t="e">
        <f t="shared" si="274"/>
        <v>#DIV/0!</v>
      </c>
      <c r="AN40" s="62" t="e">
        <f t="shared" si="274"/>
        <v>#DIV/0!</v>
      </c>
      <c r="AO40" s="62" t="e">
        <f t="shared" si="274"/>
        <v>#DIV/0!</v>
      </c>
      <c r="AP40" s="62" t="e">
        <f t="shared" si="274"/>
        <v>#DIV/0!</v>
      </c>
      <c r="AQ40" s="62" t="e">
        <f t="shared" si="274"/>
        <v>#DIV/0!</v>
      </c>
      <c r="AR40" s="62" t="e">
        <f t="shared" si="274"/>
        <v>#DIV/0!</v>
      </c>
      <c r="AS40" s="62" t="e">
        <f t="shared" si="274"/>
        <v>#DIV/0!</v>
      </c>
      <c r="AT40" s="62" t="e">
        <f t="shared" si="274"/>
        <v>#DIV/0!</v>
      </c>
      <c r="AU40" s="62" t="e">
        <f t="shared" si="274"/>
        <v>#DIV/0!</v>
      </c>
      <c r="AV40" s="62" t="e">
        <f t="shared" si="274"/>
        <v>#DIV/0!</v>
      </c>
      <c r="AW40" s="62" t="e">
        <f t="shared" si="274"/>
        <v>#DIV/0!</v>
      </c>
      <c r="AX40" s="62" t="e">
        <f t="shared" si="274"/>
        <v>#DIV/0!</v>
      </c>
      <c r="AY40" s="62" t="e">
        <f t="shared" si="274"/>
        <v>#DIV/0!</v>
      </c>
      <c r="AZ40" s="62" t="e">
        <f t="shared" si="274"/>
        <v>#DIV/0!</v>
      </c>
      <c r="BA40" s="62" t="e">
        <f t="shared" si="274"/>
        <v>#DIV/0!</v>
      </c>
      <c r="BB40" s="62" t="e">
        <f t="shared" si="274"/>
        <v>#DIV/0!</v>
      </c>
      <c r="BC40" s="62" t="e">
        <f t="shared" si="274"/>
        <v>#DIV/0!</v>
      </c>
      <c r="BD40" s="62" t="e">
        <f t="shared" si="274"/>
        <v>#DIV/0!</v>
      </c>
      <c r="BE40" s="62" t="e">
        <f t="shared" si="274"/>
        <v>#DIV/0!</v>
      </c>
      <c r="BF40" s="62" t="e">
        <f t="shared" si="274"/>
        <v>#DIV/0!</v>
      </c>
      <c r="BG40" s="62" t="e">
        <f t="shared" si="274"/>
        <v>#DIV/0!</v>
      </c>
      <c r="BH40" s="62" t="e">
        <f t="shared" si="274"/>
        <v>#DIV/0!</v>
      </c>
      <c r="BI40" s="62" t="e">
        <f t="shared" si="274"/>
        <v>#DIV/0!</v>
      </c>
      <c r="BJ40" s="62" t="e">
        <f t="shared" si="274"/>
        <v>#DIV/0!</v>
      </c>
      <c r="BK40" s="62" t="e">
        <f t="shared" si="274"/>
        <v>#DIV/0!</v>
      </c>
      <c r="BL40" s="62" t="e">
        <f t="shared" si="274"/>
        <v>#DIV/0!</v>
      </c>
      <c r="BM40" s="62" t="e">
        <f t="shared" si="274"/>
        <v>#DIV/0!</v>
      </c>
      <c r="BN40" s="62" t="e">
        <f t="shared" si="274"/>
        <v>#DIV/0!</v>
      </c>
      <c r="BO40" s="62" t="e">
        <f t="shared" si="274"/>
        <v>#DIV/0!</v>
      </c>
      <c r="BP40" s="62" t="e">
        <f t="shared" si="274"/>
        <v>#DIV/0!</v>
      </c>
      <c r="BQ40" s="62" t="e">
        <f t="shared" si="274"/>
        <v>#DIV/0!</v>
      </c>
      <c r="BR40" s="62" t="e">
        <f t="shared" si="274"/>
        <v>#DIV/0!</v>
      </c>
      <c r="BS40" s="62" t="e">
        <f t="shared" si="274"/>
        <v>#DIV/0!</v>
      </c>
      <c r="BT40" s="62" t="e">
        <f t="shared" si="274"/>
        <v>#DIV/0!</v>
      </c>
      <c r="BU40" s="62" t="e">
        <f t="shared" si="274"/>
        <v>#DIV/0!</v>
      </c>
      <c r="BV40" s="62" t="e">
        <f t="shared" ref="BV40:EG40" si="275">BV39-BV24</f>
        <v>#DIV/0!</v>
      </c>
      <c r="BW40" s="62" t="e">
        <f t="shared" si="275"/>
        <v>#DIV/0!</v>
      </c>
      <c r="BX40" s="62" t="e">
        <f t="shared" si="275"/>
        <v>#DIV/0!</v>
      </c>
      <c r="BY40" s="62" t="e">
        <f t="shared" si="275"/>
        <v>#DIV/0!</v>
      </c>
      <c r="BZ40" s="62" t="e">
        <f t="shared" si="275"/>
        <v>#DIV/0!</v>
      </c>
      <c r="CA40" s="62" t="e">
        <f t="shared" si="275"/>
        <v>#DIV/0!</v>
      </c>
      <c r="CB40" s="62" t="e">
        <f t="shared" si="275"/>
        <v>#DIV/0!</v>
      </c>
      <c r="CC40" s="62" t="e">
        <f t="shared" si="275"/>
        <v>#DIV/0!</v>
      </c>
      <c r="CD40" s="62" t="e">
        <f t="shared" si="275"/>
        <v>#DIV/0!</v>
      </c>
      <c r="CE40" s="62" t="e">
        <f t="shared" si="275"/>
        <v>#DIV/0!</v>
      </c>
      <c r="CF40" s="62" t="e">
        <f t="shared" si="275"/>
        <v>#DIV/0!</v>
      </c>
      <c r="CG40" s="62" t="e">
        <f t="shared" si="275"/>
        <v>#DIV/0!</v>
      </c>
      <c r="CH40" s="62" t="e">
        <f t="shared" si="275"/>
        <v>#DIV/0!</v>
      </c>
      <c r="CI40" s="62" t="e">
        <f t="shared" si="275"/>
        <v>#DIV/0!</v>
      </c>
      <c r="CJ40" s="62" t="e">
        <f t="shared" si="275"/>
        <v>#DIV/0!</v>
      </c>
      <c r="CK40" s="62" t="e">
        <f t="shared" si="275"/>
        <v>#DIV/0!</v>
      </c>
      <c r="CL40" s="62" t="e">
        <f t="shared" si="275"/>
        <v>#DIV/0!</v>
      </c>
      <c r="CM40" s="62" t="e">
        <f t="shared" si="275"/>
        <v>#DIV/0!</v>
      </c>
      <c r="CN40" s="62" t="e">
        <f t="shared" si="275"/>
        <v>#DIV/0!</v>
      </c>
      <c r="CO40" s="62" t="e">
        <f t="shared" si="275"/>
        <v>#DIV/0!</v>
      </c>
      <c r="CP40" s="62" t="e">
        <f t="shared" si="275"/>
        <v>#DIV/0!</v>
      </c>
      <c r="CQ40" s="62" t="e">
        <f t="shared" si="275"/>
        <v>#DIV/0!</v>
      </c>
      <c r="CR40" s="62" t="e">
        <f t="shared" si="275"/>
        <v>#DIV/0!</v>
      </c>
      <c r="CS40" s="62" t="e">
        <f t="shared" si="275"/>
        <v>#DIV/0!</v>
      </c>
      <c r="CT40" s="62" t="e">
        <f t="shared" si="275"/>
        <v>#DIV/0!</v>
      </c>
      <c r="CU40" s="62" t="e">
        <f t="shared" si="275"/>
        <v>#DIV/0!</v>
      </c>
      <c r="CV40" s="62" t="e">
        <f t="shared" si="275"/>
        <v>#DIV/0!</v>
      </c>
      <c r="CW40" s="62" t="e">
        <f t="shared" si="275"/>
        <v>#DIV/0!</v>
      </c>
      <c r="CX40" s="62" t="e">
        <f t="shared" si="275"/>
        <v>#DIV/0!</v>
      </c>
      <c r="CY40" s="62" t="e">
        <f t="shared" si="275"/>
        <v>#DIV/0!</v>
      </c>
      <c r="CZ40" s="62" t="e">
        <f t="shared" si="275"/>
        <v>#DIV/0!</v>
      </c>
      <c r="DA40" s="62" t="e">
        <f t="shared" si="275"/>
        <v>#DIV/0!</v>
      </c>
      <c r="DB40" s="62" t="e">
        <f t="shared" si="275"/>
        <v>#DIV/0!</v>
      </c>
      <c r="DC40" s="62" t="e">
        <f t="shared" si="275"/>
        <v>#DIV/0!</v>
      </c>
      <c r="DD40" s="62" t="e">
        <f t="shared" si="275"/>
        <v>#DIV/0!</v>
      </c>
      <c r="DE40" s="62" t="e">
        <f t="shared" si="275"/>
        <v>#DIV/0!</v>
      </c>
      <c r="DF40" s="62" t="e">
        <f t="shared" si="275"/>
        <v>#DIV/0!</v>
      </c>
      <c r="DG40" s="62" t="e">
        <f t="shared" si="275"/>
        <v>#DIV/0!</v>
      </c>
      <c r="DH40" s="62" t="e">
        <f t="shared" si="275"/>
        <v>#DIV/0!</v>
      </c>
      <c r="DI40" s="62" t="e">
        <f t="shared" si="275"/>
        <v>#DIV/0!</v>
      </c>
      <c r="DJ40" s="62" t="e">
        <f t="shared" si="275"/>
        <v>#DIV/0!</v>
      </c>
      <c r="DK40" s="62" t="e">
        <f t="shared" si="275"/>
        <v>#DIV/0!</v>
      </c>
      <c r="DL40" s="62" t="e">
        <f t="shared" si="275"/>
        <v>#DIV/0!</v>
      </c>
      <c r="DM40" s="62" t="e">
        <f t="shared" si="275"/>
        <v>#DIV/0!</v>
      </c>
      <c r="DN40" s="62" t="e">
        <f t="shared" si="275"/>
        <v>#DIV/0!</v>
      </c>
      <c r="DO40" s="62" t="e">
        <f t="shared" si="275"/>
        <v>#DIV/0!</v>
      </c>
      <c r="DP40" s="62" t="e">
        <f t="shared" si="275"/>
        <v>#DIV/0!</v>
      </c>
      <c r="DQ40" s="62" t="e">
        <f t="shared" si="275"/>
        <v>#DIV/0!</v>
      </c>
      <c r="DR40" s="62" t="e">
        <f t="shared" si="275"/>
        <v>#DIV/0!</v>
      </c>
      <c r="DS40" s="62" t="e">
        <f t="shared" si="275"/>
        <v>#DIV/0!</v>
      </c>
      <c r="DT40" s="62" t="e">
        <f t="shared" si="275"/>
        <v>#DIV/0!</v>
      </c>
      <c r="DU40" s="62" t="e">
        <f t="shared" si="275"/>
        <v>#DIV/0!</v>
      </c>
      <c r="DV40" s="62" t="e">
        <f t="shared" si="275"/>
        <v>#DIV/0!</v>
      </c>
      <c r="DW40" s="62" t="e">
        <f t="shared" si="275"/>
        <v>#DIV/0!</v>
      </c>
      <c r="DX40" s="62" t="e">
        <f t="shared" si="275"/>
        <v>#DIV/0!</v>
      </c>
      <c r="DY40" s="62" t="e">
        <f t="shared" si="275"/>
        <v>#DIV/0!</v>
      </c>
      <c r="DZ40" s="62" t="e">
        <f t="shared" si="275"/>
        <v>#DIV/0!</v>
      </c>
      <c r="EA40" s="62" t="e">
        <f t="shared" si="275"/>
        <v>#DIV/0!</v>
      </c>
      <c r="EB40" s="62" t="e">
        <f t="shared" si="275"/>
        <v>#DIV/0!</v>
      </c>
      <c r="EC40" s="62" t="e">
        <f t="shared" si="275"/>
        <v>#DIV/0!</v>
      </c>
      <c r="ED40" s="62" t="e">
        <f t="shared" si="275"/>
        <v>#DIV/0!</v>
      </c>
      <c r="EE40" s="62" t="e">
        <f t="shared" si="275"/>
        <v>#DIV/0!</v>
      </c>
      <c r="EF40" s="62" t="e">
        <f t="shared" si="275"/>
        <v>#DIV/0!</v>
      </c>
      <c r="EG40" s="62" t="e">
        <f t="shared" si="275"/>
        <v>#DIV/0!</v>
      </c>
      <c r="EH40" s="62" t="e">
        <f t="shared" ref="EH40:FC40" si="276">EH39-EH24</f>
        <v>#DIV/0!</v>
      </c>
      <c r="EI40" s="62" t="e">
        <f t="shared" si="276"/>
        <v>#DIV/0!</v>
      </c>
      <c r="EJ40" s="62" t="e">
        <f t="shared" si="276"/>
        <v>#DIV/0!</v>
      </c>
      <c r="EK40" s="62" t="e">
        <f t="shared" si="276"/>
        <v>#DIV/0!</v>
      </c>
      <c r="EL40" s="62" t="e">
        <f t="shared" si="276"/>
        <v>#DIV/0!</v>
      </c>
      <c r="EM40" s="62" t="e">
        <f t="shared" si="276"/>
        <v>#DIV/0!</v>
      </c>
      <c r="EN40" s="62" t="e">
        <f t="shared" si="276"/>
        <v>#DIV/0!</v>
      </c>
      <c r="EO40" s="62" t="e">
        <f t="shared" si="276"/>
        <v>#DIV/0!</v>
      </c>
      <c r="EP40" s="62" t="e">
        <f t="shared" si="276"/>
        <v>#DIV/0!</v>
      </c>
      <c r="EQ40" s="62" t="e">
        <f t="shared" si="276"/>
        <v>#DIV/0!</v>
      </c>
      <c r="ER40" s="62" t="e">
        <f t="shared" si="276"/>
        <v>#DIV/0!</v>
      </c>
      <c r="ES40" s="62" t="e">
        <f t="shared" si="276"/>
        <v>#DIV/0!</v>
      </c>
      <c r="ET40" s="62" t="e">
        <f t="shared" si="276"/>
        <v>#DIV/0!</v>
      </c>
      <c r="EU40" s="62" t="e">
        <f t="shared" si="276"/>
        <v>#DIV/0!</v>
      </c>
      <c r="EV40" s="62" t="e">
        <f t="shared" si="276"/>
        <v>#DIV/0!</v>
      </c>
      <c r="EW40" s="62" t="e">
        <f t="shared" si="276"/>
        <v>#DIV/0!</v>
      </c>
      <c r="EX40" s="62" t="e">
        <f t="shared" si="276"/>
        <v>#DIV/0!</v>
      </c>
      <c r="EY40" s="5"/>
      <c r="EZ40" s="5"/>
      <c r="FA40" s="709"/>
      <c r="FB40" s="62">
        <f t="shared" si="276"/>
        <v>0</v>
      </c>
      <c r="FC40" s="62">
        <f t="shared" si="276"/>
        <v>0</v>
      </c>
    </row>
    <row r="41" spans="2:159" x14ac:dyDescent="0.45">
      <c r="C41" s="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709"/>
      <c r="FB41" s="5"/>
      <c r="FC41" s="5"/>
    </row>
    <row r="42" spans="2:159" ht="17.5" thickBot="1" x14ac:dyDescent="0.5">
      <c r="C42" s="1"/>
      <c r="F42" s="5"/>
      <c r="EY42" s="5"/>
      <c r="EZ42" s="5"/>
      <c r="FA42" s="709"/>
    </row>
    <row r="43" spans="2:159" x14ac:dyDescent="0.45">
      <c r="B43" s="142" t="s">
        <v>1171</v>
      </c>
      <c r="C43" s="143"/>
      <c r="D43" s="143" t="s">
        <v>1159</v>
      </c>
      <c r="E43" s="146">
        <v>393120</v>
      </c>
      <c r="F43" s="146"/>
      <c r="G43" s="146">
        <f>E43/10</f>
        <v>39312</v>
      </c>
      <c r="H43" s="144"/>
      <c r="I43" s="143" t="s">
        <v>1158</v>
      </c>
      <c r="J43" s="189">
        <v>1</v>
      </c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4"/>
      <c r="BK43" s="144"/>
      <c r="BL43" s="144"/>
      <c r="BM43" s="144"/>
      <c r="BN43" s="144"/>
      <c r="BO43" s="144"/>
      <c r="BP43" s="144"/>
      <c r="BQ43" s="144"/>
      <c r="BR43" s="144"/>
      <c r="BS43" s="144"/>
      <c r="BT43" s="144"/>
      <c r="BU43" s="144"/>
      <c r="BV43" s="144"/>
      <c r="BW43" s="144"/>
      <c r="BX43" s="144"/>
      <c r="BY43" s="144"/>
      <c r="BZ43" s="144"/>
      <c r="CA43" s="144"/>
      <c r="CB43" s="144"/>
      <c r="CC43" s="144"/>
      <c r="CD43" s="144"/>
      <c r="CE43" s="144"/>
      <c r="CF43" s="144"/>
      <c r="CG43" s="144"/>
      <c r="CH43" s="144"/>
      <c r="CI43" s="144"/>
      <c r="CJ43" s="144"/>
      <c r="CK43" s="144"/>
      <c r="CL43" s="144"/>
      <c r="CM43" s="144"/>
      <c r="CN43" s="144"/>
      <c r="CO43" s="144"/>
      <c r="CP43" s="144"/>
      <c r="CQ43" s="144"/>
      <c r="CR43" s="144"/>
      <c r="CS43" s="144"/>
      <c r="CT43" s="144"/>
      <c r="CU43" s="144"/>
      <c r="CV43" s="144"/>
      <c r="CW43" s="144"/>
      <c r="CX43" s="144"/>
      <c r="CY43" s="144"/>
      <c r="CZ43" s="144"/>
      <c r="DA43" s="144"/>
      <c r="DB43" s="144"/>
      <c r="DC43" s="144"/>
      <c r="DD43" s="144"/>
      <c r="DE43" s="144"/>
      <c r="DF43" s="144"/>
      <c r="DG43" s="144"/>
      <c r="DH43" s="144"/>
      <c r="DI43" s="144"/>
      <c r="DJ43" s="144"/>
      <c r="DK43" s="144"/>
      <c r="DL43" s="144"/>
      <c r="DM43" s="144"/>
      <c r="DN43" s="144"/>
      <c r="DO43" s="144"/>
      <c r="DP43" s="144"/>
      <c r="DQ43" s="144"/>
      <c r="DR43" s="144"/>
      <c r="DS43" s="144"/>
      <c r="DT43" s="144"/>
      <c r="DU43" s="144"/>
      <c r="DV43" s="144"/>
      <c r="DW43" s="144"/>
      <c r="DX43" s="144"/>
      <c r="DY43" s="144"/>
      <c r="DZ43" s="144"/>
      <c r="EA43" s="144"/>
      <c r="EB43" s="144"/>
      <c r="EC43" s="144"/>
      <c r="ED43" s="144"/>
      <c r="EE43" s="144"/>
      <c r="EF43" s="144"/>
      <c r="EG43" s="144"/>
      <c r="EH43" s="144"/>
      <c r="EI43" s="144"/>
      <c r="EJ43" s="144"/>
      <c r="EK43" s="144"/>
      <c r="EL43" s="144"/>
      <c r="EM43" s="144"/>
      <c r="EN43" s="144"/>
      <c r="EO43" s="144"/>
      <c r="EP43" s="144"/>
      <c r="EQ43" s="144"/>
      <c r="ER43" s="144"/>
      <c r="ES43" s="144"/>
      <c r="ET43" s="144"/>
      <c r="EU43" s="144"/>
      <c r="EV43" s="144"/>
      <c r="EW43" s="144"/>
      <c r="EX43" s="144"/>
      <c r="EY43" s="717"/>
      <c r="EZ43" s="717"/>
      <c r="FA43" s="709"/>
      <c r="FB43" s="144"/>
      <c r="FC43" s="144"/>
    </row>
    <row r="44" spans="2:159" s="31" customFormat="1" x14ac:dyDescent="0.45">
      <c r="B44" s="155" t="s">
        <v>1156</v>
      </c>
      <c r="C44" s="156" t="s">
        <v>4</v>
      </c>
      <c r="D44" s="108">
        <v>98</v>
      </c>
      <c r="E44" s="108">
        <f>D44+$J$43</f>
        <v>99</v>
      </c>
      <c r="F44" s="108">
        <f t="shared" ref="F44:BQ44" si="277">E44+$J$43</f>
        <v>100</v>
      </c>
      <c r="G44" s="108">
        <f t="shared" si="277"/>
        <v>101</v>
      </c>
      <c r="H44" s="108">
        <f t="shared" si="277"/>
        <v>102</v>
      </c>
      <c r="I44" s="108">
        <f t="shared" si="277"/>
        <v>103</v>
      </c>
      <c r="J44" s="108">
        <f t="shared" si="277"/>
        <v>104</v>
      </c>
      <c r="K44" s="108">
        <f t="shared" si="277"/>
        <v>105</v>
      </c>
      <c r="L44" s="108">
        <f t="shared" si="277"/>
        <v>106</v>
      </c>
      <c r="M44" s="108">
        <f t="shared" si="277"/>
        <v>107</v>
      </c>
      <c r="N44" s="108">
        <f t="shared" si="277"/>
        <v>108</v>
      </c>
      <c r="O44" s="108">
        <f t="shared" si="277"/>
        <v>109</v>
      </c>
      <c r="P44" s="108">
        <f t="shared" si="277"/>
        <v>110</v>
      </c>
      <c r="Q44" s="108">
        <f t="shared" si="277"/>
        <v>111</v>
      </c>
      <c r="R44" s="108">
        <f t="shared" si="277"/>
        <v>112</v>
      </c>
      <c r="S44" s="108">
        <f t="shared" si="277"/>
        <v>113</v>
      </c>
      <c r="T44" s="108">
        <f t="shared" si="277"/>
        <v>114</v>
      </c>
      <c r="U44" s="108">
        <f t="shared" si="277"/>
        <v>115</v>
      </c>
      <c r="V44" s="108">
        <f t="shared" si="277"/>
        <v>116</v>
      </c>
      <c r="W44" s="108">
        <f t="shared" si="277"/>
        <v>117</v>
      </c>
      <c r="X44" s="108">
        <f t="shared" si="277"/>
        <v>118</v>
      </c>
      <c r="Y44" s="108">
        <f t="shared" si="277"/>
        <v>119</v>
      </c>
      <c r="Z44" s="108">
        <f t="shared" si="277"/>
        <v>120</v>
      </c>
      <c r="AA44" s="108">
        <f t="shared" si="277"/>
        <v>121</v>
      </c>
      <c r="AB44" s="108">
        <f t="shared" si="277"/>
        <v>122</v>
      </c>
      <c r="AC44" s="108">
        <f t="shared" si="277"/>
        <v>123</v>
      </c>
      <c r="AD44" s="108">
        <f t="shared" si="277"/>
        <v>124</v>
      </c>
      <c r="AE44" s="108">
        <f t="shared" si="277"/>
        <v>125</v>
      </c>
      <c r="AF44" s="108">
        <f t="shared" si="277"/>
        <v>126</v>
      </c>
      <c r="AG44" s="108">
        <f t="shared" si="277"/>
        <v>127</v>
      </c>
      <c r="AH44" s="108">
        <f t="shared" si="277"/>
        <v>128</v>
      </c>
      <c r="AI44" s="108">
        <f t="shared" si="277"/>
        <v>129</v>
      </c>
      <c r="AJ44" s="108">
        <f t="shared" si="277"/>
        <v>130</v>
      </c>
      <c r="AK44" s="108">
        <f t="shared" si="277"/>
        <v>131</v>
      </c>
      <c r="AL44" s="108">
        <f t="shared" si="277"/>
        <v>132</v>
      </c>
      <c r="AM44" s="108">
        <f t="shared" si="277"/>
        <v>133</v>
      </c>
      <c r="AN44" s="108">
        <f t="shared" si="277"/>
        <v>134</v>
      </c>
      <c r="AO44" s="108">
        <f t="shared" si="277"/>
        <v>135</v>
      </c>
      <c r="AP44" s="108">
        <f t="shared" si="277"/>
        <v>136</v>
      </c>
      <c r="AQ44" s="108">
        <f t="shared" si="277"/>
        <v>137</v>
      </c>
      <c r="AR44" s="108">
        <f t="shared" si="277"/>
        <v>138</v>
      </c>
      <c r="AS44" s="108">
        <f t="shared" si="277"/>
        <v>139</v>
      </c>
      <c r="AT44" s="108">
        <f t="shared" si="277"/>
        <v>140</v>
      </c>
      <c r="AU44" s="108">
        <f t="shared" si="277"/>
        <v>141</v>
      </c>
      <c r="AV44" s="108">
        <f t="shared" si="277"/>
        <v>142</v>
      </c>
      <c r="AW44" s="108">
        <f t="shared" si="277"/>
        <v>143</v>
      </c>
      <c r="AX44" s="108">
        <f t="shared" si="277"/>
        <v>144</v>
      </c>
      <c r="AY44" s="108">
        <f t="shared" si="277"/>
        <v>145</v>
      </c>
      <c r="AZ44" s="108">
        <f t="shared" si="277"/>
        <v>146</v>
      </c>
      <c r="BA44" s="108">
        <f t="shared" si="277"/>
        <v>147</v>
      </c>
      <c r="BB44" s="108">
        <f t="shared" si="277"/>
        <v>148</v>
      </c>
      <c r="BC44" s="108">
        <f t="shared" si="277"/>
        <v>149</v>
      </c>
      <c r="BD44" s="108">
        <f t="shared" si="277"/>
        <v>150</v>
      </c>
      <c r="BE44" s="108">
        <f t="shared" si="277"/>
        <v>151</v>
      </c>
      <c r="BF44" s="108">
        <f t="shared" si="277"/>
        <v>152</v>
      </c>
      <c r="BG44" s="108">
        <f t="shared" si="277"/>
        <v>153</v>
      </c>
      <c r="BH44" s="108">
        <f t="shared" si="277"/>
        <v>154</v>
      </c>
      <c r="BI44" s="108">
        <f t="shared" si="277"/>
        <v>155</v>
      </c>
      <c r="BJ44" s="108">
        <f t="shared" si="277"/>
        <v>156</v>
      </c>
      <c r="BK44" s="108">
        <f t="shared" si="277"/>
        <v>157</v>
      </c>
      <c r="BL44" s="108">
        <f t="shared" si="277"/>
        <v>158</v>
      </c>
      <c r="BM44" s="108">
        <f t="shared" si="277"/>
        <v>159</v>
      </c>
      <c r="BN44" s="108">
        <f t="shared" si="277"/>
        <v>160</v>
      </c>
      <c r="BO44" s="108">
        <f t="shared" si="277"/>
        <v>161</v>
      </c>
      <c r="BP44" s="108">
        <f t="shared" si="277"/>
        <v>162</v>
      </c>
      <c r="BQ44" s="108">
        <f t="shared" si="277"/>
        <v>163</v>
      </c>
      <c r="BR44" s="108">
        <f t="shared" ref="BR44:EC44" si="278">BQ44+$J$43</f>
        <v>164</v>
      </c>
      <c r="BS44" s="108">
        <f t="shared" si="278"/>
        <v>165</v>
      </c>
      <c r="BT44" s="108">
        <f t="shared" si="278"/>
        <v>166</v>
      </c>
      <c r="BU44" s="108">
        <f t="shared" si="278"/>
        <v>167</v>
      </c>
      <c r="BV44" s="108">
        <f t="shared" si="278"/>
        <v>168</v>
      </c>
      <c r="BW44" s="108">
        <f t="shared" si="278"/>
        <v>169</v>
      </c>
      <c r="BX44" s="108">
        <f t="shared" si="278"/>
        <v>170</v>
      </c>
      <c r="BY44" s="108">
        <f t="shared" si="278"/>
        <v>171</v>
      </c>
      <c r="BZ44" s="108">
        <f t="shared" si="278"/>
        <v>172</v>
      </c>
      <c r="CA44" s="108">
        <f t="shared" si="278"/>
        <v>173</v>
      </c>
      <c r="CB44" s="108">
        <f t="shared" si="278"/>
        <v>174</v>
      </c>
      <c r="CC44" s="108">
        <f t="shared" si="278"/>
        <v>175</v>
      </c>
      <c r="CD44" s="108">
        <f t="shared" si="278"/>
        <v>176</v>
      </c>
      <c r="CE44" s="108">
        <f t="shared" si="278"/>
        <v>177</v>
      </c>
      <c r="CF44" s="108">
        <f t="shared" si="278"/>
        <v>178</v>
      </c>
      <c r="CG44" s="108">
        <f t="shared" si="278"/>
        <v>179</v>
      </c>
      <c r="CH44" s="108">
        <f t="shared" si="278"/>
        <v>180</v>
      </c>
      <c r="CI44" s="108">
        <f t="shared" si="278"/>
        <v>181</v>
      </c>
      <c r="CJ44" s="108">
        <f t="shared" si="278"/>
        <v>182</v>
      </c>
      <c r="CK44" s="108">
        <f t="shared" si="278"/>
        <v>183</v>
      </c>
      <c r="CL44" s="108">
        <f t="shared" si="278"/>
        <v>184</v>
      </c>
      <c r="CM44" s="108">
        <f t="shared" si="278"/>
        <v>185</v>
      </c>
      <c r="CN44" s="108">
        <f t="shared" si="278"/>
        <v>186</v>
      </c>
      <c r="CO44" s="108">
        <f t="shared" si="278"/>
        <v>187</v>
      </c>
      <c r="CP44" s="108">
        <f t="shared" si="278"/>
        <v>188</v>
      </c>
      <c r="CQ44" s="108">
        <f t="shared" si="278"/>
        <v>189</v>
      </c>
      <c r="CR44" s="108">
        <f t="shared" si="278"/>
        <v>190</v>
      </c>
      <c r="CS44" s="108">
        <f t="shared" si="278"/>
        <v>191</v>
      </c>
      <c r="CT44" s="108">
        <f t="shared" si="278"/>
        <v>192</v>
      </c>
      <c r="CU44" s="108">
        <f t="shared" si="278"/>
        <v>193</v>
      </c>
      <c r="CV44" s="108">
        <f t="shared" si="278"/>
        <v>194</v>
      </c>
      <c r="CW44" s="108">
        <f t="shared" si="278"/>
        <v>195</v>
      </c>
      <c r="CX44" s="108">
        <f t="shared" si="278"/>
        <v>196</v>
      </c>
      <c r="CY44" s="108">
        <f t="shared" si="278"/>
        <v>197</v>
      </c>
      <c r="CZ44" s="108">
        <f t="shared" si="278"/>
        <v>198</v>
      </c>
      <c r="DA44" s="108">
        <f t="shared" si="278"/>
        <v>199</v>
      </c>
      <c r="DB44" s="108">
        <f t="shared" si="278"/>
        <v>200</v>
      </c>
      <c r="DC44" s="108">
        <f t="shared" si="278"/>
        <v>201</v>
      </c>
      <c r="DD44" s="108">
        <f t="shared" si="278"/>
        <v>202</v>
      </c>
      <c r="DE44" s="108">
        <f t="shared" si="278"/>
        <v>203</v>
      </c>
      <c r="DF44" s="108">
        <f t="shared" si="278"/>
        <v>204</v>
      </c>
      <c r="DG44" s="108">
        <f t="shared" si="278"/>
        <v>205</v>
      </c>
      <c r="DH44" s="108">
        <f t="shared" si="278"/>
        <v>206</v>
      </c>
      <c r="DI44" s="108">
        <f t="shared" si="278"/>
        <v>207</v>
      </c>
      <c r="DJ44" s="108">
        <f t="shared" si="278"/>
        <v>208</v>
      </c>
      <c r="DK44" s="108">
        <f t="shared" si="278"/>
        <v>209</v>
      </c>
      <c r="DL44" s="108">
        <f t="shared" si="278"/>
        <v>210</v>
      </c>
      <c r="DM44" s="108">
        <f t="shared" si="278"/>
        <v>211</v>
      </c>
      <c r="DN44" s="108">
        <f t="shared" si="278"/>
        <v>212</v>
      </c>
      <c r="DO44" s="108">
        <f t="shared" si="278"/>
        <v>213</v>
      </c>
      <c r="DP44" s="108">
        <f t="shared" si="278"/>
        <v>214</v>
      </c>
      <c r="DQ44" s="108">
        <f t="shared" si="278"/>
        <v>215</v>
      </c>
      <c r="DR44" s="108">
        <f t="shared" si="278"/>
        <v>216</v>
      </c>
      <c r="DS44" s="108">
        <f t="shared" si="278"/>
        <v>217</v>
      </c>
      <c r="DT44" s="108">
        <f t="shared" si="278"/>
        <v>218</v>
      </c>
      <c r="DU44" s="108">
        <f t="shared" si="278"/>
        <v>219</v>
      </c>
      <c r="DV44" s="108">
        <f t="shared" si="278"/>
        <v>220</v>
      </c>
      <c r="DW44" s="108">
        <f t="shared" si="278"/>
        <v>221</v>
      </c>
      <c r="DX44" s="108">
        <f t="shared" si="278"/>
        <v>222</v>
      </c>
      <c r="DY44" s="108">
        <f t="shared" si="278"/>
        <v>223</v>
      </c>
      <c r="DZ44" s="108">
        <f t="shared" si="278"/>
        <v>224</v>
      </c>
      <c r="EA44" s="108">
        <f t="shared" si="278"/>
        <v>225</v>
      </c>
      <c r="EB44" s="108">
        <f t="shared" si="278"/>
        <v>226</v>
      </c>
      <c r="EC44" s="108">
        <f t="shared" si="278"/>
        <v>227</v>
      </c>
      <c r="ED44" s="108">
        <f t="shared" ref="ED44:EX44" si="279">EC44+$J$43</f>
        <v>228</v>
      </c>
      <c r="EE44" s="108">
        <f t="shared" si="279"/>
        <v>229</v>
      </c>
      <c r="EF44" s="108">
        <f t="shared" si="279"/>
        <v>230</v>
      </c>
      <c r="EG44" s="108">
        <f t="shared" si="279"/>
        <v>231</v>
      </c>
      <c r="EH44" s="108">
        <f t="shared" si="279"/>
        <v>232</v>
      </c>
      <c r="EI44" s="108">
        <f t="shared" si="279"/>
        <v>233</v>
      </c>
      <c r="EJ44" s="108">
        <f t="shared" si="279"/>
        <v>234</v>
      </c>
      <c r="EK44" s="108">
        <f t="shared" si="279"/>
        <v>235</v>
      </c>
      <c r="EL44" s="108">
        <f t="shared" si="279"/>
        <v>236</v>
      </c>
      <c r="EM44" s="108">
        <f t="shared" si="279"/>
        <v>237</v>
      </c>
      <c r="EN44" s="108">
        <f t="shared" si="279"/>
        <v>238</v>
      </c>
      <c r="EO44" s="108">
        <f t="shared" si="279"/>
        <v>239</v>
      </c>
      <c r="EP44" s="108">
        <f t="shared" si="279"/>
        <v>240</v>
      </c>
      <c r="EQ44" s="108">
        <f t="shared" si="279"/>
        <v>241</v>
      </c>
      <c r="ER44" s="108">
        <f t="shared" si="279"/>
        <v>242</v>
      </c>
      <c r="ES44" s="108">
        <f t="shared" si="279"/>
        <v>243</v>
      </c>
      <c r="ET44" s="108">
        <f t="shared" si="279"/>
        <v>244</v>
      </c>
      <c r="EU44" s="108">
        <f t="shared" si="279"/>
        <v>245</v>
      </c>
      <c r="EV44" s="108">
        <f t="shared" si="279"/>
        <v>246</v>
      </c>
      <c r="EW44" s="108">
        <f t="shared" si="279"/>
        <v>247</v>
      </c>
      <c r="EX44" s="108">
        <f t="shared" si="279"/>
        <v>248</v>
      </c>
      <c r="EY44" s="715"/>
      <c r="EZ44" s="715"/>
      <c r="FA44" s="709"/>
      <c r="FB44" s="108">
        <v>800</v>
      </c>
      <c r="FC44" s="108">
        <v>960</v>
      </c>
    </row>
    <row r="45" spans="2:159" s="31" customFormat="1" x14ac:dyDescent="0.45">
      <c r="B45" s="154"/>
      <c r="C45" s="152" t="s">
        <v>1</v>
      </c>
      <c r="D45" s="157">
        <f t="shared" ref="D45:BO45" si="280">ROUNDDOWN(1000000 / (D44/(D60)), 0)</f>
        <v>10204</v>
      </c>
      <c r="E45" s="157">
        <f t="shared" si="280"/>
        <v>10101</v>
      </c>
      <c r="F45" s="157">
        <f t="shared" ref="F45" si="281">ROUNDDOWN(1000000 / (F44/(F60)), 0)</f>
        <v>10000</v>
      </c>
      <c r="G45" s="157">
        <f t="shared" si="280"/>
        <v>9900</v>
      </c>
      <c r="H45" s="157">
        <f t="shared" si="280"/>
        <v>9803</v>
      </c>
      <c r="I45" s="157">
        <f t="shared" si="280"/>
        <v>9708</v>
      </c>
      <c r="J45" s="157">
        <f t="shared" si="280"/>
        <v>9615</v>
      </c>
      <c r="K45" s="157">
        <f t="shared" si="280"/>
        <v>9523</v>
      </c>
      <c r="L45" s="157">
        <f t="shared" si="280"/>
        <v>9433</v>
      </c>
      <c r="M45" s="157">
        <f t="shared" si="280"/>
        <v>9345</v>
      </c>
      <c r="N45" s="157">
        <f t="shared" si="280"/>
        <v>9259</v>
      </c>
      <c r="O45" s="157">
        <f t="shared" si="280"/>
        <v>9174</v>
      </c>
      <c r="P45" s="157">
        <f t="shared" si="280"/>
        <v>9090</v>
      </c>
      <c r="Q45" s="157">
        <f t="shared" si="280"/>
        <v>9009</v>
      </c>
      <c r="R45" s="157">
        <f t="shared" si="280"/>
        <v>8928</v>
      </c>
      <c r="S45" s="157">
        <f t="shared" si="280"/>
        <v>8849</v>
      </c>
      <c r="T45" s="157">
        <f t="shared" si="280"/>
        <v>8771</v>
      </c>
      <c r="U45" s="157">
        <f t="shared" si="280"/>
        <v>8695</v>
      </c>
      <c r="V45" s="157">
        <f t="shared" si="280"/>
        <v>8620</v>
      </c>
      <c r="W45" s="157">
        <f t="shared" si="280"/>
        <v>8547</v>
      </c>
      <c r="X45" s="157">
        <f t="shared" si="280"/>
        <v>8474</v>
      </c>
      <c r="Y45" s="157">
        <f t="shared" si="280"/>
        <v>8403</v>
      </c>
      <c r="Z45" s="157">
        <f t="shared" si="280"/>
        <v>8333</v>
      </c>
      <c r="AA45" s="157">
        <f t="shared" si="280"/>
        <v>8264</v>
      </c>
      <c r="AB45" s="157">
        <f t="shared" si="280"/>
        <v>8196</v>
      </c>
      <c r="AC45" s="157">
        <f t="shared" si="280"/>
        <v>8130</v>
      </c>
      <c r="AD45" s="157">
        <f t="shared" si="280"/>
        <v>8064</v>
      </c>
      <c r="AE45" s="157">
        <f t="shared" si="280"/>
        <v>8000</v>
      </c>
      <c r="AF45" s="157">
        <f t="shared" si="280"/>
        <v>7936</v>
      </c>
      <c r="AG45" s="157">
        <f t="shared" si="280"/>
        <v>7874</v>
      </c>
      <c r="AH45" s="157">
        <f t="shared" si="280"/>
        <v>7812</v>
      </c>
      <c r="AI45" s="157">
        <f t="shared" si="280"/>
        <v>7751</v>
      </c>
      <c r="AJ45" s="157">
        <f t="shared" si="280"/>
        <v>7692</v>
      </c>
      <c r="AK45" s="157">
        <f t="shared" si="280"/>
        <v>7633</v>
      </c>
      <c r="AL45" s="157">
        <f t="shared" si="280"/>
        <v>7575</v>
      </c>
      <c r="AM45" s="157">
        <f t="shared" si="280"/>
        <v>7518</v>
      </c>
      <c r="AN45" s="157">
        <f t="shared" si="280"/>
        <v>7462</v>
      </c>
      <c r="AO45" s="157">
        <f t="shared" si="280"/>
        <v>7407</v>
      </c>
      <c r="AP45" s="157">
        <f t="shared" si="280"/>
        <v>7352</v>
      </c>
      <c r="AQ45" s="157">
        <f t="shared" si="280"/>
        <v>7299</v>
      </c>
      <c r="AR45" s="157">
        <f t="shared" si="280"/>
        <v>7246</v>
      </c>
      <c r="AS45" s="157">
        <f t="shared" si="280"/>
        <v>7194</v>
      </c>
      <c r="AT45" s="157">
        <f t="shared" si="280"/>
        <v>7142</v>
      </c>
      <c r="AU45" s="157">
        <f t="shared" si="280"/>
        <v>7092</v>
      </c>
      <c r="AV45" s="157">
        <f t="shared" si="280"/>
        <v>7042</v>
      </c>
      <c r="AW45" s="157">
        <f t="shared" si="280"/>
        <v>6993</v>
      </c>
      <c r="AX45" s="157">
        <f t="shared" si="280"/>
        <v>6944</v>
      </c>
      <c r="AY45" s="157">
        <f t="shared" si="280"/>
        <v>6896</v>
      </c>
      <c r="AZ45" s="157">
        <f t="shared" si="280"/>
        <v>6849</v>
      </c>
      <c r="BA45" s="157">
        <f t="shared" si="280"/>
        <v>6802</v>
      </c>
      <c r="BB45" s="157">
        <f t="shared" si="280"/>
        <v>6756</v>
      </c>
      <c r="BC45" s="157">
        <f t="shared" si="280"/>
        <v>6711</v>
      </c>
      <c r="BD45" s="157">
        <f t="shared" si="280"/>
        <v>6666</v>
      </c>
      <c r="BE45" s="157">
        <f t="shared" si="280"/>
        <v>6622</v>
      </c>
      <c r="BF45" s="157">
        <f t="shared" si="280"/>
        <v>6578</v>
      </c>
      <c r="BG45" s="157">
        <f t="shared" si="280"/>
        <v>6535</v>
      </c>
      <c r="BH45" s="157">
        <f t="shared" si="280"/>
        <v>6493</v>
      </c>
      <c r="BI45" s="157">
        <f t="shared" si="280"/>
        <v>6451</v>
      </c>
      <c r="BJ45" s="157">
        <f t="shared" si="280"/>
        <v>6410</v>
      </c>
      <c r="BK45" s="157">
        <f t="shared" si="280"/>
        <v>6369</v>
      </c>
      <c r="BL45" s="157">
        <f t="shared" si="280"/>
        <v>6329</v>
      </c>
      <c r="BM45" s="157">
        <f t="shared" si="280"/>
        <v>6289</v>
      </c>
      <c r="BN45" s="157">
        <f t="shared" si="280"/>
        <v>6250</v>
      </c>
      <c r="BO45" s="157">
        <f t="shared" si="280"/>
        <v>6211</v>
      </c>
      <c r="BP45" s="157">
        <f t="shared" ref="BP45:EA45" si="282">ROUNDDOWN(1000000 / (BP44/(BP60)), 0)</f>
        <v>6172</v>
      </c>
      <c r="BQ45" s="157">
        <f t="shared" si="282"/>
        <v>6134</v>
      </c>
      <c r="BR45" s="157">
        <f t="shared" si="282"/>
        <v>6097</v>
      </c>
      <c r="BS45" s="157">
        <f t="shared" si="282"/>
        <v>6060</v>
      </c>
      <c r="BT45" s="157">
        <f t="shared" si="282"/>
        <v>6024</v>
      </c>
      <c r="BU45" s="157">
        <f t="shared" si="282"/>
        <v>5988</v>
      </c>
      <c r="BV45" s="157">
        <f t="shared" si="282"/>
        <v>5952</v>
      </c>
      <c r="BW45" s="157">
        <f t="shared" si="282"/>
        <v>5917</v>
      </c>
      <c r="BX45" s="157">
        <f t="shared" si="282"/>
        <v>5882</v>
      </c>
      <c r="BY45" s="157">
        <f t="shared" si="282"/>
        <v>5847</v>
      </c>
      <c r="BZ45" s="157">
        <f t="shared" si="282"/>
        <v>5813</v>
      </c>
      <c r="CA45" s="157">
        <f t="shared" si="282"/>
        <v>5780</v>
      </c>
      <c r="CB45" s="157">
        <f t="shared" si="282"/>
        <v>5747</v>
      </c>
      <c r="CC45" s="157">
        <f t="shared" si="282"/>
        <v>5714</v>
      </c>
      <c r="CD45" s="157">
        <f t="shared" si="282"/>
        <v>5681</v>
      </c>
      <c r="CE45" s="157">
        <f t="shared" si="282"/>
        <v>5649</v>
      </c>
      <c r="CF45" s="157">
        <f t="shared" si="282"/>
        <v>5617</v>
      </c>
      <c r="CG45" s="157">
        <f t="shared" si="282"/>
        <v>5586</v>
      </c>
      <c r="CH45" s="157">
        <f t="shared" si="282"/>
        <v>5555</v>
      </c>
      <c r="CI45" s="157">
        <f t="shared" si="282"/>
        <v>5524</v>
      </c>
      <c r="CJ45" s="157">
        <f t="shared" si="282"/>
        <v>5494</v>
      </c>
      <c r="CK45" s="157">
        <f t="shared" si="282"/>
        <v>5464</v>
      </c>
      <c r="CL45" s="157">
        <f t="shared" si="282"/>
        <v>5434</v>
      </c>
      <c r="CM45" s="157">
        <f t="shared" si="282"/>
        <v>5405</v>
      </c>
      <c r="CN45" s="157">
        <f t="shared" si="282"/>
        <v>5376</v>
      </c>
      <c r="CO45" s="157">
        <f t="shared" si="282"/>
        <v>5347</v>
      </c>
      <c r="CP45" s="157">
        <f t="shared" si="282"/>
        <v>5319</v>
      </c>
      <c r="CQ45" s="157">
        <f t="shared" si="282"/>
        <v>5291</v>
      </c>
      <c r="CR45" s="157">
        <f t="shared" si="282"/>
        <v>5263</v>
      </c>
      <c r="CS45" s="157">
        <f t="shared" si="282"/>
        <v>5235</v>
      </c>
      <c r="CT45" s="157">
        <f t="shared" si="282"/>
        <v>5208</v>
      </c>
      <c r="CU45" s="157">
        <f t="shared" si="282"/>
        <v>5181</v>
      </c>
      <c r="CV45" s="157">
        <f t="shared" si="282"/>
        <v>5154</v>
      </c>
      <c r="CW45" s="157">
        <f t="shared" si="282"/>
        <v>5128</v>
      </c>
      <c r="CX45" s="157">
        <f t="shared" si="282"/>
        <v>5102</v>
      </c>
      <c r="CY45" s="157">
        <f t="shared" si="282"/>
        <v>5076</v>
      </c>
      <c r="CZ45" s="157">
        <f t="shared" si="282"/>
        <v>5050</v>
      </c>
      <c r="DA45" s="157">
        <f t="shared" si="282"/>
        <v>5025</v>
      </c>
      <c r="DB45" s="157">
        <f t="shared" si="282"/>
        <v>5000</v>
      </c>
      <c r="DC45" s="157">
        <f t="shared" si="282"/>
        <v>4975</v>
      </c>
      <c r="DD45" s="157">
        <f t="shared" si="282"/>
        <v>4950</v>
      </c>
      <c r="DE45" s="157">
        <f t="shared" si="282"/>
        <v>4926</v>
      </c>
      <c r="DF45" s="157">
        <f t="shared" si="282"/>
        <v>4901</v>
      </c>
      <c r="DG45" s="157">
        <f t="shared" si="282"/>
        <v>4878</v>
      </c>
      <c r="DH45" s="157">
        <f t="shared" si="282"/>
        <v>4854</v>
      </c>
      <c r="DI45" s="157">
        <f t="shared" si="282"/>
        <v>4830</v>
      </c>
      <c r="DJ45" s="157">
        <f t="shared" si="282"/>
        <v>4807</v>
      </c>
      <c r="DK45" s="157">
        <f t="shared" si="282"/>
        <v>4784</v>
      </c>
      <c r="DL45" s="157">
        <f t="shared" si="282"/>
        <v>4761</v>
      </c>
      <c r="DM45" s="157">
        <f t="shared" si="282"/>
        <v>4739</v>
      </c>
      <c r="DN45" s="157">
        <f t="shared" si="282"/>
        <v>4716</v>
      </c>
      <c r="DO45" s="157">
        <f t="shared" si="282"/>
        <v>4694</v>
      </c>
      <c r="DP45" s="157">
        <f t="shared" si="282"/>
        <v>4672</v>
      </c>
      <c r="DQ45" s="157">
        <f t="shared" si="282"/>
        <v>4651</v>
      </c>
      <c r="DR45" s="157">
        <f t="shared" si="282"/>
        <v>4629</v>
      </c>
      <c r="DS45" s="157">
        <f t="shared" si="282"/>
        <v>4608</v>
      </c>
      <c r="DT45" s="157">
        <f t="shared" si="282"/>
        <v>4587</v>
      </c>
      <c r="DU45" s="157">
        <f t="shared" si="282"/>
        <v>4566</v>
      </c>
      <c r="DV45" s="157">
        <f t="shared" si="282"/>
        <v>4545</v>
      </c>
      <c r="DW45" s="157">
        <f t="shared" si="282"/>
        <v>4524</v>
      </c>
      <c r="DX45" s="157">
        <f t="shared" si="282"/>
        <v>4504</v>
      </c>
      <c r="DY45" s="157">
        <f t="shared" si="282"/>
        <v>4484</v>
      </c>
      <c r="DZ45" s="157">
        <f t="shared" si="282"/>
        <v>4464</v>
      </c>
      <c r="EA45" s="157">
        <f t="shared" si="282"/>
        <v>4444</v>
      </c>
      <c r="EB45" s="157">
        <f t="shared" ref="EB45:EJ45" si="283">ROUNDDOWN(1000000 / (EB44/(EB60)), 0)</f>
        <v>4424</v>
      </c>
      <c r="EC45" s="157">
        <f t="shared" si="283"/>
        <v>4405</v>
      </c>
      <c r="ED45" s="157">
        <f t="shared" si="283"/>
        <v>4385</v>
      </c>
      <c r="EE45" s="157">
        <f t="shared" si="283"/>
        <v>4366</v>
      </c>
      <c r="EF45" s="157">
        <f t="shared" si="283"/>
        <v>4347</v>
      </c>
      <c r="EG45" s="157">
        <f t="shared" si="283"/>
        <v>4329</v>
      </c>
      <c r="EH45" s="157">
        <f t="shared" si="283"/>
        <v>4310</v>
      </c>
      <c r="EI45" s="157">
        <f t="shared" si="283"/>
        <v>4291</v>
      </c>
      <c r="EJ45" s="157">
        <f t="shared" si="283"/>
        <v>4273</v>
      </c>
      <c r="EK45" s="157">
        <f>ROUNDDOWN(1000000 / (EK44/(EK60)), 0)</f>
        <v>4255</v>
      </c>
      <c r="EL45" s="157">
        <f t="shared" ref="EL45:FC45" si="284">ROUNDDOWN(1000000 / (EL44/(EL60)), 0)</f>
        <v>4237</v>
      </c>
      <c r="EM45" s="157">
        <f t="shared" si="284"/>
        <v>4219</v>
      </c>
      <c r="EN45" s="157">
        <f t="shared" si="284"/>
        <v>4201</v>
      </c>
      <c r="EO45" s="157">
        <f t="shared" si="284"/>
        <v>4184</v>
      </c>
      <c r="EP45" s="157">
        <f t="shared" si="284"/>
        <v>4166</v>
      </c>
      <c r="EQ45" s="157">
        <f t="shared" si="284"/>
        <v>4149</v>
      </c>
      <c r="ER45" s="157">
        <f t="shared" si="284"/>
        <v>4132</v>
      </c>
      <c r="ES45" s="157">
        <f t="shared" si="284"/>
        <v>4115</v>
      </c>
      <c r="ET45" s="157">
        <f t="shared" si="284"/>
        <v>4098</v>
      </c>
      <c r="EU45" s="157">
        <f t="shared" si="284"/>
        <v>4081</v>
      </c>
      <c r="EV45" s="157">
        <f t="shared" si="284"/>
        <v>4065</v>
      </c>
      <c r="EW45" s="157">
        <f t="shared" si="284"/>
        <v>4048</v>
      </c>
      <c r="EX45" s="157">
        <f t="shared" si="284"/>
        <v>4032</v>
      </c>
      <c r="EY45" s="715"/>
      <c r="EZ45" s="715"/>
      <c r="FA45" s="709"/>
      <c r="FB45" s="157">
        <f t="shared" si="284"/>
        <v>10000</v>
      </c>
      <c r="FC45" s="157">
        <f t="shared" si="284"/>
        <v>8333</v>
      </c>
    </row>
    <row r="46" spans="2:159" s="31" customFormat="1" x14ac:dyDescent="0.45">
      <c r="B46" s="155" t="s">
        <v>1161</v>
      </c>
      <c r="C46" s="156" t="s">
        <v>18</v>
      </c>
      <c r="D46" s="55">
        <v>12</v>
      </c>
      <c r="E46" s="55">
        <f>D46</f>
        <v>12</v>
      </c>
      <c r="F46" s="55">
        <f>E46</f>
        <v>12</v>
      </c>
      <c r="G46" s="55">
        <f t="shared" ref="G46:BQ46" si="285">F46</f>
        <v>12</v>
      </c>
      <c r="H46" s="55">
        <f t="shared" si="285"/>
        <v>12</v>
      </c>
      <c r="I46" s="55">
        <f t="shared" si="285"/>
        <v>12</v>
      </c>
      <c r="J46" s="55">
        <f t="shared" si="285"/>
        <v>12</v>
      </c>
      <c r="K46" s="55">
        <f t="shared" si="285"/>
        <v>12</v>
      </c>
      <c r="L46" s="55">
        <f t="shared" si="285"/>
        <v>12</v>
      </c>
      <c r="M46" s="55">
        <f t="shared" si="285"/>
        <v>12</v>
      </c>
      <c r="N46" s="55">
        <f t="shared" si="285"/>
        <v>12</v>
      </c>
      <c r="O46" s="55">
        <f t="shared" si="285"/>
        <v>12</v>
      </c>
      <c r="P46" s="55">
        <f t="shared" si="285"/>
        <v>12</v>
      </c>
      <c r="Q46" s="55">
        <f t="shared" si="285"/>
        <v>12</v>
      </c>
      <c r="R46" s="55">
        <f t="shared" si="285"/>
        <v>12</v>
      </c>
      <c r="S46" s="55">
        <f t="shared" si="285"/>
        <v>12</v>
      </c>
      <c r="T46" s="55">
        <f t="shared" si="285"/>
        <v>12</v>
      </c>
      <c r="U46" s="55">
        <f t="shared" si="285"/>
        <v>12</v>
      </c>
      <c r="V46" s="55">
        <f t="shared" si="285"/>
        <v>12</v>
      </c>
      <c r="W46" s="55">
        <f t="shared" si="285"/>
        <v>12</v>
      </c>
      <c r="X46" s="55">
        <f t="shared" si="285"/>
        <v>12</v>
      </c>
      <c r="Y46" s="55">
        <f t="shared" si="285"/>
        <v>12</v>
      </c>
      <c r="Z46" s="55">
        <f t="shared" si="285"/>
        <v>12</v>
      </c>
      <c r="AA46" s="55">
        <f t="shared" si="285"/>
        <v>12</v>
      </c>
      <c r="AB46" s="55">
        <f t="shared" si="285"/>
        <v>12</v>
      </c>
      <c r="AC46" s="55">
        <f t="shared" si="285"/>
        <v>12</v>
      </c>
      <c r="AD46" s="55">
        <f t="shared" si="285"/>
        <v>12</v>
      </c>
      <c r="AE46" s="55">
        <f t="shared" si="285"/>
        <v>12</v>
      </c>
      <c r="AF46" s="55">
        <f t="shared" si="285"/>
        <v>12</v>
      </c>
      <c r="AG46" s="55">
        <f t="shared" si="285"/>
        <v>12</v>
      </c>
      <c r="AH46" s="55">
        <f t="shared" si="285"/>
        <v>12</v>
      </c>
      <c r="AI46" s="55">
        <f t="shared" si="285"/>
        <v>12</v>
      </c>
      <c r="AJ46" s="55">
        <f t="shared" si="285"/>
        <v>12</v>
      </c>
      <c r="AK46" s="55">
        <f t="shared" si="285"/>
        <v>12</v>
      </c>
      <c r="AL46" s="55">
        <f t="shared" si="285"/>
        <v>12</v>
      </c>
      <c r="AM46" s="55">
        <f t="shared" si="285"/>
        <v>12</v>
      </c>
      <c r="AN46" s="55">
        <f t="shared" si="285"/>
        <v>12</v>
      </c>
      <c r="AO46" s="55">
        <f t="shared" si="285"/>
        <v>12</v>
      </c>
      <c r="AP46" s="55">
        <f t="shared" si="285"/>
        <v>12</v>
      </c>
      <c r="AQ46" s="55">
        <f t="shared" si="285"/>
        <v>12</v>
      </c>
      <c r="AR46" s="55">
        <f t="shared" si="285"/>
        <v>12</v>
      </c>
      <c r="AS46" s="55">
        <f t="shared" si="285"/>
        <v>12</v>
      </c>
      <c r="AT46" s="55">
        <f t="shared" si="285"/>
        <v>12</v>
      </c>
      <c r="AU46" s="55">
        <f t="shared" si="285"/>
        <v>12</v>
      </c>
      <c r="AV46" s="55">
        <f t="shared" si="285"/>
        <v>12</v>
      </c>
      <c r="AW46" s="55">
        <f>AV46</f>
        <v>12</v>
      </c>
      <c r="AX46" s="55">
        <f t="shared" si="285"/>
        <v>12</v>
      </c>
      <c r="AY46" s="55">
        <f t="shared" si="285"/>
        <v>12</v>
      </c>
      <c r="AZ46" s="55">
        <f t="shared" si="285"/>
        <v>12</v>
      </c>
      <c r="BA46" s="55">
        <f t="shared" si="285"/>
        <v>12</v>
      </c>
      <c r="BB46" s="55">
        <f t="shared" si="285"/>
        <v>12</v>
      </c>
      <c r="BC46" s="55">
        <f t="shared" si="285"/>
        <v>12</v>
      </c>
      <c r="BD46" s="55">
        <f t="shared" si="285"/>
        <v>12</v>
      </c>
      <c r="BE46" s="55">
        <f t="shared" si="285"/>
        <v>12</v>
      </c>
      <c r="BF46" s="55">
        <f t="shared" si="285"/>
        <v>12</v>
      </c>
      <c r="BG46" s="55">
        <f t="shared" si="285"/>
        <v>12</v>
      </c>
      <c r="BH46" s="55">
        <f t="shared" si="285"/>
        <v>12</v>
      </c>
      <c r="BI46" s="55">
        <f t="shared" si="285"/>
        <v>12</v>
      </c>
      <c r="BJ46" s="55">
        <f t="shared" si="285"/>
        <v>12</v>
      </c>
      <c r="BK46" s="55">
        <f t="shared" si="285"/>
        <v>12</v>
      </c>
      <c r="BL46" s="55">
        <f t="shared" si="285"/>
        <v>12</v>
      </c>
      <c r="BM46" s="55">
        <f t="shared" si="285"/>
        <v>12</v>
      </c>
      <c r="BN46" s="55">
        <f t="shared" si="285"/>
        <v>12</v>
      </c>
      <c r="BO46" s="55">
        <f t="shared" si="285"/>
        <v>12</v>
      </c>
      <c r="BP46" s="55">
        <f t="shared" si="285"/>
        <v>12</v>
      </c>
      <c r="BQ46" s="55">
        <f t="shared" si="285"/>
        <v>12</v>
      </c>
      <c r="BR46" s="55">
        <f t="shared" ref="BR46:EC46" si="286">BQ46</f>
        <v>12</v>
      </c>
      <c r="BS46" s="55">
        <f t="shared" si="286"/>
        <v>12</v>
      </c>
      <c r="BT46" s="55">
        <f t="shared" si="286"/>
        <v>12</v>
      </c>
      <c r="BU46" s="55">
        <f t="shared" si="286"/>
        <v>12</v>
      </c>
      <c r="BV46" s="55">
        <f t="shared" si="286"/>
        <v>12</v>
      </c>
      <c r="BW46" s="55">
        <f t="shared" si="286"/>
        <v>12</v>
      </c>
      <c r="BX46" s="55">
        <f t="shared" si="286"/>
        <v>12</v>
      </c>
      <c r="BY46" s="55">
        <f t="shared" si="286"/>
        <v>12</v>
      </c>
      <c r="BZ46" s="55">
        <f t="shared" si="286"/>
        <v>12</v>
      </c>
      <c r="CA46" s="55">
        <f t="shared" si="286"/>
        <v>12</v>
      </c>
      <c r="CB46" s="55">
        <f t="shared" si="286"/>
        <v>12</v>
      </c>
      <c r="CC46" s="55">
        <f t="shared" si="286"/>
        <v>12</v>
      </c>
      <c r="CD46" s="55">
        <f t="shared" si="286"/>
        <v>12</v>
      </c>
      <c r="CE46" s="55">
        <f t="shared" si="286"/>
        <v>12</v>
      </c>
      <c r="CF46" s="55">
        <f t="shared" si="286"/>
        <v>12</v>
      </c>
      <c r="CG46" s="55">
        <f t="shared" si="286"/>
        <v>12</v>
      </c>
      <c r="CH46" s="55">
        <f t="shared" si="286"/>
        <v>12</v>
      </c>
      <c r="CI46" s="55">
        <f t="shared" si="286"/>
        <v>12</v>
      </c>
      <c r="CJ46" s="55">
        <f t="shared" si="286"/>
        <v>12</v>
      </c>
      <c r="CK46" s="55">
        <f t="shared" si="286"/>
        <v>12</v>
      </c>
      <c r="CL46" s="55">
        <f t="shared" si="286"/>
        <v>12</v>
      </c>
      <c r="CM46" s="55">
        <f t="shared" si="286"/>
        <v>12</v>
      </c>
      <c r="CN46" s="55">
        <f t="shared" si="286"/>
        <v>12</v>
      </c>
      <c r="CO46" s="55">
        <f t="shared" si="286"/>
        <v>12</v>
      </c>
      <c r="CP46" s="55">
        <f t="shared" si="286"/>
        <v>12</v>
      </c>
      <c r="CQ46" s="55">
        <f t="shared" si="286"/>
        <v>12</v>
      </c>
      <c r="CR46" s="55">
        <f t="shared" si="286"/>
        <v>12</v>
      </c>
      <c r="CS46" s="55">
        <f t="shared" si="286"/>
        <v>12</v>
      </c>
      <c r="CT46" s="55">
        <f t="shared" si="286"/>
        <v>12</v>
      </c>
      <c r="CU46" s="55">
        <f t="shared" si="286"/>
        <v>12</v>
      </c>
      <c r="CV46" s="55">
        <f t="shared" si="286"/>
        <v>12</v>
      </c>
      <c r="CW46" s="55">
        <f t="shared" si="286"/>
        <v>12</v>
      </c>
      <c r="CX46" s="55">
        <f t="shared" si="286"/>
        <v>12</v>
      </c>
      <c r="CY46" s="55">
        <f t="shared" si="286"/>
        <v>12</v>
      </c>
      <c r="CZ46" s="55">
        <f t="shared" si="286"/>
        <v>12</v>
      </c>
      <c r="DA46" s="55">
        <f t="shared" si="286"/>
        <v>12</v>
      </c>
      <c r="DB46" s="55">
        <f t="shared" si="286"/>
        <v>12</v>
      </c>
      <c r="DC46" s="55">
        <f t="shared" si="286"/>
        <v>12</v>
      </c>
      <c r="DD46" s="55">
        <f t="shared" si="286"/>
        <v>12</v>
      </c>
      <c r="DE46" s="55">
        <f t="shared" si="286"/>
        <v>12</v>
      </c>
      <c r="DF46" s="55">
        <f t="shared" si="286"/>
        <v>12</v>
      </c>
      <c r="DG46" s="55">
        <f t="shared" si="286"/>
        <v>12</v>
      </c>
      <c r="DH46" s="55">
        <f t="shared" si="286"/>
        <v>12</v>
      </c>
      <c r="DI46" s="55">
        <f t="shared" si="286"/>
        <v>12</v>
      </c>
      <c r="DJ46" s="55">
        <f t="shared" si="286"/>
        <v>12</v>
      </c>
      <c r="DK46" s="55">
        <f t="shared" si="286"/>
        <v>12</v>
      </c>
      <c r="DL46" s="55">
        <f t="shared" si="286"/>
        <v>12</v>
      </c>
      <c r="DM46" s="55">
        <f t="shared" si="286"/>
        <v>12</v>
      </c>
      <c r="DN46" s="55">
        <f t="shared" si="286"/>
        <v>12</v>
      </c>
      <c r="DO46" s="55">
        <f t="shared" si="286"/>
        <v>12</v>
      </c>
      <c r="DP46" s="55">
        <f t="shared" si="286"/>
        <v>12</v>
      </c>
      <c r="DQ46" s="55">
        <f t="shared" si="286"/>
        <v>12</v>
      </c>
      <c r="DR46" s="55">
        <f t="shared" si="286"/>
        <v>12</v>
      </c>
      <c r="DS46" s="55">
        <f t="shared" si="286"/>
        <v>12</v>
      </c>
      <c r="DT46" s="55">
        <f t="shared" si="286"/>
        <v>12</v>
      </c>
      <c r="DU46" s="55">
        <f t="shared" si="286"/>
        <v>12</v>
      </c>
      <c r="DV46" s="55">
        <f t="shared" si="286"/>
        <v>12</v>
      </c>
      <c r="DW46" s="55">
        <f t="shared" si="286"/>
        <v>12</v>
      </c>
      <c r="DX46" s="55">
        <f t="shared" si="286"/>
        <v>12</v>
      </c>
      <c r="DY46" s="55">
        <f t="shared" si="286"/>
        <v>12</v>
      </c>
      <c r="DZ46" s="55">
        <f t="shared" si="286"/>
        <v>12</v>
      </c>
      <c r="EA46" s="55">
        <f t="shared" si="286"/>
        <v>12</v>
      </c>
      <c r="EB46" s="55">
        <f t="shared" si="286"/>
        <v>12</v>
      </c>
      <c r="EC46" s="55">
        <f t="shared" si="286"/>
        <v>12</v>
      </c>
      <c r="ED46" s="55">
        <f t="shared" ref="ED46:FC46" si="287">EC46</f>
        <v>12</v>
      </c>
      <c r="EE46" s="55">
        <f t="shared" si="287"/>
        <v>12</v>
      </c>
      <c r="EF46" s="55">
        <f t="shared" si="287"/>
        <v>12</v>
      </c>
      <c r="EG46" s="55">
        <f t="shared" si="287"/>
        <v>12</v>
      </c>
      <c r="EH46" s="55">
        <f t="shared" si="287"/>
        <v>12</v>
      </c>
      <c r="EI46" s="55">
        <f t="shared" si="287"/>
        <v>12</v>
      </c>
      <c r="EJ46" s="55">
        <f t="shared" si="287"/>
        <v>12</v>
      </c>
      <c r="EK46" s="55">
        <f t="shared" si="287"/>
        <v>12</v>
      </c>
      <c r="EL46" s="55">
        <f t="shared" si="287"/>
        <v>12</v>
      </c>
      <c r="EM46" s="55">
        <f t="shared" si="287"/>
        <v>12</v>
      </c>
      <c r="EN46" s="55">
        <f t="shared" si="287"/>
        <v>12</v>
      </c>
      <c r="EO46" s="55">
        <f t="shared" si="287"/>
        <v>12</v>
      </c>
      <c r="EP46" s="55">
        <f t="shared" si="287"/>
        <v>12</v>
      </c>
      <c r="EQ46" s="55">
        <f t="shared" si="287"/>
        <v>12</v>
      </c>
      <c r="ER46" s="55">
        <f t="shared" si="287"/>
        <v>12</v>
      </c>
      <c r="ES46" s="55">
        <f t="shared" si="287"/>
        <v>12</v>
      </c>
      <c r="ET46" s="55">
        <f t="shared" si="287"/>
        <v>12</v>
      </c>
      <c r="EU46" s="55">
        <f t="shared" si="287"/>
        <v>12</v>
      </c>
      <c r="EV46" s="55">
        <f t="shared" si="287"/>
        <v>12</v>
      </c>
      <c r="EW46" s="55">
        <f t="shared" si="287"/>
        <v>12</v>
      </c>
      <c r="EX46" s="55">
        <f t="shared" si="287"/>
        <v>12</v>
      </c>
      <c r="EY46" s="712"/>
      <c r="EZ46" s="712"/>
      <c r="FA46" s="709"/>
      <c r="FB46" s="55">
        <v>9</v>
      </c>
      <c r="FC46" s="55">
        <f t="shared" si="287"/>
        <v>9</v>
      </c>
    </row>
    <row r="47" spans="2:159" s="31" customFormat="1" x14ac:dyDescent="0.45">
      <c r="B47" s="158"/>
      <c r="C47" s="160" t="s">
        <v>1158</v>
      </c>
      <c r="D47" s="31">
        <f t="shared" ref="D47:E47" si="288">2^D46-1</f>
        <v>4095</v>
      </c>
      <c r="E47" s="31">
        <f t="shared" si="288"/>
        <v>4095</v>
      </c>
      <c r="F47" s="31">
        <f t="shared" ref="F47" si="289">2^F46-1</f>
        <v>4095</v>
      </c>
      <c r="G47" s="31">
        <f>2^G46-1</f>
        <v>4095</v>
      </c>
      <c r="H47" s="31">
        <f>2^H46-1</f>
        <v>4095</v>
      </c>
      <c r="I47" s="31">
        <f t="shared" ref="I47:BT47" si="290">2^I46-1</f>
        <v>4095</v>
      </c>
      <c r="J47" s="31">
        <f t="shared" si="290"/>
        <v>4095</v>
      </c>
      <c r="K47" s="31">
        <f t="shared" si="290"/>
        <v>4095</v>
      </c>
      <c r="L47" s="31">
        <f t="shared" si="290"/>
        <v>4095</v>
      </c>
      <c r="M47" s="31">
        <f t="shared" si="290"/>
        <v>4095</v>
      </c>
      <c r="N47" s="31">
        <f t="shared" si="290"/>
        <v>4095</v>
      </c>
      <c r="O47" s="31">
        <f t="shared" si="290"/>
        <v>4095</v>
      </c>
      <c r="P47" s="31">
        <f t="shared" si="290"/>
        <v>4095</v>
      </c>
      <c r="Q47" s="31">
        <f t="shared" si="290"/>
        <v>4095</v>
      </c>
      <c r="R47" s="31">
        <f t="shared" si="290"/>
        <v>4095</v>
      </c>
      <c r="S47" s="31">
        <f t="shared" si="290"/>
        <v>4095</v>
      </c>
      <c r="T47" s="31">
        <f t="shared" si="290"/>
        <v>4095</v>
      </c>
      <c r="U47" s="31">
        <f t="shared" si="290"/>
        <v>4095</v>
      </c>
      <c r="V47" s="31">
        <f t="shared" si="290"/>
        <v>4095</v>
      </c>
      <c r="W47" s="31">
        <f t="shared" si="290"/>
        <v>4095</v>
      </c>
      <c r="X47" s="31">
        <f t="shared" si="290"/>
        <v>4095</v>
      </c>
      <c r="Y47" s="31">
        <f t="shared" si="290"/>
        <v>4095</v>
      </c>
      <c r="Z47" s="31">
        <f t="shared" si="290"/>
        <v>4095</v>
      </c>
      <c r="AA47" s="31">
        <f t="shared" si="290"/>
        <v>4095</v>
      </c>
      <c r="AB47" s="31">
        <f t="shared" si="290"/>
        <v>4095</v>
      </c>
      <c r="AC47" s="31">
        <f t="shared" si="290"/>
        <v>4095</v>
      </c>
      <c r="AD47" s="31">
        <f t="shared" si="290"/>
        <v>4095</v>
      </c>
      <c r="AE47" s="31">
        <f t="shared" si="290"/>
        <v>4095</v>
      </c>
      <c r="AF47" s="31">
        <f t="shared" si="290"/>
        <v>4095</v>
      </c>
      <c r="AG47" s="31">
        <f t="shared" si="290"/>
        <v>4095</v>
      </c>
      <c r="AH47" s="31">
        <f t="shared" si="290"/>
        <v>4095</v>
      </c>
      <c r="AI47" s="31">
        <f t="shared" si="290"/>
        <v>4095</v>
      </c>
      <c r="AJ47" s="31">
        <f t="shared" si="290"/>
        <v>4095</v>
      </c>
      <c r="AK47" s="31">
        <f t="shared" si="290"/>
        <v>4095</v>
      </c>
      <c r="AL47" s="31">
        <f t="shared" si="290"/>
        <v>4095</v>
      </c>
      <c r="AM47" s="31">
        <f t="shared" si="290"/>
        <v>4095</v>
      </c>
      <c r="AN47" s="31">
        <f t="shared" si="290"/>
        <v>4095</v>
      </c>
      <c r="AO47" s="31">
        <f t="shared" si="290"/>
        <v>4095</v>
      </c>
      <c r="AP47" s="31">
        <f t="shared" si="290"/>
        <v>4095</v>
      </c>
      <c r="AQ47" s="31">
        <f t="shared" si="290"/>
        <v>4095</v>
      </c>
      <c r="AR47" s="31">
        <f t="shared" si="290"/>
        <v>4095</v>
      </c>
      <c r="AS47" s="31">
        <f t="shared" si="290"/>
        <v>4095</v>
      </c>
      <c r="AT47" s="31">
        <f t="shared" si="290"/>
        <v>4095</v>
      </c>
      <c r="AU47" s="31">
        <f t="shared" si="290"/>
        <v>4095</v>
      </c>
      <c r="AV47" s="31">
        <f t="shared" si="290"/>
        <v>4095</v>
      </c>
      <c r="AW47" s="31">
        <f t="shared" si="290"/>
        <v>4095</v>
      </c>
      <c r="AX47" s="31">
        <f t="shared" si="290"/>
        <v>4095</v>
      </c>
      <c r="AY47" s="31">
        <f t="shared" si="290"/>
        <v>4095</v>
      </c>
      <c r="AZ47" s="31">
        <f t="shared" si="290"/>
        <v>4095</v>
      </c>
      <c r="BA47" s="31">
        <f t="shared" si="290"/>
        <v>4095</v>
      </c>
      <c r="BB47" s="31">
        <f t="shared" si="290"/>
        <v>4095</v>
      </c>
      <c r="BC47" s="31">
        <f t="shared" si="290"/>
        <v>4095</v>
      </c>
      <c r="BD47" s="31">
        <f t="shared" si="290"/>
        <v>4095</v>
      </c>
      <c r="BE47" s="31">
        <f t="shared" si="290"/>
        <v>4095</v>
      </c>
      <c r="BF47" s="31">
        <f t="shared" si="290"/>
        <v>4095</v>
      </c>
      <c r="BG47" s="31">
        <f t="shared" si="290"/>
        <v>4095</v>
      </c>
      <c r="BH47" s="31">
        <f t="shared" si="290"/>
        <v>4095</v>
      </c>
      <c r="BI47" s="31">
        <f t="shared" si="290"/>
        <v>4095</v>
      </c>
      <c r="BJ47" s="31">
        <f t="shared" si="290"/>
        <v>4095</v>
      </c>
      <c r="BK47" s="31">
        <f t="shared" si="290"/>
        <v>4095</v>
      </c>
      <c r="BL47" s="31">
        <f t="shared" si="290"/>
        <v>4095</v>
      </c>
      <c r="BM47" s="31">
        <f t="shared" si="290"/>
        <v>4095</v>
      </c>
      <c r="BN47" s="31">
        <f t="shared" si="290"/>
        <v>4095</v>
      </c>
      <c r="BO47" s="31">
        <f t="shared" si="290"/>
        <v>4095</v>
      </c>
      <c r="BP47" s="31">
        <f t="shared" si="290"/>
        <v>4095</v>
      </c>
      <c r="BQ47" s="31">
        <f t="shared" si="290"/>
        <v>4095</v>
      </c>
      <c r="BR47" s="31">
        <f t="shared" si="290"/>
        <v>4095</v>
      </c>
      <c r="BS47" s="31">
        <f t="shared" si="290"/>
        <v>4095</v>
      </c>
      <c r="BT47" s="31">
        <f t="shared" si="290"/>
        <v>4095</v>
      </c>
      <c r="BU47" s="31">
        <f t="shared" ref="BU47:EF47" si="291">2^BU46-1</f>
        <v>4095</v>
      </c>
      <c r="BV47" s="31">
        <f t="shared" si="291"/>
        <v>4095</v>
      </c>
      <c r="BW47" s="31">
        <f t="shared" si="291"/>
        <v>4095</v>
      </c>
      <c r="BX47" s="31">
        <f t="shared" si="291"/>
        <v>4095</v>
      </c>
      <c r="BY47" s="31">
        <f t="shared" si="291"/>
        <v>4095</v>
      </c>
      <c r="BZ47" s="31">
        <f t="shared" si="291"/>
        <v>4095</v>
      </c>
      <c r="CA47" s="31">
        <f t="shared" si="291"/>
        <v>4095</v>
      </c>
      <c r="CB47" s="31">
        <f t="shared" si="291"/>
        <v>4095</v>
      </c>
      <c r="CC47" s="31">
        <f t="shared" si="291"/>
        <v>4095</v>
      </c>
      <c r="CD47" s="31">
        <f t="shared" si="291"/>
        <v>4095</v>
      </c>
      <c r="CE47" s="31">
        <f t="shared" si="291"/>
        <v>4095</v>
      </c>
      <c r="CF47" s="31">
        <f t="shared" si="291"/>
        <v>4095</v>
      </c>
      <c r="CG47" s="31">
        <f t="shared" si="291"/>
        <v>4095</v>
      </c>
      <c r="CH47" s="31">
        <f t="shared" si="291"/>
        <v>4095</v>
      </c>
      <c r="CI47" s="31">
        <f t="shared" si="291"/>
        <v>4095</v>
      </c>
      <c r="CJ47" s="31">
        <f t="shared" si="291"/>
        <v>4095</v>
      </c>
      <c r="CK47" s="31">
        <f t="shared" si="291"/>
        <v>4095</v>
      </c>
      <c r="CL47" s="31">
        <f t="shared" si="291"/>
        <v>4095</v>
      </c>
      <c r="CM47" s="31">
        <f t="shared" si="291"/>
        <v>4095</v>
      </c>
      <c r="CN47" s="31">
        <f t="shared" si="291"/>
        <v>4095</v>
      </c>
      <c r="CO47" s="31">
        <f t="shared" si="291"/>
        <v>4095</v>
      </c>
      <c r="CP47" s="31">
        <f t="shared" si="291"/>
        <v>4095</v>
      </c>
      <c r="CQ47" s="31">
        <f t="shared" si="291"/>
        <v>4095</v>
      </c>
      <c r="CR47" s="31">
        <f t="shared" si="291"/>
        <v>4095</v>
      </c>
      <c r="CS47" s="31">
        <f t="shared" si="291"/>
        <v>4095</v>
      </c>
      <c r="CT47" s="31">
        <f t="shared" si="291"/>
        <v>4095</v>
      </c>
      <c r="CU47" s="31">
        <f t="shared" si="291"/>
        <v>4095</v>
      </c>
      <c r="CV47" s="31">
        <f t="shared" si="291"/>
        <v>4095</v>
      </c>
      <c r="CW47" s="31">
        <f t="shared" si="291"/>
        <v>4095</v>
      </c>
      <c r="CX47" s="31">
        <f t="shared" si="291"/>
        <v>4095</v>
      </c>
      <c r="CY47" s="31">
        <f t="shared" si="291"/>
        <v>4095</v>
      </c>
      <c r="CZ47" s="31">
        <f t="shared" si="291"/>
        <v>4095</v>
      </c>
      <c r="DA47" s="31">
        <f t="shared" si="291"/>
        <v>4095</v>
      </c>
      <c r="DB47" s="31">
        <f t="shared" si="291"/>
        <v>4095</v>
      </c>
      <c r="DC47" s="31">
        <f t="shared" si="291"/>
        <v>4095</v>
      </c>
      <c r="DD47" s="31">
        <f t="shared" si="291"/>
        <v>4095</v>
      </c>
      <c r="DE47" s="31">
        <f t="shared" si="291"/>
        <v>4095</v>
      </c>
      <c r="DF47" s="31">
        <f t="shared" si="291"/>
        <v>4095</v>
      </c>
      <c r="DG47" s="31">
        <f t="shared" si="291"/>
        <v>4095</v>
      </c>
      <c r="DH47" s="31">
        <f t="shared" si="291"/>
        <v>4095</v>
      </c>
      <c r="DI47" s="31">
        <f t="shared" si="291"/>
        <v>4095</v>
      </c>
      <c r="DJ47" s="31">
        <f t="shared" si="291"/>
        <v>4095</v>
      </c>
      <c r="DK47" s="31">
        <f t="shared" si="291"/>
        <v>4095</v>
      </c>
      <c r="DL47" s="31">
        <f t="shared" si="291"/>
        <v>4095</v>
      </c>
      <c r="DM47" s="31">
        <f t="shared" si="291"/>
        <v>4095</v>
      </c>
      <c r="DN47" s="31">
        <f t="shared" si="291"/>
        <v>4095</v>
      </c>
      <c r="DO47" s="31">
        <f t="shared" si="291"/>
        <v>4095</v>
      </c>
      <c r="DP47" s="31">
        <f t="shared" si="291"/>
        <v>4095</v>
      </c>
      <c r="DQ47" s="31">
        <f t="shared" si="291"/>
        <v>4095</v>
      </c>
      <c r="DR47" s="31">
        <f t="shared" si="291"/>
        <v>4095</v>
      </c>
      <c r="DS47" s="31">
        <f t="shared" si="291"/>
        <v>4095</v>
      </c>
      <c r="DT47" s="31">
        <f t="shared" si="291"/>
        <v>4095</v>
      </c>
      <c r="DU47" s="31">
        <f t="shared" si="291"/>
        <v>4095</v>
      </c>
      <c r="DV47" s="31">
        <f t="shared" si="291"/>
        <v>4095</v>
      </c>
      <c r="DW47" s="31">
        <f t="shared" si="291"/>
        <v>4095</v>
      </c>
      <c r="DX47" s="31">
        <f t="shared" si="291"/>
        <v>4095</v>
      </c>
      <c r="DY47" s="31">
        <f t="shared" si="291"/>
        <v>4095</v>
      </c>
      <c r="DZ47" s="31">
        <f t="shared" si="291"/>
        <v>4095</v>
      </c>
      <c r="EA47" s="31">
        <f t="shared" si="291"/>
        <v>4095</v>
      </c>
      <c r="EB47" s="31">
        <f t="shared" si="291"/>
        <v>4095</v>
      </c>
      <c r="EC47" s="31">
        <f t="shared" si="291"/>
        <v>4095</v>
      </c>
      <c r="ED47" s="31">
        <f t="shared" si="291"/>
        <v>4095</v>
      </c>
      <c r="EE47" s="31">
        <f t="shared" si="291"/>
        <v>4095</v>
      </c>
      <c r="EF47" s="31">
        <f t="shared" si="291"/>
        <v>4095</v>
      </c>
      <c r="EG47" s="31">
        <f t="shared" ref="EG47:FC47" si="292">2^EG46-1</f>
        <v>4095</v>
      </c>
      <c r="EH47" s="31">
        <f t="shared" si="292"/>
        <v>4095</v>
      </c>
      <c r="EI47" s="31">
        <f t="shared" si="292"/>
        <v>4095</v>
      </c>
      <c r="EJ47" s="31">
        <f t="shared" si="292"/>
        <v>4095</v>
      </c>
      <c r="EK47" s="31">
        <f t="shared" si="292"/>
        <v>4095</v>
      </c>
      <c r="EL47" s="31">
        <f t="shared" si="292"/>
        <v>4095</v>
      </c>
      <c r="EM47" s="31">
        <f t="shared" si="292"/>
        <v>4095</v>
      </c>
      <c r="EN47" s="31">
        <f t="shared" si="292"/>
        <v>4095</v>
      </c>
      <c r="EO47" s="31">
        <f t="shared" si="292"/>
        <v>4095</v>
      </c>
      <c r="EP47" s="31">
        <f t="shared" si="292"/>
        <v>4095</v>
      </c>
      <c r="EQ47" s="31">
        <f t="shared" si="292"/>
        <v>4095</v>
      </c>
      <c r="ER47" s="31">
        <f t="shared" si="292"/>
        <v>4095</v>
      </c>
      <c r="ES47" s="31">
        <f t="shared" si="292"/>
        <v>4095</v>
      </c>
      <c r="ET47" s="31">
        <f t="shared" si="292"/>
        <v>4095</v>
      </c>
      <c r="EU47" s="31">
        <f t="shared" si="292"/>
        <v>4095</v>
      </c>
      <c r="EV47" s="31">
        <f t="shared" si="292"/>
        <v>4095</v>
      </c>
      <c r="EW47" s="31">
        <f t="shared" si="292"/>
        <v>4095</v>
      </c>
      <c r="EX47" s="31">
        <f t="shared" si="292"/>
        <v>4095</v>
      </c>
      <c r="EY47" s="715"/>
      <c r="EZ47" s="715"/>
      <c r="FA47" s="709"/>
      <c r="FB47" s="31">
        <f t="shared" si="292"/>
        <v>511</v>
      </c>
      <c r="FC47" s="31">
        <f t="shared" si="292"/>
        <v>511</v>
      </c>
    </row>
    <row r="48" spans="2:159" s="31" customFormat="1" x14ac:dyDescent="0.45">
      <c r="B48" s="154"/>
      <c r="C48" s="161" t="s">
        <v>1157</v>
      </c>
      <c r="D48" s="157">
        <f t="shared" ref="D48:BO48" si="293">ROUNDDOWN((D45 * 10000)/(D47*D60), 0)</f>
        <v>24918</v>
      </c>
      <c r="E48" s="157">
        <f t="shared" si="293"/>
        <v>24666</v>
      </c>
      <c r="F48" s="157">
        <f t="shared" ref="F48" si="294">ROUNDDOWN((F45 * 10000)/(F47*F60), 0)</f>
        <v>24420</v>
      </c>
      <c r="G48" s="157">
        <f t="shared" si="293"/>
        <v>24175</v>
      </c>
      <c r="H48" s="157">
        <f t="shared" si="293"/>
        <v>23938</v>
      </c>
      <c r="I48" s="157">
        <f t="shared" si="293"/>
        <v>23706</v>
      </c>
      <c r="J48" s="157">
        <f t="shared" si="293"/>
        <v>23479</v>
      </c>
      <c r="K48" s="157">
        <f t="shared" si="293"/>
        <v>23255</v>
      </c>
      <c r="L48" s="157">
        <f t="shared" si="293"/>
        <v>23035</v>
      </c>
      <c r="M48" s="157">
        <f t="shared" si="293"/>
        <v>22820</v>
      </c>
      <c r="N48" s="157">
        <f t="shared" si="293"/>
        <v>22610</v>
      </c>
      <c r="O48" s="157">
        <f t="shared" si="293"/>
        <v>22402</v>
      </c>
      <c r="P48" s="157">
        <f t="shared" si="293"/>
        <v>22197</v>
      </c>
      <c r="Q48" s="157">
        <f t="shared" si="293"/>
        <v>22000</v>
      </c>
      <c r="R48" s="157">
        <f t="shared" si="293"/>
        <v>21802</v>
      </c>
      <c r="S48" s="157">
        <f t="shared" si="293"/>
        <v>21609</v>
      </c>
      <c r="T48" s="157">
        <f t="shared" si="293"/>
        <v>21418</v>
      </c>
      <c r="U48" s="157">
        <f t="shared" si="293"/>
        <v>21233</v>
      </c>
      <c r="V48" s="157">
        <f t="shared" si="293"/>
        <v>21050</v>
      </c>
      <c r="W48" s="157">
        <f t="shared" si="293"/>
        <v>20871</v>
      </c>
      <c r="X48" s="157">
        <f t="shared" si="293"/>
        <v>20693</v>
      </c>
      <c r="Y48" s="157">
        <f t="shared" si="293"/>
        <v>20520</v>
      </c>
      <c r="Z48" s="157">
        <f t="shared" si="293"/>
        <v>20349</v>
      </c>
      <c r="AA48" s="157">
        <f t="shared" si="293"/>
        <v>20180</v>
      </c>
      <c r="AB48" s="157">
        <f t="shared" si="293"/>
        <v>20014</v>
      </c>
      <c r="AC48" s="157">
        <f t="shared" si="293"/>
        <v>19853</v>
      </c>
      <c r="AD48" s="157">
        <f t="shared" si="293"/>
        <v>19692</v>
      </c>
      <c r="AE48" s="157">
        <f t="shared" si="293"/>
        <v>19536</v>
      </c>
      <c r="AF48" s="157">
        <f t="shared" si="293"/>
        <v>19379</v>
      </c>
      <c r="AG48" s="157">
        <f t="shared" si="293"/>
        <v>19228</v>
      </c>
      <c r="AH48" s="157">
        <f t="shared" si="293"/>
        <v>19076</v>
      </c>
      <c r="AI48" s="157">
        <f t="shared" si="293"/>
        <v>18927</v>
      </c>
      <c r="AJ48" s="157">
        <f t="shared" si="293"/>
        <v>18783</v>
      </c>
      <c r="AK48" s="157">
        <f t="shared" si="293"/>
        <v>18639</v>
      </c>
      <c r="AL48" s="157">
        <f t="shared" si="293"/>
        <v>18498</v>
      </c>
      <c r="AM48" s="157">
        <f t="shared" si="293"/>
        <v>18358</v>
      </c>
      <c r="AN48" s="157">
        <f t="shared" si="293"/>
        <v>18222</v>
      </c>
      <c r="AO48" s="157">
        <f t="shared" si="293"/>
        <v>18087</v>
      </c>
      <c r="AP48" s="157">
        <f t="shared" si="293"/>
        <v>17953</v>
      </c>
      <c r="AQ48" s="157">
        <f t="shared" si="293"/>
        <v>17824</v>
      </c>
      <c r="AR48" s="157">
        <f t="shared" si="293"/>
        <v>17694</v>
      </c>
      <c r="AS48" s="157">
        <f t="shared" si="293"/>
        <v>17567</v>
      </c>
      <c r="AT48" s="157">
        <f t="shared" si="293"/>
        <v>17440</v>
      </c>
      <c r="AU48" s="157">
        <f t="shared" si="293"/>
        <v>17318</v>
      </c>
      <c r="AV48" s="157">
        <f t="shared" si="293"/>
        <v>17196</v>
      </c>
      <c r="AW48" s="157">
        <f t="shared" si="293"/>
        <v>17076</v>
      </c>
      <c r="AX48" s="157">
        <f t="shared" si="293"/>
        <v>16957</v>
      </c>
      <c r="AY48" s="157">
        <f t="shared" si="293"/>
        <v>16840</v>
      </c>
      <c r="AZ48" s="157">
        <f t="shared" si="293"/>
        <v>16725</v>
      </c>
      <c r="BA48" s="157">
        <f t="shared" si="293"/>
        <v>16610</v>
      </c>
      <c r="BB48" s="157">
        <f t="shared" si="293"/>
        <v>16498</v>
      </c>
      <c r="BC48" s="157">
        <f t="shared" si="293"/>
        <v>16388</v>
      </c>
      <c r="BD48" s="157">
        <f t="shared" si="293"/>
        <v>16278</v>
      </c>
      <c r="BE48" s="157">
        <f t="shared" si="293"/>
        <v>16170</v>
      </c>
      <c r="BF48" s="157">
        <f t="shared" si="293"/>
        <v>16063</v>
      </c>
      <c r="BG48" s="157">
        <f t="shared" si="293"/>
        <v>15958</v>
      </c>
      <c r="BH48" s="157">
        <f t="shared" si="293"/>
        <v>15855</v>
      </c>
      <c r="BI48" s="157">
        <f t="shared" si="293"/>
        <v>15753</v>
      </c>
      <c r="BJ48" s="157">
        <f t="shared" si="293"/>
        <v>15653</v>
      </c>
      <c r="BK48" s="157">
        <f t="shared" si="293"/>
        <v>15553</v>
      </c>
      <c r="BL48" s="157">
        <f t="shared" si="293"/>
        <v>15455</v>
      </c>
      <c r="BM48" s="157">
        <f t="shared" si="293"/>
        <v>15357</v>
      </c>
      <c r="BN48" s="157">
        <f t="shared" si="293"/>
        <v>15262</v>
      </c>
      <c r="BO48" s="157">
        <f t="shared" si="293"/>
        <v>15167</v>
      </c>
      <c r="BP48" s="157">
        <f t="shared" ref="BP48:EA48" si="295">ROUNDDOWN((BP45 * 10000)/(BP47*BP60), 0)</f>
        <v>15072</v>
      </c>
      <c r="BQ48" s="157">
        <f t="shared" si="295"/>
        <v>14979</v>
      </c>
      <c r="BR48" s="157">
        <f t="shared" si="295"/>
        <v>14888</v>
      </c>
      <c r="BS48" s="157">
        <f t="shared" si="295"/>
        <v>14798</v>
      </c>
      <c r="BT48" s="157">
        <f t="shared" si="295"/>
        <v>14710</v>
      </c>
      <c r="BU48" s="157">
        <f t="shared" si="295"/>
        <v>14622</v>
      </c>
      <c r="BV48" s="157">
        <f t="shared" si="295"/>
        <v>14534</v>
      </c>
      <c r="BW48" s="157">
        <f t="shared" si="295"/>
        <v>14449</v>
      </c>
      <c r="BX48" s="157">
        <f t="shared" si="295"/>
        <v>14363</v>
      </c>
      <c r="BY48" s="157">
        <f t="shared" si="295"/>
        <v>14278</v>
      </c>
      <c r="BZ48" s="157">
        <f t="shared" si="295"/>
        <v>14195</v>
      </c>
      <c r="CA48" s="157">
        <f t="shared" si="295"/>
        <v>14114</v>
      </c>
      <c r="CB48" s="157">
        <f t="shared" si="295"/>
        <v>14034</v>
      </c>
      <c r="CC48" s="157">
        <f t="shared" si="295"/>
        <v>13953</v>
      </c>
      <c r="CD48" s="157">
        <f t="shared" si="295"/>
        <v>13873</v>
      </c>
      <c r="CE48" s="157">
        <f t="shared" si="295"/>
        <v>13794</v>
      </c>
      <c r="CF48" s="157">
        <f t="shared" si="295"/>
        <v>13716</v>
      </c>
      <c r="CG48" s="157">
        <f t="shared" si="295"/>
        <v>13641</v>
      </c>
      <c r="CH48" s="157">
        <f t="shared" si="295"/>
        <v>13565</v>
      </c>
      <c r="CI48" s="157">
        <f t="shared" si="295"/>
        <v>13489</v>
      </c>
      <c r="CJ48" s="157">
        <f t="shared" si="295"/>
        <v>13416</v>
      </c>
      <c r="CK48" s="157">
        <f t="shared" si="295"/>
        <v>13343</v>
      </c>
      <c r="CL48" s="157">
        <f t="shared" si="295"/>
        <v>13269</v>
      </c>
      <c r="CM48" s="157">
        <f t="shared" si="295"/>
        <v>13199</v>
      </c>
      <c r="CN48" s="157">
        <f t="shared" si="295"/>
        <v>13128</v>
      </c>
      <c r="CO48" s="157">
        <f t="shared" si="295"/>
        <v>13057</v>
      </c>
      <c r="CP48" s="157">
        <f t="shared" si="295"/>
        <v>12989</v>
      </c>
      <c r="CQ48" s="157">
        <f t="shared" si="295"/>
        <v>12920</v>
      </c>
      <c r="CR48" s="157">
        <f t="shared" si="295"/>
        <v>12852</v>
      </c>
      <c r="CS48" s="157">
        <f t="shared" si="295"/>
        <v>12783</v>
      </c>
      <c r="CT48" s="157">
        <f t="shared" si="295"/>
        <v>12717</v>
      </c>
      <c r="CU48" s="157">
        <f t="shared" si="295"/>
        <v>12652</v>
      </c>
      <c r="CV48" s="157">
        <f t="shared" si="295"/>
        <v>12586</v>
      </c>
      <c r="CW48" s="157">
        <f t="shared" si="295"/>
        <v>12522</v>
      </c>
      <c r="CX48" s="157">
        <f t="shared" si="295"/>
        <v>12459</v>
      </c>
      <c r="CY48" s="157">
        <f t="shared" si="295"/>
        <v>12395</v>
      </c>
      <c r="CZ48" s="157">
        <f t="shared" si="295"/>
        <v>12332</v>
      </c>
      <c r="DA48" s="157">
        <f t="shared" si="295"/>
        <v>12271</v>
      </c>
      <c r="DB48" s="157">
        <f t="shared" si="295"/>
        <v>12210</v>
      </c>
      <c r="DC48" s="157">
        <f t="shared" si="295"/>
        <v>12148</v>
      </c>
      <c r="DD48" s="157">
        <f t="shared" si="295"/>
        <v>12087</v>
      </c>
      <c r="DE48" s="157">
        <f t="shared" si="295"/>
        <v>12029</v>
      </c>
      <c r="DF48" s="157">
        <f t="shared" si="295"/>
        <v>11968</v>
      </c>
      <c r="DG48" s="157">
        <f t="shared" si="295"/>
        <v>11912</v>
      </c>
      <c r="DH48" s="157">
        <f t="shared" si="295"/>
        <v>11853</v>
      </c>
      <c r="DI48" s="157">
        <f t="shared" si="295"/>
        <v>11794</v>
      </c>
      <c r="DJ48" s="157">
        <f t="shared" si="295"/>
        <v>11738</v>
      </c>
      <c r="DK48" s="157">
        <f t="shared" si="295"/>
        <v>11682</v>
      </c>
      <c r="DL48" s="157">
        <f t="shared" si="295"/>
        <v>11626</v>
      </c>
      <c r="DM48" s="157">
        <f t="shared" si="295"/>
        <v>11572</v>
      </c>
      <c r="DN48" s="157">
        <f t="shared" si="295"/>
        <v>11516</v>
      </c>
      <c r="DO48" s="157">
        <f t="shared" si="295"/>
        <v>11462</v>
      </c>
      <c r="DP48" s="157">
        <f t="shared" si="295"/>
        <v>11409</v>
      </c>
      <c r="DQ48" s="157">
        <f t="shared" si="295"/>
        <v>11357</v>
      </c>
      <c r="DR48" s="157">
        <f t="shared" si="295"/>
        <v>11304</v>
      </c>
      <c r="DS48" s="157">
        <f t="shared" si="295"/>
        <v>11252</v>
      </c>
      <c r="DT48" s="157">
        <f t="shared" si="295"/>
        <v>11201</v>
      </c>
      <c r="DU48" s="157">
        <f t="shared" si="295"/>
        <v>11150</v>
      </c>
      <c r="DV48" s="157">
        <f t="shared" si="295"/>
        <v>11098</v>
      </c>
      <c r="DW48" s="157">
        <f t="shared" si="295"/>
        <v>11047</v>
      </c>
      <c r="DX48" s="157">
        <f t="shared" si="295"/>
        <v>10998</v>
      </c>
      <c r="DY48" s="157">
        <f t="shared" si="295"/>
        <v>10949</v>
      </c>
      <c r="DZ48" s="157">
        <f t="shared" si="295"/>
        <v>10901</v>
      </c>
      <c r="EA48" s="157">
        <f t="shared" si="295"/>
        <v>10852</v>
      </c>
      <c r="EB48" s="157">
        <f t="shared" ref="EB48:FC48" si="296">ROUNDDOWN((EB45 * 10000)/(EB47*EB60), 0)</f>
        <v>10803</v>
      </c>
      <c r="EC48" s="157">
        <f t="shared" si="296"/>
        <v>10757</v>
      </c>
      <c r="ED48" s="157">
        <f t="shared" si="296"/>
        <v>10708</v>
      </c>
      <c r="EE48" s="157">
        <f t="shared" si="296"/>
        <v>10661</v>
      </c>
      <c r="EF48" s="157">
        <f t="shared" si="296"/>
        <v>10615</v>
      </c>
      <c r="EG48" s="157">
        <f t="shared" si="296"/>
        <v>10571</v>
      </c>
      <c r="EH48" s="157">
        <f t="shared" si="296"/>
        <v>10525</v>
      </c>
      <c r="EI48" s="157">
        <f t="shared" si="296"/>
        <v>10478</v>
      </c>
      <c r="EJ48" s="157">
        <f t="shared" si="296"/>
        <v>10434</v>
      </c>
      <c r="EK48" s="157">
        <f t="shared" si="296"/>
        <v>10390</v>
      </c>
      <c r="EL48" s="157">
        <f t="shared" si="296"/>
        <v>10346</v>
      </c>
      <c r="EM48" s="157">
        <f t="shared" si="296"/>
        <v>10302</v>
      </c>
      <c r="EN48" s="157">
        <f t="shared" si="296"/>
        <v>10258</v>
      </c>
      <c r="EO48" s="157">
        <f t="shared" si="296"/>
        <v>10217</v>
      </c>
      <c r="EP48" s="157">
        <f t="shared" si="296"/>
        <v>10173</v>
      </c>
      <c r="EQ48" s="157">
        <f t="shared" si="296"/>
        <v>10131</v>
      </c>
      <c r="ER48" s="157">
        <f t="shared" si="296"/>
        <v>10090</v>
      </c>
      <c r="ES48" s="157">
        <f t="shared" si="296"/>
        <v>10048</v>
      </c>
      <c r="ET48" s="157">
        <f t="shared" si="296"/>
        <v>10007</v>
      </c>
      <c r="EU48" s="157">
        <f t="shared" si="296"/>
        <v>9965</v>
      </c>
      <c r="EV48" s="157">
        <f t="shared" si="296"/>
        <v>9926</v>
      </c>
      <c r="EW48" s="157">
        <f t="shared" si="296"/>
        <v>9885</v>
      </c>
      <c r="EX48" s="157">
        <f t="shared" si="296"/>
        <v>9846</v>
      </c>
      <c r="EY48" s="715"/>
      <c r="EZ48" s="715"/>
      <c r="FA48" s="709"/>
      <c r="FB48" s="157">
        <f t="shared" si="296"/>
        <v>24461</v>
      </c>
      <c r="FC48" s="157">
        <f t="shared" si="296"/>
        <v>20384</v>
      </c>
    </row>
    <row r="49" spans="2:159" s="31" customFormat="1" x14ac:dyDescent="0.45">
      <c r="B49" s="155" t="s">
        <v>1163</v>
      </c>
      <c r="C49" s="156" t="s">
        <v>1164</v>
      </c>
      <c r="D49" s="162">
        <f>D48 * $G$43</f>
        <v>979576416</v>
      </c>
      <c r="E49" s="162">
        <f t="shared" ref="E49:F49" si="297">E48 * $G$43</f>
        <v>969669792</v>
      </c>
      <c r="F49" s="162">
        <f t="shared" si="297"/>
        <v>959999040</v>
      </c>
      <c r="G49" s="162">
        <f>G48 * $G$43</f>
        <v>950367600</v>
      </c>
      <c r="H49" s="162">
        <f t="shared" ref="H49:BS49" si="298">H48 * $G$43</f>
        <v>941050656</v>
      </c>
      <c r="I49" s="162">
        <f t="shared" si="298"/>
        <v>931930272</v>
      </c>
      <c r="J49" s="162">
        <f t="shared" si="298"/>
        <v>923006448</v>
      </c>
      <c r="K49" s="162">
        <f t="shared" si="298"/>
        <v>914200560</v>
      </c>
      <c r="L49" s="162">
        <f t="shared" si="298"/>
        <v>905551920</v>
      </c>
      <c r="M49" s="162">
        <f t="shared" si="298"/>
        <v>897099840</v>
      </c>
      <c r="N49" s="162">
        <f t="shared" si="298"/>
        <v>888844320</v>
      </c>
      <c r="O49" s="162">
        <f t="shared" si="298"/>
        <v>880667424</v>
      </c>
      <c r="P49" s="162">
        <f t="shared" si="298"/>
        <v>872608464</v>
      </c>
      <c r="Q49" s="162">
        <f t="shared" si="298"/>
        <v>864864000</v>
      </c>
      <c r="R49" s="162">
        <f t="shared" si="298"/>
        <v>857080224</v>
      </c>
      <c r="S49" s="162">
        <f t="shared" si="298"/>
        <v>849493008</v>
      </c>
      <c r="T49" s="162">
        <f t="shared" si="298"/>
        <v>841984416</v>
      </c>
      <c r="U49" s="162">
        <f t="shared" si="298"/>
        <v>834711696</v>
      </c>
      <c r="V49" s="162">
        <f t="shared" si="298"/>
        <v>827517600</v>
      </c>
      <c r="W49" s="162">
        <f t="shared" si="298"/>
        <v>820480752</v>
      </c>
      <c r="X49" s="162">
        <f t="shared" si="298"/>
        <v>813483216</v>
      </c>
      <c r="Y49" s="162">
        <f t="shared" si="298"/>
        <v>806682240</v>
      </c>
      <c r="Z49" s="162">
        <f t="shared" si="298"/>
        <v>799959888</v>
      </c>
      <c r="AA49" s="162">
        <f t="shared" si="298"/>
        <v>793316160</v>
      </c>
      <c r="AB49" s="162">
        <f t="shared" si="298"/>
        <v>786790368</v>
      </c>
      <c r="AC49" s="162">
        <f t="shared" si="298"/>
        <v>780461136</v>
      </c>
      <c r="AD49" s="162">
        <f t="shared" si="298"/>
        <v>774131904</v>
      </c>
      <c r="AE49" s="162">
        <f t="shared" si="298"/>
        <v>767999232</v>
      </c>
      <c r="AF49" s="162">
        <f t="shared" si="298"/>
        <v>761827248</v>
      </c>
      <c r="AG49" s="162">
        <f t="shared" si="298"/>
        <v>755891136</v>
      </c>
      <c r="AH49" s="162">
        <f t="shared" si="298"/>
        <v>749915712</v>
      </c>
      <c r="AI49" s="162">
        <f t="shared" si="298"/>
        <v>744058224</v>
      </c>
      <c r="AJ49" s="162">
        <f t="shared" si="298"/>
        <v>738397296</v>
      </c>
      <c r="AK49" s="162">
        <f t="shared" si="298"/>
        <v>732736368</v>
      </c>
      <c r="AL49" s="162">
        <f t="shared" si="298"/>
        <v>727193376</v>
      </c>
      <c r="AM49" s="162">
        <f t="shared" si="298"/>
        <v>721689696</v>
      </c>
      <c r="AN49" s="162">
        <f t="shared" si="298"/>
        <v>716343264</v>
      </c>
      <c r="AO49" s="162">
        <f t="shared" si="298"/>
        <v>711036144</v>
      </c>
      <c r="AP49" s="162">
        <f t="shared" si="298"/>
        <v>705768336</v>
      </c>
      <c r="AQ49" s="162">
        <f t="shared" si="298"/>
        <v>700697088</v>
      </c>
      <c r="AR49" s="162">
        <f t="shared" si="298"/>
        <v>695586528</v>
      </c>
      <c r="AS49" s="162">
        <f t="shared" si="298"/>
        <v>690593904</v>
      </c>
      <c r="AT49" s="162">
        <f t="shared" si="298"/>
        <v>685601280</v>
      </c>
      <c r="AU49" s="162">
        <f t="shared" si="298"/>
        <v>680805216</v>
      </c>
      <c r="AV49" s="162">
        <f t="shared" si="298"/>
        <v>676009152</v>
      </c>
      <c r="AW49" s="162">
        <f t="shared" si="298"/>
        <v>671291712</v>
      </c>
      <c r="AX49" s="162">
        <f t="shared" si="298"/>
        <v>666613584</v>
      </c>
      <c r="AY49" s="162">
        <f t="shared" si="298"/>
        <v>662014080</v>
      </c>
      <c r="AZ49" s="162">
        <f t="shared" si="298"/>
        <v>657493200</v>
      </c>
      <c r="BA49" s="162">
        <f t="shared" si="298"/>
        <v>652972320</v>
      </c>
      <c r="BB49" s="162">
        <f t="shared" si="298"/>
        <v>648569376</v>
      </c>
      <c r="BC49" s="162">
        <f t="shared" si="298"/>
        <v>644245056</v>
      </c>
      <c r="BD49" s="162">
        <f t="shared" si="298"/>
        <v>639920736</v>
      </c>
      <c r="BE49" s="162">
        <f t="shared" si="298"/>
        <v>635675040</v>
      </c>
      <c r="BF49" s="162">
        <f t="shared" si="298"/>
        <v>631468656</v>
      </c>
      <c r="BG49" s="162">
        <f t="shared" si="298"/>
        <v>627340896</v>
      </c>
      <c r="BH49" s="162">
        <f t="shared" si="298"/>
        <v>623291760</v>
      </c>
      <c r="BI49" s="162">
        <f t="shared" si="298"/>
        <v>619281936</v>
      </c>
      <c r="BJ49" s="162">
        <f t="shared" si="298"/>
        <v>615350736</v>
      </c>
      <c r="BK49" s="162">
        <f t="shared" si="298"/>
        <v>611419536</v>
      </c>
      <c r="BL49" s="162">
        <f t="shared" si="298"/>
        <v>607566960</v>
      </c>
      <c r="BM49" s="162">
        <f t="shared" si="298"/>
        <v>603714384</v>
      </c>
      <c r="BN49" s="162">
        <f t="shared" si="298"/>
        <v>599979744</v>
      </c>
      <c r="BO49" s="162">
        <f t="shared" si="298"/>
        <v>596245104</v>
      </c>
      <c r="BP49" s="162">
        <f t="shared" si="298"/>
        <v>592510464</v>
      </c>
      <c r="BQ49" s="162">
        <f t="shared" si="298"/>
        <v>588854448</v>
      </c>
      <c r="BR49" s="162">
        <f t="shared" si="298"/>
        <v>585277056</v>
      </c>
      <c r="BS49" s="162">
        <f t="shared" si="298"/>
        <v>581738976</v>
      </c>
      <c r="BT49" s="162">
        <f t="shared" ref="BT49:EE49" si="299">BT48 * $G$43</f>
        <v>578279520</v>
      </c>
      <c r="BU49" s="162">
        <f t="shared" si="299"/>
        <v>574820064</v>
      </c>
      <c r="BV49" s="162">
        <f t="shared" si="299"/>
        <v>571360608</v>
      </c>
      <c r="BW49" s="162">
        <f t="shared" si="299"/>
        <v>568019088</v>
      </c>
      <c r="BX49" s="162">
        <f t="shared" si="299"/>
        <v>564638256</v>
      </c>
      <c r="BY49" s="162">
        <f t="shared" si="299"/>
        <v>561296736</v>
      </c>
      <c r="BZ49" s="162">
        <f t="shared" si="299"/>
        <v>558033840</v>
      </c>
      <c r="CA49" s="162">
        <f t="shared" si="299"/>
        <v>554849568</v>
      </c>
      <c r="CB49" s="162">
        <f t="shared" si="299"/>
        <v>551704608</v>
      </c>
      <c r="CC49" s="162">
        <f t="shared" si="299"/>
        <v>548520336</v>
      </c>
      <c r="CD49" s="162">
        <f t="shared" si="299"/>
        <v>545375376</v>
      </c>
      <c r="CE49" s="162">
        <f t="shared" si="299"/>
        <v>542269728</v>
      </c>
      <c r="CF49" s="162">
        <f t="shared" si="299"/>
        <v>539203392</v>
      </c>
      <c r="CG49" s="162">
        <f t="shared" si="299"/>
        <v>536254992</v>
      </c>
      <c r="CH49" s="162">
        <f t="shared" si="299"/>
        <v>533267280</v>
      </c>
      <c r="CI49" s="162">
        <f t="shared" si="299"/>
        <v>530279568</v>
      </c>
      <c r="CJ49" s="162">
        <f t="shared" si="299"/>
        <v>527409792</v>
      </c>
      <c r="CK49" s="162">
        <f t="shared" si="299"/>
        <v>524540016</v>
      </c>
      <c r="CL49" s="162">
        <f t="shared" si="299"/>
        <v>521630928</v>
      </c>
      <c r="CM49" s="162">
        <f t="shared" si="299"/>
        <v>518879088</v>
      </c>
      <c r="CN49" s="162">
        <f t="shared" si="299"/>
        <v>516087936</v>
      </c>
      <c r="CO49" s="162">
        <f t="shared" si="299"/>
        <v>513296784</v>
      </c>
      <c r="CP49" s="162">
        <f t="shared" si="299"/>
        <v>510623568</v>
      </c>
      <c r="CQ49" s="162">
        <f t="shared" si="299"/>
        <v>507911040</v>
      </c>
      <c r="CR49" s="162">
        <f t="shared" si="299"/>
        <v>505237824</v>
      </c>
      <c r="CS49" s="162">
        <f t="shared" si="299"/>
        <v>502525296</v>
      </c>
      <c r="CT49" s="162">
        <f t="shared" si="299"/>
        <v>499930704</v>
      </c>
      <c r="CU49" s="162">
        <f t="shared" si="299"/>
        <v>497375424</v>
      </c>
      <c r="CV49" s="162">
        <f t="shared" si="299"/>
        <v>494780832</v>
      </c>
      <c r="CW49" s="162">
        <f t="shared" si="299"/>
        <v>492264864</v>
      </c>
      <c r="CX49" s="162">
        <f t="shared" si="299"/>
        <v>489788208</v>
      </c>
      <c r="CY49" s="162">
        <f t="shared" si="299"/>
        <v>487272240</v>
      </c>
      <c r="CZ49" s="162">
        <f t="shared" si="299"/>
        <v>484795584</v>
      </c>
      <c r="DA49" s="162">
        <f t="shared" si="299"/>
        <v>482397552</v>
      </c>
      <c r="DB49" s="162">
        <f t="shared" si="299"/>
        <v>479999520</v>
      </c>
      <c r="DC49" s="162">
        <f t="shared" si="299"/>
        <v>477562176</v>
      </c>
      <c r="DD49" s="162">
        <f t="shared" si="299"/>
        <v>475164144</v>
      </c>
      <c r="DE49" s="162">
        <f t="shared" si="299"/>
        <v>472884048</v>
      </c>
      <c r="DF49" s="162">
        <f t="shared" si="299"/>
        <v>470486016</v>
      </c>
      <c r="DG49" s="162">
        <f t="shared" si="299"/>
        <v>468284544</v>
      </c>
      <c r="DH49" s="162">
        <f t="shared" si="299"/>
        <v>465965136</v>
      </c>
      <c r="DI49" s="162">
        <f t="shared" si="299"/>
        <v>463645728</v>
      </c>
      <c r="DJ49" s="162">
        <f t="shared" si="299"/>
        <v>461444256</v>
      </c>
      <c r="DK49" s="162">
        <f t="shared" si="299"/>
        <v>459242784</v>
      </c>
      <c r="DL49" s="162">
        <f t="shared" si="299"/>
        <v>457041312</v>
      </c>
      <c r="DM49" s="162">
        <f t="shared" si="299"/>
        <v>454918464</v>
      </c>
      <c r="DN49" s="162">
        <f t="shared" si="299"/>
        <v>452716992</v>
      </c>
      <c r="DO49" s="162">
        <f t="shared" si="299"/>
        <v>450594144</v>
      </c>
      <c r="DP49" s="162">
        <f t="shared" si="299"/>
        <v>448510608</v>
      </c>
      <c r="DQ49" s="162">
        <f t="shared" si="299"/>
        <v>446466384</v>
      </c>
      <c r="DR49" s="162">
        <f t="shared" si="299"/>
        <v>444382848</v>
      </c>
      <c r="DS49" s="162">
        <f t="shared" si="299"/>
        <v>442338624</v>
      </c>
      <c r="DT49" s="162">
        <f t="shared" si="299"/>
        <v>440333712</v>
      </c>
      <c r="DU49" s="162">
        <f t="shared" si="299"/>
        <v>438328800</v>
      </c>
      <c r="DV49" s="162">
        <f t="shared" si="299"/>
        <v>436284576</v>
      </c>
      <c r="DW49" s="162">
        <f t="shared" si="299"/>
        <v>434279664</v>
      </c>
      <c r="DX49" s="162">
        <f t="shared" si="299"/>
        <v>432353376</v>
      </c>
      <c r="DY49" s="162">
        <f t="shared" si="299"/>
        <v>430427088</v>
      </c>
      <c r="DZ49" s="162">
        <f t="shared" si="299"/>
        <v>428540112</v>
      </c>
      <c r="EA49" s="162">
        <f t="shared" si="299"/>
        <v>426613824</v>
      </c>
      <c r="EB49" s="162">
        <f t="shared" si="299"/>
        <v>424687536</v>
      </c>
      <c r="EC49" s="162">
        <f t="shared" si="299"/>
        <v>422879184</v>
      </c>
      <c r="ED49" s="162">
        <f t="shared" si="299"/>
        <v>420952896</v>
      </c>
      <c r="EE49" s="162">
        <f t="shared" si="299"/>
        <v>419105232</v>
      </c>
      <c r="EF49" s="162">
        <f t="shared" ref="EF49:FC49" si="300">EF48 * $G$43</f>
        <v>417296880</v>
      </c>
      <c r="EG49" s="162">
        <f t="shared" si="300"/>
        <v>415567152</v>
      </c>
      <c r="EH49" s="162">
        <f t="shared" si="300"/>
        <v>413758800</v>
      </c>
      <c r="EI49" s="162">
        <f t="shared" si="300"/>
        <v>411911136</v>
      </c>
      <c r="EJ49" s="162">
        <f t="shared" si="300"/>
        <v>410181408</v>
      </c>
      <c r="EK49" s="162">
        <f t="shared" si="300"/>
        <v>408451680</v>
      </c>
      <c r="EL49" s="162">
        <f t="shared" si="300"/>
        <v>406721952</v>
      </c>
      <c r="EM49" s="162">
        <f t="shared" si="300"/>
        <v>404992224</v>
      </c>
      <c r="EN49" s="162">
        <f t="shared" si="300"/>
        <v>403262496</v>
      </c>
      <c r="EO49" s="162">
        <f t="shared" si="300"/>
        <v>401650704</v>
      </c>
      <c r="EP49" s="162">
        <f t="shared" si="300"/>
        <v>399920976</v>
      </c>
      <c r="EQ49" s="162">
        <f t="shared" si="300"/>
        <v>398269872</v>
      </c>
      <c r="ER49" s="162">
        <f t="shared" si="300"/>
        <v>396658080</v>
      </c>
      <c r="ES49" s="162">
        <f t="shared" si="300"/>
        <v>395006976</v>
      </c>
      <c r="ET49" s="162">
        <f t="shared" si="300"/>
        <v>393395184</v>
      </c>
      <c r="EU49" s="162">
        <f t="shared" si="300"/>
        <v>391744080</v>
      </c>
      <c r="EV49" s="162">
        <f t="shared" si="300"/>
        <v>390210912</v>
      </c>
      <c r="EW49" s="162">
        <f t="shared" si="300"/>
        <v>388599120</v>
      </c>
      <c r="EX49" s="162">
        <f t="shared" si="300"/>
        <v>387065952</v>
      </c>
      <c r="EY49" s="718"/>
      <c r="EZ49" s="718"/>
      <c r="FA49" s="709"/>
      <c r="FB49" s="162">
        <f t="shared" si="300"/>
        <v>961610832</v>
      </c>
      <c r="FC49" s="162">
        <f t="shared" si="300"/>
        <v>801335808</v>
      </c>
    </row>
    <row r="50" spans="2:159" s="31" customFormat="1" x14ac:dyDescent="0.45">
      <c r="B50" s="155" t="s">
        <v>16</v>
      </c>
      <c r="C50" s="156" t="s">
        <v>5</v>
      </c>
      <c r="D50" s="164">
        <f>ROUNDDOWN(D49 / 1000000, 0)</f>
        <v>979</v>
      </c>
      <c r="E50" s="164">
        <f t="shared" ref="E50:F50" si="301">ROUNDDOWN(E49 / 1000000, 0)</f>
        <v>969</v>
      </c>
      <c r="F50" s="164">
        <f t="shared" si="301"/>
        <v>959</v>
      </c>
      <c r="G50" s="164">
        <f>ROUNDDOWN(G49 / 1000000, 0)</f>
        <v>950</v>
      </c>
      <c r="H50" s="164">
        <f t="shared" ref="H50:BS50" si="302">ROUNDDOWN(H49 / 1000000, 0)</f>
        <v>941</v>
      </c>
      <c r="I50" s="164">
        <f t="shared" si="302"/>
        <v>931</v>
      </c>
      <c r="J50" s="164">
        <f t="shared" si="302"/>
        <v>923</v>
      </c>
      <c r="K50" s="164">
        <f t="shared" si="302"/>
        <v>914</v>
      </c>
      <c r="L50" s="164">
        <f t="shared" si="302"/>
        <v>905</v>
      </c>
      <c r="M50" s="164">
        <f t="shared" si="302"/>
        <v>897</v>
      </c>
      <c r="N50" s="164">
        <f t="shared" si="302"/>
        <v>888</v>
      </c>
      <c r="O50" s="164">
        <f t="shared" si="302"/>
        <v>880</v>
      </c>
      <c r="P50" s="164">
        <f t="shared" si="302"/>
        <v>872</v>
      </c>
      <c r="Q50" s="164">
        <f t="shared" si="302"/>
        <v>864</v>
      </c>
      <c r="R50" s="164">
        <f t="shared" si="302"/>
        <v>857</v>
      </c>
      <c r="S50" s="164">
        <f t="shared" si="302"/>
        <v>849</v>
      </c>
      <c r="T50" s="164">
        <f t="shared" si="302"/>
        <v>841</v>
      </c>
      <c r="U50" s="164">
        <f t="shared" si="302"/>
        <v>834</v>
      </c>
      <c r="V50" s="164">
        <f t="shared" si="302"/>
        <v>827</v>
      </c>
      <c r="W50" s="164">
        <f t="shared" si="302"/>
        <v>820</v>
      </c>
      <c r="X50" s="164">
        <f t="shared" si="302"/>
        <v>813</v>
      </c>
      <c r="Y50" s="164">
        <f t="shared" si="302"/>
        <v>806</v>
      </c>
      <c r="Z50" s="164">
        <f t="shared" si="302"/>
        <v>799</v>
      </c>
      <c r="AA50" s="164">
        <f t="shared" si="302"/>
        <v>793</v>
      </c>
      <c r="AB50" s="164">
        <f t="shared" si="302"/>
        <v>786</v>
      </c>
      <c r="AC50" s="164">
        <f t="shared" si="302"/>
        <v>780</v>
      </c>
      <c r="AD50" s="164">
        <f t="shared" si="302"/>
        <v>774</v>
      </c>
      <c r="AE50" s="164">
        <f t="shared" si="302"/>
        <v>767</v>
      </c>
      <c r="AF50" s="164">
        <f t="shared" si="302"/>
        <v>761</v>
      </c>
      <c r="AG50" s="164">
        <f t="shared" si="302"/>
        <v>755</v>
      </c>
      <c r="AH50" s="164">
        <f t="shared" si="302"/>
        <v>749</v>
      </c>
      <c r="AI50" s="164">
        <f t="shared" si="302"/>
        <v>744</v>
      </c>
      <c r="AJ50" s="164">
        <f t="shared" si="302"/>
        <v>738</v>
      </c>
      <c r="AK50" s="164">
        <f t="shared" si="302"/>
        <v>732</v>
      </c>
      <c r="AL50" s="164">
        <f t="shared" si="302"/>
        <v>727</v>
      </c>
      <c r="AM50" s="164">
        <f t="shared" si="302"/>
        <v>721</v>
      </c>
      <c r="AN50" s="164">
        <f t="shared" si="302"/>
        <v>716</v>
      </c>
      <c r="AO50" s="164">
        <f t="shared" si="302"/>
        <v>711</v>
      </c>
      <c r="AP50" s="164">
        <f t="shared" si="302"/>
        <v>705</v>
      </c>
      <c r="AQ50" s="164">
        <f t="shared" si="302"/>
        <v>700</v>
      </c>
      <c r="AR50" s="164">
        <f t="shared" si="302"/>
        <v>695</v>
      </c>
      <c r="AS50" s="164">
        <f t="shared" si="302"/>
        <v>690</v>
      </c>
      <c r="AT50" s="164">
        <f t="shared" si="302"/>
        <v>685</v>
      </c>
      <c r="AU50" s="164">
        <f t="shared" si="302"/>
        <v>680</v>
      </c>
      <c r="AV50" s="164">
        <f t="shared" si="302"/>
        <v>676</v>
      </c>
      <c r="AW50" s="164">
        <f t="shared" si="302"/>
        <v>671</v>
      </c>
      <c r="AX50" s="164">
        <f t="shared" si="302"/>
        <v>666</v>
      </c>
      <c r="AY50" s="164">
        <f t="shared" si="302"/>
        <v>662</v>
      </c>
      <c r="AZ50" s="164">
        <f t="shared" si="302"/>
        <v>657</v>
      </c>
      <c r="BA50" s="164">
        <f t="shared" si="302"/>
        <v>652</v>
      </c>
      <c r="BB50" s="164">
        <f t="shared" si="302"/>
        <v>648</v>
      </c>
      <c r="BC50" s="164">
        <f t="shared" si="302"/>
        <v>644</v>
      </c>
      <c r="BD50" s="164">
        <f t="shared" si="302"/>
        <v>639</v>
      </c>
      <c r="BE50" s="164">
        <f t="shared" si="302"/>
        <v>635</v>
      </c>
      <c r="BF50" s="164">
        <f t="shared" si="302"/>
        <v>631</v>
      </c>
      <c r="BG50" s="164">
        <f t="shared" si="302"/>
        <v>627</v>
      </c>
      <c r="BH50" s="164">
        <f t="shared" si="302"/>
        <v>623</v>
      </c>
      <c r="BI50" s="164">
        <f t="shared" si="302"/>
        <v>619</v>
      </c>
      <c r="BJ50" s="164">
        <f t="shared" si="302"/>
        <v>615</v>
      </c>
      <c r="BK50" s="164">
        <f t="shared" si="302"/>
        <v>611</v>
      </c>
      <c r="BL50" s="164">
        <f t="shared" si="302"/>
        <v>607</v>
      </c>
      <c r="BM50" s="164">
        <f t="shared" si="302"/>
        <v>603</v>
      </c>
      <c r="BN50" s="164">
        <f t="shared" si="302"/>
        <v>599</v>
      </c>
      <c r="BO50" s="164">
        <f t="shared" si="302"/>
        <v>596</v>
      </c>
      <c r="BP50" s="164">
        <f t="shared" si="302"/>
        <v>592</v>
      </c>
      <c r="BQ50" s="164">
        <f t="shared" si="302"/>
        <v>588</v>
      </c>
      <c r="BR50" s="164">
        <f t="shared" si="302"/>
        <v>585</v>
      </c>
      <c r="BS50" s="164">
        <f t="shared" si="302"/>
        <v>581</v>
      </c>
      <c r="BT50" s="164">
        <f t="shared" ref="BT50:EE50" si="303">ROUNDDOWN(BT49 / 1000000, 0)</f>
        <v>578</v>
      </c>
      <c r="BU50" s="164">
        <f t="shared" si="303"/>
        <v>574</v>
      </c>
      <c r="BV50" s="164">
        <f t="shared" si="303"/>
        <v>571</v>
      </c>
      <c r="BW50" s="164">
        <f t="shared" si="303"/>
        <v>568</v>
      </c>
      <c r="BX50" s="164">
        <f t="shared" si="303"/>
        <v>564</v>
      </c>
      <c r="BY50" s="164">
        <f t="shared" si="303"/>
        <v>561</v>
      </c>
      <c r="BZ50" s="164">
        <f t="shared" si="303"/>
        <v>558</v>
      </c>
      <c r="CA50" s="164">
        <f t="shared" si="303"/>
        <v>554</v>
      </c>
      <c r="CB50" s="164">
        <f t="shared" si="303"/>
        <v>551</v>
      </c>
      <c r="CC50" s="164">
        <f t="shared" si="303"/>
        <v>548</v>
      </c>
      <c r="CD50" s="164">
        <f t="shared" si="303"/>
        <v>545</v>
      </c>
      <c r="CE50" s="164">
        <f t="shared" si="303"/>
        <v>542</v>
      </c>
      <c r="CF50" s="164">
        <f t="shared" si="303"/>
        <v>539</v>
      </c>
      <c r="CG50" s="164">
        <f t="shared" si="303"/>
        <v>536</v>
      </c>
      <c r="CH50" s="164">
        <f t="shared" si="303"/>
        <v>533</v>
      </c>
      <c r="CI50" s="164">
        <f t="shared" si="303"/>
        <v>530</v>
      </c>
      <c r="CJ50" s="164">
        <f t="shared" si="303"/>
        <v>527</v>
      </c>
      <c r="CK50" s="164">
        <f t="shared" si="303"/>
        <v>524</v>
      </c>
      <c r="CL50" s="164">
        <f t="shared" si="303"/>
        <v>521</v>
      </c>
      <c r="CM50" s="164">
        <f t="shared" si="303"/>
        <v>518</v>
      </c>
      <c r="CN50" s="164">
        <f t="shared" si="303"/>
        <v>516</v>
      </c>
      <c r="CO50" s="164">
        <f t="shared" si="303"/>
        <v>513</v>
      </c>
      <c r="CP50" s="164">
        <f t="shared" si="303"/>
        <v>510</v>
      </c>
      <c r="CQ50" s="164">
        <f t="shared" si="303"/>
        <v>507</v>
      </c>
      <c r="CR50" s="164">
        <f t="shared" si="303"/>
        <v>505</v>
      </c>
      <c r="CS50" s="164">
        <f t="shared" si="303"/>
        <v>502</v>
      </c>
      <c r="CT50" s="164">
        <f t="shared" si="303"/>
        <v>499</v>
      </c>
      <c r="CU50" s="164">
        <f t="shared" si="303"/>
        <v>497</v>
      </c>
      <c r="CV50" s="164">
        <f t="shared" si="303"/>
        <v>494</v>
      </c>
      <c r="CW50" s="164">
        <f t="shared" si="303"/>
        <v>492</v>
      </c>
      <c r="CX50" s="164">
        <f t="shared" si="303"/>
        <v>489</v>
      </c>
      <c r="CY50" s="164">
        <f t="shared" si="303"/>
        <v>487</v>
      </c>
      <c r="CZ50" s="164">
        <f t="shared" si="303"/>
        <v>484</v>
      </c>
      <c r="DA50" s="164">
        <f t="shared" si="303"/>
        <v>482</v>
      </c>
      <c r="DB50" s="164">
        <f t="shared" si="303"/>
        <v>479</v>
      </c>
      <c r="DC50" s="164">
        <f t="shared" si="303"/>
        <v>477</v>
      </c>
      <c r="DD50" s="164">
        <f t="shared" si="303"/>
        <v>475</v>
      </c>
      <c r="DE50" s="164">
        <f t="shared" si="303"/>
        <v>472</v>
      </c>
      <c r="DF50" s="164">
        <f t="shared" si="303"/>
        <v>470</v>
      </c>
      <c r="DG50" s="164">
        <f t="shared" si="303"/>
        <v>468</v>
      </c>
      <c r="DH50" s="164">
        <f t="shared" si="303"/>
        <v>465</v>
      </c>
      <c r="DI50" s="164">
        <f t="shared" si="303"/>
        <v>463</v>
      </c>
      <c r="DJ50" s="164">
        <f t="shared" si="303"/>
        <v>461</v>
      </c>
      <c r="DK50" s="164">
        <f t="shared" si="303"/>
        <v>459</v>
      </c>
      <c r="DL50" s="164">
        <f t="shared" si="303"/>
        <v>457</v>
      </c>
      <c r="DM50" s="164">
        <f t="shared" si="303"/>
        <v>454</v>
      </c>
      <c r="DN50" s="164">
        <f t="shared" si="303"/>
        <v>452</v>
      </c>
      <c r="DO50" s="164">
        <f t="shared" si="303"/>
        <v>450</v>
      </c>
      <c r="DP50" s="164">
        <f t="shared" si="303"/>
        <v>448</v>
      </c>
      <c r="DQ50" s="164">
        <f t="shared" si="303"/>
        <v>446</v>
      </c>
      <c r="DR50" s="164">
        <f t="shared" si="303"/>
        <v>444</v>
      </c>
      <c r="DS50" s="164">
        <f t="shared" si="303"/>
        <v>442</v>
      </c>
      <c r="DT50" s="164">
        <f t="shared" si="303"/>
        <v>440</v>
      </c>
      <c r="DU50" s="164">
        <f t="shared" si="303"/>
        <v>438</v>
      </c>
      <c r="DV50" s="164">
        <f t="shared" si="303"/>
        <v>436</v>
      </c>
      <c r="DW50" s="164">
        <f t="shared" si="303"/>
        <v>434</v>
      </c>
      <c r="DX50" s="164">
        <f t="shared" si="303"/>
        <v>432</v>
      </c>
      <c r="DY50" s="164">
        <f t="shared" si="303"/>
        <v>430</v>
      </c>
      <c r="DZ50" s="164">
        <f t="shared" si="303"/>
        <v>428</v>
      </c>
      <c r="EA50" s="164">
        <f t="shared" si="303"/>
        <v>426</v>
      </c>
      <c r="EB50" s="164">
        <f t="shared" si="303"/>
        <v>424</v>
      </c>
      <c r="EC50" s="164">
        <f t="shared" si="303"/>
        <v>422</v>
      </c>
      <c r="ED50" s="164">
        <f t="shared" si="303"/>
        <v>420</v>
      </c>
      <c r="EE50" s="164">
        <f t="shared" si="303"/>
        <v>419</v>
      </c>
      <c r="EF50" s="164">
        <f t="shared" ref="EF50:FC50" si="304">ROUNDDOWN(EF49 / 1000000, 0)</f>
        <v>417</v>
      </c>
      <c r="EG50" s="164">
        <f t="shared" si="304"/>
        <v>415</v>
      </c>
      <c r="EH50" s="164">
        <f t="shared" si="304"/>
        <v>413</v>
      </c>
      <c r="EI50" s="164">
        <f t="shared" si="304"/>
        <v>411</v>
      </c>
      <c r="EJ50" s="164">
        <f t="shared" si="304"/>
        <v>410</v>
      </c>
      <c r="EK50" s="164">
        <f t="shared" si="304"/>
        <v>408</v>
      </c>
      <c r="EL50" s="164">
        <f t="shared" si="304"/>
        <v>406</v>
      </c>
      <c r="EM50" s="164">
        <f t="shared" si="304"/>
        <v>404</v>
      </c>
      <c r="EN50" s="164">
        <f t="shared" si="304"/>
        <v>403</v>
      </c>
      <c r="EO50" s="164">
        <f t="shared" si="304"/>
        <v>401</v>
      </c>
      <c r="EP50" s="164">
        <f t="shared" si="304"/>
        <v>399</v>
      </c>
      <c r="EQ50" s="164">
        <f t="shared" si="304"/>
        <v>398</v>
      </c>
      <c r="ER50" s="164">
        <f t="shared" si="304"/>
        <v>396</v>
      </c>
      <c r="ES50" s="164">
        <f t="shared" si="304"/>
        <v>395</v>
      </c>
      <c r="ET50" s="164">
        <f t="shared" si="304"/>
        <v>393</v>
      </c>
      <c r="EU50" s="164">
        <f t="shared" si="304"/>
        <v>391</v>
      </c>
      <c r="EV50" s="164">
        <f t="shared" si="304"/>
        <v>390</v>
      </c>
      <c r="EW50" s="164">
        <f t="shared" si="304"/>
        <v>388</v>
      </c>
      <c r="EX50" s="164">
        <f t="shared" si="304"/>
        <v>387</v>
      </c>
      <c r="EY50" s="715"/>
      <c r="EZ50" s="715"/>
      <c r="FA50" s="709"/>
      <c r="FB50" s="164">
        <f t="shared" si="304"/>
        <v>961</v>
      </c>
      <c r="FC50" s="164">
        <f t="shared" si="304"/>
        <v>801</v>
      </c>
    </row>
    <row r="51" spans="2:159" s="31" customFormat="1" x14ac:dyDescent="0.45">
      <c r="B51" s="158"/>
      <c r="C51" s="159" t="s">
        <v>5</v>
      </c>
      <c r="D51" s="165">
        <f>ROUND(D49/10000000, 0)</f>
        <v>98</v>
      </c>
      <c r="E51" s="165">
        <f t="shared" ref="E51:F51" si="305">ROUND(E49/10000000, 0)</f>
        <v>97</v>
      </c>
      <c r="F51" s="165">
        <f t="shared" si="305"/>
        <v>96</v>
      </c>
      <c r="G51" s="165">
        <f>ROUND(G49/10000000, 0)</f>
        <v>95</v>
      </c>
      <c r="H51" s="165">
        <f t="shared" ref="H51:BS51" si="306">ROUND(H49/10000000, 0)</f>
        <v>94</v>
      </c>
      <c r="I51" s="165">
        <f t="shared" si="306"/>
        <v>93</v>
      </c>
      <c r="J51" s="165">
        <f t="shared" si="306"/>
        <v>92</v>
      </c>
      <c r="K51" s="165">
        <f t="shared" si="306"/>
        <v>91</v>
      </c>
      <c r="L51" s="165">
        <f t="shared" si="306"/>
        <v>91</v>
      </c>
      <c r="M51" s="165">
        <f t="shared" si="306"/>
        <v>90</v>
      </c>
      <c r="N51" s="165">
        <f t="shared" si="306"/>
        <v>89</v>
      </c>
      <c r="O51" s="165">
        <f t="shared" si="306"/>
        <v>88</v>
      </c>
      <c r="P51" s="165">
        <f t="shared" si="306"/>
        <v>87</v>
      </c>
      <c r="Q51" s="165">
        <f t="shared" si="306"/>
        <v>86</v>
      </c>
      <c r="R51" s="165">
        <f t="shared" si="306"/>
        <v>86</v>
      </c>
      <c r="S51" s="165">
        <f t="shared" si="306"/>
        <v>85</v>
      </c>
      <c r="T51" s="165">
        <f t="shared" si="306"/>
        <v>84</v>
      </c>
      <c r="U51" s="165">
        <f t="shared" si="306"/>
        <v>83</v>
      </c>
      <c r="V51" s="165">
        <f t="shared" si="306"/>
        <v>83</v>
      </c>
      <c r="W51" s="165">
        <f t="shared" si="306"/>
        <v>82</v>
      </c>
      <c r="X51" s="165">
        <f t="shared" si="306"/>
        <v>81</v>
      </c>
      <c r="Y51" s="165">
        <f t="shared" si="306"/>
        <v>81</v>
      </c>
      <c r="Z51" s="165">
        <f t="shared" si="306"/>
        <v>80</v>
      </c>
      <c r="AA51" s="165">
        <f t="shared" si="306"/>
        <v>79</v>
      </c>
      <c r="AB51" s="165">
        <f t="shared" si="306"/>
        <v>79</v>
      </c>
      <c r="AC51" s="165">
        <f t="shared" si="306"/>
        <v>78</v>
      </c>
      <c r="AD51" s="165">
        <f t="shared" si="306"/>
        <v>77</v>
      </c>
      <c r="AE51" s="165">
        <f t="shared" si="306"/>
        <v>77</v>
      </c>
      <c r="AF51" s="165">
        <f t="shared" si="306"/>
        <v>76</v>
      </c>
      <c r="AG51" s="165">
        <f t="shared" si="306"/>
        <v>76</v>
      </c>
      <c r="AH51" s="165">
        <f t="shared" si="306"/>
        <v>75</v>
      </c>
      <c r="AI51" s="165">
        <f t="shared" si="306"/>
        <v>74</v>
      </c>
      <c r="AJ51" s="165">
        <f t="shared" si="306"/>
        <v>74</v>
      </c>
      <c r="AK51" s="165">
        <f t="shared" si="306"/>
        <v>73</v>
      </c>
      <c r="AL51" s="165">
        <f t="shared" si="306"/>
        <v>73</v>
      </c>
      <c r="AM51" s="165">
        <f t="shared" si="306"/>
        <v>72</v>
      </c>
      <c r="AN51" s="165">
        <f t="shared" si="306"/>
        <v>72</v>
      </c>
      <c r="AO51" s="165">
        <f t="shared" si="306"/>
        <v>71</v>
      </c>
      <c r="AP51" s="165">
        <f t="shared" si="306"/>
        <v>71</v>
      </c>
      <c r="AQ51" s="165">
        <f t="shared" si="306"/>
        <v>70</v>
      </c>
      <c r="AR51" s="165">
        <f t="shared" si="306"/>
        <v>70</v>
      </c>
      <c r="AS51" s="165">
        <f t="shared" si="306"/>
        <v>69</v>
      </c>
      <c r="AT51" s="165">
        <f t="shared" si="306"/>
        <v>69</v>
      </c>
      <c r="AU51" s="165">
        <f t="shared" si="306"/>
        <v>68</v>
      </c>
      <c r="AV51" s="165">
        <f t="shared" si="306"/>
        <v>68</v>
      </c>
      <c r="AW51" s="165">
        <f t="shared" si="306"/>
        <v>67</v>
      </c>
      <c r="AX51" s="165">
        <f t="shared" si="306"/>
        <v>67</v>
      </c>
      <c r="AY51" s="165">
        <f t="shared" si="306"/>
        <v>66</v>
      </c>
      <c r="AZ51" s="165">
        <f t="shared" si="306"/>
        <v>66</v>
      </c>
      <c r="BA51" s="165">
        <f t="shared" si="306"/>
        <v>65</v>
      </c>
      <c r="BB51" s="165">
        <f t="shared" si="306"/>
        <v>65</v>
      </c>
      <c r="BC51" s="165">
        <f t="shared" si="306"/>
        <v>64</v>
      </c>
      <c r="BD51" s="165">
        <f t="shared" si="306"/>
        <v>64</v>
      </c>
      <c r="BE51" s="165">
        <f t="shared" si="306"/>
        <v>64</v>
      </c>
      <c r="BF51" s="165">
        <f t="shared" si="306"/>
        <v>63</v>
      </c>
      <c r="BG51" s="165">
        <f t="shared" si="306"/>
        <v>63</v>
      </c>
      <c r="BH51" s="165">
        <f t="shared" si="306"/>
        <v>62</v>
      </c>
      <c r="BI51" s="165">
        <f t="shared" si="306"/>
        <v>62</v>
      </c>
      <c r="BJ51" s="165">
        <f t="shared" si="306"/>
        <v>62</v>
      </c>
      <c r="BK51" s="165">
        <f t="shared" si="306"/>
        <v>61</v>
      </c>
      <c r="BL51" s="165">
        <f t="shared" si="306"/>
        <v>61</v>
      </c>
      <c r="BM51" s="165">
        <f t="shared" si="306"/>
        <v>60</v>
      </c>
      <c r="BN51" s="165">
        <f t="shared" si="306"/>
        <v>60</v>
      </c>
      <c r="BO51" s="165">
        <f t="shared" si="306"/>
        <v>60</v>
      </c>
      <c r="BP51" s="165">
        <f t="shared" si="306"/>
        <v>59</v>
      </c>
      <c r="BQ51" s="165">
        <f t="shared" si="306"/>
        <v>59</v>
      </c>
      <c r="BR51" s="165">
        <f t="shared" si="306"/>
        <v>59</v>
      </c>
      <c r="BS51" s="165">
        <f t="shared" si="306"/>
        <v>58</v>
      </c>
      <c r="BT51" s="165">
        <f t="shared" ref="BT51:EE51" si="307">ROUND(BT49/10000000, 0)</f>
        <v>58</v>
      </c>
      <c r="BU51" s="165">
        <f t="shared" si="307"/>
        <v>57</v>
      </c>
      <c r="BV51" s="165">
        <f t="shared" si="307"/>
        <v>57</v>
      </c>
      <c r="BW51" s="165">
        <f t="shared" si="307"/>
        <v>57</v>
      </c>
      <c r="BX51" s="165">
        <f t="shared" si="307"/>
        <v>56</v>
      </c>
      <c r="BY51" s="165">
        <f t="shared" si="307"/>
        <v>56</v>
      </c>
      <c r="BZ51" s="165">
        <f t="shared" si="307"/>
        <v>56</v>
      </c>
      <c r="CA51" s="165">
        <f t="shared" si="307"/>
        <v>55</v>
      </c>
      <c r="CB51" s="165">
        <f t="shared" si="307"/>
        <v>55</v>
      </c>
      <c r="CC51" s="165">
        <f t="shared" si="307"/>
        <v>55</v>
      </c>
      <c r="CD51" s="165">
        <f t="shared" si="307"/>
        <v>55</v>
      </c>
      <c r="CE51" s="165">
        <f t="shared" si="307"/>
        <v>54</v>
      </c>
      <c r="CF51" s="165">
        <f t="shared" si="307"/>
        <v>54</v>
      </c>
      <c r="CG51" s="165">
        <f t="shared" si="307"/>
        <v>54</v>
      </c>
      <c r="CH51" s="165">
        <f t="shared" si="307"/>
        <v>53</v>
      </c>
      <c r="CI51" s="165">
        <f t="shared" si="307"/>
        <v>53</v>
      </c>
      <c r="CJ51" s="165">
        <f t="shared" si="307"/>
        <v>53</v>
      </c>
      <c r="CK51" s="165">
        <f t="shared" si="307"/>
        <v>52</v>
      </c>
      <c r="CL51" s="165">
        <f t="shared" si="307"/>
        <v>52</v>
      </c>
      <c r="CM51" s="165">
        <f t="shared" si="307"/>
        <v>52</v>
      </c>
      <c r="CN51" s="165">
        <f t="shared" si="307"/>
        <v>52</v>
      </c>
      <c r="CO51" s="165">
        <f t="shared" si="307"/>
        <v>51</v>
      </c>
      <c r="CP51" s="165">
        <f t="shared" si="307"/>
        <v>51</v>
      </c>
      <c r="CQ51" s="165">
        <f t="shared" si="307"/>
        <v>51</v>
      </c>
      <c r="CR51" s="165">
        <f t="shared" si="307"/>
        <v>51</v>
      </c>
      <c r="CS51" s="165">
        <f t="shared" si="307"/>
        <v>50</v>
      </c>
      <c r="CT51" s="165">
        <f t="shared" si="307"/>
        <v>50</v>
      </c>
      <c r="CU51" s="165">
        <f t="shared" si="307"/>
        <v>50</v>
      </c>
      <c r="CV51" s="165">
        <f t="shared" si="307"/>
        <v>49</v>
      </c>
      <c r="CW51" s="165">
        <f t="shared" si="307"/>
        <v>49</v>
      </c>
      <c r="CX51" s="165">
        <f t="shared" si="307"/>
        <v>49</v>
      </c>
      <c r="CY51" s="165">
        <f t="shared" si="307"/>
        <v>49</v>
      </c>
      <c r="CZ51" s="165">
        <f t="shared" si="307"/>
        <v>48</v>
      </c>
      <c r="DA51" s="165">
        <f t="shared" si="307"/>
        <v>48</v>
      </c>
      <c r="DB51" s="165">
        <f t="shared" si="307"/>
        <v>48</v>
      </c>
      <c r="DC51" s="165">
        <f t="shared" si="307"/>
        <v>48</v>
      </c>
      <c r="DD51" s="165">
        <f t="shared" si="307"/>
        <v>48</v>
      </c>
      <c r="DE51" s="165">
        <f t="shared" si="307"/>
        <v>47</v>
      </c>
      <c r="DF51" s="165">
        <f t="shared" si="307"/>
        <v>47</v>
      </c>
      <c r="DG51" s="165">
        <f t="shared" si="307"/>
        <v>47</v>
      </c>
      <c r="DH51" s="165">
        <f t="shared" si="307"/>
        <v>47</v>
      </c>
      <c r="DI51" s="165">
        <f t="shared" si="307"/>
        <v>46</v>
      </c>
      <c r="DJ51" s="165">
        <f t="shared" si="307"/>
        <v>46</v>
      </c>
      <c r="DK51" s="165">
        <f t="shared" si="307"/>
        <v>46</v>
      </c>
      <c r="DL51" s="165">
        <f t="shared" si="307"/>
        <v>46</v>
      </c>
      <c r="DM51" s="165">
        <f t="shared" si="307"/>
        <v>45</v>
      </c>
      <c r="DN51" s="165">
        <f t="shared" si="307"/>
        <v>45</v>
      </c>
      <c r="DO51" s="165">
        <f t="shared" si="307"/>
        <v>45</v>
      </c>
      <c r="DP51" s="165">
        <f t="shared" si="307"/>
        <v>45</v>
      </c>
      <c r="DQ51" s="165">
        <f t="shared" si="307"/>
        <v>45</v>
      </c>
      <c r="DR51" s="165">
        <f t="shared" si="307"/>
        <v>44</v>
      </c>
      <c r="DS51" s="165">
        <f t="shared" si="307"/>
        <v>44</v>
      </c>
      <c r="DT51" s="165">
        <f t="shared" si="307"/>
        <v>44</v>
      </c>
      <c r="DU51" s="165">
        <f t="shared" si="307"/>
        <v>44</v>
      </c>
      <c r="DV51" s="165">
        <f t="shared" si="307"/>
        <v>44</v>
      </c>
      <c r="DW51" s="165">
        <f t="shared" si="307"/>
        <v>43</v>
      </c>
      <c r="DX51" s="165">
        <f t="shared" si="307"/>
        <v>43</v>
      </c>
      <c r="DY51" s="165">
        <f t="shared" si="307"/>
        <v>43</v>
      </c>
      <c r="DZ51" s="165">
        <f t="shared" si="307"/>
        <v>43</v>
      </c>
      <c r="EA51" s="165">
        <f t="shared" si="307"/>
        <v>43</v>
      </c>
      <c r="EB51" s="165">
        <f t="shared" si="307"/>
        <v>42</v>
      </c>
      <c r="EC51" s="165">
        <f t="shared" si="307"/>
        <v>42</v>
      </c>
      <c r="ED51" s="165">
        <f t="shared" si="307"/>
        <v>42</v>
      </c>
      <c r="EE51" s="165">
        <f t="shared" si="307"/>
        <v>42</v>
      </c>
      <c r="EF51" s="165">
        <f t="shared" ref="EF51:FC51" si="308">ROUND(EF49/10000000, 0)</f>
        <v>42</v>
      </c>
      <c r="EG51" s="165">
        <f t="shared" si="308"/>
        <v>42</v>
      </c>
      <c r="EH51" s="165">
        <f t="shared" si="308"/>
        <v>41</v>
      </c>
      <c r="EI51" s="165">
        <f t="shared" si="308"/>
        <v>41</v>
      </c>
      <c r="EJ51" s="165">
        <f t="shared" si="308"/>
        <v>41</v>
      </c>
      <c r="EK51" s="165">
        <f t="shared" si="308"/>
        <v>41</v>
      </c>
      <c r="EL51" s="165">
        <f t="shared" si="308"/>
        <v>41</v>
      </c>
      <c r="EM51" s="165">
        <f t="shared" si="308"/>
        <v>40</v>
      </c>
      <c r="EN51" s="165">
        <f t="shared" si="308"/>
        <v>40</v>
      </c>
      <c r="EO51" s="165">
        <f t="shared" si="308"/>
        <v>40</v>
      </c>
      <c r="EP51" s="165">
        <f t="shared" si="308"/>
        <v>40</v>
      </c>
      <c r="EQ51" s="165">
        <f t="shared" si="308"/>
        <v>40</v>
      </c>
      <c r="ER51" s="165">
        <f t="shared" si="308"/>
        <v>40</v>
      </c>
      <c r="ES51" s="165">
        <f t="shared" si="308"/>
        <v>40</v>
      </c>
      <c r="ET51" s="165">
        <f t="shared" si="308"/>
        <v>39</v>
      </c>
      <c r="EU51" s="165">
        <f t="shared" si="308"/>
        <v>39</v>
      </c>
      <c r="EV51" s="165">
        <f t="shared" si="308"/>
        <v>39</v>
      </c>
      <c r="EW51" s="165">
        <f t="shared" si="308"/>
        <v>39</v>
      </c>
      <c r="EX51" s="165">
        <f t="shared" si="308"/>
        <v>39</v>
      </c>
      <c r="EY51" s="715"/>
      <c r="EZ51" s="715"/>
      <c r="FA51" s="709"/>
      <c r="FB51" s="165">
        <f t="shared" si="308"/>
        <v>96</v>
      </c>
      <c r="FC51" s="165">
        <f t="shared" si="308"/>
        <v>80</v>
      </c>
    </row>
    <row r="52" spans="2:159" s="31" customFormat="1" x14ac:dyDescent="0.45">
      <c r="B52" s="154"/>
      <c r="C52" s="152" t="s">
        <v>5</v>
      </c>
      <c r="D52" s="166">
        <f t="shared" ref="D52:BO52" si="309">D51-1</f>
        <v>97</v>
      </c>
      <c r="E52" s="166">
        <f t="shared" si="309"/>
        <v>96</v>
      </c>
      <c r="F52" s="166">
        <f t="shared" ref="F52" si="310">F51-1</f>
        <v>95</v>
      </c>
      <c r="G52" s="166">
        <f t="shared" si="309"/>
        <v>94</v>
      </c>
      <c r="H52" s="166">
        <f t="shared" si="309"/>
        <v>93</v>
      </c>
      <c r="I52" s="166">
        <f t="shared" si="309"/>
        <v>92</v>
      </c>
      <c r="J52" s="166">
        <f t="shared" si="309"/>
        <v>91</v>
      </c>
      <c r="K52" s="166">
        <f t="shared" si="309"/>
        <v>90</v>
      </c>
      <c r="L52" s="166">
        <f t="shared" si="309"/>
        <v>90</v>
      </c>
      <c r="M52" s="166">
        <f t="shared" si="309"/>
        <v>89</v>
      </c>
      <c r="N52" s="166">
        <f t="shared" si="309"/>
        <v>88</v>
      </c>
      <c r="O52" s="166">
        <f t="shared" si="309"/>
        <v>87</v>
      </c>
      <c r="P52" s="166">
        <f t="shared" si="309"/>
        <v>86</v>
      </c>
      <c r="Q52" s="166">
        <f t="shared" si="309"/>
        <v>85</v>
      </c>
      <c r="R52" s="166">
        <f t="shared" si="309"/>
        <v>85</v>
      </c>
      <c r="S52" s="166">
        <f t="shared" si="309"/>
        <v>84</v>
      </c>
      <c r="T52" s="166">
        <f t="shared" si="309"/>
        <v>83</v>
      </c>
      <c r="U52" s="166">
        <f t="shared" si="309"/>
        <v>82</v>
      </c>
      <c r="V52" s="166">
        <f t="shared" si="309"/>
        <v>82</v>
      </c>
      <c r="W52" s="166">
        <f t="shared" si="309"/>
        <v>81</v>
      </c>
      <c r="X52" s="166">
        <f t="shared" si="309"/>
        <v>80</v>
      </c>
      <c r="Y52" s="166">
        <f t="shared" si="309"/>
        <v>80</v>
      </c>
      <c r="Z52" s="166">
        <f t="shared" si="309"/>
        <v>79</v>
      </c>
      <c r="AA52" s="166">
        <f t="shared" si="309"/>
        <v>78</v>
      </c>
      <c r="AB52" s="166">
        <f t="shared" si="309"/>
        <v>78</v>
      </c>
      <c r="AC52" s="166">
        <f t="shared" si="309"/>
        <v>77</v>
      </c>
      <c r="AD52" s="166">
        <f t="shared" si="309"/>
        <v>76</v>
      </c>
      <c r="AE52" s="166">
        <f t="shared" si="309"/>
        <v>76</v>
      </c>
      <c r="AF52" s="166">
        <f t="shared" si="309"/>
        <v>75</v>
      </c>
      <c r="AG52" s="166">
        <f t="shared" si="309"/>
        <v>75</v>
      </c>
      <c r="AH52" s="166">
        <f t="shared" si="309"/>
        <v>74</v>
      </c>
      <c r="AI52" s="166">
        <f t="shared" si="309"/>
        <v>73</v>
      </c>
      <c r="AJ52" s="166">
        <f t="shared" si="309"/>
        <v>73</v>
      </c>
      <c r="AK52" s="166">
        <f t="shared" si="309"/>
        <v>72</v>
      </c>
      <c r="AL52" s="166">
        <f t="shared" si="309"/>
        <v>72</v>
      </c>
      <c r="AM52" s="166">
        <f t="shared" si="309"/>
        <v>71</v>
      </c>
      <c r="AN52" s="166">
        <f t="shared" si="309"/>
        <v>71</v>
      </c>
      <c r="AO52" s="166">
        <f t="shared" si="309"/>
        <v>70</v>
      </c>
      <c r="AP52" s="166">
        <f t="shared" si="309"/>
        <v>70</v>
      </c>
      <c r="AQ52" s="166">
        <f t="shared" si="309"/>
        <v>69</v>
      </c>
      <c r="AR52" s="166">
        <f t="shared" si="309"/>
        <v>69</v>
      </c>
      <c r="AS52" s="166">
        <f t="shared" si="309"/>
        <v>68</v>
      </c>
      <c r="AT52" s="166">
        <f t="shared" si="309"/>
        <v>68</v>
      </c>
      <c r="AU52" s="166">
        <f t="shared" si="309"/>
        <v>67</v>
      </c>
      <c r="AV52" s="166">
        <f t="shared" si="309"/>
        <v>67</v>
      </c>
      <c r="AW52" s="166">
        <f t="shared" si="309"/>
        <v>66</v>
      </c>
      <c r="AX52" s="166">
        <f t="shared" si="309"/>
        <v>66</v>
      </c>
      <c r="AY52" s="166">
        <f t="shared" si="309"/>
        <v>65</v>
      </c>
      <c r="AZ52" s="166">
        <f t="shared" si="309"/>
        <v>65</v>
      </c>
      <c r="BA52" s="166">
        <f t="shared" si="309"/>
        <v>64</v>
      </c>
      <c r="BB52" s="166">
        <f t="shared" si="309"/>
        <v>64</v>
      </c>
      <c r="BC52" s="166">
        <f t="shared" si="309"/>
        <v>63</v>
      </c>
      <c r="BD52" s="166">
        <f t="shared" si="309"/>
        <v>63</v>
      </c>
      <c r="BE52" s="166">
        <f t="shared" si="309"/>
        <v>63</v>
      </c>
      <c r="BF52" s="166">
        <f t="shared" si="309"/>
        <v>62</v>
      </c>
      <c r="BG52" s="166">
        <f t="shared" si="309"/>
        <v>62</v>
      </c>
      <c r="BH52" s="166">
        <f t="shared" si="309"/>
        <v>61</v>
      </c>
      <c r="BI52" s="166">
        <f t="shared" si="309"/>
        <v>61</v>
      </c>
      <c r="BJ52" s="166">
        <f t="shared" si="309"/>
        <v>61</v>
      </c>
      <c r="BK52" s="166">
        <f t="shared" si="309"/>
        <v>60</v>
      </c>
      <c r="BL52" s="166">
        <f t="shared" si="309"/>
        <v>60</v>
      </c>
      <c r="BM52" s="166">
        <f t="shared" si="309"/>
        <v>59</v>
      </c>
      <c r="BN52" s="166">
        <f t="shared" si="309"/>
        <v>59</v>
      </c>
      <c r="BO52" s="166">
        <f t="shared" si="309"/>
        <v>59</v>
      </c>
      <c r="BP52" s="166">
        <f t="shared" ref="BP52:EA52" si="311">BP51-1</f>
        <v>58</v>
      </c>
      <c r="BQ52" s="166">
        <f t="shared" si="311"/>
        <v>58</v>
      </c>
      <c r="BR52" s="166">
        <f t="shared" si="311"/>
        <v>58</v>
      </c>
      <c r="BS52" s="166">
        <f t="shared" si="311"/>
        <v>57</v>
      </c>
      <c r="BT52" s="166">
        <f t="shared" si="311"/>
        <v>57</v>
      </c>
      <c r="BU52" s="166">
        <f t="shared" si="311"/>
        <v>56</v>
      </c>
      <c r="BV52" s="166">
        <f t="shared" si="311"/>
        <v>56</v>
      </c>
      <c r="BW52" s="166">
        <f t="shared" si="311"/>
        <v>56</v>
      </c>
      <c r="BX52" s="166">
        <f t="shared" si="311"/>
        <v>55</v>
      </c>
      <c r="BY52" s="166">
        <f t="shared" si="311"/>
        <v>55</v>
      </c>
      <c r="BZ52" s="166">
        <f t="shared" si="311"/>
        <v>55</v>
      </c>
      <c r="CA52" s="166">
        <f t="shared" si="311"/>
        <v>54</v>
      </c>
      <c r="CB52" s="166">
        <f t="shared" si="311"/>
        <v>54</v>
      </c>
      <c r="CC52" s="166">
        <f t="shared" si="311"/>
        <v>54</v>
      </c>
      <c r="CD52" s="166">
        <f t="shared" si="311"/>
        <v>54</v>
      </c>
      <c r="CE52" s="166">
        <f t="shared" si="311"/>
        <v>53</v>
      </c>
      <c r="CF52" s="166">
        <f t="shared" si="311"/>
        <v>53</v>
      </c>
      <c r="CG52" s="166">
        <f t="shared" si="311"/>
        <v>53</v>
      </c>
      <c r="CH52" s="166">
        <f t="shared" si="311"/>
        <v>52</v>
      </c>
      <c r="CI52" s="166">
        <f t="shared" si="311"/>
        <v>52</v>
      </c>
      <c r="CJ52" s="166">
        <f t="shared" si="311"/>
        <v>52</v>
      </c>
      <c r="CK52" s="166">
        <f t="shared" si="311"/>
        <v>51</v>
      </c>
      <c r="CL52" s="166">
        <f t="shared" si="311"/>
        <v>51</v>
      </c>
      <c r="CM52" s="166">
        <f t="shared" si="311"/>
        <v>51</v>
      </c>
      <c r="CN52" s="166">
        <f t="shared" si="311"/>
        <v>51</v>
      </c>
      <c r="CO52" s="166">
        <f t="shared" si="311"/>
        <v>50</v>
      </c>
      <c r="CP52" s="166">
        <f t="shared" si="311"/>
        <v>50</v>
      </c>
      <c r="CQ52" s="166">
        <f t="shared" si="311"/>
        <v>50</v>
      </c>
      <c r="CR52" s="166">
        <f t="shared" si="311"/>
        <v>50</v>
      </c>
      <c r="CS52" s="166">
        <f t="shared" si="311"/>
        <v>49</v>
      </c>
      <c r="CT52" s="166">
        <f t="shared" si="311"/>
        <v>49</v>
      </c>
      <c r="CU52" s="166">
        <f t="shared" si="311"/>
        <v>49</v>
      </c>
      <c r="CV52" s="166">
        <f t="shared" si="311"/>
        <v>48</v>
      </c>
      <c r="CW52" s="166">
        <f t="shared" si="311"/>
        <v>48</v>
      </c>
      <c r="CX52" s="166">
        <f t="shared" si="311"/>
        <v>48</v>
      </c>
      <c r="CY52" s="166">
        <f t="shared" si="311"/>
        <v>48</v>
      </c>
      <c r="CZ52" s="166">
        <f t="shared" si="311"/>
        <v>47</v>
      </c>
      <c r="DA52" s="166">
        <f t="shared" si="311"/>
        <v>47</v>
      </c>
      <c r="DB52" s="166">
        <f t="shared" si="311"/>
        <v>47</v>
      </c>
      <c r="DC52" s="166">
        <f t="shared" si="311"/>
        <v>47</v>
      </c>
      <c r="DD52" s="166">
        <f t="shared" si="311"/>
        <v>47</v>
      </c>
      <c r="DE52" s="166">
        <f t="shared" si="311"/>
        <v>46</v>
      </c>
      <c r="DF52" s="166">
        <f t="shared" si="311"/>
        <v>46</v>
      </c>
      <c r="DG52" s="166">
        <f t="shared" si="311"/>
        <v>46</v>
      </c>
      <c r="DH52" s="166">
        <f t="shared" si="311"/>
        <v>46</v>
      </c>
      <c r="DI52" s="166">
        <f t="shared" si="311"/>
        <v>45</v>
      </c>
      <c r="DJ52" s="166">
        <f t="shared" si="311"/>
        <v>45</v>
      </c>
      <c r="DK52" s="166">
        <f t="shared" si="311"/>
        <v>45</v>
      </c>
      <c r="DL52" s="166">
        <f t="shared" si="311"/>
        <v>45</v>
      </c>
      <c r="DM52" s="166">
        <f t="shared" si="311"/>
        <v>44</v>
      </c>
      <c r="DN52" s="166">
        <f t="shared" si="311"/>
        <v>44</v>
      </c>
      <c r="DO52" s="166">
        <f t="shared" si="311"/>
        <v>44</v>
      </c>
      <c r="DP52" s="166">
        <f t="shared" si="311"/>
        <v>44</v>
      </c>
      <c r="DQ52" s="166">
        <f t="shared" si="311"/>
        <v>44</v>
      </c>
      <c r="DR52" s="166">
        <f t="shared" si="311"/>
        <v>43</v>
      </c>
      <c r="DS52" s="166">
        <f t="shared" si="311"/>
        <v>43</v>
      </c>
      <c r="DT52" s="166">
        <f t="shared" si="311"/>
        <v>43</v>
      </c>
      <c r="DU52" s="166">
        <f t="shared" si="311"/>
        <v>43</v>
      </c>
      <c r="DV52" s="166">
        <f t="shared" si="311"/>
        <v>43</v>
      </c>
      <c r="DW52" s="166">
        <f t="shared" si="311"/>
        <v>42</v>
      </c>
      <c r="DX52" s="166">
        <f t="shared" si="311"/>
        <v>42</v>
      </c>
      <c r="DY52" s="166">
        <f t="shared" si="311"/>
        <v>42</v>
      </c>
      <c r="DZ52" s="166">
        <f t="shared" si="311"/>
        <v>42</v>
      </c>
      <c r="EA52" s="166">
        <f t="shared" si="311"/>
        <v>42</v>
      </c>
      <c r="EB52" s="166">
        <f t="shared" ref="EB52:FC52" si="312">EB51-1</f>
        <v>41</v>
      </c>
      <c r="EC52" s="166">
        <f t="shared" si="312"/>
        <v>41</v>
      </c>
      <c r="ED52" s="166">
        <f t="shared" si="312"/>
        <v>41</v>
      </c>
      <c r="EE52" s="166">
        <f t="shared" si="312"/>
        <v>41</v>
      </c>
      <c r="EF52" s="166">
        <f t="shared" si="312"/>
        <v>41</v>
      </c>
      <c r="EG52" s="166">
        <f t="shared" si="312"/>
        <v>41</v>
      </c>
      <c r="EH52" s="166">
        <f t="shared" si="312"/>
        <v>40</v>
      </c>
      <c r="EI52" s="166">
        <f t="shared" si="312"/>
        <v>40</v>
      </c>
      <c r="EJ52" s="166">
        <f t="shared" si="312"/>
        <v>40</v>
      </c>
      <c r="EK52" s="166">
        <f t="shared" si="312"/>
        <v>40</v>
      </c>
      <c r="EL52" s="166">
        <f t="shared" si="312"/>
        <v>40</v>
      </c>
      <c r="EM52" s="166">
        <f t="shared" si="312"/>
        <v>39</v>
      </c>
      <c r="EN52" s="166">
        <f t="shared" si="312"/>
        <v>39</v>
      </c>
      <c r="EO52" s="166">
        <f t="shared" si="312"/>
        <v>39</v>
      </c>
      <c r="EP52" s="166">
        <f t="shared" si="312"/>
        <v>39</v>
      </c>
      <c r="EQ52" s="166">
        <f t="shared" si="312"/>
        <v>39</v>
      </c>
      <c r="ER52" s="166">
        <f t="shared" si="312"/>
        <v>39</v>
      </c>
      <c r="ES52" s="166">
        <f t="shared" si="312"/>
        <v>39</v>
      </c>
      <c r="ET52" s="166">
        <f t="shared" si="312"/>
        <v>38</v>
      </c>
      <c r="EU52" s="166">
        <f t="shared" si="312"/>
        <v>38</v>
      </c>
      <c r="EV52" s="166">
        <f t="shared" si="312"/>
        <v>38</v>
      </c>
      <c r="EW52" s="166">
        <f t="shared" si="312"/>
        <v>38</v>
      </c>
      <c r="EX52" s="166">
        <f t="shared" si="312"/>
        <v>38</v>
      </c>
      <c r="EY52" s="715"/>
      <c r="EZ52" s="715"/>
      <c r="FA52" s="709"/>
      <c r="FB52" s="166">
        <f t="shared" si="312"/>
        <v>95</v>
      </c>
      <c r="FC52" s="166">
        <f t="shared" si="312"/>
        <v>79</v>
      </c>
    </row>
    <row r="53" spans="2:159" s="31" customFormat="1" x14ac:dyDescent="0.45">
      <c r="B53" s="155" t="s">
        <v>2</v>
      </c>
      <c r="C53" s="156" t="s">
        <v>1</v>
      </c>
      <c r="D53" s="145">
        <f>ROUNDDOWN(D48 * 10000 / D51, 0)</f>
        <v>2542653</v>
      </c>
      <c r="E53" s="145">
        <f t="shared" ref="E53:F53" si="313">ROUNDDOWN(E48 * 10000 / E51, 0)</f>
        <v>2542886</v>
      </c>
      <c r="F53" s="145">
        <f t="shared" si="313"/>
        <v>2543750</v>
      </c>
      <c r="G53" s="145">
        <f>ROUNDDOWN(G48 * 10000 / G51, 0)</f>
        <v>2544736</v>
      </c>
      <c r="H53" s="145">
        <f>ROUNDDOWN(H48 * 10000 / H51, 0)</f>
        <v>2546595</v>
      </c>
      <c r="I53" s="145">
        <f t="shared" ref="I53:BT53" si="314">ROUNDDOWN(I48 * 10000 / I51, 0)</f>
        <v>2549032</v>
      </c>
      <c r="J53" s="145">
        <f t="shared" si="314"/>
        <v>2552065</v>
      </c>
      <c r="K53" s="145">
        <f t="shared" si="314"/>
        <v>2555494</v>
      </c>
      <c r="L53" s="145">
        <f t="shared" si="314"/>
        <v>2531318</v>
      </c>
      <c r="M53" s="145">
        <f t="shared" si="314"/>
        <v>2535555</v>
      </c>
      <c r="N53" s="145">
        <f t="shared" si="314"/>
        <v>2540449</v>
      </c>
      <c r="O53" s="145">
        <f t="shared" si="314"/>
        <v>2545681</v>
      </c>
      <c r="P53" s="145">
        <f t="shared" si="314"/>
        <v>2551379</v>
      </c>
      <c r="Q53" s="145">
        <f t="shared" si="314"/>
        <v>2558139</v>
      </c>
      <c r="R53" s="145">
        <f t="shared" si="314"/>
        <v>2535116</v>
      </c>
      <c r="S53" s="145">
        <f t="shared" si="314"/>
        <v>2542235</v>
      </c>
      <c r="T53" s="145">
        <f t="shared" si="314"/>
        <v>2549761</v>
      </c>
      <c r="U53" s="145">
        <f t="shared" si="314"/>
        <v>2558192</v>
      </c>
      <c r="V53" s="145">
        <f t="shared" si="314"/>
        <v>2536144</v>
      </c>
      <c r="W53" s="145">
        <f t="shared" si="314"/>
        <v>2545243</v>
      </c>
      <c r="X53" s="145">
        <f t="shared" si="314"/>
        <v>2554691</v>
      </c>
      <c r="Y53" s="145">
        <f t="shared" si="314"/>
        <v>2533333</v>
      </c>
      <c r="Z53" s="145">
        <f t="shared" si="314"/>
        <v>2543625</v>
      </c>
      <c r="AA53" s="145">
        <f t="shared" si="314"/>
        <v>2554430</v>
      </c>
      <c r="AB53" s="145">
        <f t="shared" si="314"/>
        <v>2533417</v>
      </c>
      <c r="AC53" s="145">
        <f t="shared" si="314"/>
        <v>2545256</v>
      </c>
      <c r="AD53" s="145">
        <f t="shared" si="314"/>
        <v>2557402</v>
      </c>
      <c r="AE53" s="145">
        <f t="shared" si="314"/>
        <v>2537142</v>
      </c>
      <c r="AF53" s="145">
        <f t="shared" si="314"/>
        <v>2549868</v>
      </c>
      <c r="AG53" s="145">
        <f t="shared" si="314"/>
        <v>2530000</v>
      </c>
      <c r="AH53" s="145">
        <f t="shared" si="314"/>
        <v>2543466</v>
      </c>
      <c r="AI53" s="145">
        <f t="shared" si="314"/>
        <v>2557702</v>
      </c>
      <c r="AJ53" s="145">
        <f t="shared" si="314"/>
        <v>2538243</v>
      </c>
      <c r="AK53" s="145">
        <f t="shared" si="314"/>
        <v>2553287</v>
      </c>
      <c r="AL53" s="145">
        <f t="shared" si="314"/>
        <v>2533972</v>
      </c>
      <c r="AM53" s="145">
        <f t="shared" si="314"/>
        <v>2549722</v>
      </c>
      <c r="AN53" s="145">
        <f t="shared" si="314"/>
        <v>2530833</v>
      </c>
      <c r="AO53" s="145">
        <f t="shared" si="314"/>
        <v>2547464</v>
      </c>
      <c r="AP53" s="145">
        <f t="shared" si="314"/>
        <v>2528591</v>
      </c>
      <c r="AQ53" s="145">
        <f t="shared" si="314"/>
        <v>2546285</v>
      </c>
      <c r="AR53" s="145">
        <f t="shared" si="314"/>
        <v>2527714</v>
      </c>
      <c r="AS53" s="145">
        <f t="shared" si="314"/>
        <v>2545942</v>
      </c>
      <c r="AT53" s="145">
        <f t="shared" si="314"/>
        <v>2527536</v>
      </c>
      <c r="AU53" s="145">
        <f t="shared" si="314"/>
        <v>2546764</v>
      </c>
      <c r="AV53" s="145">
        <f t="shared" si="314"/>
        <v>2528823</v>
      </c>
      <c r="AW53" s="145">
        <f t="shared" si="314"/>
        <v>2548656</v>
      </c>
      <c r="AX53" s="145">
        <f t="shared" si="314"/>
        <v>2530895</v>
      </c>
      <c r="AY53" s="145">
        <f t="shared" si="314"/>
        <v>2551515</v>
      </c>
      <c r="AZ53" s="145">
        <f t="shared" si="314"/>
        <v>2534090</v>
      </c>
      <c r="BA53" s="145">
        <f t="shared" si="314"/>
        <v>2555384</v>
      </c>
      <c r="BB53" s="145">
        <f t="shared" si="314"/>
        <v>2538153</v>
      </c>
      <c r="BC53" s="145">
        <f t="shared" si="314"/>
        <v>2560625</v>
      </c>
      <c r="BD53" s="145">
        <f t="shared" si="314"/>
        <v>2543437</v>
      </c>
      <c r="BE53" s="145">
        <f t="shared" si="314"/>
        <v>2526562</v>
      </c>
      <c r="BF53" s="145">
        <f t="shared" si="314"/>
        <v>2549682</v>
      </c>
      <c r="BG53" s="145">
        <f t="shared" si="314"/>
        <v>2533015</v>
      </c>
      <c r="BH53" s="145">
        <f t="shared" si="314"/>
        <v>2557258</v>
      </c>
      <c r="BI53" s="145">
        <f t="shared" si="314"/>
        <v>2540806</v>
      </c>
      <c r="BJ53" s="145">
        <f t="shared" si="314"/>
        <v>2524677</v>
      </c>
      <c r="BK53" s="145">
        <f t="shared" si="314"/>
        <v>2549672</v>
      </c>
      <c r="BL53" s="145">
        <f t="shared" si="314"/>
        <v>2533606</v>
      </c>
      <c r="BM53" s="145">
        <f t="shared" si="314"/>
        <v>2559500</v>
      </c>
      <c r="BN53" s="145">
        <f t="shared" si="314"/>
        <v>2543666</v>
      </c>
      <c r="BO53" s="145">
        <f t="shared" si="314"/>
        <v>2527833</v>
      </c>
      <c r="BP53" s="145">
        <f t="shared" si="314"/>
        <v>2554576</v>
      </c>
      <c r="BQ53" s="145">
        <f t="shared" si="314"/>
        <v>2538813</v>
      </c>
      <c r="BR53" s="145">
        <f t="shared" si="314"/>
        <v>2523389</v>
      </c>
      <c r="BS53" s="145">
        <f t="shared" si="314"/>
        <v>2551379</v>
      </c>
      <c r="BT53" s="145">
        <f t="shared" si="314"/>
        <v>2536206</v>
      </c>
      <c r="BU53" s="145">
        <f t="shared" ref="BU53:EF53" si="315">ROUNDDOWN(BU48 * 10000 / BU51, 0)</f>
        <v>2565263</v>
      </c>
      <c r="BV53" s="145">
        <f t="shared" si="315"/>
        <v>2549824</v>
      </c>
      <c r="BW53" s="145">
        <f t="shared" si="315"/>
        <v>2534912</v>
      </c>
      <c r="BX53" s="145">
        <f t="shared" si="315"/>
        <v>2564821</v>
      </c>
      <c r="BY53" s="145">
        <f t="shared" si="315"/>
        <v>2549642</v>
      </c>
      <c r="BZ53" s="145">
        <f t="shared" si="315"/>
        <v>2534821</v>
      </c>
      <c r="CA53" s="145">
        <f t="shared" si="315"/>
        <v>2566181</v>
      </c>
      <c r="CB53" s="145">
        <f t="shared" si="315"/>
        <v>2551636</v>
      </c>
      <c r="CC53" s="145">
        <f t="shared" si="315"/>
        <v>2536909</v>
      </c>
      <c r="CD53" s="145">
        <f t="shared" si="315"/>
        <v>2522363</v>
      </c>
      <c r="CE53" s="145">
        <f t="shared" si="315"/>
        <v>2554444</v>
      </c>
      <c r="CF53" s="145">
        <f t="shared" si="315"/>
        <v>2540000</v>
      </c>
      <c r="CG53" s="145">
        <f t="shared" si="315"/>
        <v>2526111</v>
      </c>
      <c r="CH53" s="145">
        <f t="shared" si="315"/>
        <v>2559433</v>
      </c>
      <c r="CI53" s="145">
        <f t="shared" si="315"/>
        <v>2545094</v>
      </c>
      <c r="CJ53" s="145">
        <f t="shared" si="315"/>
        <v>2531320</v>
      </c>
      <c r="CK53" s="145">
        <f t="shared" si="315"/>
        <v>2565961</v>
      </c>
      <c r="CL53" s="145">
        <f t="shared" si="315"/>
        <v>2551730</v>
      </c>
      <c r="CM53" s="145">
        <f t="shared" si="315"/>
        <v>2538269</v>
      </c>
      <c r="CN53" s="145">
        <f t="shared" si="315"/>
        <v>2524615</v>
      </c>
      <c r="CO53" s="145">
        <f t="shared" si="315"/>
        <v>2560196</v>
      </c>
      <c r="CP53" s="145">
        <f t="shared" si="315"/>
        <v>2546862</v>
      </c>
      <c r="CQ53" s="145">
        <f t="shared" si="315"/>
        <v>2533333</v>
      </c>
      <c r="CR53" s="145">
        <f t="shared" si="315"/>
        <v>2520000</v>
      </c>
      <c r="CS53" s="145">
        <f t="shared" si="315"/>
        <v>2556600</v>
      </c>
      <c r="CT53" s="145">
        <f t="shared" si="315"/>
        <v>2543400</v>
      </c>
      <c r="CU53" s="145">
        <f t="shared" si="315"/>
        <v>2530400</v>
      </c>
      <c r="CV53" s="145">
        <f t="shared" si="315"/>
        <v>2568571</v>
      </c>
      <c r="CW53" s="145">
        <f t="shared" si="315"/>
        <v>2555510</v>
      </c>
      <c r="CX53" s="145">
        <f t="shared" si="315"/>
        <v>2542653</v>
      </c>
      <c r="CY53" s="145">
        <f t="shared" si="315"/>
        <v>2529591</v>
      </c>
      <c r="CZ53" s="145">
        <f t="shared" si="315"/>
        <v>2569166</v>
      </c>
      <c r="DA53" s="145">
        <f t="shared" si="315"/>
        <v>2556458</v>
      </c>
      <c r="DB53" s="145">
        <f t="shared" si="315"/>
        <v>2543750</v>
      </c>
      <c r="DC53" s="145">
        <f t="shared" si="315"/>
        <v>2530833</v>
      </c>
      <c r="DD53" s="145">
        <f t="shared" si="315"/>
        <v>2518125</v>
      </c>
      <c r="DE53" s="145">
        <f t="shared" si="315"/>
        <v>2559361</v>
      </c>
      <c r="DF53" s="145">
        <f t="shared" si="315"/>
        <v>2546382</v>
      </c>
      <c r="DG53" s="145">
        <f t="shared" si="315"/>
        <v>2534468</v>
      </c>
      <c r="DH53" s="145">
        <f t="shared" si="315"/>
        <v>2521914</v>
      </c>
      <c r="DI53" s="145">
        <f t="shared" si="315"/>
        <v>2563913</v>
      </c>
      <c r="DJ53" s="145">
        <f t="shared" si="315"/>
        <v>2551739</v>
      </c>
      <c r="DK53" s="145">
        <f t="shared" si="315"/>
        <v>2539565</v>
      </c>
      <c r="DL53" s="145">
        <f t="shared" si="315"/>
        <v>2527391</v>
      </c>
      <c r="DM53" s="145">
        <f t="shared" si="315"/>
        <v>2571555</v>
      </c>
      <c r="DN53" s="145">
        <f t="shared" si="315"/>
        <v>2559111</v>
      </c>
      <c r="DO53" s="145">
        <f t="shared" si="315"/>
        <v>2547111</v>
      </c>
      <c r="DP53" s="145">
        <f t="shared" si="315"/>
        <v>2535333</v>
      </c>
      <c r="DQ53" s="145">
        <f t="shared" si="315"/>
        <v>2523777</v>
      </c>
      <c r="DR53" s="145">
        <f t="shared" si="315"/>
        <v>2569090</v>
      </c>
      <c r="DS53" s="145">
        <f t="shared" si="315"/>
        <v>2557272</v>
      </c>
      <c r="DT53" s="145">
        <f t="shared" si="315"/>
        <v>2545681</v>
      </c>
      <c r="DU53" s="145">
        <f t="shared" si="315"/>
        <v>2534090</v>
      </c>
      <c r="DV53" s="145">
        <f t="shared" si="315"/>
        <v>2522272</v>
      </c>
      <c r="DW53" s="145">
        <f t="shared" si="315"/>
        <v>2569069</v>
      </c>
      <c r="DX53" s="145">
        <f t="shared" si="315"/>
        <v>2557674</v>
      </c>
      <c r="DY53" s="145">
        <f t="shared" si="315"/>
        <v>2546279</v>
      </c>
      <c r="DZ53" s="145">
        <f t="shared" si="315"/>
        <v>2535116</v>
      </c>
      <c r="EA53" s="145">
        <f t="shared" si="315"/>
        <v>2523720</v>
      </c>
      <c r="EB53" s="145">
        <f t="shared" si="315"/>
        <v>2572142</v>
      </c>
      <c r="EC53" s="145">
        <f t="shared" si="315"/>
        <v>2561190</v>
      </c>
      <c r="ED53" s="145">
        <f t="shared" si="315"/>
        <v>2549523</v>
      </c>
      <c r="EE53" s="145">
        <f t="shared" si="315"/>
        <v>2538333</v>
      </c>
      <c r="EF53" s="145">
        <f t="shared" si="315"/>
        <v>2527380</v>
      </c>
      <c r="EG53" s="145">
        <f t="shared" ref="EG53:FC53" si="316">ROUNDDOWN(EG48 * 10000 / EG51, 0)</f>
        <v>2516904</v>
      </c>
      <c r="EH53" s="145">
        <f t="shared" si="316"/>
        <v>2567073</v>
      </c>
      <c r="EI53" s="145">
        <f t="shared" si="316"/>
        <v>2555609</v>
      </c>
      <c r="EJ53" s="145">
        <f t="shared" si="316"/>
        <v>2544878</v>
      </c>
      <c r="EK53" s="145">
        <f t="shared" si="316"/>
        <v>2534146</v>
      </c>
      <c r="EL53" s="145">
        <f t="shared" si="316"/>
        <v>2523414</v>
      </c>
      <c r="EM53" s="145">
        <f t="shared" si="316"/>
        <v>2575500</v>
      </c>
      <c r="EN53" s="145">
        <f t="shared" si="316"/>
        <v>2564500</v>
      </c>
      <c r="EO53" s="145">
        <f t="shared" si="316"/>
        <v>2554250</v>
      </c>
      <c r="EP53" s="145">
        <f t="shared" si="316"/>
        <v>2543250</v>
      </c>
      <c r="EQ53" s="145">
        <f t="shared" si="316"/>
        <v>2532750</v>
      </c>
      <c r="ER53" s="145">
        <f t="shared" si="316"/>
        <v>2522500</v>
      </c>
      <c r="ES53" s="145">
        <f t="shared" si="316"/>
        <v>2512000</v>
      </c>
      <c r="ET53" s="145">
        <f t="shared" si="316"/>
        <v>2565897</v>
      </c>
      <c r="EU53" s="145">
        <f t="shared" si="316"/>
        <v>2555128</v>
      </c>
      <c r="EV53" s="145">
        <f t="shared" si="316"/>
        <v>2545128</v>
      </c>
      <c r="EW53" s="145">
        <f t="shared" si="316"/>
        <v>2534615</v>
      </c>
      <c r="EX53" s="145">
        <f t="shared" si="316"/>
        <v>2524615</v>
      </c>
      <c r="EY53" s="719"/>
      <c r="EZ53" s="719"/>
      <c r="FA53" s="709"/>
      <c r="FB53" s="145">
        <f t="shared" si="316"/>
        <v>2548020</v>
      </c>
      <c r="FC53" s="145">
        <f t="shared" si="316"/>
        <v>2548000</v>
      </c>
    </row>
    <row r="54" spans="2:159" s="31" customFormat="1" x14ac:dyDescent="0.45">
      <c r="B54" s="158"/>
      <c r="C54" s="159" t="s">
        <v>0</v>
      </c>
      <c r="D54" s="145">
        <f>ROUNDDOWN(1000000000/D53, 0) * 100</f>
        <v>39300</v>
      </c>
      <c r="E54" s="145">
        <f t="shared" ref="E54:BP54" si="317">ROUNDDOWN(1000000000/E53, 0) * 100</f>
        <v>39300</v>
      </c>
      <c r="F54" s="145">
        <f t="shared" ref="F54" si="318">ROUNDDOWN(1000000000/F53, 0) * 100</f>
        <v>39300</v>
      </c>
      <c r="G54" s="145">
        <f t="shared" si="317"/>
        <v>39200</v>
      </c>
      <c r="H54" s="145">
        <f t="shared" si="317"/>
        <v>39200</v>
      </c>
      <c r="I54" s="145">
        <f t="shared" si="317"/>
        <v>39200</v>
      </c>
      <c r="J54" s="145">
        <f t="shared" si="317"/>
        <v>39100</v>
      </c>
      <c r="K54" s="145">
        <f t="shared" si="317"/>
        <v>39100</v>
      </c>
      <c r="L54" s="145">
        <f t="shared" si="317"/>
        <v>39500</v>
      </c>
      <c r="M54" s="145">
        <f t="shared" si="317"/>
        <v>39400</v>
      </c>
      <c r="N54" s="145">
        <f t="shared" si="317"/>
        <v>39300</v>
      </c>
      <c r="O54" s="145">
        <f t="shared" si="317"/>
        <v>39200</v>
      </c>
      <c r="P54" s="145">
        <f t="shared" si="317"/>
        <v>39100</v>
      </c>
      <c r="Q54" s="145">
        <f t="shared" si="317"/>
        <v>39000</v>
      </c>
      <c r="R54" s="145">
        <f t="shared" si="317"/>
        <v>39400</v>
      </c>
      <c r="S54" s="145">
        <f t="shared" si="317"/>
        <v>39300</v>
      </c>
      <c r="T54" s="145">
        <f t="shared" si="317"/>
        <v>39200</v>
      </c>
      <c r="U54" s="145">
        <f t="shared" si="317"/>
        <v>39000</v>
      </c>
      <c r="V54" s="145">
        <f t="shared" si="317"/>
        <v>39400</v>
      </c>
      <c r="W54" s="145">
        <f t="shared" si="317"/>
        <v>39200</v>
      </c>
      <c r="X54" s="145">
        <f t="shared" si="317"/>
        <v>39100</v>
      </c>
      <c r="Y54" s="145">
        <f t="shared" si="317"/>
        <v>39400</v>
      </c>
      <c r="Z54" s="145">
        <f t="shared" si="317"/>
        <v>39300</v>
      </c>
      <c r="AA54" s="145">
        <f t="shared" si="317"/>
        <v>39100</v>
      </c>
      <c r="AB54" s="145">
        <f t="shared" si="317"/>
        <v>39400</v>
      </c>
      <c r="AC54" s="145">
        <f t="shared" si="317"/>
        <v>39200</v>
      </c>
      <c r="AD54" s="145">
        <f t="shared" si="317"/>
        <v>39100</v>
      </c>
      <c r="AE54" s="145">
        <f t="shared" si="317"/>
        <v>39400</v>
      </c>
      <c r="AF54" s="145">
        <f t="shared" si="317"/>
        <v>39200</v>
      </c>
      <c r="AG54" s="145">
        <f t="shared" si="317"/>
        <v>39500</v>
      </c>
      <c r="AH54" s="145">
        <f t="shared" si="317"/>
        <v>39300</v>
      </c>
      <c r="AI54" s="145">
        <f t="shared" si="317"/>
        <v>39000</v>
      </c>
      <c r="AJ54" s="145">
        <f t="shared" si="317"/>
        <v>39300</v>
      </c>
      <c r="AK54" s="145">
        <f t="shared" si="317"/>
        <v>39100</v>
      </c>
      <c r="AL54" s="145">
        <f t="shared" si="317"/>
        <v>39400</v>
      </c>
      <c r="AM54" s="145">
        <f t="shared" si="317"/>
        <v>39200</v>
      </c>
      <c r="AN54" s="145">
        <f t="shared" si="317"/>
        <v>39500</v>
      </c>
      <c r="AO54" s="145">
        <f t="shared" si="317"/>
        <v>39200</v>
      </c>
      <c r="AP54" s="145">
        <f t="shared" si="317"/>
        <v>39500</v>
      </c>
      <c r="AQ54" s="145">
        <f t="shared" si="317"/>
        <v>39200</v>
      </c>
      <c r="AR54" s="145">
        <f t="shared" si="317"/>
        <v>39500</v>
      </c>
      <c r="AS54" s="145">
        <f t="shared" si="317"/>
        <v>39200</v>
      </c>
      <c r="AT54" s="145">
        <f t="shared" si="317"/>
        <v>39500</v>
      </c>
      <c r="AU54" s="145">
        <f t="shared" si="317"/>
        <v>39200</v>
      </c>
      <c r="AV54" s="145">
        <f t="shared" si="317"/>
        <v>39500</v>
      </c>
      <c r="AW54" s="145">
        <f t="shared" si="317"/>
        <v>39200</v>
      </c>
      <c r="AX54" s="145">
        <f t="shared" si="317"/>
        <v>39500</v>
      </c>
      <c r="AY54" s="145">
        <f t="shared" si="317"/>
        <v>39100</v>
      </c>
      <c r="AZ54" s="145">
        <f t="shared" si="317"/>
        <v>39400</v>
      </c>
      <c r="BA54" s="145">
        <f t="shared" si="317"/>
        <v>39100</v>
      </c>
      <c r="BB54" s="145">
        <f t="shared" si="317"/>
        <v>39300</v>
      </c>
      <c r="BC54" s="145">
        <f t="shared" si="317"/>
        <v>39000</v>
      </c>
      <c r="BD54" s="145">
        <f t="shared" si="317"/>
        <v>39300</v>
      </c>
      <c r="BE54" s="145">
        <f t="shared" si="317"/>
        <v>39500</v>
      </c>
      <c r="BF54" s="145">
        <f t="shared" si="317"/>
        <v>39200</v>
      </c>
      <c r="BG54" s="145">
        <f t="shared" si="317"/>
        <v>39400</v>
      </c>
      <c r="BH54" s="145">
        <f t="shared" si="317"/>
        <v>39100</v>
      </c>
      <c r="BI54" s="145">
        <f t="shared" si="317"/>
        <v>39300</v>
      </c>
      <c r="BJ54" s="145">
        <f t="shared" si="317"/>
        <v>39600</v>
      </c>
      <c r="BK54" s="145">
        <f t="shared" si="317"/>
        <v>39200</v>
      </c>
      <c r="BL54" s="145">
        <f t="shared" si="317"/>
        <v>39400</v>
      </c>
      <c r="BM54" s="145">
        <f t="shared" si="317"/>
        <v>39000</v>
      </c>
      <c r="BN54" s="145">
        <f t="shared" si="317"/>
        <v>39300</v>
      </c>
      <c r="BO54" s="145">
        <f t="shared" si="317"/>
        <v>39500</v>
      </c>
      <c r="BP54" s="145">
        <f t="shared" si="317"/>
        <v>39100</v>
      </c>
      <c r="BQ54" s="145">
        <f t="shared" ref="BQ54:EB54" si="319">ROUNDDOWN(1000000000/BQ53, 0) * 100</f>
        <v>39300</v>
      </c>
      <c r="BR54" s="145">
        <f t="shared" si="319"/>
        <v>39600</v>
      </c>
      <c r="BS54" s="145">
        <f t="shared" si="319"/>
        <v>39100</v>
      </c>
      <c r="BT54" s="145">
        <f t="shared" si="319"/>
        <v>39400</v>
      </c>
      <c r="BU54" s="145">
        <f t="shared" si="319"/>
        <v>38900</v>
      </c>
      <c r="BV54" s="145">
        <f t="shared" si="319"/>
        <v>39200</v>
      </c>
      <c r="BW54" s="145">
        <f t="shared" si="319"/>
        <v>39400</v>
      </c>
      <c r="BX54" s="145">
        <f t="shared" si="319"/>
        <v>38900</v>
      </c>
      <c r="BY54" s="145">
        <f t="shared" si="319"/>
        <v>39200</v>
      </c>
      <c r="BZ54" s="145">
        <f t="shared" si="319"/>
        <v>39400</v>
      </c>
      <c r="CA54" s="145">
        <f t="shared" si="319"/>
        <v>38900</v>
      </c>
      <c r="CB54" s="145">
        <f t="shared" si="319"/>
        <v>39100</v>
      </c>
      <c r="CC54" s="145">
        <f t="shared" si="319"/>
        <v>39400</v>
      </c>
      <c r="CD54" s="145">
        <f t="shared" si="319"/>
        <v>39600</v>
      </c>
      <c r="CE54" s="145">
        <f t="shared" si="319"/>
        <v>39100</v>
      </c>
      <c r="CF54" s="145">
        <f t="shared" si="319"/>
        <v>39300</v>
      </c>
      <c r="CG54" s="145">
        <f t="shared" si="319"/>
        <v>39500</v>
      </c>
      <c r="CH54" s="145">
        <f t="shared" si="319"/>
        <v>39000</v>
      </c>
      <c r="CI54" s="145">
        <f t="shared" si="319"/>
        <v>39200</v>
      </c>
      <c r="CJ54" s="145">
        <f t="shared" si="319"/>
        <v>39500</v>
      </c>
      <c r="CK54" s="145">
        <f t="shared" si="319"/>
        <v>38900</v>
      </c>
      <c r="CL54" s="145">
        <f t="shared" si="319"/>
        <v>39100</v>
      </c>
      <c r="CM54" s="145">
        <f t="shared" si="319"/>
        <v>39300</v>
      </c>
      <c r="CN54" s="145">
        <f t="shared" si="319"/>
        <v>39600</v>
      </c>
      <c r="CO54" s="145">
        <f t="shared" si="319"/>
        <v>39000</v>
      </c>
      <c r="CP54" s="145">
        <f t="shared" si="319"/>
        <v>39200</v>
      </c>
      <c r="CQ54" s="145">
        <f t="shared" si="319"/>
        <v>39400</v>
      </c>
      <c r="CR54" s="145">
        <f t="shared" si="319"/>
        <v>39600</v>
      </c>
      <c r="CS54" s="145">
        <f t="shared" si="319"/>
        <v>39100</v>
      </c>
      <c r="CT54" s="145">
        <f t="shared" si="319"/>
        <v>39300</v>
      </c>
      <c r="CU54" s="145">
        <f t="shared" si="319"/>
        <v>39500</v>
      </c>
      <c r="CV54" s="145">
        <f t="shared" si="319"/>
        <v>38900</v>
      </c>
      <c r="CW54" s="145">
        <f t="shared" si="319"/>
        <v>39100</v>
      </c>
      <c r="CX54" s="145">
        <f t="shared" si="319"/>
        <v>39300</v>
      </c>
      <c r="CY54" s="145">
        <f t="shared" si="319"/>
        <v>39500</v>
      </c>
      <c r="CZ54" s="145">
        <f t="shared" si="319"/>
        <v>38900</v>
      </c>
      <c r="DA54" s="145">
        <f t="shared" si="319"/>
        <v>39100</v>
      </c>
      <c r="DB54" s="145">
        <f t="shared" si="319"/>
        <v>39300</v>
      </c>
      <c r="DC54" s="145">
        <f t="shared" si="319"/>
        <v>39500</v>
      </c>
      <c r="DD54" s="145">
        <f t="shared" si="319"/>
        <v>39700</v>
      </c>
      <c r="DE54" s="145">
        <f t="shared" si="319"/>
        <v>39000</v>
      </c>
      <c r="DF54" s="145">
        <f t="shared" si="319"/>
        <v>39200</v>
      </c>
      <c r="DG54" s="145">
        <f t="shared" si="319"/>
        <v>39400</v>
      </c>
      <c r="DH54" s="145">
        <f t="shared" si="319"/>
        <v>39600</v>
      </c>
      <c r="DI54" s="145">
        <f t="shared" si="319"/>
        <v>39000</v>
      </c>
      <c r="DJ54" s="145">
        <f t="shared" si="319"/>
        <v>39100</v>
      </c>
      <c r="DK54" s="145">
        <f t="shared" si="319"/>
        <v>39300</v>
      </c>
      <c r="DL54" s="145">
        <f t="shared" si="319"/>
        <v>39500</v>
      </c>
      <c r="DM54" s="145">
        <f t="shared" si="319"/>
        <v>38800</v>
      </c>
      <c r="DN54" s="145">
        <f t="shared" si="319"/>
        <v>39000</v>
      </c>
      <c r="DO54" s="145">
        <f t="shared" si="319"/>
        <v>39200</v>
      </c>
      <c r="DP54" s="145">
        <f t="shared" si="319"/>
        <v>39400</v>
      </c>
      <c r="DQ54" s="145">
        <f t="shared" si="319"/>
        <v>39600</v>
      </c>
      <c r="DR54" s="145">
        <f t="shared" si="319"/>
        <v>38900</v>
      </c>
      <c r="DS54" s="145">
        <f t="shared" si="319"/>
        <v>39100</v>
      </c>
      <c r="DT54" s="145">
        <f t="shared" si="319"/>
        <v>39200</v>
      </c>
      <c r="DU54" s="145">
        <f t="shared" si="319"/>
        <v>39400</v>
      </c>
      <c r="DV54" s="145">
        <f t="shared" si="319"/>
        <v>39600</v>
      </c>
      <c r="DW54" s="145">
        <f t="shared" si="319"/>
        <v>38900</v>
      </c>
      <c r="DX54" s="145">
        <f t="shared" si="319"/>
        <v>39000</v>
      </c>
      <c r="DY54" s="145">
        <f t="shared" si="319"/>
        <v>39200</v>
      </c>
      <c r="DZ54" s="145">
        <f t="shared" si="319"/>
        <v>39400</v>
      </c>
      <c r="EA54" s="145">
        <f t="shared" si="319"/>
        <v>39600</v>
      </c>
      <c r="EB54" s="145">
        <f t="shared" si="319"/>
        <v>38800</v>
      </c>
      <c r="EC54" s="145">
        <f t="shared" ref="EC54:FC54" si="320">ROUNDDOWN(1000000000/EC53, 0) * 100</f>
        <v>39000</v>
      </c>
      <c r="ED54" s="145">
        <f t="shared" si="320"/>
        <v>39200</v>
      </c>
      <c r="EE54" s="145">
        <f t="shared" si="320"/>
        <v>39300</v>
      </c>
      <c r="EF54" s="145">
        <f t="shared" si="320"/>
        <v>39500</v>
      </c>
      <c r="EG54" s="145">
        <f t="shared" si="320"/>
        <v>39700</v>
      </c>
      <c r="EH54" s="145">
        <f t="shared" si="320"/>
        <v>38900</v>
      </c>
      <c r="EI54" s="145">
        <f t="shared" si="320"/>
        <v>39100</v>
      </c>
      <c r="EJ54" s="145">
        <f t="shared" si="320"/>
        <v>39200</v>
      </c>
      <c r="EK54" s="145">
        <f t="shared" si="320"/>
        <v>39400</v>
      </c>
      <c r="EL54" s="145">
        <f t="shared" si="320"/>
        <v>39600</v>
      </c>
      <c r="EM54" s="145">
        <f t="shared" si="320"/>
        <v>38800</v>
      </c>
      <c r="EN54" s="145">
        <f t="shared" si="320"/>
        <v>38900</v>
      </c>
      <c r="EO54" s="145">
        <f t="shared" si="320"/>
        <v>39100</v>
      </c>
      <c r="EP54" s="145">
        <f t="shared" si="320"/>
        <v>39300</v>
      </c>
      <c r="EQ54" s="145">
        <f t="shared" si="320"/>
        <v>39400</v>
      </c>
      <c r="ER54" s="145">
        <f t="shared" si="320"/>
        <v>39600</v>
      </c>
      <c r="ES54" s="145">
        <f t="shared" si="320"/>
        <v>39800</v>
      </c>
      <c r="ET54" s="145">
        <f t="shared" si="320"/>
        <v>38900</v>
      </c>
      <c r="EU54" s="145">
        <f t="shared" si="320"/>
        <v>39100</v>
      </c>
      <c r="EV54" s="145">
        <f t="shared" si="320"/>
        <v>39200</v>
      </c>
      <c r="EW54" s="145">
        <f t="shared" si="320"/>
        <v>39400</v>
      </c>
      <c r="EX54" s="145">
        <f t="shared" si="320"/>
        <v>39600</v>
      </c>
      <c r="EY54" s="714">
        <f>MIN(D54:EQ54)</f>
        <v>38800</v>
      </c>
      <c r="EZ54" s="714">
        <f>MAX(E54:EQ54)</f>
        <v>39700</v>
      </c>
      <c r="FA54" s="709"/>
      <c r="FB54" s="145">
        <f t="shared" si="320"/>
        <v>39200</v>
      </c>
      <c r="FC54" s="145">
        <f t="shared" si="320"/>
        <v>39200</v>
      </c>
    </row>
    <row r="55" spans="2:159" s="31" customFormat="1" x14ac:dyDescent="0.45">
      <c r="B55" s="154"/>
      <c r="C55" s="152" t="s">
        <v>1160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  <c r="BT55" s="130"/>
      <c r="BU55" s="130"/>
      <c r="BV55" s="130"/>
      <c r="BW55" s="130"/>
      <c r="BX55" s="130"/>
      <c r="BY55" s="130"/>
      <c r="BZ55" s="130"/>
      <c r="CA55" s="130"/>
      <c r="CB55" s="130"/>
      <c r="CC55" s="130"/>
      <c r="CD55" s="130"/>
      <c r="CE55" s="130"/>
      <c r="CF55" s="130"/>
      <c r="CG55" s="130"/>
      <c r="CH55" s="130"/>
      <c r="CI55" s="130"/>
      <c r="CJ55" s="130"/>
      <c r="CK55" s="130"/>
      <c r="CL55" s="130"/>
      <c r="CM55" s="130"/>
      <c r="CN55" s="130"/>
      <c r="CO55" s="130"/>
      <c r="CP55" s="130"/>
      <c r="CQ55" s="130"/>
      <c r="CR55" s="130"/>
      <c r="CS55" s="130"/>
      <c r="CT55" s="130"/>
      <c r="CU55" s="130"/>
      <c r="CV55" s="130"/>
      <c r="CW55" s="130"/>
      <c r="CX55" s="130"/>
      <c r="CY55" s="130"/>
      <c r="CZ55" s="130"/>
      <c r="DA55" s="130"/>
      <c r="DB55" s="130"/>
      <c r="DC55" s="130"/>
      <c r="DD55" s="130"/>
      <c r="DE55" s="130"/>
      <c r="DF55" s="130"/>
      <c r="DG55" s="130"/>
      <c r="DH55" s="130"/>
      <c r="DI55" s="130"/>
      <c r="DJ55" s="130"/>
      <c r="DK55" s="130"/>
      <c r="DL55" s="130"/>
      <c r="DM55" s="130"/>
      <c r="DN55" s="130"/>
      <c r="DO55" s="130"/>
      <c r="DP55" s="130"/>
      <c r="DQ55" s="130"/>
      <c r="DR55" s="130"/>
      <c r="DS55" s="130"/>
      <c r="DT55" s="130"/>
      <c r="DU55" s="130"/>
      <c r="DV55" s="130"/>
      <c r="DW55" s="130"/>
      <c r="DX55" s="130"/>
      <c r="DY55" s="130"/>
      <c r="DZ55" s="130"/>
      <c r="EA55" s="130"/>
      <c r="EB55" s="130"/>
      <c r="EC55" s="130"/>
      <c r="ED55" s="130"/>
      <c r="EE55" s="130"/>
      <c r="EF55" s="130"/>
      <c r="EG55" s="130"/>
      <c r="EH55" s="130"/>
      <c r="EI55" s="130"/>
      <c r="EJ55" s="130"/>
      <c r="EK55" s="130"/>
      <c r="EL55" s="130"/>
      <c r="EM55" s="130"/>
      <c r="EN55" s="130"/>
      <c r="EO55" s="130"/>
      <c r="EP55" s="130"/>
      <c r="EQ55" s="130"/>
      <c r="ER55" s="130"/>
      <c r="ES55" s="130"/>
      <c r="ET55" s="130"/>
      <c r="EU55" s="130"/>
      <c r="EV55" s="130"/>
      <c r="EW55" s="130"/>
      <c r="EX55" s="130"/>
      <c r="EY55" s="909">
        <f>(EY54-39319.2)/39319.2</f>
        <v>-1.3204744755742669E-2</v>
      </c>
      <c r="EZ55" s="909">
        <f>(EZ54-39319.2)/39319.2</f>
        <v>9.6848359071395884E-3</v>
      </c>
      <c r="FA55" s="709"/>
      <c r="FB55" s="130"/>
      <c r="FC55" s="130"/>
    </row>
    <row r="56" spans="2:159" s="31" customFormat="1" x14ac:dyDescent="0.45">
      <c r="B56" s="155" t="s">
        <v>7</v>
      </c>
      <c r="C56" s="156" t="s">
        <v>5</v>
      </c>
      <c r="D56" s="163">
        <f>ROUNDDOWN(D47*D60*D51, 0)</f>
        <v>401310</v>
      </c>
      <c r="E56" s="163">
        <f t="shared" ref="E56:BP56" si="321">ROUNDDOWN(E47*E60*E51, 0)</f>
        <v>397215</v>
      </c>
      <c r="F56" s="163">
        <f t="shared" ref="F56" si="322">ROUNDDOWN(F47*F60*F51, 0)</f>
        <v>393120</v>
      </c>
      <c r="G56" s="163">
        <f t="shared" si="321"/>
        <v>389025</v>
      </c>
      <c r="H56" s="163">
        <f t="shared" si="321"/>
        <v>384930</v>
      </c>
      <c r="I56" s="163">
        <f t="shared" si="321"/>
        <v>380835</v>
      </c>
      <c r="J56" s="163">
        <f t="shared" si="321"/>
        <v>376740</v>
      </c>
      <c r="K56" s="163">
        <f t="shared" si="321"/>
        <v>372645</v>
      </c>
      <c r="L56" s="163">
        <f t="shared" si="321"/>
        <v>372645</v>
      </c>
      <c r="M56" s="163">
        <f t="shared" si="321"/>
        <v>368550</v>
      </c>
      <c r="N56" s="163">
        <f t="shared" si="321"/>
        <v>364455</v>
      </c>
      <c r="O56" s="163">
        <f t="shared" si="321"/>
        <v>360360</v>
      </c>
      <c r="P56" s="163">
        <f t="shared" si="321"/>
        <v>356265</v>
      </c>
      <c r="Q56" s="163">
        <f t="shared" si="321"/>
        <v>352170</v>
      </c>
      <c r="R56" s="163">
        <f t="shared" si="321"/>
        <v>352170</v>
      </c>
      <c r="S56" s="163">
        <f t="shared" si="321"/>
        <v>348075</v>
      </c>
      <c r="T56" s="163">
        <f t="shared" si="321"/>
        <v>343980</v>
      </c>
      <c r="U56" s="163">
        <f t="shared" si="321"/>
        <v>339885</v>
      </c>
      <c r="V56" s="163">
        <f t="shared" si="321"/>
        <v>339885</v>
      </c>
      <c r="W56" s="163">
        <f t="shared" si="321"/>
        <v>335790</v>
      </c>
      <c r="X56" s="163">
        <f t="shared" si="321"/>
        <v>331695</v>
      </c>
      <c r="Y56" s="163">
        <f t="shared" si="321"/>
        <v>331695</v>
      </c>
      <c r="Z56" s="163">
        <f t="shared" si="321"/>
        <v>327600</v>
      </c>
      <c r="AA56" s="163">
        <f t="shared" si="321"/>
        <v>323505</v>
      </c>
      <c r="AB56" s="163">
        <f t="shared" si="321"/>
        <v>323505</v>
      </c>
      <c r="AC56" s="163">
        <f t="shared" si="321"/>
        <v>319410</v>
      </c>
      <c r="AD56" s="163">
        <f t="shared" si="321"/>
        <v>315315</v>
      </c>
      <c r="AE56" s="163">
        <f t="shared" si="321"/>
        <v>315315</v>
      </c>
      <c r="AF56" s="163">
        <f t="shared" si="321"/>
        <v>311220</v>
      </c>
      <c r="AG56" s="163">
        <f t="shared" si="321"/>
        <v>311220</v>
      </c>
      <c r="AH56" s="163">
        <f t="shared" si="321"/>
        <v>307125</v>
      </c>
      <c r="AI56" s="163">
        <f t="shared" si="321"/>
        <v>303030</v>
      </c>
      <c r="AJ56" s="163">
        <f t="shared" si="321"/>
        <v>303030</v>
      </c>
      <c r="AK56" s="163">
        <f t="shared" si="321"/>
        <v>298935</v>
      </c>
      <c r="AL56" s="163">
        <f t="shared" si="321"/>
        <v>298935</v>
      </c>
      <c r="AM56" s="163">
        <f t="shared" si="321"/>
        <v>294840</v>
      </c>
      <c r="AN56" s="163">
        <f t="shared" si="321"/>
        <v>294840</v>
      </c>
      <c r="AO56" s="163">
        <f t="shared" si="321"/>
        <v>290745</v>
      </c>
      <c r="AP56" s="163">
        <f t="shared" si="321"/>
        <v>290745</v>
      </c>
      <c r="AQ56" s="163">
        <f t="shared" si="321"/>
        <v>286650</v>
      </c>
      <c r="AR56" s="163">
        <f t="shared" si="321"/>
        <v>286650</v>
      </c>
      <c r="AS56" s="163">
        <f t="shared" si="321"/>
        <v>282555</v>
      </c>
      <c r="AT56" s="163">
        <f t="shared" si="321"/>
        <v>282555</v>
      </c>
      <c r="AU56" s="163">
        <f t="shared" si="321"/>
        <v>278460</v>
      </c>
      <c r="AV56" s="163">
        <f t="shared" si="321"/>
        <v>278460</v>
      </c>
      <c r="AW56" s="163">
        <f t="shared" si="321"/>
        <v>274365</v>
      </c>
      <c r="AX56" s="163">
        <f t="shared" si="321"/>
        <v>274365</v>
      </c>
      <c r="AY56" s="163">
        <f t="shared" si="321"/>
        <v>270270</v>
      </c>
      <c r="AZ56" s="163">
        <f t="shared" si="321"/>
        <v>270270</v>
      </c>
      <c r="BA56" s="163">
        <f t="shared" si="321"/>
        <v>266175</v>
      </c>
      <c r="BB56" s="163">
        <f t="shared" si="321"/>
        <v>266175</v>
      </c>
      <c r="BC56" s="163">
        <f t="shared" si="321"/>
        <v>262080</v>
      </c>
      <c r="BD56" s="163">
        <f t="shared" si="321"/>
        <v>262080</v>
      </c>
      <c r="BE56" s="163">
        <f t="shared" si="321"/>
        <v>262080</v>
      </c>
      <c r="BF56" s="163">
        <f>ROUNDDOWN(BF47*BF60*BF51, 0)</f>
        <v>257985</v>
      </c>
      <c r="BG56" s="163">
        <f t="shared" si="321"/>
        <v>257985</v>
      </c>
      <c r="BH56" s="163">
        <f t="shared" si="321"/>
        <v>253890</v>
      </c>
      <c r="BI56" s="163">
        <f t="shared" si="321"/>
        <v>253890</v>
      </c>
      <c r="BJ56" s="163">
        <f t="shared" si="321"/>
        <v>253890</v>
      </c>
      <c r="BK56" s="163">
        <f t="shared" si="321"/>
        <v>249795</v>
      </c>
      <c r="BL56" s="163">
        <f t="shared" si="321"/>
        <v>249795</v>
      </c>
      <c r="BM56" s="163">
        <f t="shared" si="321"/>
        <v>245700</v>
      </c>
      <c r="BN56" s="163">
        <f t="shared" si="321"/>
        <v>245700</v>
      </c>
      <c r="BO56" s="163">
        <f t="shared" si="321"/>
        <v>245700</v>
      </c>
      <c r="BP56" s="163">
        <f t="shared" si="321"/>
        <v>241605</v>
      </c>
      <c r="BQ56" s="163">
        <f t="shared" ref="BQ56:EB56" si="323">ROUNDDOWN(BQ47*BQ60*BQ51, 0)</f>
        <v>241605</v>
      </c>
      <c r="BR56" s="163">
        <f t="shared" si="323"/>
        <v>241605</v>
      </c>
      <c r="BS56" s="163">
        <f t="shared" si="323"/>
        <v>237510</v>
      </c>
      <c r="BT56" s="163">
        <f t="shared" si="323"/>
        <v>237510</v>
      </c>
      <c r="BU56" s="163">
        <f t="shared" si="323"/>
        <v>233415</v>
      </c>
      <c r="BV56" s="163">
        <f t="shared" si="323"/>
        <v>233415</v>
      </c>
      <c r="BW56" s="163">
        <f t="shared" si="323"/>
        <v>233415</v>
      </c>
      <c r="BX56" s="163">
        <f t="shared" si="323"/>
        <v>229320</v>
      </c>
      <c r="BY56" s="163">
        <f t="shared" si="323"/>
        <v>229320</v>
      </c>
      <c r="BZ56" s="163">
        <f t="shared" si="323"/>
        <v>229320</v>
      </c>
      <c r="CA56" s="163">
        <f t="shared" si="323"/>
        <v>225225</v>
      </c>
      <c r="CB56" s="163">
        <f t="shared" si="323"/>
        <v>225225</v>
      </c>
      <c r="CC56" s="163">
        <f t="shared" si="323"/>
        <v>225225</v>
      </c>
      <c r="CD56" s="163">
        <f t="shared" si="323"/>
        <v>225225</v>
      </c>
      <c r="CE56" s="163">
        <f t="shared" si="323"/>
        <v>221130</v>
      </c>
      <c r="CF56" s="163">
        <f t="shared" si="323"/>
        <v>221130</v>
      </c>
      <c r="CG56" s="163">
        <f t="shared" si="323"/>
        <v>221130</v>
      </c>
      <c r="CH56" s="163">
        <f t="shared" si="323"/>
        <v>217035</v>
      </c>
      <c r="CI56" s="163">
        <f t="shared" si="323"/>
        <v>217035</v>
      </c>
      <c r="CJ56" s="163">
        <f t="shared" si="323"/>
        <v>217035</v>
      </c>
      <c r="CK56" s="163">
        <f t="shared" si="323"/>
        <v>212940</v>
      </c>
      <c r="CL56" s="163">
        <f t="shared" si="323"/>
        <v>212940</v>
      </c>
      <c r="CM56" s="163">
        <f t="shared" si="323"/>
        <v>212940</v>
      </c>
      <c r="CN56" s="163">
        <f t="shared" si="323"/>
        <v>212940</v>
      </c>
      <c r="CO56" s="163">
        <f t="shared" si="323"/>
        <v>208845</v>
      </c>
      <c r="CP56" s="163">
        <f t="shared" si="323"/>
        <v>208845</v>
      </c>
      <c r="CQ56" s="163">
        <f t="shared" si="323"/>
        <v>208845</v>
      </c>
      <c r="CR56" s="163">
        <f t="shared" si="323"/>
        <v>208845</v>
      </c>
      <c r="CS56" s="163">
        <f t="shared" si="323"/>
        <v>204750</v>
      </c>
      <c r="CT56" s="163">
        <f t="shared" si="323"/>
        <v>204750</v>
      </c>
      <c r="CU56" s="163">
        <f t="shared" si="323"/>
        <v>204750</v>
      </c>
      <c r="CV56" s="163">
        <f t="shared" si="323"/>
        <v>200655</v>
      </c>
      <c r="CW56" s="163">
        <f t="shared" si="323"/>
        <v>200655</v>
      </c>
      <c r="CX56" s="163">
        <f t="shared" si="323"/>
        <v>200655</v>
      </c>
      <c r="CY56" s="163">
        <f t="shared" si="323"/>
        <v>200655</v>
      </c>
      <c r="CZ56" s="163">
        <f t="shared" si="323"/>
        <v>196560</v>
      </c>
      <c r="DA56" s="163">
        <f t="shared" si="323"/>
        <v>196560</v>
      </c>
      <c r="DB56" s="163">
        <f t="shared" si="323"/>
        <v>196560</v>
      </c>
      <c r="DC56" s="163">
        <f t="shared" si="323"/>
        <v>196560</v>
      </c>
      <c r="DD56" s="163">
        <f t="shared" si="323"/>
        <v>196560</v>
      </c>
      <c r="DE56" s="163">
        <f t="shared" si="323"/>
        <v>192465</v>
      </c>
      <c r="DF56" s="163">
        <f t="shared" si="323"/>
        <v>192465</v>
      </c>
      <c r="DG56" s="163">
        <f t="shared" si="323"/>
        <v>192465</v>
      </c>
      <c r="DH56" s="163">
        <f t="shared" si="323"/>
        <v>192465</v>
      </c>
      <c r="DI56" s="163">
        <f t="shared" si="323"/>
        <v>188370</v>
      </c>
      <c r="DJ56" s="163">
        <f t="shared" si="323"/>
        <v>188370</v>
      </c>
      <c r="DK56" s="163">
        <f t="shared" si="323"/>
        <v>188370</v>
      </c>
      <c r="DL56" s="163">
        <f t="shared" si="323"/>
        <v>188370</v>
      </c>
      <c r="DM56" s="163">
        <f t="shared" si="323"/>
        <v>184275</v>
      </c>
      <c r="DN56" s="163">
        <f t="shared" si="323"/>
        <v>184275</v>
      </c>
      <c r="DO56" s="163">
        <f t="shared" si="323"/>
        <v>184275</v>
      </c>
      <c r="DP56" s="163">
        <f t="shared" si="323"/>
        <v>184275</v>
      </c>
      <c r="DQ56" s="163">
        <f t="shared" si="323"/>
        <v>184275</v>
      </c>
      <c r="DR56" s="163">
        <f t="shared" si="323"/>
        <v>180180</v>
      </c>
      <c r="DS56" s="163">
        <f t="shared" si="323"/>
        <v>180180</v>
      </c>
      <c r="DT56" s="163">
        <f t="shared" si="323"/>
        <v>180180</v>
      </c>
      <c r="DU56" s="163">
        <f t="shared" si="323"/>
        <v>180180</v>
      </c>
      <c r="DV56" s="163">
        <f t="shared" si="323"/>
        <v>180180</v>
      </c>
      <c r="DW56" s="163">
        <f t="shared" si="323"/>
        <v>176085</v>
      </c>
      <c r="DX56" s="163">
        <f t="shared" si="323"/>
        <v>176085</v>
      </c>
      <c r="DY56" s="163">
        <f t="shared" si="323"/>
        <v>176085</v>
      </c>
      <c r="DZ56" s="163">
        <f t="shared" si="323"/>
        <v>176085</v>
      </c>
      <c r="EA56" s="163">
        <f t="shared" si="323"/>
        <v>176085</v>
      </c>
      <c r="EB56" s="163">
        <f t="shared" si="323"/>
        <v>171990</v>
      </c>
      <c r="EC56" s="163">
        <f t="shared" ref="EC56:FC56" si="324">ROUNDDOWN(EC47*EC60*EC51, 0)</f>
        <v>171990</v>
      </c>
      <c r="ED56" s="163">
        <f t="shared" si="324"/>
        <v>171990</v>
      </c>
      <c r="EE56" s="163">
        <f t="shared" si="324"/>
        <v>171990</v>
      </c>
      <c r="EF56" s="163">
        <f t="shared" si="324"/>
        <v>171990</v>
      </c>
      <c r="EG56" s="163">
        <f t="shared" si="324"/>
        <v>171990</v>
      </c>
      <c r="EH56" s="163">
        <f t="shared" si="324"/>
        <v>167895</v>
      </c>
      <c r="EI56" s="163">
        <f t="shared" si="324"/>
        <v>167895</v>
      </c>
      <c r="EJ56" s="163">
        <f t="shared" si="324"/>
        <v>167895</v>
      </c>
      <c r="EK56" s="163">
        <f t="shared" si="324"/>
        <v>167895</v>
      </c>
      <c r="EL56" s="163">
        <f t="shared" si="324"/>
        <v>167895</v>
      </c>
      <c r="EM56" s="163">
        <f t="shared" si="324"/>
        <v>163800</v>
      </c>
      <c r="EN56" s="163">
        <f t="shared" si="324"/>
        <v>163800</v>
      </c>
      <c r="EO56" s="163">
        <f t="shared" si="324"/>
        <v>163800</v>
      </c>
      <c r="EP56" s="163">
        <f t="shared" si="324"/>
        <v>163800</v>
      </c>
      <c r="EQ56" s="163">
        <f t="shared" si="324"/>
        <v>163800</v>
      </c>
      <c r="ER56" s="163">
        <f t="shared" si="324"/>
        <v>163800</v>
      </c>
      <c r="ES56" s="163">
        <f t="shared" si="324"/>
        <v>163800</v>
      </c>
      <c r="ET56" s="163">
        <f t="shared" si="324"/>
        <v>159705</v>
      </c>
      <c r="EU56" s="163">
        <f t="shared" si="324"/>
        <v>159705</v>
      </c>
      <c r="EV56" s="163">
        <f t="shared" si="324"/>
        <v>159705</v>
      </c>
      <c r="EW56" s="163">
        <f t="shared" si="324"/>
        <v>159705</v>
      </c>
      <c r="EX56" s="163">
        <f t="shared" si="324"/>
        <v>159705</v>
      </c>
      <c r="EY56" s="715"/>
      <c r="EZ56" s="715"/>
      <c r="FA56" s="709"/>
      <c r="FB56" s="163">
        <f t="shared" si="324"/>
        <v>392448</v>
      </c>
      <c r="FC56" s="163">
        <f t="shared" si="324"/>
        <v>327040</v>
      </c>
    </row>
    <row r="57" spans="2:159" s="31" customFormat="1" x14ac:dyDescent="0.45">
      <c r="B57" s="158">
        <f>C57*10000</f>
        <v>10</v>
      </c>
      <c r="C57" s="167">
        <v>1E-3</v>
      </c>
      <c r="D57" s="168">
        <f t="shared" ref="D57:E57" si="325">D56 + ROUNDDOWN( (D56*$B57) / 10000, 0)</f>
        <v>401711</v>
      </c>
      <c r="E57" s="168">
        <f t="shared" si="325"/>
        <v>397612</v>
      </c>
      <c r="F57" s="168">
        <f t="shared" ref="F57" si="326">F56 + ROUNDDOWN( (F56*$B57) / 10000, 0)</f>
        <v>393513</v>
      </c>
      <c r="G57" s="168">
        <f>G56 + ROUNDDOWN( (G56*$B57) / 10000, 0)</f>
        <v>389414</v>
      </c>
      <c r="H57" s="168">
        <f>H56 + ROUNDDOWN( (H56*$B57) / 10000, 0)</f>
        <v>385314</v>
      </c>
      <c r="I57" s="168">
        <f t="shared" ref="I57:BT57" si="327">I56 + ROUNDDOWN( (I56*$B57) / 10000, 0)</f>
        <v>381215</v>
      </c>
      <c r="J57" s="168">
        <f t="shared" si="327"/>
        <v>377116</v>
      </c>
      <c r="K57" s="168">
        <f t="shared" si="327"/>
        <v>373017</v>
      </c>
      <c r="L57" s="168">
        <f t="shared" si="327"/>
        <v>373017</v>
      </c>
      <c r="M57" s="168">
        <f t="shared" si="327"/>
        <v>368918</v>
      </c>
      <c r="N57" s="168">
        <f t="shared" si="327"/>
        <v>364819</v>
      </c>
      <c r="O57" s="168">
        <f t="shared" si="327"/>
        <v>360720</v>
      </c>
      <c r="P57" s="168">
        <f t="shared" si="327"/>
        <v>356621</v>
      </c>
      <c r="Q57" s="168">
        <f t="shared" si="327"/>
        <v>352522</v>
      </c>
      <c r="R57" s="168">
        <f t="shared" si="327"/>
        <v>352522</v>
      </c>
      <c r="S57" s="168">
        <f t="shared" si="327"/>
        <v>348423</v>
      </c>
      <c r="T57" s="168">
        <f t="shared" si="327"/>
        <v>344323</v>
      </c>
      <c r="U57" s="168">
        <f t="shared" si="327"/>
        <v>340224</v>
      </c>
      <c r="V57" s="168">
        <f t="shared" si="327"/>
        <v>340224</v>
      </c>
      <c r="W57" s="168">
        <f t="shared" si="327"/>
        <v>336125</v>
      </c>
      <c r="X57" s="168">
        <f t="shared" si="327"/>
        <v>332026</v>
      </c>
      <c r="Y57" s="168">
        <f t="shared" si="327"/>
        <v>332026</v>
      </c>
      <c r="Z57" s="168">
        <f t="shared" si="327"/>
        <v>327927</v>
      </c>
      <c r="AA57" s="168">
        <f t="shared" si="327"/>
        <v>323828</v>
      </c>
      <c r="AB57" s="168">
        <f t="shared" si="327"/>
        <v>323828</v>
      </c>
      <c r="AC57" s="168">
        <f t="shared" si="327"/>
        <v>319729</v>
      </c>
      <c r="AD57" s="168">
        <f t="shared" si="327"/>
        <v>315630</v>
      </c>
      <c r="AE57" s="168">
        <f t="shared" si="327"/>
        <v>315630</v>
      </c>
      <c r="AF57" s="168">
        <f t="shared" si="327"/>
        <v>311531</v>
      </c>
      <c r="AG57" s="168">
        <f t="shared" si="327"/>
        <v>311531</v>
      </c>
      <c r="AH57" s="168">
        <f t="shared" si="327"/>
        <v>307432</v>
      </c>
      <c r="AI57" s="168">
        <f t="shared" si="327"/>
        <v>303333</v>
      </c>
      <c r="AJ57" s="168">
        <f t="shared" si="327"/>
        <v>303333</v>
      </c>
      <c r="AK57" s="168">
        <f t="shared" si="327"/>
        <v>299233</v>
      </c>
      <c r="AL57" s="168">
        <f t="shared" si="327"/>
        <v>299233</v>
      </c>
      <c r="AM57" s="168">
        <f t="shared" si="327"/>
        <v>295134</v>
      </c>
      <c r="AN57" s="168">
        <f t="shared" si="327"/>
        <v>295134</v>
      </c>
      <c r="AO57" s="168">
        <f t="shared" si="327"/>
        <v>291035</v>
      </c>
      <c r="AP57" s="168">
        <f t="shared" si="327"/>
        <v>291035</v>
      </c>
      <c r="AQ57" s="168">
        <f t="shared" si="327"/>
        <v>286936</v>
      </c>
      <c r="AR57" s="168">
        <f t="shared" si="327"/>
        <v>286936</v>
      </c>
      <c r="AS57" s="168">
        <f t="shared" si="327"/>
        <v>282837</v>
      </c>
      <c r="AT57" s="168">
        <f t="shared" si="327"/>
        <v>282837</v>
      </c>
      <c r="AU57" s="168">
        <f t="shared" si="327"/>
        <v>278738</v>
      </c>
      <c r="AV57" s="168">
        <f t="shared" si="327"/>
        <v>278738</v>
      </c>
      <c r="AW57" s="168">
        <f t="shared" si="327"/>
        <v>274639</v>
      </c>
      <c r="AX57" s="168">
        <f t="shared" si="327"/>
        <v>274639</v>
      </c>
      <c r="AY57" s="168">
        <f t="shared" si="327"/>
        <v>270540</v>
      </c>
      <c r="AZ57" s="168">
        <f t="shared" si="327"/>
        <v>270540</v>
      </c>
      <c r="BA57" s="168">
        <f t="shared" si="327"/>
        <v>266441</v>
      </c>
      <c r="BB57" s="168">
        <f t="shared" si="327"/>
        <v>266441</v>
      </c>
      <c r="BC57" s="168">
        <f t="shared" si="327"/>
        <v>262342</v>
      </c>
      <c r="BD57" s="168">
        <f t="shared" si="327"/>
        <v>262342</v>
      </c>
      <c r="BE57" s="168">
        <f t="shared" si="327"/>
        <v>262342</v>
      </c>
      <c r="BF57" s="168">
        <f t="shared" si="327"/>
        <v>258242</v>
      </c>
      <c r="BG57" s="168">
        <f t="shared" si="327"/>
        <v>258242</v>
      </c>
      <c r="BH57" s="168">
        <f t="shared" si="327"/>
        <v>254143</v>
      </c>
      <c r="BI57" s="168">
        <f t="shared" si="327"/>
        <v>254143</v>
      </c>
      <c r="BJ57" s="168">
        <f t="shared" si="327"/>
        <v>254143</v>
      </c>
      <c r="BK57" s="168">
        <f t="shared" si="327"/>
        <v>250044</v>
      </c>
      <c r="BL57" s="168">
        <f t="shared" si="327"/>
        <v>250044</v>
      </c>
      <c r="BM57" s="168">
        <f t="shared" si="327"/>
        <v>245945</v>
      </c>
      <c r="BN57" s="168">
        <f t="shared" si="327"/>
        <v>245945</v>
      </c>
      <c r="BO57" s="168">
        <f t="shared" si="327"/>
        <v>245945</v>
      </c>
      <c r="BP57" s="168">
        <f t="shared" si="327"/>
        <v>241846</v>
      </c>
      <c r="BQ57" s="168">
        <f t="shared" si="327"/>
        <v>241846</v>
      </c>
      <c r="BR57" s="168">
        <f t="shared" si="327"/>
        <v>241846</v>
      </c>
      <c r="BS57" s="168">
        <f t="shared" si="327"/>
        <v>237747</v>
      </c>
      <c r="BT57" s="168">
        <f t="shared" si="327"/>
        <v>237747</v>
      </c>
      <c r="BU57" s="168">
        <f t="shared" ref="BU57:EF57" si="328">BU56 + ROUNDDOWN( (BU56*$B57) / 10000, 0)</f>
        <v>233648</v>
      </c>
      <c r="BV57" s="168">
        <f t="shared" si="328"/>
        <v>233648</v>
      </c>
      <c r="BW57" s="168">
        <f t="shared" si="328"/>
        <v>233648</v>
      </c>
      <c r="BX57" s="168">
        <f t="shared" si="328"/>
        <v>229549</v>
      </c>
      <c r="BY57" s="168">
        <f t="shared" si="328"/>
        <v>229549</v>
      </c>
      <c r="BZ57" s="168">
        <f t="shared" si="328"/>
        <v>229549</v>
      </c>
      <c r="CA57" s="168">
        <f t="shared" si="328"/>
        <v>225450</v>
      </c>
      <c r="CB57" s="168">
        <f t="shared" si="328"/>
        <v>225450</v>
      </c>
      <c r="CC57" s="168">
        <f t="shared" si="328"/>
        <v>225450</v>
      </c>
      <c r="CD57" s="168">
        <f t="shared" si="328"/>
        <v>225450</v>
      </c>
      <c r="CE57" s="168">
        <f t="shared" si="328"/>
        <v>221351</v>
      </c>
      <c r="CF57" s="168">
        <f t="shared" si="328"/>
        <v>221351</v>
      </c>
      <c r="CG57" s="168">
        <f t="shared" si="328"/>
        <v>221351</v>
      </c>
      <c r="CH57" s="168">
        <f t="shared" si="328"/>
        <v>217252</v>
      </c>
      <c r="CI57" s="168">
        <f t="shared" si="328"/>
        <v>217252</v>
      </c>
      <c r="CJ57" s="168">
        <f t="shared" si="328"/>
        <v>217252</v>
      </c>
      <c r="CK57" s="168">
        <f t="shared" si="328"/>
        <v>213152</v>
      </c>
      <c r="CL57" s="168">
        <f t="shared" si="328"/>
        <v>213152</v>
      </c>
      <c r="CM57" s="168">
        <f t="shared" si="328"/>
        <v>213152</v>
      </c>
      <c r="CN57" s="168">
        <f t="shared" si="328"/>
        <v>213152</v>
      </c>
      <c r="CO57" s="168">
        <f t="shared" si="328"/>
        <v>209053</v>
      </c>
      <c r="CP57" s="168">
        <f t="shared" si="328"/>
        <v>209053</v>
      </c>
      <c r="CQ57" s="168">
        <f t="shared" si="328"/>
        <v>209053</v>
      </c>
      <c r="CR57" s="168">
        <f t="shared" si="328"/>
        <v>209053</v>
      </c>
      <c r="CS57" s="168">
        <f t="shared" si="328"/>
        <v>204954</v>
      </c>
      <c r="CT57" s="168">
        <f t="shared" si="328"/>
        <v>204954</v>
      </c>
      <c r="CU57" s="168">
        <f t="shared" si="328"/>
        <v>204954</v>
      </c>
      <c r="CV57" s="168">
        <f t="shared" si="328"/>
        <v>200855</v>
      </c>
      <c r="CW57" s="168">
        <f t="shared" si="328"/>
        <v>200855</v>
      </c>
      <c r="CX57" s="168">
        <f t="shared" si="328"/>
        <v>200855</v>
      </c>
      <c r="CY57" s="168">
        <f t="shared" si="328"/>
        <v>200855</v>
      </c>
      <c r="CZ57" s="168">
        <f t="shared" si="328"/>
        <v>196756</v>
      </c>
      <c r="DA57" s="168">
        <f t="shared" si="328"/>
        <v>196756</v>
      </c>
      <c r="DB57" s="168">
        <f t="shared" si="328"/>
        <v>196756</v>
      </c>
      <c r="DC57" s="168">
        <f t="shared" si="328"/>
        <v>196756</v>
      </c>
      <c r="DD57" s="168">
        <f t="shared" si="328"/>
        <v>196756</v>
      </c>
      <c r="DE57" s="168">
        <f t="shared" si="328"/>
        <v>192657</v>
      </c>
      <c r="DF57" s="168">
        <f t="shared" si="328"/>
        <v>192657</v>
      </c>
      <c r="DG57" s="168">
        <f t="shared" si="328"/>
        <v>192657</v>
      </c>
      <c r="DH57" s="168">
        <f t="shared" si="328"/>
        <v>192657</v>
      </c>
      <c r="DI57" s="168">
        <f t="shared" si="328"/>
        <v>188558</v>
      </c>
      <c r="DJ57" s="168">
        <f t="shared" si="328"/>
        <v>188558</v>
      </c>
      <c r="DK57" s="168">
        <f t="shared" si="328"/>
        <v>188558</v>
      </c>
      <c r="DL57" s="168">
        <f t="shared" si="328"/>
        <v>188558</v>
      </c>
      <c r="DM57" s="168">
        <f t="shared" si="328"/>
        <v>184459</v>
      </c>
      <c r="DN57" s="168">
        <f t="shared" si="328"/>
        <v>184459</v>
      </c>
      <c r="DO57" s="168">
        <f t="shared" si="328"/>
        <v>184459</v>
      </c>
      <c r="DP57" s="168">
        <f t="shared" si="328"/>
        <v>184459</v>
      </c>
      <c r="DQ57" s="168">
        <f t="shared" si="328"/>
        <v>184459</v>
      </c>
      <c r="DR57" s="168">
        <f t="shared" si="328"/>
        <v>180360</v>
      </c>
      <c r="DS57" s="168">
        <f t="shared" si="328"/>
        <v>180360</v>
      </c>
      <c r="DT57" s="168">
        <f t="shared" si="328"/>
        <v>180360</v>
      </c>
      <c r="DU57" s="168">
        <f t="shared" si="328"/>
        <v>180360</v>
      </c>
      <c r="DV57" s="168">
        <f t="shared" si="328"/>
        <v>180360</v>
      </c>
      <c r="DW57" s="168">
        <f t="shared" si="328"/>
        <v>176261</v>
      </c>
      <c r="DX57" s="168">
        <f t="shared" si="328"/>
        <v>176261</v>
      </c>
      <c r="DY57" s="168">
        <f t="shared" si="328"/>
        <v>176261</v>
      </c>
      <c r="DZ57" s="168">
        <f t="shared" si="328"/>
        <v>176261</v>
      </c>
      <c r="EA57" s="168">
        <f t="shared" si="328"/>
        <v>176261</v>
      </c>
      <c r="EB57" s="168">
        <f t="shared" si="328"/>
        <v>172161</v>
      </c>
      <c r="EC57" s="168">
        <f t="shared" si="328"/>
        <v>172161</v>
      </c>
      <c r="ED57" s="168">
        <f t="shared" si="328"/>
        <v>172161</v>
      </c>
      <c r="EE57" s="168">
        <f t="shared" si="328"/>
        <v>172161</v>
      </c>
      <c r="EF57" s="168">
        <f t="shared" si="328"/>
        <v>172161</v>
      </c>
      <c r="EG57" s="168">
        <f t="shared" ref="EG57:FC57" si="329">EG56 + ROUNDDOWN( (EG56*$B57) / 10000, 0)</f>
        <v>172161</v>
      </c>
      <c r="EH57" s="168">
        <f t="shared" si="329"/>
        <v>168062</v>
      </c>
      <c r="EI57" s="168">
        <f t="shared" si="329"/>
        <v>168062</v>
      </c>
      <c r="EJ57" s="168">
        <f t="shared" si="329"/>
        <v>168062</v>
      </c>
      <c r="EK57" s="168">
        <f t="shared" si="329"/>
        <v>168062</v>
      </c>
      <c r="EL57" s="168">
        <f t="shared" si="329"/>
        <v>168062</v>
      </c>
      <c r="EM57" s="168">
        <f t="shared" si="329"/>
        <v>163963</v>
      </c>
      <c r="EN57" s="168">
        <f t="shared" si="329"/>
        <v>163963</v>
      </c>
      <c r="EO57" s="168">
        <f t="shared" si="329"/>
        <v>163963</v>
      </c>
      <c r="EP57" s="168">
        <f t="shared" si="329"/>
        <v>163963</v>
      </c>
      <c r="EQ57" s="168">
        <f t="shared" si="329"/>
        <v>163963</v>
      </c>
      <c r="ER57" s="168">
        <f t="shared" si="329"/>
        <v>163963</v>
      </c>
      <c r="ES57" s="168">
        <f t="shared" si="329"/>
        <v>163963</v>
      </c>
      <c r="ET57" s="168">
        <f t="shared" si="329"/>
        <v>159864</v>
      </c>
      <c r="EU57" s="168">
        <f t="shared" si="329"/>
        <v>159864</v>
      </c>
      <c r="EV57" s="168">
        <f t="shared" si="329"/>
        <v>159864</v>
      </c>
      <c r="EW57" s="168">
        <f t="shared" si="329"/>
        <v>159864</v>
      </c>
      <c r="EX57" s="168">
        <f t="shared" si="329"/>
        <v>159864</v>
      </c>
      <c r="EY57" s="718"/>
      <c r="EZ57" s="718"/>
      <c r="FA57" s="709"/>
      <c r="FB57" s="168">
        <f t="shared" si="329"/>
        <v>392840</v>
      </c>
      <c r="FC57" s="168">
        <f t="shared" si="329"/>
        <v>327367</v>
      </c>
    </row>
    <row r="58" spans="2:159" s="31" customFormat="1" x14ac:dyDescent="0.45">
      <c r="B58" s="158"/>
      <c r="C58" s="159" t="s">
        <v>8</v>
      </c>
      <c r="D58" s="169" t="str">
        <f t="shared" ref="D58:BO58" si="330">DEC2HEX(D57)</f>
        <v>6212F</v>
      </c>
      <c r="E58" s="169" t="str">
        <f t="shared" si="330"/>
        <v>6112C</v>
      </c>
      <c r="F58" s="169" t="str">
        <f t="shared" ref="F58" si="331">DEC2HEX(F57)</f>
        <v>60129</v>
      </c>
      <c r="G58" s="169" t="str">
        <f>DEC2HEX(G57)</f>
        <v>5F126</v>
      </c>
      <c r="H58" s="169" t="str">
        <f t="shared" si="330"/>
        <v>5E122</v>
      </c>
      <c r="I58" s="169" t="str">
        <f t="shared" si="330"/>
        <v>5D11F</v>
      </c>
      <c r="J58" s="169" t="str">
        <f t="shared" si="330"/>
        <v>5C11C</v>
      </c>
      <c r="K58" s="169" t="str">
        <f t="shared" si="330"/>
        <v>5B119</v>
      </c>
      <c r="L58" s="169" t="str">
        <f t="shared" si="330"/>
        <v>5B119</v>
      </c>
      <c r="M58" s="169" t="str">
        <f t="shared" si="330"/>
        <v>5A116</v>
      </c>
      <c r="N58" s="169" t="str">
        <f t="shared" si="330"/>
        <v>59113</v>
      </c>
      <c r="O58" s="169" t="str">
        <f t="shared" si="330"/>
        <v>58110</v>
      </c>
      <c r="P58" s="169" t="str">
        <f t="shared" si="330"/>
        <v>5710D</v>
      </c>
      <c r="Q58" s="169" t="str">
        <f t="shared" si="330"/>
        <v>5610A</v>
      </c>
      <c r="R58" s="169" t="str">
        <f t="shared" si="330"/>
        <v>5610A</v>
      </c>
      <c r="S58" s="169" t="str">
        <f t="shared" si="330"/>
        <v>55107</v>
      </c>
      <c r="T58" s="169" t="str">
        <f t="shared" si="330"/>
        <v>54103</v>
      </c>
      <c r="U58" s="169" t="str">
        <f t="shared" si="330"/>
        <v>53100</v>
      </c>
      <c r="V58" s="169" t="str">
        <f t="shared" si="330"/>
        <v>53100</v>
      </c>
      <c r="W58" s="169" t="str">
        <f t="shared" si="330"/>
        <v>520FD</v>
      </c>
      <c r="X58" s="169" t="str">
        <f t="shared" si="330"/>
        <v>510FA</v>
      </c>
      <c r="Y58" s="169" t="str">
        <f t="shared" si="330"/>
        <v>510FA</v>
      </c>
      <c r="Z58" s="169" t="str">
        <f t="shared" si="330"/>
        <v>500F7</v>
      </c>
      <c r="AA58" s="169" t="str">
        <f t="shared" si="330"/>
        <v>4F0F4</v>
      </c>
      <c r="AB58" s="169" t="str">
        <f t="shared" si="330"/>
        <v>4F0F4</v>
      </c>
      <c r="AC58" s="169" t="str">
        <f t="shared" si="330"/>
        <v>4E0F1</v>
      </c>
      <c r="AD58" s="169" t="str">
        <f t="shared" si="330"/>
        <v>4D0EE</v>
      </c>
      <c r="AE58" s="169" t="str">
        <f t="shared" si="330"/>
        <v>4D0EE</v>
      </c>
      <c r="AF58" s="169" t="str">
        <f t="shared" si="330"/>
        <v>4C0EB</v>
      </c>
      <c r="AG58" s="169" t="str">
        <f t="shared" si="330"/>
        <v>4C0EB</v>
      </c>
      <c r="AH58" s="169" t="str">
        <f t="shared" si="330"/>
        <v>4B0E8</v>
      </c>
      <c r="AI58" s="169" t="str">
        <f t="shared" si="330"/>
        <v>4A0E5</v>
      </c>
      <c r="AJ58" s="169" t="str">
        <f t="shared" si="330"/>
        <v>4A0E5</v>
      </c>
      <c r="AK58" s="169" t="str">
        <f t="shared" si="330"/>
        <v>490E1</v>
      </c>
      <c r="AL58" s="169" t="str">
        <f t="shared" si="330"/>
        <v>490E1</v>
      </c>
      <c r="AM58" s="169" t="str">
        <f t="shared" si="330"/>
        <v>480DE</v>
      </c>
      <c r="AN58" s="169" t="str">
        <f t="shared" si="330"/>
        <v>480DE</v>
      </c>
      <c r="AO58" s="169" t="str">
        <f t="shared" si="330"/>
        <v>470DB</v>
      </c>
      <c r="AP58" s="169" t="str">
        <f t="shared" si="330"/>
        <v>470DB</v>
      </c>
      <c r="AQ58" s="169" t="str">
        <f t="shared" si="330"/>
        <v>460D8</v>
      </c>
      <c r="AR58" s="169" t="str">
        <f t="shared" si="330"/>
        <v>460D8</v>
      </c>
      <c r="AS58" s="169" t="str">
        <f t="shared" si="330"/>
        <v>450D5</v>
      </c>
      <c r="AT58" s="169" t="str">
        <f t="shared" si="330"/>
        <v>450D5</v>
      </c>
      <c r="AU58" s="169" t="str">
        <f t="shared" si="330"/>
        <v>440D2</v>
      </c>
      <c r="AV58" s="169" t="str">
        <f t="shared" si="330"/>
        <v>440D2</v>
      </c>
      <c r="AW58" s="169" t="str">
        <f t="shared" si="330"/>
        <v>430CF</v>
      </c>
      <c r="AX58" s="169" t="str">
        <f t="shared" si="330"/>
        <v>430CF</v>
      </c>
      <c r="AY58" s="169" t="str">
        <f t="shared" si="330"/>
        <v>420CC</v>
      </c>
      <c r="AZ58" s="169" t="str">
        <f t="shared" si="330"/>
        <v>420CC</v>
      </c>
      <c r="BA58" s="169" t="str">
        <f t="shared" si="330"/>
        <v>410C9</v>
      </c>
      <c r="BB58" s="169" t="str">
        <f t="shared" si="330"/>
        <v>410C9</v>
      </c>
      <c r="BC58" s="169" t="str">
        <f t="shared" si="330"/>
        <v>400C6</v>
      </c>
      <c r="BD58" s="169" t="str">
        <f t="shared" si="330"/>
        <v>400C6</v>
      </c>
      <c r="BE58" s="169" t="str">
        <f t="shared" si="330"/>
        <v>400C6</v>
      </c>
      <c r="BF58" s="169" t="str">
        <f t="shared" si="330"/>
        <v>3F0C2</v>
      </c>
      <c r="BG58" s="169" t="str">
        <f t="shared" si="330"/>
        <v>3F0C2</v>
      </c>
      <c r="BH58" s="169" t="str">
        <f t="shared" si="330"/>
        <v>3E0BF</v>
      </c>
      <c r="BI58" s="169" t="str">
        <f t="shared" si="330"/>
        <v>3E0BF</v>
      </c>
      <c r="BJ58" s="169" t="str">
        <f t="shared" si="330"/>
        <v>3E0BF</v>
      </c>
      <c r="BK58" s="169" t="str">
        <f t="shared" si="330"/>
        <v>3D0BC</v>
      </c>
      <c r="BL58" s="169" t="str">
        <f t="shared" si="330"/>
        <v>3D0BC</v>
      </c>
      <c r="BM58" s="169" t="str">
        <f t="shared" si="330"/>
        <v>3C0B9</v>
      </c>
      <c r="BN58" s="169" t="str">
        <f t="shared" si="330"/>
        <v>3C0B9</v>
      </c>
      <c r="BO58" s="169" t="str">
        <f t="shared" si="330"/>
        <v>3C0B9</v>
      </c>
      <c r="BP58" s="169" t="str">
        <f t="shared" ref="BP58:EA58" si="332">DEC2HEX(BP57)</f>
        <v>3B0B6</v>
      </c>
      <c r="BQ58" s="169" t="str">
        <f t="shared" si="332"/>
        <v>3B0B6</v>
      </c>
      <c r="BR58" s="169" t="str">
        <f t="shared" si="332"/>
        <v>3B0B6</v>
      </c>
      <c r="BS58" s="169" t="str">
        <f t="shared" si="332"/>
        <v>3A0B3</v>
      </c>
      <c r="BT58" s="169" t="str">
        <f t="shared" si="332"/>
        <v>3A0B3</v>
      </c>
      <c r="BU58" s="169" t="str">
        <f t="shared" si="332"/>
        <v>390B0</v>
      </c>
      <c r="BV58" s="169" t="str">
        <f t="shared" si="332"/>
        <v>390B0</v>
      </c>
      <c r="BW58" s="169" t="str">
        <f t="shared" si="332"/>
        <v>390B0</v>
      </c>
      <c r="BX58" s="169" t="str">
        <f t="shared" si="332"/>
        <v>380AD</v>
      </c>
      <c r="BY58" s="169" t="str">
        <f t="shared" si="332"/>
        <v>380AD</v>
      </c>
      <c r="BZ58" s="169" t="str">
        <f t="shared" si="332"/>
        <v>380AD</v>
      </c>
      <c r="CA58" s="169" t="str">
        <f t="shared" si="332"/>
        <v>370AA</v>
      </c>
      <c r="CB58" s="169" t="str">
        <f t="shared" si="332"/>
        <v>370AA</v>
      </c>
      <c r="CC58" s="169" t="str">
        <f t="shared" si="332"/>
        <v>370AA</v>
      </c>
      <c r="CD58" s="169" t="str">
        <f t="shared" si="332"/>
        <v>370AA</v>
      </c>
      <c r="CE58" s="169" t="str">
        <f t="shared" si="332"/>
        <v>360A7</v>
      </c>
      <c r="CF58" s="169" t="str">
        <f t="shared" si="332"/>
        <v>360A7</v>
      </c>
      <c r="CG58" s="169" t="str">
        <f t="shared" si="332"/>
        <v>360A7</v>
      </c>
      <c r="CH58" s="169" t="str">
        <f t="shared" si="332"/>
        <v>350A4</v>
      </c>
      <c r="CI58" s="169" t="str">
        <f t="shared" si="332"/>
        <v>350A4</v>
      </c>
      <c r="CJ58" s="169" t="str">
        <f t="shared" si="332"/>
        <v>350A4</v>
      </c>
      <c r="CK58" s="169" t="str">
        <f t="shared" si="332"/>
        <v>340A0</v>
      </c>
      <c r="CL58" s="169" t="str">
        <f t="shared" si="332"/>
        <v>340A0</v>
      </c>
      <c r="CM58" s="169" t="str">
        <f t="shared" si="332"/>
        <v>340A0</v>
      </c>
      <c r="CN58" s="169" t="str">
        <f t="shared" si="332"/>
        <v>340A0</v>
      </c>
      <c r="CO58" s="169" t="str">
        <f t="shared" si="332"/>
        <v>3309D</v>
      </c>
      <c r="CP58" s="169" t="str">
        <f t="shared" si="332"/>
        <v>3309D</v>
      </c>
      <c r="CQ58" s="169" t="str">
        <f t="shared" si="332"/>
        <v>3309D</v>
      </c>
      <c r="CR58" s="169" t="str">
        <f t="shared" si="332"/>
        <v>3309D</v>
      </c>
      <c r="CS58" s="169" t="str">
        <f t="shared" si="332"/>
        <v>3209A</v>
      </c>
      <c r="CT58" s="169" t="str">
        <f t="shared" si="332"/>
        <v>3209A</v>
      </c>
      <c r="CU58" s="169" t="str">
        <f t="shared" si="332"/>
        <v>3209A</v>
      </c>
      <c r="CV58" s="169" t="str">
        <f t="shared" si="332"/>
        <v>31097</v>
      </c>
      <c r="CW58" s="169" t="str">
        <f t="shared" si="332"/>
        <v>31097</v>
      </c>
      <c r="CX58" s="169" t="str">
        <f t="shared" si="332"/>
        <v>31097</v>
      </c>
      <c r="CY58" s="169" t="str">
        <f t="shared" si="332"/>
        <v>31097</v>
      </c>
      <c r="CZ58" s="169" t="str">
        <f t="shared" si="332"/>
        <v>30094</v>
      </c>
      <c r="DA58" s="169" t="str">
        <f t="shared" si="332"/>
        <v>30094</v>
      </c>
      <c r="DB58" s="169" t="str">
        <f t="shared" si="332"/>
        <v>30094</v>
      </c>
      <c r="DC58" s="169" t="str">
        <f t="shared" si="332"/>
        <v>30094</v>
      </c>
      <c r="DD58" s="169" t="str">
        <f t="shared" si="332"/>
        <v>30094</v>
      </c>
      <c r="DE58" s="169" t="str">
        <f t="shared" si="332"/>
        <v>2F091</v>
      </c>
      <c r="DF58" s="169" t="str">
        <f t="shared" si="332"/>
        <v>2F091</v>
      </c>
      <c r="DG58" s="169" t="str">
        <f t="shared" si="332"/>
        <v>2F091</v>
      </c>
      <c r="DH58" s="169" t="str">
        <f t="shared" si="332"/>
        <v>2F091</v>
      </c>
      <c r="DI58" s="169" t="str">
        <f t="shared" si="332"/>
        <v>2E08E</v>
      </c>
      <c r="DJ58" s="169" t="str">
        <f t="shared" si="332"/>
        <v>2E08E</v>
      </c>
      <c r="DK58" s="169" t="str">
        <f t="shared" si="332"/>
        <v>2E08E</v>
      </c>
      <c r="DL58" s="169" t="str">
        <f t="shared" si="332"/>
        <v>2E08E</v>
      </c>
      <c r="DM58" s="169" t="str">
        <f t="shared" si="332"/>
        <v>2D08B</v>
      </c>
      <c r="DN58" s="169" t="str">
        <f t="shared" si="332"/>
        <v>2D08B</v>
      </c>
      <c r="DO58" s="169" t="str">
        <f t="shared" si="332"/>
        <v>2D08B</v>
      </c>
      <c r="DP58" s="169" t="str">
        <f t="shared" si="332"/>
        <v>2D08B</v>
      </c>
      <c r="DQ58" s="169" t="str">
        <f t="shared" si="332"/>
        <v>2D08B</v>
      </c>
      <c r="DR58" s="169" t="str">
        <f t="shared" si="332"/>
        <v>2C088</v>
      </c>
      <c r="DS58" s="169" t="str">
        <f t="shared" si="332"/>
        <v>2C088</v>
      </c>
      <c r="DT58" s="169" t="str">
        <f t="shared" si="332"/>
        <v>2C088</v>
      </c>
      <c r="DU58" s="169" t="str">
        <f t="shared" si="332"/>
        <v>2C088</v>
      </c>
      <c r="DV58" s="169" t="str">
        <f t="shared" si="332"/>
        <v>2C088</v>
      </c>
      <c r="DW58" s="169" t="str">
        <f t="shared" si="332"/>
        <v>2B085</v>
      </c>
      <c r="DX58" s="169" t="str">
        <f t="shared" si="332"/>
        <v>2B085</v>
      </c>
      <c r="DY58" s="169" t="str">
        <f t="shared" si="332"/>
        <v>2B085</v>
      </c>
      <c r="DZ58" s="169" t="str">
        <f t="shared" si="332"/>
        <v>2B085</v>
      </c>
      <c r="EA58" s="169" t="str">
        <f t="shared" si="332"/>
        <v>2B085</v>
      </c>
      <c r="EB58" s="169" t="str">
        <f t="shared" ref="EB58:FC58" si="333">DEC2HEX(EB57)</f>
        <v>2A081</v>
      </c>
      <c r="EC58" s="169" t="str">
        <f t="shared" si="333"/>
        <v>2A081</v>
      </c>
      <c r="ED58" s="169" t="str">
        <f t="shared" si="333"/>
        <v>2A081</v>
      </c>
      <c r="EE58" s="169" t="str">
        <f t="shared" si="333"/>
        <v>2A081</v>
      </c>
      <c r="EF58" s="169" t="str">
        <f t="shared" si="333"/>
        <v>2A081</v>
      </c>
      <c r="EG58" s="169" t="str">
        <f t="shared" si="333"/>
        <v>2A081</v>
      </c>
      <c r="EH58" s="169" t="str">
        <f t="shared" si="333"/>
        <v>2907E</v>
      </c>
      <c r="EI58" s="169" t="str">
        <f t="shared" si="333"/>
        <v>2907E</v>
      </c>
      <c r="EJ58" s="169" t="str">
        <f t="shared" si="333"/>
        <v>2907E</v>
      </c>
      <c r="EK58" s="169" t="str">
        <f t="shared" si="333"/>
        <v>2907E</v>
      </c>
      <c r="EL58" s="169" t="str">
        <f t="shared" si="333"/>
        <v>2907E</v>
      </c>
      <c r="EM58" s="169" t="str">
        <f t="shared" si="333"/>
        <v>2807B</v>
      </c>
      <c r="EN58" s="169" t="str">
        <f t="shared" si="333"/>
        <v>2807B</v>
      </c>
      <c r="EO58" s="169" t="str">
        <f t="shared" si="333"/>
        <v>2807B</v>
      </c>
      <c r="EP58" s="169" t="str">
        <f t="shared" si="333"/>
        <v>2807B</v>
      </c>
      <c r="EQ58" s="169" t="str">
        <f t="shared" si="333"/>
        <v>2807B</v>
      </c>
      <c r="ER58" s="169" t="str">
        <f t="shared" si="333"/>
        <v>2807B</v>
      </c>
      <c r="ES58" s="169" t="str">
        <f t="shared" si="333"/>
        <v>2807B</v>
      </c>
      <c r="ET58" s="169" t="str">
        <f t="shared" si="333"/>
        <v>27078</v>
      </c>
      <c r="EU58" s="169" t="str">
        <f t="shared" si="333"/>
        <v>27078</v>
      </c>
      <c r="EV58" s="169" t="str">
        <f t="shared" si="333"/>
        <v>27078</v>
      </c>
      <c r="EW58" s="169" t="str">
        <f t="shared" si="333"/>
        <v>27078</v>
      </c>
      <c r="EX58" s="169" t="str">
        <f t="shared" si="333"/>
        <v>27078</v>
      </c>
      <c r="EY58" s="712"/>
      <c r="EZ58" s="712"/>
      <c r="FA58" s="709"/>
      <c r="FB58" s="169" t="str">
        <f t="shared" si="333"/>
        <v>5FE88</v>
      </c>
      <c r="FC58" s="169" t="str">
        <f t="shared" si="333"/>
        <v>4FEC7</v>
      </c>
    </row>
    <row r="59" spans="2:159" s="31" customFormat="1" x14ac:dyDescent="0.45">
      <c r="B59" s="155" t="s">
        <v>1166</v>
      </c>
      <c r="C59" s="156" t="s">
        <v>5</v>
      </c>
      <c r="D59" s="170">
        <v>0</v>
      </c>
      <c r="E59" s="170">
        <f>D59</f>
        <v>0</v>
      </c>
      <c r="F59" s="170">
        <f>E59</f>
        <v>0</v>
      </c>
      <c r="G59" s="170">
        <f t="shared" ref="G59:U60" si="334">F59</f>
        <v>0</v>
      </c>
      <c r="H59" s="170">
        <f t="shared" si="334"/>
        <v>0</v>
      </c>
      <c r="I59" s="170">
        <f t="shared" si="334"/>
        <v>0</v>
      </c>
      <c r="J59" s="170">
        <f t="shared" si="334"/>
        <v>0</v>
      </c>
      <c r="K59" s="170">
        <f t="shared" si="334"/>
        <v>0</v>
      </c>
      <c r="L59" s="170">
        <f t="shared" si="334"/>
        <v>0</v>
      </c>
      <c r="M59" s="170">
        <f t="shared" si="334"/>
        <v>0</v>
      </c>
      <c r="N59" s="170">
        <f t="shared" si="334"/>
        <v>0</v>
      </c>
      <c r="O59" s="170">
        <f t="shared" si="334"/>
        <v>0</v>
      </c>
      <c r="P59" s="170">
        <f t="shared" si="334"/>
        <v>0</v>
      </c>
      <c r="Q59" s="170">
        <f t="shared" si="334"/>
        <v>0</v>
      </c>
      <c r="R59" s="170">
        <f t="shared" si="334"/>
        <v>0</v>
      </c>
      <c r="S59" s="170">
        <f t="shared" si="334"/>
        <v>0</v>
      </c>
      <c r="T59" s="170">
        <f t="shared" si="334"/>
        <v>0</v>
      </c>
      <c r="U59" s="170">
        <f t="shared" si="334"/>
        <v>0</v>
      </c>
      <c r="V59" s="170">
        <f t="shared" ref="V59:AK60" si="335">U59</f>
        <v>0</v>
      </c>
      <c r="W59" s="170">
        <f t="shared" si="335"/>
        <v>0</v>
      </c>
      <c r="X59" s="170">
        <f t="shared" si="335"/>
        <v>0</v>
      </c>
      <c r="Y59" s="170">
        <f t="shared" si="335"/>
        <v>0</v>
      </c>
      <c r="Z59" s="170">
        <f t="shared" si="335"/>
        <v>0</v>
      </c>
      <c r="AA59" s="170">
        <f t="shared" si="335"/>
        <v>0</v>
      </c>
      <c r="AB59" s="170">
        <f t="shared" si="335"/>
        <v>0</v>
      </c>
      <c r="AC59" s="170">
        <f t="shared" si="335"/>
        <v>0</v>
      </c>
      <c r="AD59" s="170">
        <f t="shared" si="335"/>
        <v>0</v>
      </c>
      <c r="AE59" s="170">
        <f t="shared" si="335"/>
        <v>0</v>
      </c>
      <c r="AF59" s="170">
        <f t="shared" si="335"/>
        <v>0</v>
      </c>
      <c r="AG59" s="170">
        <f t="shared" si="335"/>
        <v>0</v>
      </c>
      <c r="AH59" s="170">
        <f t="shared" si="335"/>
        <v>0</v>
      </c>
      <c r="AI59" s="170">
        <f t="shared" si="335"/>
        <v>0</v>
      </c>
      <c r="AJ59" s="170">
        <f t="shared" si="335"/>
        <v>0</v>
      </c>
      <c r="AK59" s="170">
        <f t="shared" si="335"/>
        <v>0</v>
      </c>
      <c r="AL59" s="170">
        <f t="shared" ref="AL59:BA60" si="336">AK59</f>
        <v>0</v>
      </c>
      <c r="AM59" s="170">
        <f t="shared" si="336"/>
        <v>0</v>
      </c>
      <c r="AN59" s="170">
        <f t="shared" si="336"/>
        <v>0</v>
      </c>
      <c r="AO59" s="170">
        <f t="shared" si="336"/>
        <v>0</v>
      </c>
      <c r="AP59" s="170">
        <f t="shared" si="336"/>
        <v>0</v>
      </c>
      <c r="AQ59" s="170">
        <f t="shared" si="336"/>
        <v>0</v>
      </c>
      <c r="AR59" s="170">
        <f t="shared" si="336"/>
        <v>0</v>
      </c>
      <c r="AS59" s="170">
        <f t="shared" si="336"/>
        <v>0</v>
      </c>
      <c r="AT59" s="170">
        <f t="shared" si="336"/>
        <v>0</v>
      </c>
      <c r="AU59" s="170">
        <f t="shared" si="336"/>
        <v>0</v>
      </c>
      <c r="AV59" s="170">
        <f t="shared" si="336"/>
        <v>0</v>
      </c>
      <c r="AW59" s="170">
        <f>AV59</f>
        <v>0</v>
      </c>
      <c r="AX59" s="170">
        <f t="shared" si="336"/>
        <v>0</v>
      </c>
      <c r="AY59" s="170">
        <f t="shared" si="336"/>
        <v>0</v>
      </c>
      <c r="AZ59" s="170">
        <f t="shared" si="336"/>
        <v>0</v>
      </c>
      <c r="BA59" s="170">
        <f t="shared" si="336"/>
        <v>0</v>
      </c>
      <c r="BB59" s="170">
        <f t="shared" ref="BB59:BQ60" si="337">BA59</f>
        <v>0</v>
      </c>
      <c r="BC59" s="170">
        <f t="shared" si="337"/>
        <v>0</v>
      </c>
      <c r="BD59" s="170">
        <f t="shared" si="337"/>
        <v>0</v>
      </c>
      <c r="BE59" s="170">
        <f t="shared" si="337"/>
        <v>0</v>
      </c>
      <c r="BF59" s="170">
        <f t="shared" si="337"/>
        <v>0</v>
      </c>
      <c r="BG59" s="170">
        <f t="shared" si="337"/>
        <v>0</v>
      </c>
      <c r="BH59" s="170">
        <f t="shared" si="337"/>
        <v>0</v>
      </c>
      <c r="BI59" s="170">
        <f t="shared" si="337"/>
        <v>0</v>
      </c>
      <c r="BJ59" s="170">
        <f t="shared" si="337"/>
        <v>0</v>
      </c>
      <c r="BK59" s="170">
        <f t="shared" si="337"/>
        <v>0</v>
      </c>
      <c r="BL59" s="170">
        <f t="shared" si="337"/>
        <v>0</v>
      </c>
      <c r="BM59" s="170">
        <f t="shared" si="337"/>
        <v>0</v>
      </c>
      <c r="BN59" s="170">
        <f t="shared" si="337"/>
        <v>0</v>
      </c>
      <c r="BO59" s="170">
        <f t="shared" si="337"/>
        <v>0</v>
      </c>
      <c r="BP59" s="170">
        <f t="shared" si="337"/>
        <v>0</v>
      </c>
      <c r="BQ59" s="170">
        <f t="shared" si="337"/>
        <v>0</v>
      </c>
      <c r="BR59" s="170">
        <f t="shared" ref="BR59:CG60" si="338">BQ59</f>
        <v>0</v>
      </c>
      <c r="BS59" s="170">
        <f t="shared" si="338"/>
        <v>0</v>
      </c>
      <c r="BT59" s="170">
        <f t="shared" si="338"/>
        <v>0</v>
      </c>
      <c r="BU59" s="170">
        <f t="shared" si="338"/>
        <v>0</v>
      </c>
      <c r="BV59" s="170">
        <f t="shared" si="338"/>
        <v>0</v>
      </c>
      <c r="BW59" s="170">
        <f t="shared" si="338"/>
        <v>0</v>
      </c>
      <c r="BX59" s="170">
        <f t="shared" si="338"/>
        <v>0</v>
      </c>
      <c r="BY59" s="170">
        <f t="shared" si="338"/>
        <v>0</v>
      </c>
      <c r="BZ59" s="170">
        <f t="shared" si="338"/>
        <v>0</v>
      </c>
      <c r="CA59" s="170">
        <f t="shared" si="338"/>
        <v>0</v>
      </c>
      <c r="CB59" s="170">
        <f t="shared" si="338"/>
        <v>0</v>
      </c>
      <c r="CC59" s="170">
        <f t="shared" si="338"/>
        <v>0</v>
      </c>
      <c r="CD59" s="170">
        <f t="shared" si="338"/>
        <v>0</v>
      </c>
      <c r="CE59" s="170">
        <f t="shared" si="338"/>
        <v>0</v>
      </c>
      <c r="CF59" s="170">
        <f t="shared" si="338"/>
        <v>0</v>
      </c>
      <c r="CG59" s="170">
        <f t="shared" si="338"/>
        <v>0</v>
      </c>
      <c r="CH59" s="170">
        <f t="shared" ref="CH59:CW60" si="339">CG59</f>
        <v>0</v>
      </c>
      <c r="CI59" s="170">
        <f t="shared" si="339"/>
        <v>0</v>
      </c>
      <c r="CJ59" s="170">
        <f t="shared" si="339"/>
        <v>0</v>
      </c>
      <c r="CK59" s="170">
        <f t="shared" si="339"/>
        <v>0</v>
      </c>
      <c r="CL59" s="170">
        <f t="shared" si="339"/>
        <v>0</v>
      </c>
      <c r="CM59" s="170">
        <f t="shared" si="339"/>
        <v>0</v>
      </c>
      <c r="CN59" s="170">
        <f t="shared" si="339"/>
        <v>0</v>
      </c>
      <c r="CO59" s="170">
        <f t="shared" si="339"/>
        <v>0</v>
      </c>
      <c r="CP59" s="170">
        <f t="shared" si="339"/>
        <v>0</v>
      </c>
      <c r="CQ59" s="170">
        <f t="shared" si="339"/>
        <v>0</v>
      </c>
      <c r="CR59" s="170">
        <f t="shared" si="339"/>
        <v>0</v>
      </c>
      <c r="CS59" s="170">
        <f t="shared" si="339"/>
        <v>0</v>
      </c>
      <c r="CT59" s="170">
        <f t="shared" si="339"/>
        <v>0</v>
      </c>
      <c r="CU59" s="170">
        <f t="shared" si="339"/>
        <v>0</v>
      </c>
      <c r="CV59" s="170">
        <f t="shared" si="339"/>
        <v>0</v>
      </c>
      <c r="CW59" s="170">
        <f t="shared" si="339"/>
        <v>0</v>
      </c>
      <c r="CX59" s="170">
        <f t="shared" ref="CX59:DM60" si="340">CW59</f>
        <v>0</v>
      </c>
      <c r="CY59" s="170">
        <f t="shared" si="340"/>
        <v>0</v>
      </c>
      <c r="CZ59" s="170">
        <f t="shared" si="340"/>
        <v>0</v>
      </c>
      <c r="DA59" s="170">
        <f t="shared" si="340"/>
        <v>0</v>
      </c>
      <c r="DB59" s="170">
        <f t="shared" si="340"/>
        <v>0</v>
      </c>
      <c r="DC59" s="170">
        <f t="shared" si="340"/>
        <v>0</v>
      </c>
      <c r="DD59" s="170">
        <f t="shared" si="340"/>
        <v>0</v>
      </c>
      <c r="DE59" s="170">
        <f t="shared" si="340"/>
        <v>0</v>
      </c>
      <c r="DF59" s="170">
        <f t="shared" si="340"/>
        <v>0</v>
      </c>
      <c r="DG59" s="170">
        <f t="shared" si="340"/>
        <v>0</v>
      </c>
      <c r="DH59" s="170">
        <f t="shared" si="340"/>
        <v>0</v>
      </c>
      <c r="DI59" s="170">
        <f t="shared" si="340"/>
        <v>0</v>
      </c>
      <c r="DJ59" s="170">
        <f t="shared" si="340"/>
        <v>0</v>
      </c>
      <c r="DK59" s="170">
        <f t="shared" si="340"/>
        <v>0</v>
      </c>
      <c r="DL59" s="170">
        <f t="shared" si="340"/>
        <v>0</v>
      </c>
      <c r="DM59" s="170">
        <f t="shared" si="340"/>
        <v>0</v>
      </c>
      <c r="DN59" s="170">
        <f t="shared" ref="DN59:EC60" si="341">DM59</f>
        <v>0</v>
      </c>
      <c r="DO59" s="170">
        <f t="shared" si="341"/>
        <v>0</v>
      </c>
      <c r="DP59" s="170">
        <f t="shared" si="341"/>
        <v>0</v>
      </c>
      <c r="DQ59" s="170">
        <f t="shared" si="341"/>
        <v>0</v>
      </c>
      <c r="DR59" s="170">
        <f t="shared" si="341"/>
        <v>0</v>
      </c>
      <c r="DS59" s="170">
        <f t="shared" si="341"/>
        <v>0</v>
      </c>
      <c r="DT59" s="170">
        <f t="shared" si="341"/>
        <v>0</v>
      </c>
      <c r="DU59" s="170">
        <f t="shared" si="341"/>
        <v>0</v>
      </c>
      <c r="DV59" s="170">
        <f t="shared" si="341"/>
        <v>0</v>
      </c>
      <c r="DW59" s="170">
        <f t="shared" si="341"/>
        <v>0</v>
      </c>
      <c r="DX59" s="170">
        <f t="shared" si="341"/>
        <v>0</v>
      </c>
      <c r="DY59" s="170">
        <f t="shared" si="341"/>
        <v>0</v>
      </c>
      <c r="DZ59" s="170">
        <f t="shared" si="341"/>
        <v>0</v>
      </c>
      <c r="EA59" s="170">
        <f t="shared" si="341"/>
        <v>0</v>
      </c>
      <c r="EB59" s="170">
        <f t="shared" si="341"/>
        <v>0</v>
      </c>
      <c r="EC59" s="170">
        <f t="shared" si="341"/>
        <v>0</v>
      </c>
      <c r="ED59" s="170">
        <f t="shared" ref="ED59:ES60" si="342">EC59</f>
        <v>0</v>
      </c>
      <c r="EE59" s="170">
        <f t="shared" si="342"/>
        <v>0</v>
      </c>
      <c r="EF59" s="170">
        <f t="shared" si="342"/>
        <v>0</v>
      </c>
      <c r="EG59" s="170">
        <f t="shared" si="342"/>
        <v>0</v>
      </c>
      <c r="EH59" s="170">
        <f t="shared" si="342"/>
        <v>0</v>
      </c>
      <c r="EI59" s="170">
        <f t="shared" si="342"/>
        <v>0</v>
      </c>
      <c r="EJ59" s="170">
        <f t="shared" si="342"/>
        <v>0</v>
      </c>
      <c r="EK59" s="170">
        <f t="shared" si="342"/>
        <v>0</v>
      </c>
      <c r="EL59" s="170">
        <f t="shared" si="342"/>
        <v>0</v>
      </c>
      <c r="EM59" s="170">
        <f t="shared" si="342"/>
        <v>0</v>
      </c>
      <c r="EN59" s="170">
        <f t="shared" si="342"/>
        <v>0</v>
      </c>
      <c r="EO59" s="170">
        <f t="shared" si="342"/>
        <v>0</v>
      </c>
      <c r="EP59" s="170">
        <f t="shared" si="342"/>
        <v>0</v>
      </c>
      <c r="EQ59" s="170">
        <f t="shared" si="342"/>
        <v>0</v>
      </c>
      <c r="ER59" s="170">
        <f t="shared" si="342"/>
        <v>0</v>
      </c>
      <c r="ES59" s="170">
        <f t="shared" si="342"/>
        <v>0</v>
      </c>
      <c r="ET59" s="170">
        <f t="shared" ref="ET59:EX60" si="343">ES59</f>
        <v>0</v>
      </c>
      <c r="EU59" s="170">
        <f t="shared" si="343"/>
        <v>0</v>
      </c>
      <c r="EV59" s="170">
        <f t="shared" si="343"/>
        <v>0</v>
      </c>
      <c r="EW59" s="170">
        <f t="shared" si="343"/>
        <v>0</v>
      </c>
      <c r="EX59" s="170">
        <f t="shared" si="343"/>
        <v>0</v>
      </c>
      <c r="EY59" s="715"/>
      <c r="EZ59" s="715"/>
      <c r="FA59" s="709"/>
      <c r="FB59" s="170">
        <v>3</v>
      </c>
      <c r="FC59" s="170">
        <f t="shared" ref="FC59:FC60" si="344">FB59</f>
        <v>3</v>
      </c>
    </row>
    <row r="60" spans="2:159" s="31" customFormat="1" ht="17.5" thickBot="1" x14ac:dyDescent="0.5">
      <c r="B60" s="171" t="s">
        <v>1162</v>
      </c>
      <c r="C60" s="172" t="s">
        <v>5</v>
      </c>
      <c r="D60" s="173">
        <v>1</v>
      </c>
      <c r="E60" s="173">
        <f>D60</f>
        <v>1</v>
      </c>
      <c r="F60" s="173">
        <f>E60</f>
        <v>1</v>
      </c>
      <c r="G60" s="173">
        <f t="shared" si="334"/>
        <v>1</v>
      </c>
      <c r="H60" s="173">
        <f t="shared" si="334"/>
        <v>1</v>
      </c>
      <c r="I60" s="173">
        <f t="shared" si="334"/>
        <v>1</v>
      </c>
      <c r="J60" s="173">
        <f t="shared" si="334"/>
        <v>1</v>
      </c>
      <c r="K60" s="173">
        <f t="shared" si="334"/>
        <v>1</v>
      </c>
      <c r="L60" s="173">
        <f t="shared" si="334"/>
        <v>1</v>
      </c>
      <c r="M60" s="173">
        <f t="shared" si="334"/>
        <v>1</v>
      </c>
      <c r="N60" s="173">
        <f t="shared" si="334"/>
        <v>1</v>
      </c>
      <c r="O60" s="173">
        <f t="shared" si="334"/>
        <v>1</v>
      </c>
      <c r="P60" s="173">
        <f t="shared" si="334"/>
        <v>1</v>
      </c>
      <c r="Q60" s="173">
        <f t="shared" si="334"/>
        <v>1</v>
      </c>
      <c r="R60" s="173">
        <f t="shared" si="334"/>
        <v>1</v>
      </c>
      <c r="S60" s="173">
        <f t="shared" si="334"/>
        <v>1</v>
      </c>
      <c r="T60" s="173">
        <f t="shared" si="334"/>
        <v>1</v>
      </c>
      <c r="U60" s="173">
        <f t="shared" si="334"/>
        <v>1</v>
      </c>
      <c r="V60" s="173">
        <f t="shared" si="335"/>
        <v>1</v>
      </c>
      <c r="W60" s="173">
        <f t="shared" si="335"/>
        <v>1</v>
      </c>
      <c r="X60" s="173">
        <f t="shared" si="335"/>
        <v>1</v>
      </c>
      <c r="Y60" s="173">
        <f t="shared" si="335"/>
        <v>1</v>
      </c>
      <c r="Z60" s="173">
        <f t="shared" si="335"/>
        <v>1</v>
      </c>
      <c r="AA60" s="173">
        <f t="shared" si="335"/>
        <v>1</v>
      </c>
      <c r="AB60" s="173">
        <f t="shared" si="335"/>
        <v>1</v>
      </c>
      <c r="AC60" s="173">
        <f t="shared" si="335"/>
        <v>1</v>
      </c>
      <c r="AD60" s="173">
        <f t="shared" si="335"/>
        <v>1</v>
      </c>
      <c r="AE60" s="173">
        <f t="shared" si="335"/>
        <v>1</v>
      </c>
      <c r="AF60" s="173">
        <f t="shared" si="335"/>
        <v>1</v>
      </c>
      <c r="AG60" s="173">
        <f t="shared" si="335"/>
        <v>1</v>
      </c>
      <c r="AH60" s="173">
        <f t="shared" si="335"/>
        <v>1</v>
      </c>
      <c r="AI60" s="173">
        <f t="shared" si="335"/>
        <v>1</v>
      </c>
      <c r="AJ60" s="173">
        <f t="shared" si="335"/>
        <v>1</v>
      </c>
      <c r="AK60" s="173">
        <f t="shared" si="335"/>
        <v>1</v>
      </c>
      <c r="AL60" s="173">
        <f t="shared" si="336"/>
        <v>1</v>
      </c>
      <c r="AM60" s="173">
        <f t="shared" si="336"/>
        <v>1</v>
      </c>
      <c r="AN60" s="173">
        <f t="shared" si="336"/>
        <v>1</v>
      </c>
      <c r="AO60" s="173">
        <f t="shared" si="336"/>
        <v>1</v>
      </c>
      <c r="AP60" s="173">
        <f t="shared" si="336"/>
        <v>1</v>
      </c>
      <c r="AQ60" s="173">
        <f t="shared" si="336"/>
        <v>1</v>
      </c>
      <c r="AR60" s="173">
        <f t="shared" si="336"/>
        <v>1</v>
      </c>
      <c r="AS60" s="173">
        <f t="shared" si="336"/>
        <v>1</v>
      </c>
      <c r="AT60" s="173">
        <f t="shared" si="336"/>
        <v>1</v>
      </c>
      <c r="AU60" s="173">
        <f t="shared" si="336"/>
        <v>1</v>
      </c>
      <c r="AV60" s="173">
        <f t="shared" si="336"/>
        <v>1</v>
      </c>
      <c r="AW60" s="173">
        <f>AV60</f>
        <v>1</v>
      </c>
      <c r="AX60" s="173">
        <f t="shared" si="336"/>
        <v>1</v>
      </c>
      <c r="AY60" s="173">
        <f t="shared" si="336"/>
        <v>1</v>
      </c>
      <c r="AZ60" s="173">
        <f t="shared" si="336"/>
        <v>1</v>
      </c>
      <c r="BA60" s="173">
        <f t="shared" si="336"/>
        <v>1</v>
      </c>
      <c r="BB60" s="173">
        <f t="shared" si="337"/>
        <v>1</v>
      </c>
      <c r="BC60" s="173">
        <f t="shared" si="337"/>
        <v>1</v>
      </c>
      <c r="BD60" s="173">
        <f t="shared" si="337"/>
        <v>1</v>
      </c>
      <c r="BE60" s="173">
        <f t="shared" si="337"/>
        <v>1</v>
      </c>
      <c r="BF60" s="173">
        <f t="shared" si="337"/>
        <v>1</v>
      </c>
      <c r="BG60" s="173">
        <f t="shared" si="337"/>
        <v>1</v>
      </c>
      <c r="BH60" s="173">
        <f t="shared" si="337"/>
        <v>1</v>
      </c>
      <c r="BI60" s="173">
        <f t="shared" si="337"/>
        <v>1</v>
      </c>
      <c r="BJ60" s="173">
        <f t="shared" si="337"/>
        <v>1</v>
      </c>
      <c r="BK60" s="173">
        <f t="shared" si="337"/>
        <v>1</v>
      </c>
      <c r="BL60" s="173">
        <f t="shared" si="337"/>
        <v>1</v>
      </c>
      <c r="BM60" s="173">
        <f t="shared" si="337"/>
        <v>1</v>
      </c>
      <c r="BN60" s="173">
        <f t="shared" si="337"/>
        <v>1</v>
      </c>
      <c r="BO60" s="173">
        <f t="shared" si="337"/>
        <v>1</v>
      </c>
      <c r="BP60" s="173">
        <f t="shared" si="337"/>
        <v>1</v>
      </c>
      <c r="BQ60" s="173">
        <f t="shared" si="337"/>
        <v>1</v>
      </c>
      <c r="BR60" s="173">
        <f t="shared" si="338"/>
        <v>1</v>
      </c>
      <c r="BS60" s="173">
        <f t="shared" si="338"/>
        <v>1</v>
      </c>
      <c r="BT60" s="173">
        <f t="shared" si="338"/>
        <v>1</v>
      </c>
      <c r="BU60" s="173">
        <f t="shared" si="338"/>
        <v>1</v>
      </c>
      <c r="BV60" s="173">
        <f t="shared" si="338"/>
        <v>1</v>
      </c>
      <c r="BW60" s="173">
        <f t="shared" si="338"/>
        <v>1</v>
      </c>
      <c r="BX60" s="173">
        <f t="shared" si="338"/>
        <v>1</v>
      </c>
      <c r="BY60" s="173">
        <f t="shared" si="338"/>
        <v>1</v>
      </c>
      <c r="BZ60" s="173">
        <f t="shared" si="338"/>
        <v>1</v>
      </c>
      <c r="CA60" s="173">
        <f t="shared" si="338"/>
        <v>1</v>
      </c>
      <c r="CB60" s="173">
        <f t="shared" si="338"/>
        <v>1</v>
      </c>
      <c r="CC60" s="173">
        <f t="shared" si="338"/>
        <v>1</v>
      </c>
      <c r="CD60" s="173">
        <f t="shared" si="338"/>
        <v>1</v>
      </c>
      <c r="CE60" s="173">
        <f t="shared" si="338"/>
        <v>1</v>
      </c>
      <c r="CF60" s="173">
        <f t="shared" si="338"/>
        <v>1</v>
      </c>
      <c r="CG60" s="173">
        <f t="shared" si="338"/>
        <v>1</v>
      </c>
      <c r="CH60" s="173">
        <f t="shared" si="339"/>
        <v>1</v>
      </c>
      <c r="CI60" s="173">
        <f t="shared" si="339"/>
        <v>1</v>
      </c>
      <c r="CJ60" s="173">
        <f t="shared" si="339"/>
        <v>1</v>
      </c>
      <c r="CK60" s="173">
        <f t="shared" si="339"/>
        <v>1</v>
      </c>
      <c r="CL60" s="173">
        <f t="shared" si="339"/>
        <v>1</v>
      </c>
      <c r="CM60" s="173">
        <f t="shared" si="339"/>
        <v>1</v>
      </c>
      <c r="CN60" s="173">
        <f t="shared" si="339"/>
        <v>1</v>
      </c>
      <c r="CO60" s="173">
        <f t="shared" si="339"/>
        <v>1</v>
      </c>
      <c r="CP60" s="173">
        <f t="shared" si="339"/>
        <v>1</v>
      </c>
      <c r="CQ60" s="173">
        <f t="shared" si="339"/>
        <v>1</v>
      </c>
      <c r="CR60" s="173">
        <f t="shared" si="339"/>
        <v>1</v>
      </c>
      <c r="CS60" s="173">
        <f t="shared" si="339"/>
        <v>1</v>
      </c>
      <c r="CT60" s="173">
        <f t="shared" si="339"/>
        <v>1</v>
      </c>
      <c r="CU60" s="173">
        <f t="shared" si="339"/>
        <v>1</v>
      </c>
      <c r="CV60" s="173">
        <f t="shared" si="339"/>
        <v>1</v>
      </c>
      <c r="CW60" s="173">
        <f t="shared" si="339"/>
        <v>1</v>
      </c>
      <c r="CX60" s="173">
        <f t="shared" si="340"/>
        <v>1</v>
      </c>
      <c r="CY60" s="173">
        <f t="shared" si="340"/>
        <v>1</v>
      </c>
      <c r="CZ60" s="173">
        <f t="shared" si="340"/>
        <v>1</v>
      </c>
      <c r="DA60" s="173">
        <f t="shared" si="340"/>
        <v>1</v>
      </c>
      <c r="DB60" s="173">
        <f t="shared" si="340"/>
        <v>1</v>
      </c>
      <c r="DC60" s="173">
        <f t="shared" si="340"/>
        <v>1</v>
      </c>
      <c r="DD60" s="173">
        <f t="shared" si="340"/>
        <v>1</v>
      </c>
      <c r="DE60" s="173">
        <f t="shared" si="340"/>
        <v>1</v>
      </c>
      <c r="DF60" s="173">
        <f t="shared" si="340"/>
        <v>1</v>
      </c>
      <c r="DG60" s="173">
        <f t="shared" si="340"/>
        <v>1</v>
      </c>
      <c r="DH60" s="173">
        <f t="shared" si="340"/>
        <v>1</v>
      </c>
      <c r="DI60" s="173">
        <f t="shared" si="340"/>
        <v>1</v>
      </c>
      <c r="DJ60" s="173">
        <f t="shared" si="340"/>
        <v>1</v>
      </c>
      <c r="DK60" s="173">
        <f t="shared" si="340"/>
        <v>1</v>
      </c>
      <c r="DL60" s="173">
        <f t="shared" si="340"/>
        <v>1</v>
      </c>
      <c r="DM60" s="173">
        <f t="shared" si="340"/>
        <v>1</v>
      </c>
      <c r="DN60" s="173">
        <f t="shared" si="341"/>
        <v>1</v>
      </c>
      <c r="DO60" s="173">
        <f t="shared" si="341"/>
        <v>1</v>
      </c>
      <c r="DP60" s="173">
        <f t="shared" si="341"/>
        <v>1</v>
      </c>
      <c r="DQ60" s="173">
        <f t="shared" si="341"/>
        <v>1</v>
      </c>
      <c r="DR60" s="173">
        <f t="shared" si="341"/>
        <v>1</v>
      </c>
      <c r="DS60" s="173">
        <f t="shared" si="341"/>
        <v>1</v>
      </c>
      <c r="DT60" s="173">
        <f t="shared" si="341"/>
        <v>1</v>
      </c>
      <c r="DU60" s="173">
        <f t="shared" si="341"/>
        <v>1</v>
      </c>
      <c r="DV60" s="173">
        <f t="shared" si="341"/>
        <v>1</v>
      </c>
      <c r="DW60" s="173">
        <f t="shared" si="341"/>
        <v>1</v>
      </c>
      <c r="DX60" s="173">
        <f t="shared" si="341"/>
        <v>1</v>
      </c>
      <c r="DY60" s="173">
        <f t="shared" si="341"/>
        <v>1</v>
      </c>
      <c r="DZ60" s="173">
        <f t="shared" si="341"/>
        <v>1</v>
      </c>
      <c r="EA60" s="173">
        <f t="shared" si="341"/>
        <v>1</v>
      </c>
      <c r="EB60" s="173">
        <f t="shared" si="341"/>
        <v>1</v>
      </c>
      <c r="EC60" s="173">
        <f t="shared" si="341"/>
        <v>1</v>
      </c>
      <c r="ED60" s="173">
        <f t="shared" si="342"/>
        <v>1</v>
      </c>
      <c r="EE60" s="173">
        <f t="shared" si="342"/>
        <v>1</v>
      </c>
      <c r="EF60" s="173">
        <f t="shared" si="342"/>
        <v>1</v>
      </c>
      <c r="EG60" s="173">
        <f t="shared" si="342"/>
        <v>1</v>
      </c>
      <c r="EH60" s="173">
        <f t="shared" si="342"/>
        <v>1</v>
      </c>
      <c r="EI60" s="173">
        <f t="shared" si="342"/>
        <v>1</v>
      </c>
      <c r="EJ60" s="173">
        <f t="shared" si="342"/>
        <v>1</v>
      </c>
      <c r="EK60" s="173">
        <f t="shared" si="342"/>
        <v>1</v>
      </c>
      <c r="EL60" s="173">
        <f t="shared" si="342"/>
        <v>1</v>
      </c>
      <c r="EM60" s="173">
        <f t="shared" si="342"/>
        <v>1</v>
      </c>
      <c r="EN60" s="173">
        <f t="shared" si="342"/>
        <v>1</v>
      </c>
      <c r="EO60" s="173">
        <f t="shared" si="342"/>
        <v>1</v>
      </c>
      <c r="EP60" s="173">
        <f t="shared" si="342"/>
        <v>1</v>
      </c>
      <c r="EQ60" s="173">
        <f t="shared" si="342"/>
        <v>1</v>
      </c>
      <c r="ER60" s="173">
        <f t="shared" si="342"/>
        <v>1</v>
      </c>
      <c r="ES60" s="173">
        <f t="shared" si="342"/>
        <v>1</v>
      </c>
      <c r="ET60" s="173">
        <f t="shared" si="343"/>
        <v>1</v>
      </c>
      <c r="EU60" s="173">
        <f t="shared" si="343"/>
        <v>1</v>
      </c>
      <c r="EV60" s="173">
        <f t="shared" si="343"/>
        <v>1</v>
      </c>
      <c r="EW60" s="173">
        <f t="shared" si="343"/>
        <v>1</v>
      </c>
      <c r="EX60" s="173">
        <f t="shared" si="343"/>
        <v>1</v>
      </c>
      <c r="EY60" s="720"/>
      <c r="EZ60" s="720"/>
      <c r="FA60" s="709"/>
      <c r="FB60" s="173">
        <v>8</v>
      </c>
      <c r="FC60" s="173">
        <f t="shared" si="344"/>
        <v>8</v>
      </c>
    </row>
    <row r="61" spans="2:159" x14ac:dyDescent="0.45">
      <c r="B61" s="2" t="s">
        <v>1167</v>
      </c>
      <c r="C61" s="2" t="s">
        <v>5</v>
      </c>
      <c r="D61" s="73">
        <f t="shared" ref="D61:AI61" si="345">D57-D15</f>
        <v>0</v>
      </c>
      <c r="E61" s="73">
        <f t="shared" si="345"/>
        <v>0</v>
      </c>
      <c r="F61" s="73">
        <f t="shared" ref="F61" si="346">F57-F15</f>
        <v>0</v>
      </c>
      <c r="G61" s="73">
        <f t="shared" si="345"/>
        <v>0</v>
      </c>
      <c r="H61" s="73">
        <f t="shared" si="345"/>
        <v>-1</v>
      </c>
      <c r="I61" s="73">
        <f t="shared" si="345"/>
        <v>-1</v>
      </c>
      <c r="J61" s="73">
        <f t="shared" si="345"/>
        <v>-1</v>
      </c>
      <c r="K61" s="73">
        <f t="shared" si="345"/>
        <v>-1</v>
      </c>
      <c r="L61" s="73">
        <f t="shared" si="345"/>
        <v>-1</v>
      </c>
      <c r="M61" s="73">
        <f t="shared" si="345"/>
        <v>-1</v>
      </c>
      <c r="N61" s="73">
        <f t="shared" si="345"/>
        <v>0</v>
      </c>
      <c r="O61" s="73">
        <f t="shared" si="345"/>
        <v>0</v>
      </c>
      <c r="P61" s="73">
        <f t="shared" si="345"/>
        <v>0</v>
      </c>
      <c r="Q61" s="73">
        <f t="shared" si="345"/>
        <v>0</v>
      </c>
      <c r="R61" s="73">
        <f t="shared" si="345"/>
        <v>0</v>
      </c>
      <c r="S61" s="73">
        <f t="shared" si="345"/>
        <v>0</v>
      </c>
      <c r="T61" s="73">
        <f t="shared" si="345"/>
        <v>-1</v>
      </c>
      <c r="U61" s="73">
        <f t="shared" si="345"/>
        <v>-1</v>
      </c>
      <c r="V61" s="73">
        <f t="shared" si="345"/>
        <v>-1</v>
      </c>
      <c r="W61" s="73">
        <f t="shared" si="345"/>
        <v>-1</v>
      </c>
      <c r="X61" s="73">
        <f t="shared" si="345"/>
        <v>-1</v>
      </c>
      <c r="Y61" s="73">
        <f t="shared" si="345"/>
        <v>-1</v>
      </c>
      <c r="Z61" s="73">
        <f t="shared" si="345"/>
        <v>-1</v>
      </c>
      <c r="AA61" s="73">
        <f t="shared" si="345"/>
        <v>-1</v>
      </c>
      <c r="AB61" s="73">
        <f t="shared" si="345"/>
        <v>-1</v>
      </c>
      <c r="AC61" s="73">
        <f t="shared" si="345"/>
        <v>0</v>
      </c>
      <c r="AD61" s="73">
        <f t="shared" si="345"/>
        <v>0</v>
      </c>
      <c r="AE61" s="73">
        <f t="shared" si="345"/>
        <v>0</v>
      </c>
      <c r="AF61" s="73">
        <f t="shared" si="345"/>
        <v>0</v>
      </c>
      <c r="AG61" s="73">
        <f t="shared" si="345"/>
        <v>0</v>
      </c>
      <c r="AH61" s="73">
        <f t="shared" si="345"/>
        <v>0</v>
      </c>
      <c r="AI61" s="73">
        <f t="shared" si="345"/>
        <v>0</v>
      </c>
      <c r="AJ61" s="73">
        <f t="shared" ref="AJ61:BO61" si="347">AJ57-AJ15</f>
        <v>0</v>
      </c>
      <c r="AK61" s="73">
        <f t="shared" si="347"/>
        <v>-1</v>
      </c>
      <c r="AL61" s="73">
        <f t="shared" si="347"/>
        <v>-1</v>
      </c>
      <c r="AM61" s="73">
        <f t="shared" si="347"/>
        <v>-1</v>
      </c>
      <c r="AN61" s="73">
        <f t="shared" si="347"/>
        <v>-1</v>
      </c>
      <c r="AO61" s="73">
        <f t="shared" si="347"/>
        <v>-1</v>
      </c>
      <c r="AP61" s="73">
        <f t="shared" si="347"/>
        <v>-1</v>
      </c>
      <c r="AQ61" s="73">
        <f t="shared" si="347"/>
        <v>-1</v>
      </c>
      <c r="AR61" s="73">
        <f t="shared" si="347"/>
        <v>-1</v>
      </c>
      <c r="AS61" s="73">
        <f t="shared" si="347"/>
        <v>-1</v>
      </c>
      <c r="AT61" s="73">
        <f t="shared" si="347"/>
        <v>-1</v>
      </c>
      <c r="AU61" s="73">
        <f t="shared" si="347"/>
        <v>0</v>
      </c>
      <c r="AV61" s="73">
        <f t="shared" si="347"/>
        <v>0</v>
      </c>
      <c r="AW61" s="73">
        <f t="shared" si="347"/>
        <v>0</v>
      </c>
      <c r="AX61" s="73">
        <f t="shared" si="347"/>
        <v>0</v>
      </c>
      <c r="AY61" s="73">
        <f t="shared" si="347"/>
        <v>0</v>
      </c>
      <c r="AZ61" s="73">
        <f t="shared" si="347"/>
        <v>0</v>
      </c>
      <c r="BA61" s="73">
        <f t="shared" si="347"/>
        <v>0</v>
      </c>
      <c r="BB61" s="73">
        <f t="shared" si="347"/>
        <v>0</v>
      </c>
      <c r="BC61" s="73">
        <f t="shared" si="347"/>
        <v>0</v>
      </c>
      <c r="BD61" s="73">
        <f t="shared" si="347"/>
        <v>0</v>
      </c>
      <c r="BE61" s="73">
        <f t="shared" si="347"/>
        <v>0</v>
      </c>
      <c r="BF61" s="73">
        <f t="shared" si="347"/>
        <v>-1</v>
      </c>
      <c r="BG61" s="73">
        <f t="shared" si="347"/>
        <v>-1</v>
      </c>
      <c r="BH61" s="73">
        <f t="shared" si="347"/>
        <v>-1</v>
      </c>
      <c r="BI61" s="73">
        <f t="shared" si="347"/>
        <v>-1</v>
      </c>
      <c r="BJ61" s="73">
        <f t="shared" si="347"/>
        <v>-1</v>
      </c>
      <c r="BK61" s="73">
        <f t="shared" si="347"/>
        <v>-1</v>
      </c>
      <c r="BL61" s="73">
        <f t="shared" si="347"/>
        <v>-1</v>
      </c>
      <c r="BM61" s="73">
        <f t="shared" si="347"/>
        <v>-1</v>
      </c>
      <c r="BN61" s="73">
        <f t="shared" si="347"/>
        <v>-1</v>
      </c>
      <c r="BO61" s="73">
        <f t="shared" si="347"/>
        <v>-1</v>
      </c>
      <c r="BP61" s="73">
        <f t="shared" ref="BP61:CU61" si="348">BP57-BP15</f>
        <v>-1</v>
      </c>
      <c r="BQ61" s="73">
        <f t="shared" si="348"/>
        <v>-1</v>
      </c>
      <c r="BR61" s="73">
        <f t="shared" si="348"/>
        <v>-1</v>
      </c>
      <c r="BS61" s="73">
        <f t="shared" si="348"/>
        <v>-1</v>
      </c>
      <c r="BT61" s="73">
        <f t="shared" si="348"/>
        <v>-1</v>
      </c>
      <c r="BU61" s="73">
        <f t="shared" si="348"/>
        <v>0</v>
      </c>
      <c r="BV61" s="73">
        <f t="shared" si="348"/>
        <v>0</v>
      </c>
      <c r="BW61" s="73">
        <f t="shared" si="348"/>
        <v>0</v>
      </c>
      <c r="BX61" s="73">
        <f t="shared" si="348"/>
        <v>0</v>
      </c>
      <c r="BY61" s="73">
        <f t="shared" si="348"/>
        <v>0</v>
      </c>
      <c r="BZ61" s="73">
        <f t="shared" si="348"/>
        <v>0</v>
      </c>
      <c r="CA61" s="73">
        <f t="shared" si="348"/>
        <v>0</v>
      </c>
      <c r="CB61" s="73">
        <f t="shared" si="348"/>
        <v>0</v>
      </c>
      <c r="CC61" s="73">
        <f t="shared" si="348"/>
        <v>0</v>
      </c>
      <c r="CD61" s="73">
        <f t="shared" si="348"/>
        <v>0</v>
      </c>
      <c r="CE61" s="73">
        <f t="shared" si="348"/>
        <v>0</v>
      </c>
      <c r="CF61" s="73">
        <f t="shared" si="348"/>
        <v>0</v>
      </c>
      <c r="CG61" s="73">
        <f t="shared" si="348"/>
        <v>0</v>
      </c>
      <c r="CH61" s="73">
        <f t="shared" si="348"/>
        <v>0</v>
      </c>
      <c r="CI61" s="73">
        <f t="shared" si="348"/>
        <v>0</v>
      </c>
      <c r="CJ61" s="73">
        <f t="shared" si="348"/>
        <v>0</v>
      </c>
      <c r="CK61" s="73">
        <f t="shared" si="348"/>
        <v>-1</v>
      </c>
      <c r="CL61" s="73">
        <f t="shared" si="348"/>
        <v>-1</v>
      </c>
      <c r="CM61" s="73">
        <f t="shared" si="348"/>
        <v>-1</v>
      </c>
      <c r="CN61" s="73">
        <f t="shared" si="348"/>
        <v>-1</v>
      </c>
      <c r="CO61" s="73">
        <f t="shared" si="348"/>
        <v>-1</v>
      </c>
      <c r="CP61" s="73">
        <f t="shared" si="348"/>
        <v>-1</v>
      </c>
      <c r="CQ61" s="73">
        <f t="shared" si="348"/>
        <v>-1</v>
      </c>
      <c r="CR61" s="73">
        <f t="shared" si="348"/>
        <v>-1</v>
      </c>
      <c r="CS61" s="73">
        <f t="shared" si="348"/>
        <v>-1</v>
      </c>
      <c r="CT61" s="73">
        <f t="shared" si="348"/>
        <v>-1</v>
      </c>
      <c r="CU61" s="73">
        <f t="shared" si="348"/>
        <v>-1</v>
      </c>
      <c r="CV61" s="73">
        <f t="shared" ref="CV61:EA61" si="349">CV57-CV15</f>
        <v>-1</v>
      </c>
      <c r="CW61" s="73">
        <f t="shared" si="349"/>
        <v>-1</v>
      </c>
      <c r="CX61" s="73">
        <f t="shared" si="349"/>
        <v>-1</v>
      </c>
      <c r="CY61" s="73">
        <f t="shared" si="349"/>
        <v>-1</v>
      </c>
      <c r="CZ61" s="73">
        <f t="shared" si="349"/>
        <v>-1</v>
      </c>
      <c r="DA61" s="73">
        <f t="shared" si="349"/>
        <v>-1</v>
      </c>
      <c r="DB61" s="73">
        <f t="shared" si="349"/>
        <v>-1</v>
      </c>
      <c r="DC61" s="73">
        <f t="shared" si="349"/>
        <v>-1</v>
      </c>
      <c r="DD61" s="73">
        <f t="shared" si="349"/>
        <v>-1</v>
      </c>
      <c r="DE61" s="73">
        <f t="shared" si="349"/>
        <v>0</v>
      </c>
      <c r="DF61" s="73">
        <f t="shared" si="349"/>
        <v>0</v>
      </c>
      <c r="DG61" s="73">
        <f t="shared" si="349"/>
        <v>0</v>
      </c>
      <c r="DH61" s="73">
        <f t="shared" si="349"/>
        <v>0</v>
      </c>
      <c r="DI61" s="73">
        <f t="shared" si="349"/>
        <v>0</v>
      </c>
      <c r="DJ61" s="73">
        <f t="shared" si="349"/>
        <v>0</v>
      </c>
      <c r="DK61" s="73">
        <f t="shared" si="349"/>
        <v>0</v>
      </c>
      <c r="DL61" s="73">
        <f t="shared" si="349"/>
        <v>0</v>
      </c>
      <c r="DM61" s="73">
        <f t="shared" si="349"/>
        <v>0</v>
      </c>
      <c r="DN61" s="73">
        <f t="shared" si="349"/>
        <v>0</v>
      </c>
      <c r="DO61" s="73">
        <f t="shared" si="349"/>
        <v>0</v>
      </c>
      <c r="DP61" s="73">
        <f t="shared" si="349"/>
        <v>0</v>
      </c>
      <c r="DQ61" s="73">
        <f t="shared" si="349"/>
        <v>0</v>
      </c>
      <c r="DR61" s="73">
        <f t="shared" si="349"/>
        <v>0</v>
      </c>
      <c r="DS61" s="73">
        <f t="shared" si="349"/>
        <v>0</v>
      </c>
      <c r="DT61" s="73">
        <f t="shared" si="349"/>
        <v>0</v>
      </c>
      <c r="DU61" s="73">
        <f t="shared" si="349"/>
        <v>0</v>
      </c>
      <c r="DV61" s="73">
        <f t="shared" si="349"/>
        <v>0</v>
      </c>
      <c r="DW61" s="73">
        <f t="shared" si="349"/>
        <v>0</v>
      </c>
      <c r="DX61" s="73">
        <f t="shared" si="349"/>
        <v>0</v>
      </c>
      <c r="DY61" s="73">
        <f t="shared" si="349"/>
        <v>0</v>
      </c>
      <c r="DZ61" s="73">
        <f t="shared" si="349"/>
        <v>0</v>
      </c>
      <c r="EA61" s="73">
        <f t="shared" si="349"/>
        <v>0</v>
      </c>
      <c r="EB61" s="73">
        <f t="shared" ref="EB61:EX61" si="350">EB57-EB15</f>
        <v>-1</v>
      </c>
      <c r="EC61" s="73">
        <f t="shared" si="350"/>
        <v>-1</v>
      </c>
      <c r="ED61" s="73">
        <f t="shared" si="350"/>
        <v>-1</v>
      </c>
      <c r="EE61" s="73">
        <f t="shared" si="350"/>
        <v>-1</v>
      </c>
      <c r="EF61" s="73">
        <f t="shared" si="350"/>
        <v>-1</v>
      </c>
      <c r="EG61" s="73">
        <f t="shared" si="350"/>
        <v>-1</v>
      </c>
      <c r="EH61" s="73">
        <f t="shared" si="350"/>
        <v>-1</v>
      </c>
      <c r="EI61" s="73">
        <f t="shared" si="350"/>
        <v>-1</v>
      </c>
      <c r="EJ61" s="73">
        <f t="shared" si="350"/>
        <v>-1</v>
      </c>
      <c r="EK61" s="73">
        <f t="shared" si="350"/>
        <v>-1</v>
      </c>
      <c r="EL61" s="73">
        <f t="shared" si="350"/>
        <v>-1</v>
      </c>
      <c r="EM61" s="73">
        <f t="shared" si="350"/>
        <v>-4100</v>
      </c>
      <c r="EN61" s="73">
        <f t="shared" si="350"/>
        <v>-1</v>
      </c>
      <c r="EO61" s="73">
        <f t="shared" si="350"/>
        <v>-1</v>
      </c>
      <c r="EP61" s="73">
        <f t="shared" si="350"/>
        <v>-1</v>
      </c>
      <c r="EQ61" s="73">
        <f t="shared" si="350"/>
        <v>-1</v>
      </c>
      <c r="ER61" s="73">
        <f t="shared" si="350"/>
        <v>-1</v>
      </c>
      <c r="ES61" s="73">
        <f t="shared" si="350"/>
        <v>-1</v>
      </c>
      <c r="ET61" s="73">
        <f t="shared" si="350"/>
        <v>-1</v>
      </c>
      <c r="EU61" s="73">
        <f t="shared" si="350"/>
        <v>-1</v>
      </c>
      <c r="EV61" s="73">
        <f t="shared" si="350"/>
        <v>-1</v>
      </c>
      <c r="EW61" s="73">
        <f t="shared" si="350"/>
        <v>-1</v>
      </c>
      <c r="EX61" s="73">
        <f t="shared" si="350"/>
        <v>-1</v>
      </c>
      <c r="EY61" s="5"/>
      <c r="EZ61" s="5"/>
      <c r="FA61" s="709"/>
      <c r="FB61" s="73">
        <f t="shared" ref="FB61:FC61" si="351">FB57-FB15</f>
        <v>0</v>
      </c>
      <c r="FC61" s="73">
        <f t="shared" si="351"/>
        <v>0</v>
      </c>
    </row>
    <row r="62" spans="2:159" x14ac:dyDescent="0.45">
      <c r="B62" s="2" t="s">
        <v>1172</v>
      </c>
      <c r="C62" s="2" t="s">
        <v>1</v>
      </c>
      <c r="D62" s="3">
        <f>(1000000/(D44/D60))/D56</f>
        <v>2.5426930882990861E-2</v>
      </c>
      <c r="E62" s="3">
        <f t="shared" ref="E62:BP62" si="352">(1000000/(E44/E60))/E56</f>
        <v>2.5429578694183504E-2</v>
      </c>
      <c r="F62" s="3">
        <f t="shared" ref="F62" si="353">(1000000/(F44/F60))/F56</f>
        <v>2.5437525437525439E-2</v>
      </c>
      <c r="G62" s="3">
        <f t="shared" si="352"/>
        <v>2.545078105265703E-2</v>
      </c>
      <c r="H62" s="3">
        <f t="shared" si="352"/>
        <v>2.546936214020069E-2</v>
      </c>
      <c r="I62" s="3">
        <f t="shared" si="352"/>
        <v>2.5493292013805638E-2</v>
      </c>
      <c r="J62" s="3">
        <f t="shared" si="352"/>
        <v>2.5522600773436894E-2</v>
      </c>
      <c r="K62" s="3">
        <f t="shared" si="352"/>
        <v>2.5557325400339528E-2</v>
      </c>
      <c r="L62" s="3">
        <f t="shared" si="352"/>
        <v>2.53162185569401E-2</v>
      </c>
      <c r="M62" s="3">
        <f t="shared" si="352"/>
        <v>2.5358280809994208E-2</v>
      </c>
      <c r="N62" s="3">
        <f t="shared" si="352"/>
        <v>2.5405768227241384E-2</v>
      </c>
      <c r="O62" s="3">
        <f t="shared" si="352"/>
        <v>2.5458741055071329E-2</v>
      </c>
      <c r="P62" s="3">
        <f t="shared" si="352"/>
        <v>2.551726689657724E-2</v>
      </c>
      <c r="Q62" s="3">
        <f t="shared" si="352"/>
        <v>2.5581420930258138E-2</v>
      </c>
      <c r="R62" s="3">
        <f t="shared" si="352"/>
        <v>2.5353015386237979E-2</v>
      </c>
      <c r="S62" s="3">
        <f t="shared" si="352"/>
        <v>2.5424283623138387E-2</v>
      </c>
      <c r="T62" s="3">
        <f t="shared" si="352"/>
        <v>2.5501278634110711E-2</v>
      </c>
      <c r="U62" s="3">
        <f t="shared" si="352"/>
        <v>2.5584101016264453E-2</v>
      </c>
      <c r="V62" s="3">
        <f t="shared" si="352"/>
        <v>2.5363548421296653E-2</v>
      </c>
      <c r="W62" s="3">
        <f t="shared" si="352"/>
        <v>2.5453433833671484E-2</v>
      </c>
      <c r="X62" s="3">
        <f t="shared" si="352"/>
        <v>2.5549303640954615E-2</v>
      </c>
      <c r="Y62" s="3">
        <f t="shared" si="352"/>
        <v>2.5334603610358358E-2</v>
      </c>
      <c r="Z62" s="3">
        <f t="shared" si="352"/>
        <v>2.5437525437525439E-2</v>
      </c>
      <c r="AA62" s="3">
        <f t="shared" si="352"/>
        <v>2.5546630840071576E-2</v>
      </c>
      <c r="AB62" s="3">
        <f t="shared" si="352"/>
        <v>2.533723222662837E-2</v>
      </c>
      <c r="AC62" s="3">
        <f t="shared" si="352"/>
        <v>2.5453433833671484E-2</v>
      </c>
      <c r="AD62" s="3">
        <f t="shared" si="352"/>
        <v>2.5576062442421891E-2</v>
      </c>
      <c r="AE62" s="3">
        <f t="shared" si="352"/>
        <v>2.5371453942882514E-2</v>
      </c>
      <c r="AF62" s="3">
        <f t="shared" si="352"/>
        <v>2.5501278634110714E-2</v>
      </c>
      <c r="AG62" s="3">
        <f t="shared" si="352"/>
        <v>2.5300481164550789E-2</v>
      </c>
      <c r="AH62" s="3">
        <f t="shared" si="352"/>
        <v>2.5437525437525439E-2</v>
      </c>
      <c r="AI62" s="3">
        <f t="shared" si="352"/>
        <v>2.5581420930258138E-2</v>
      </c>
      <c r="AJ62" s="3">
        <f t="shared" si="352"/>
        <v>2.5384640769256155E-2</v>
      </c>
      <c r="AK62" s="3">
        <f t="shared" si="352"/>
        <v>2.5535945226418926E-2</v>
      </c>
      <c r="AL62" s="3">
        <f t="shared" si="352"/>
        <v>2.5342491095915753E-2</v>
      </c>
      <c r="AM62" s="3">
        <f t="shared" si="352"/>
        <v>2.5501278634110714E-2</v>
      </c>
      <c r="AN62" s="3">
        <f t="shared" si="352"/>
        <v>2.5310970584602424E-2</v>
      </c>
      <c r="AO62" s="3">
        <f t="shared" si="352"/>
        <v>2.5477333771543476E-2</v>
      </c>
      <c r="AP62" s="3">
        <f t="shared" si="352"/>
        <v>2.5290000434988007E-2</v>
      </c>
      <c r="AQ62" s="3">
        <f t="shared" si="352"/>
        <v>2.5464050490119312E-2</v>
      </c>
      <c r="AR62" s="3">
        <f t="shared" si="352"/>
        <v>2.5279528385118447E-2</v>
      </c>
      <c r="AS62" s="3">
        <f t="shared" si="352"/>
        <v>2.5461395495802751E-2</v>
      </c>
      <c r="AT62" s="3">
        <f t="shared" si="352"/>
        <v>2.5279528385118447E-2</v>
      </c>
      <c r="AU62" s="3">
        <f t="shared" si="352"/>
        <v>2.546936214020069E-2</v>
      </c>
      <c r="AV62" s="3">
        <f t="shared" si="352"/>
        <v>2.5290000434988007E-2</v>
      </c>
      <c r="AW62" s="3">
        <f t="shared" si="352"/>
        <v>2.5487970378900344E-2</v>
      </c>
      <c r="AX62" s="3">
        <f t="shared" si="352"/>
        <v>2.5310970584602424E-2</v>
      </c>
      <c r="AY62" s="3">
        <f t="shared" si="352"/>
        <v>2.5517266896577243E-2</v>
      </c>
      <c r="AZ62" s="3">
        <f t="shared" si="352"/>
        <v>2.5342491095915753E-2</v>
      </c>
      <c r="BA62" s="3">
        <f t="shared" si="352"/>
        <v>2.5557325400339531E-2</v>
      </c>
      <c r="BB62" s="3">
        <f t="shared" si="352"/>
        <v>2.5384640769256152E-2</v>
      </c>
      <c r="BC62" s="3">
        <f t="shared" si="352"/>
        <v>2.5608247084757153E-2</v>
      </c>
      <c r="BD62" s="3">
        <f t="shared" si="352"/>
        <v>2.5437525437525439E-2</v>
      </c>
      <c r="BE62" s="3">
        <f t="shared" si="352"/>
        <v>2.5269065004164343E-2</v>
      </c>
      <c r="BF62" s="3">
        <f t="shared" si="352"/>
        <v>2.5501278634110714E-2</v>
      </c>
      <c r="BG62" s="3">
        <f t="shared" si="352"/>
        <v>2.5334603610358355E-2</v>
      </c>
      <c r="BH62" s="3">
        <f t="shared" si="352"/>
        <v>2.5576062442421891E-2</v>
      </c>
      <c r="BI62" s="3">
        <f t="shared" si="352"/>
        <v>2.5411055587954652E-2</v>
      </c>
      <c r="BJ62" s="3">
        <f t="shared" si="352"/>
        <v>2.5248164205980583E-2</v>
      </c>
      <c r="BK62" s="3">
        <f t="shared" si="352"/>
        <v>2.549861587138396E-2</v>
      </c>
      <c r="BL62" s="3">
        <f t="shared" si="352"/>
        <v>2.5337232226628367E-2</v>
      </c>
      <c r="BM62" s="3">
        <f t="shared" si="352"/>
        <v>2.5597509874239432E-2</v>
      </c>
      <c r="BN62" s="3">
        <f t="shared" si="352"/>
        <v>2.5437525437525439E-2</v>
      </c>
      <c r="BO62" s="3">
        <f t="shared" si="352"/>
        <v>2.5279528385118447E-2</v>
      </c>
      <c r="BP62" s="3">
        <f t="shared" si="352"/>
        <v>2.5549303640954615E-2</v>
      </c>
      <c r="BQ62" s="3">
        <f t="shared" ref="BQ62:EB62" si="354">(1000000/(BQ44/BQ60))/BQ56</f>
        <v>2.5392559446838329E-2</v>
      </c>
      <c r="BR62" s="3">
        <f t="shared" si="354"/>
        <v>2.5237726767284436E-2</v>
      </c>
      <c r="BS62" s="3">
        <f t="shared" si="354"/>
        <v>2.5517266896577243E-2</v>
      </c>
      <c r="BT62" s="3">
        <f t="shared" si="354"/>
        <v>2.5363548421296657E-2</v>
      </c>
      <c r="BU62" s="3">
        <f t="shared" si="354"/>
        <v>2.5653980901380838E-2</v>
      </c>
      <c r="BV62" s="3">
        <f t="shared" si="354"/>
        <v>2.5501278634110714E-2</v>
      </c>
      <c r="BW62" s="3">
        <f t="shared" si="354"/>
        <v>2.5350383494263908E-2</v>
      </c>
      <c r="BX62" s="3">
        <f t="shared" si="354"/>
        <v>2.5651286155487833E-2</v>
      </c>
      <c r="BY62" s="3">
        <f t="shared" si="354"/>
        <v>2.5501278634110714E-2</v>
      </c>
      <c r="BZ62" s="3">
        <f t="shared" si="354"/>
        <v>2.5353015386237975E-2</v>
      </c>
      <c r="CA62" s="3">
        <f t="shared" si="354"/>
        <v>2.566476554915861E-2</v>
      </c>
      <c r="CB62" s="3">
        <f t="shared" si="354"/>
        <v>2.5517266896577243E-2</v>
      </c>
      <c r="CC62" s="3">
        <f t="shared" si="354"/>
        <v>2.5371453942882517E-2</v>
      </c>
      <c r="CD62" s="3">
        <f t="shared" si="354"/>
        <v>2.5227297954570682E-2</v>
      </c>
      <c r="CE62" s="3">
        <f t="shared" si="354"/>
        <v>2.5549303640954615E-2</v>
      </c>
      <c r="CF62" s="3">
        <f t="shared" si="354"/>
        <v>2.5405768227241384E-2</v>
      </c>
      <c r="CG62" s="3">
        <f t="shared" si="354"/>
        <v>2.5263836561167409E-2</v>
      </c>
      <c r="CH62" s="3">
        <f t="shared" si="354"/>
        <v>2.5597509874239435E-2</v>
      </c>
      <c r="CI62" s="3">
        <f t="shared" si="354"/>
        <v>2.5456087167751926E-2</v>
      </c>
      <c r="CJ62" s="3">
        <f t="shared" si="354"/>
        <v>2.53162185569401E-2</v>
      </c>
      <c r="CK62" s="3">
        <f t="shared" si="354"/>
        <v>2.5662068537226166E-2</v>
      </c>
      <c r="CL62" s="3">
        <f t="shared" si="354"/>
        <v>2.5522600773436894E-2</v>
      </c>
      <c r="CM62" s="3">
        <f t="shared" si="354"/>
        <v>2.5384640769256152E-2</v>
      </c>
      <c r="CN62" s="3">
        <f t="shared" si="354"/>
        <v>2.5248164205980583E-2</v>
      </c>
      <c r="CO62" s="3">
        <f t="shared" si="354"/>
        <v>2.5605561937741869E-2</v>
      </c>
      <c r="CP62" s="3">
        <f t="shared" si="354"/>
        <v>2.5469362140200687E-2</v>
      </c>
      <c r="CQ62" s="3">
        <f t="shared" si="354"/>
        <v>2.5334603610358355E-2</v>
      </c>
      <c r="CR62" s="3">
        <f t="shared" si="354"/>
        <v>2.5201263591356472E-2</v>
      </c>
      <c r="CS62" s="3">
        <f t="shared" si="354"/>
        <v>2.557070619897845E-2</v>
      </c>
      <c r="CT62" s="3">
        <f t="shared" si="354"/>
        <v>2.5437525437525435E-2</v>
      </c>
      <c r="CU62" s="3">
        <f t="shared" si="354"/>
        <v>2.5305724787590071E-2</v>
      </c>
      <c r="CV62" s="3">
        <f t="shared" si="354"/>
        <v>2.5689064191062927E-2</v>
      </c>
      <c r="CW62" s="3">
        <f t="shared" si="354"/>
        <v>2.5557325400339528E-2</v>
      </c>
      <c r="CX62" s="3">
        <f t="shared" si="354"/>
        <v>2.5426930882990861E-2</v>
      </c>
      <c r="CY62" s="3">
        <f t="shared" si="354"/>
        <v>2.5297860167848771E-2</v>
      </c>
      <c r="CZ62" s="3">
        <f t="shared" si="354"/>
        <v>2.5694470138914582E-2</v>
      </c>
      <c r="DA62" s="3">
        <f t="shared" si="354"/>
        <v>2.5565352198518024E-2</v>
      </c>
      <c r="DB62" s="3">
        <f t="shared" si="354"/>
        <v>2.5437525437525439E-2</v>
      </c>
      <c r="DC62" s="3">
        <f t="shared" si="354"/>
        <v>2.5310970584602424E-2</v>
      </c>
      <c r="DD62" s="3">
        <f t="shared" si="354"/>
        <v>2.5185668750025186E-2</v>
      </c>
      <c r="DE62" s="3">
        <f t="shared" si="354"/>
        <v>2.5594826978329755E-2</v>
      </c>
      <c r="DF62" s="3">
        <f t="shared" si="354"/>
        <v>2.546936214020069E-2</v>
      </c>
      <c r="DG62" s="3">
        <f t="shared" si="354"/>
        <v>2.534512134927288E-2</v>
      </c>
      <c r="DH62" s="3">
        <f t="shared" si="354"/>
        <v>2.5222086779616217E-2</v>
      </c>
      <c r="DI62" s="3">
        <f t="shared" si="354"/>
        <v>2.5645898361714367E-2</v>
      </c>
      <c r="DJ62" s="3">
        <f t="shared" si="354"/>
        <v>2.5522600773436894E-2</v>
      </c>
      <c r="DK62" s="3">
        <f t="shared" si="354"/>
        <v>2.5400483066386953E-2</v>
      </c>
      <c r="DL62" s="3">
        <f t="shared" si="354"/>
        <v>2.5279528385118447E-2</v>
      </c>
      <c r="DM62" s="3">
        <f t="shared" si="354"/>
        <v>2.5718825086913553E-2</v>
      </c>
      <c r="DN62" s="3">
        <f t="shared" si="354"/>
        <v>2.5597509874239432E-2</v>
      </c>
      <c r="DO62" s="3">
        <f t="shared" si="354"/>
        <v>2.5477333771543473E-2</v>
      </c>
      <c r="DP62" s="3">
        <f t="shared" si="354"/>
        <v>2.5358280809994208E-2</v>
      </c>
      <c r="DQ62" s="3">
        <f t="shared" si="354"/>
        <v>2.52403353178547E-2</v>
      </c>
      <c r="DR62" s="3">
        <f t="shared" si="354"/>
        <v>2.5694470138914582E-2</v>
      </c>
      <c r="DS62" s="3">
        <f t="shared" si="354"/>
        <v>2.5576062442421891E-2</v>
      </c>
      <c r="DT62" s="3">
        <f t="shared" si="354"/>
        <v>2.5458741055071329E-2</v>
      </c>
      <c r="DU62" s="3">
        <f t="shared" si="354"/>
        <v>2.5342491095915753E-2</v>
      </c>
      <c r="DV62" s="3">
        <f t="shared" si="354"/>
        <v>2.5227297954570679E-2</v>
      </c>
      <c r="DW62" s="3">
        <f t="shared" si="354"/>
        <v>2.569717396614166E-2</v>
      </c>
      <c r="DX62" s="3">
        <f t="shared" si="354"/>
        <v>2.5581420930258138E-2</v>
      </c>
      <c r="DY62" s="3">
        <f t="shared" si="354"/>
        <v>2.54667060381942E-2</v>
      </c>
      <c r="DZ62" s="3">
        <f t="shared" si="354"/>
        <v>2.5353015386237979E-2</v>
      </c>
      <c r="EA62" s="3">
        <f t="shared" si="354"/>
        <v>2.5240335317854697E-2</v>
      </c>
      <c r="EB62" s="3">
        <f t="shared" si="354"/>
        <v>2.5726953666270987E-2</v>
      </c>
      <c r="EC62" s="3">
        <f t="shared" ref="EC62:FC62" si="355">(1000000/(EC44/EC60))/EC56</f>
        <v>2.5613619068622213E-2</v>
      </c>
      <c r="ED62" s="3">
        <f t="shared" si="355"/>
        <v>2.5501278634110711E-2</v>
      </c>
      <c r="EE62" s="3">
        <f t="shared" si="355"/>
        <v>2.5389919338765252E-2</v>
      </c>
      <c r="EF62" s="3">
        <f t="shared" si="355"/>
        <v>2.527952838511845E-2</v>
      </c>
      <c r="EG62" s="3">
        <f t="shared" si="355"/>
        <v>2.517009319730408E-2</v>
      </c>
      <c r="EH62" s="3">
        <f t="shared" si="355"/>
        <v>2.5672859987410028E-2</v>
      </c>
      <c r="EI62" s="3">
        <f t="shared" si="355"/>
        <v>2.5562676038966212E-2</v>
      </c>
      <c r="EJ62" s="3">
        <f t="shared" si="355"/>
        <v>2.5453433833671484E-2</v>
      </c>
      <c r="EK62" s="3">
        <f t="shared" si="355"/>
        <v>2.5345121349272876E-2</v>
      </c>
      <c r="EL62" s="3">
        <f t="shared" si="355"/>
        <v>2.5237726767284436E-2</v>
      </c>
      <c r="EM62" s="3">
        <f t="shared" si="355"/>
        <v>2.5759519430405504E-2</v>
      </c>
      <c r="EN62" s="3">
        <f t="shared" si="355"/>
        <v>2.565128615548784E-2</v>
      </c>
      <c r="EO62" s="3">
        <f t="shared" si="355"/>
        <v>2.5543958598351905E-2</v>
      </c>
      <c r="EP62" s="3">
        <f t="shared" si="355"/>
        <v>2.5437525437525439E-2</v>
      </c>
      <c r="EQ62" s="3">
        <f t="shared" si="355"/>
        <v>2.5331975539444419E-2</v>
      </c>
      <c r="ER62" s="3">
        <f t="shared" si="355"/>
        <v>2.5227297954570682E-2</v>
      </c>
      <c r="ES62" s="3">
        <f t="shared" si="355"/>
        <v>2.5123481913605372E-2</v>
      </c>
      <c r="ET62" s="3">
        <f t="shared" si="355"/>
        <v>2.5662068537226169E-2</v>
      </c>
      <c r="EU62" s="3">
        <f t="shared" si="355"/>
        <v>2.5557325400339531E-2</v>
      </c>
      <c r="EV62" s="3">
        <f t="shared" si="355"/>
        <v>2.5453433833671484E-2</v>
      </c>
      <c r="EW62" s="3">
        <f t="shared" si="355"/>
        <v>2.5350383494263905E-2</v>
      </c>
      <c r="EX62" s="3">
        <f t="shared" si="355"/>
        <v>2.5248164205980583E-2</v>
      </c>
      <c r="EY62" s="5"/>
      <c r="EZ62" s="5"/>
      <c r="FA62" s="709"/>
      <c r="FB62" s="3">
        <f t="shared" si="355"/>
        <v>2.5481082844096541E-2</v>
      </c>
      <c r="FC62" s="3">
        <f t="shared" si="355"/>
        <v>2.5481082844096545E-2</v>
      </c>
    </row>
    <row r="63" spans="2:159" x14ac:dyDescent="0.45">
      <c r="B63" s="2"/>
      <c r="C63" s="2" t="s">
        <v>0</v>
      </c>
      <c r="D63" s="3">
        <f>1/D62</f>
        <v>39.328379999999996</v>
      </c>
      <c r="E63" s="3">
        <f t="shared" ref="E63:BP63" si="356">1/E62</f>
        <v>39.324285000000003</v>
      </c>
      <c r="F63" s="3">
        <f t="shared" ref="F63" si="357">1/F62</f>
        <v>39.311999999999998</v>
      </c>
      <c r="G63" s="3">
        <f t="shared" si="356"/>
        <v>39.291525</v>
      </c>
      <c r="H63" s="3">
        <f t="shared" si="356"/>
        <v>39.262859999999996</v>
      </c>
      <c r="I63" s="3">
        <f t="shared" si="356"/>
        <v>39.226005000000001</v>
      </c>
      <c r="J63" s="3">
        <f t="shared" si="356"/>
        <v>39.180959999999999</v>
      </c>
      <c r="K63" s="3">
        <f t="shared" si="356"/>
        <v>39.127725000000005</v>
      </c>
      <c r="L63" s="3">
        <f t="shared" si="356"/>
        <v>39.500369999999997</v>
      </c>
      <c r="M63" s="3">
        <f t="shared" si="356"/>
        <v>39.434849999999997</v>
      </c>
      <c r="N63" s="3">
        <f t="shared" si="356"/>
        <v>39.361140000000006</v>
      </c>
      <c r="O63" s="3">
        <f t="shared" si="356"/>
        <v>39.279240000000001</v>
      </c>
      <c r="P63" s="3">
        <f t="shared" si="356"/>
        <v>39.189150000000005</v>
      </c>
      <c r="Q63" s="3">
        <f t="shared" si="356"/>
        <v>39.090870000000002</v>
      </c>
      <c r="R63" s="3">
        <f t="shared" si="356"/>
        <v>39.443039999999996</v>
      </c>
      <c r="S63" s="3">
        <f t="shared" si="356"/>
        <v>39.332475000000002</v>
      </c>
      <c r="T63" s="3">
        <f t="shared" si="356"/>
        <v>39.213720000000009</v>
      </c>
      <c r="U63" s="3">
        <f t="shared" si="356"/>
        <v>39.086774999999996</v>
      </c>
      <c r="V63" s="3">
        <f t="shared" si="356"/>
        <v>39.426660000000005</v>
      </c>
      <c r="W63" s="3">
        <f t="shared" si="356"/>
        <v>39.287430000000001</v>
      </c>
      <c r="X63" s="3">
        <f t="shared" si="356"/>
        <v>39.140009999999997</v>
      </c>
      <c r="Y63" s="3">
        <f t="shared" si="356"/>
        <v>39.471705</v>
      </c>
      <c r="Z63" s="3">
        <f t="shared" si="356"/>
        <v>39.311999999999998</v>
      </c>
      <c r="AA63" s="3">
        <f t="shared" si="356"/>
        <v>39.144105000000003</v>
      </c>
      <c r="AB63" s="3">
        <f t="shared" si="356"/>
        <v>39.467609999999993</v>
      </c>
      <c r="AC63" s="3">
        <f t="shared" si="356"/>
        <v>39.287430000000001</v>
      </c>
      <c r="AD63" s="3">
        <f t="shared" si="356"/>
        <v>39.099059999999994</v>
      </c>
      <c r="AE63" s="3">
        <f t="shared" si="356"/>
        <v>39.414375</v>
      </c>
      <c r="AF63" s="3">
        <f t="shared" si="356"/>
        <v>39.213720000000002</v>
      </c>
      <c r="AG63" s="3">
        <f t="shared" si="356"/>
        <v>39.524939999999994</v>
      </c>
      <c r="AH63" s="3">
        <f t="shared" si="356"/>
        <v>39.311999999999998</v>
      </c>
      <c r="AI63" s="3">
        <f t="shared" si="356"/>
        <v>39.090870000000002</v>
      </c>
      <c r="AJ63" s="3">
        <f t="shared" si="356"/>
        <v>39.393899999999995</v>
      </c>
      <c r="AK63" s="3">
        <f t="shared" si="356"/>
        <v>39.160485000000001</v>
      </c>
      <c r="AL63" s="3">
        <f t="shared" si="356"/>
        <v>39.459420000000001</v>
      </c>
      <c r="AM63" s="3">
        <f t="shared" si="356"/>
        <v>39.213720000000002</v>
      </c>
      <c r="AN63" s="3">
        <f t="shared" si="356"/>
        <v>39.508560000000003</v>
      </c>
      <c r="AO63" s="3">
        <f t="shared" si="356"/>
        <v>39.250574999999998</v>
      </c>
      <c r="AP63" s="3">
        <f t="shared" si="356"/>
        <v>39.541319999999999</v>
      </c>
      <c r="AQ63" s="3">
        <f t="shared" si="356"/>
        <v>39.271050000000002</v>
      </c>
      <c r="AR63" s="3">
        <f t="shared" si="356"/>
        <v>39.557700000000004</v>
      </c>
      <c r="AS63" s="3">
        <f t="shared" si="356"/>
        <v>39.275145000000002</v>
      </c>
      <c r="AT63" s="3">
        <f t="shared" si="356"/>
        <v>39.557700000000004</v>
      </c>
      <c r="AU63" s="3">
        <f t="shared" si="356"/>
        <v>39.262859999999996</v>
      </c>
      <c r="AV63" s="3">
        <f t="shared" si="356"/>
        <v>39.541319999999999</v>
      </c>
      <c r="AW63" s="3">
        <f t="shared" si="356"/>
        <v>39.234195</v>
      </c>
      <c r="AX63" s="3">
        <f t="shared" si="356"/>
        <v>39.508560000000003</v>
      </c>
      <c r="AY63" s="3">
        <f t="shared" si="356"/>
        <v>39.189149999999998</v>
      </c>
      <c r="AZ63" s="3">
        <f t="shared" si="356"/>
        <v>39.459420000000001</v>
      </c>
      <c r="BA63" s="3">
        <f t="shared" si="356"/>
        <v>39.127724999999998</v>
      </c>
      <c r="BB63" s="3">
        <f t="shared" si="356"/>
        <v>39.393900000000002</v>
      </c>
      <c r="BC63" s="3">
        <f t="shared" si="356"/>
        <v>39.04992</v>
      </c>
      <c r="BD63" s="3">
        <f t="shared" si="356"/>
        <v>39.311999999999998</v>
      </c>
      <c r="BE63" s="3">
        <f t="shared" si="356"/>
        <v>39.574080000000002</v>
      </c>
      <c r="BF63" s="3">
        <f t="shared" si="356"/>
        <v>39.213720000000002</v>
      </c>
      <c r="BG63" s="3">
        <f t="shared" si="356"/>
        <v>39.471705</v>
      </c>
      <c r="BH63" s="3">
        <f t="shared" si="356"/>
        <v>39.099059999999994</v>
      </c>
      <c r="BI63" s="3">
        <f t="shared" si="356"/>
        <v>39.35295</v>
      </c>
      <c r="BJ63" s="3">
        <f t="shared" si="356"/>
        <v>39.606839999999998</v>
      </c>
      <c r="BK63" s="3">
        <f t="shared" si="356"/>
        <v>39.217815000000002</v>
      </c>
      <c r="BL63" s="3">
        <f t="shared" si="356"/>
        <v>39.467610000000001</v>
      </c>
      <c r="BM63" s="3">
        <f t="shared" si="356"/>
        <v>39.066300000000005</v>
      </c>
      <c r="BN63" s="3">
        <f t="shared" si="356"/>
        <v>39.311999999999998</v>
      </c>
      <c r="BO63" s="3">
        <f t="shared" si="356"/>
        <v>39.557700000000004</v>
      </c>
      <c r="BP63" s="3">
        <f t="shared" si="356"/>
        <v>39.140009999999997</v>
      </c>
      <c r="BQ63" s="3">
        <f t="shared" ref="BQ63:EB63" si="358">1/BQ62</f>
        <v>39.381614999999996</v>
      </c>
      <c r="BR63" s="3">
        <f t="shared" si="358"/>
        <v>39.623219999999996</v>
      </c>
      <c r="BS63" s="3">
        <f t="shared" si="358"/>
        <v>39.189149999999998</v>
      </c>
      <c r="BT63" s="3">
        <f t="shared" si="358"/>
        <v>39.426659999999998</v>
      </c>
      <c r="BU63" s="3">
        <f t="shared" si="358"/>
        <v>38.980305000000001</v>
      </c>
      <c r="BV63" s="3">
        <f t="shared" si="358"/>
        <v>39.213720000000002</v>
      </c>
      <c r="BW63" s="3">
        <f t="shared" si="358"/>
        <v>39.447134999999996</v>
      </c>
      <c r="BX63" s="3">
        <f t="shared" si="358"/>
        <v>38.984400000000008</v>
      </c>
      <c r="BY63" s="3">
        <f t="shared" si="358"/>
        <v>39.213720000000002</v>
      </c>
      <c r="BZ63" s="3">
        <f t="shared" si="358"/>
        <v>39.443040000000003</v>
      </c>
      <c r="CA63" s="3">
        <f t="shared" si="358"/>
        <v>38.963925000000003</v>
      </c>
      <c r="CB63" s="3">
        <f t="shared" si="358"/>
        <v>39.189149999999998</v>
      </c>
      <c r="CC63" s="3">
        <f t="shared" si="358"/>
        <v>39.414374999999993</v>
      </c>
      <c r="CD63" s="3">
        <f t="shared" si="358"/>
        <v>39.639600000000002</v>
      </c>
      <c r="CE63" s="3">
        <f t="shared" si="358"/>
        <v>39.140009999999997</v>
      </c>
      <c r="CF63" s="3">
        <f t="shared" si="358"/>
        <v>39.361140000000006</v>
      </c>
      <c r="CG63" s="3">
        <f t="shared" si="358"/>
        <v>39.582270000000001</v>
      </c>
      <c r="CH63" s="3">
        <f t="shared" si="358"/>
        <v>39.066299999999998</v>
      </c>
      <c r="CI63" s="3">
        <f t="shared" si="358"/>
        <v>39.283334999999994</v>
      </c>
      <c r="CJ63" s="3">
        <f t="shared" si="358"/>
        <v>39.500369999999997</v>
      </c>
      <c r="CK63" s="3">
        <f t="shared" si="358"/>
        <v>38.968020000000003</v>
      </c>
      <c r="CL63" s="3">
        <f t="shared" si="358"/>
        <v>39.180959999999999</v>
      </c>
      <c r="CM63" s="3">
        <f t="shared" si="358"/>
        <v>39.393900000000002</v>
      </c>
      <c r="CN63" s="3">
        <f t="shared" si="358"/>
        <v>39.606839999999998</v>
      </c>
      <c r="CO63" s="3">
        <f t="shared" si="358"/>
        <v>39.054015</v>
      </c>
      <c r="CP63" s="3">
        <f t="shared" si="358"/>
        <v>39.262860000000003</v>
      </c>
      <c r="CQ63" s="3">
        <f t="shared" si="358"/>
        <v>39.471705</v>
      </c>
      <c r="CR63" s="3">
        <f t="shared" si="358"/>
        <v>39.680549999999997</v>
      </c>
      <c r="CS63" s="3">
        <f t="shared" si="358"/>
        <v>39.107250000000001</v>
      </c>
      <c r="CT63" s="3">
        <f t="shared" si="358"/>
        <v>39.312000000000005</v>
      </c>
      <c r="CU63" s="3">
        <f t="shared" si="358"/>
        <v>39.516750000000002</v>
      </c>
      <c r="CV63" s="3">
        <f t="shared" si="358"/>
        <v>38.927070000000001</v>
      </c>
      <c r="CW63" s="3">
        <f t="shared" si="358"/>
        <v>39.127725000000005</v>
      </c>
      <c r="CX63" s="3">
        <f t="shared" si="358"/>
        <v>39.328379999999996</v>
      </c>
      <c r="CY63" s="3">
        <f t="shared" si="358"/>
        <v>39.529035</v>
      </c>
      <c r="CZ63" s="3">
        <f t="shared" si="358"/>
        <v>38.918880000000001</v>
      </c>
      <c r="DA63" s="3">
        <f t="shared" si="358"/>
        <v>39.115440000000007</v>
      </c>
      <c r="DB63" s="3">
        <f t="shared" si="358"/>
        <v>39.311999999999998</v>
      </c>
      <c r="DC63" s="3">
        <f t="shared" si="358"/>
        <v>39.508560000000003</v>
      </c>
      <c r="DD63" s="3">
        <f t="shared" si="358"/>
        <v>39.705120000000001</v>
      </c>
      <c r="DE63" s="3">
        <f t="shared" si="358"/>
        <v>39.070394999999998</v>
      </c>
      <c r="DF63" s="3">
        <f t="shared" si="358"/>
        <v>39.262859999999996</v>
      </c>
      <c r="DG63" s="3">
        <f t="shared" si="358"/>
        <v>39.455325000000002</v>
      </c>
      <c r="DH63" s="3">
        <f t="shared" si="358"/>
        <v>39.647790000000001</v>
      </c>
      <c r="DI63" s="3">
        <f t="shared" si="358"/>
        <v>38.99259</v>
      </c>
      <c r="DJ63" s="3">
        <f t="shared" si="358"/>
        <v>39.180959999999999</v>
      </c>
      <c r="DK63" s="3">
        <f t="shared" si="358"/>
        <v>39.369330000000005</v>
      </c>
      <c r="DL63" s="3">
        <f t="shared" si="358"/>
        <v>39.557700000000004</v>
      </c>
      <c r="DM63" s="3">
        <f t="shared" si="358"/>
        <v>38.882024999999999</v>
      </c>
      <c r="DN63" s="3">
        <f t="shared" si="358"/>
        <v>39.066300000000005</v>
      </c>
      <c r="DO63" s="3">
        <f t="shared" si="358"/>
        <v>39.250575000000005</v>
      </c>
      <c r="DP63" s="3">
        <f t="shared" si="358"/>
        <v>39.434849999999997</v>
      </c>
      <c r="DQ63" s="3">
        <f t="shared" si="358"/>
        <v>39.619124999999997</v>
      </c>
      <c r="DR63" s="3">
        <f t="shared" si="358"/>
        <v>38.918880000000001</v>
      </c>
      <c r="DS63" s="3">
        <f t="shared" si="358"/>
        <v>39.099059999999994</v>
      </c>
      <c r="DT63" s="3">
        <f t="shared" si="358"/>
        <v>39.279240000000001</v>
      </c>
      <c r="DU63" s="3">
        <f t="shared" si="358"/>
        <v>39.459420000000001</v>
      </c>
      <c r="DV63" s="3">
        <f t="shared" si="358"/>
        <v>39.639600000000002</v>
      </c>
      <c r="DW63" s="3">
        <f t="shared" si="358"/>
        <v>38.914785000000002</v>
      </c>
      <c r="DX63" s="3">
        <f t="shared" si="358"/>
        <v>39.090870000000002</v>
      </c>
      <c r="DY63" s="3">
        <f t="shared" si="358"/>
        <v>39.266955000000003</v>
      </c>
      <c r="DZ63" s="3">
        <f t="shared" si="358"/>
        <v>39.443039999999996</v>
      </c>
      <c r="EA63" s="3">
        <f t="shared" si="358"/>
        <v>39.619125000000004</v>
      </c>
      <c r="EB63" s="3">
        <f t="shared" si="358"/>
        <v>38.86974</v>
      </c>
      <c r="EC63" s="3">
        <f t="shared" ref="EC63:FC63" si="359">1/EC62</f>
        <v>39.041730000000001</v>
      </c>
      <c r="ED63" s="3">
        <f t="shared" si="359"/>
        <v>39.213720000000009</v>
      </c>
      <c r="EE63" s="3">
        <f t="shared" si="359"/>
        <v>39.385710000000003</v>
      </c>
      <c r="EF63" s="3">
        <f t="shared" si="359"/>
        <v>39.557699999999997</v>
      </c>
      <c r="EG63" s="3">
        <f t="shared" si="359"/>
        <v>39.729690000000005</v>
      </c>
      <c r="EH63" s="3">
        <f t="shared" si="359"/>
        <v>38.951640000000005</v>
      </c>
      <c r="EI63" s="3">
        <f t="shared" si="359"/>
        <v>39.119534999999999</v>
      </c>
      <c r="EJ63" s="3">
        <f t="shared" si="359"/>
        <v>39.287430000000001</v>
      </c>
      <c r="EK63" s="3">
        <f t="shared" si="359"/>
        <v>39.455325000000009</v>
      </c>
      <c r="EL63" s="3">
        <f t="shared" si="359"/>
        <v>39.623219999999996</v>
      </c>
      <c r="EM63" s="3">
        <f t="shared" si="359"/>
        <v>38.820600000000006</v>
      </c>
      <c r="EN63" s="3">
        <f t="shared" si="359"/>
        <v>38.984399999999994</v>
      </c>
      <c r="EO63" s="3">
        <f t="shared" si="359"/>
        <v>39.148199999999996</v>
      </c>
      <c r="EP63" s="3">
        <f t="shared" si="359"/>
        <v>39.311999999999998</v>
      </c>
      <c r="EQ63" s="3">
        <f t="shared" si="359"/>
        <v>39.4758</v>
      </c>
      <c r="ER63" s="3">
        <f t="shared" si="359"/>
        <v>39.639600000000002</v>
      </c>
      <c r="ES63" s="3">
        <f t="shared" si="359"/>
        <v>39.803399999999996</v>
      </c>
      <c r="ET63" s="3">
        <f t="shared" si="359"/>
        <v>38.968019999999996</v>
      </c>
      <c r="EU63" s="3">
        <f t="shared" si="359"/>
        <v>39.127724999999998</v>
      </c>
      <c r="EV63" s="3">
        <f t="shared" si="359"/>
        <v>39.287430000000001</v>
      </c>
      <c r="EW63" s="3">
        <f t="shared" si="359"/>
        <v>39.447135000000003</v>
      </c>
      <c r="EX63" s="3">
        <f t="shared" si="359"/>
        <v>39.606839999999998</v>
      </c>
      <c r="EY63" s="5"/>
      <c r="EZ63" s="5"/>
      <c r="FA63" s="709"/>
      <c r="FB63" s="3">
        <f t="shared" si="359"/>
        <v>39.244800000000005</v>
      </c>
      <c r="FC63" s="3">
        <f t="shared" si="359"/>
        <v>39.244799999999998</v>
      </c>
    </row>
    <row r="64" spans="2:159" x14ac:dyDescent="0.45">
      <c r="B64" s="2" t="s">
        <v>16</v>
      </c>
      <c r="C64" s="2" t="s">
        <v>5</v>
      </c>
      <c r="D64" s="174">
        <f t="shared" ref="D64:AI64" si="360">D51-D9</f>
        <v>0</v>
      </c>
      <c r="E64" s="174">
        <f t="shared" si="360"/>
        <v>0</v>
      </c>
      <c r="F64" s="174">
        <f t="shared" ref="F64" si="361">F51-F9</f>
        <v>0</v>
      </c>
      <c r="G64" s="174">
        <f t="shared" si="360"/>
        <v>0</v>
      </c>
      <c r="H64" s="174">
        <f t="shared" si="360"/>
        <v>0</v>
      </c>
      <c r="I64" s="174">
        <f t="shared" si="360"/>
        <v>0</v>
      </c>
      <c r="J64" s="174">
        <f t="shared" si="360"/>
        <v>0</v>
      </c>
      <c r="K64" s="174">
        <f t="shared" si="360"/>
        <v>0</v>
      </c>
      <c r="L64" s="174">
        <f t="shared" si="360"/>
        <v>0</v>
      </c>
      <c r="M64" s="174">
        <f t="shared" si="360"/>
        <v>0</v>
      </c>
      <c r="N64" s="174">
        <f t="shared" si="360"/>
        <v>0</v>
      </c>
      <c r="O64" s="174">
        <f t="shared" si="360"/>
        <v>0</v>
      </c>
      <c r="P64" s="174">
        <f t="shared" si="360"/>
        <v>0</v>
      </c>
      <c r="Q64" s="174">
        <f t="shared" si="360"/>
        <v>0</v>
      </c>
      <c r="R64" s="174">
        <f t="shared" si="360"/>
        <v>0</v>
      </c>
      <c r="S64" s="174">
        <f t="shared" si="360"/>
        <v>0</v>
      </c>
      <c r="T64" s="174">
        <f t="shared" si="360"/>
        <v>0</v>
      </c>
      <c r="U64" s="174">
        <f t="shared" si="360"/>
        <v>0</v>
      </c>
      <c r="V64" s="174">
        <f t="shared" si="360"/>
        <v>0</v>
      </c>
      <c r="W64" s="174">
        <f t="shared" si="360"/>
        <v>0</v>
      </c>
      <c r="X64" s="174">
        <f t="shared" si="360"/>
        <v>0</v>
      </c>
      <c r="Y64" s="174">
        <f t="shared" si="360"/>
        <v>0</v>
      </c>
      <c r="Z64" s="174">
        <f t="shared" si="360"/>
        <v>0</v>
      </c>
      <c r="AA64" s="174">
        <f t="shared" si="360"/>
        <v>0</v>
      </c>
      <c r="AB64" s="174">
        <f t="shared" si="360"/>
        <v>0</v>
      </c>
      <c r="AC64" s="174">
        <f t="shared" si="360"/>
        <v>0</v>
      </c>
      <c r="AD64" s="174">
        <f t="shared" si="360"/>
        <v>0</v>
      </c>
      <c r="AE64" s="174">
        <f t="shared" si="360"/>
        <v>0</v>
      </c>
      <c r="AF64" s="174">
        <f t="shared" si="360"/>
        <v>0</v>
      </c>
      <c r="AG64" s="174">
        <f t="shared" si="360"/>
        <v>0</v>
      </c>
      <c r="AH64" s="174">
        <f t="shared" si="360"/>
        <v>0</v>
      </c>
      <c r="AI64" s="174">
        <f t="shared" si="360"/>
        <v>0</v>
      </c>
      <c r="AJ64" s="174">
        <f t="shared" ref="AJ64:BO64" si="362">AJ51-AJ9</f>
        <v>0</v>
      </c>
      <c r="AK64" s="174">
        <f t="shared" si="362"/>
        <v>0</v>
      </c>
      <c r="AL64" s="174">
        <f t="shared" si="362"/>
        <v>0</v>
      </c>
      <c r="AM64" s="174">
        <f t="shared" si="362"/>
        <v>0</v>
      </c>
      <c r="AN64" s="174">
        <f t="shared" si="362"/>
        <v>0</v>
      </c>
      <c r="AO64" s="174">
        <f t="shared" si="362"/>
        <v>0</v>
      </c>
      <c r="AP64" s="174">
        <f t="shared" si="362"/>
        <v>0</v>
      </c>
      <c r="AQ64" s="174">
        <f t="shared" si="362"/>
        <v>0</v>
      </c>
      <c r="AR64" s="174">
        <f t="shared" si="362"/>
        <v>0</v>
      </c>
      <c r="AS64" s="174">
        <f t="shared" si="362"/>
        <v>0</v>
      </c>
      <c r="AT64" s="174">
        <f t="shared" si="362"/>
        <v>0</v>
      </c>
      <c r="AU64" s="174">
        <f t="shared" si="362"/>
        <v>0</v>
      </c>
      <c r="AV64" s="174">
        <f t="shared" si="362"/>
        <v>0</v>
      </c>
      <c r="AW64" s="174">
        <f t="shared" si="362"/>
        <v>0</v>
      </c>
      <c r="AX64" s="174">
        <f t="shared" si="362"/>
        <v>0</v>
      </c>
      <c r="AY64" s="174">
        <f t="shared" si="362"/>
        <v>0</v>
      </c>
      <c r="AZ64" s="174">
        <f t="shared" si="362"/>
        <v>0</v>
      </c>
      <c r="BA64" s="174">
        <f t="shared" si="362"/>
        <v>0</v>
      </c>
      <c r="BB64" s="174">
        <f t="shared" si="362"/>
        <v>0</v>
      </c>
      <c r="BC64" s="174">
        <f t="shared" si="362"/>
        <v>0</v>
      </c>
      <c r="BD64" s="174">
        <f t="shared" si="362"/>
        <v>0</v>
      </c>
      <c r="BE64" s="174">
        <f t="shared" si="362"/>
        <v>0</v>
      </c>
      <c r="BF64" s="174">
        <f t="shared" si="362"/>
        <v>0</v>
      </c>
      <c r="BG64" s="174">
        <f t="shared" si="362"/>
        <v>0</v>
      </c>
      <c r="BH64" s="174">
        <f t="shared" si="362"/>
        <v>0</v>
      </c>
      <c r="BI64" s="174">
        <f t="shared" si="362"/>
        <v>0</v>
      </c>
      <c r="BJ64" s="174">
        <f t="shared" si="362"/>
        <v>0</v>
      </c>
      <c r="BK64" s="174">
        <f t="shared" si="362"/>
        <v>0</v>
      </c>
      <c r="BL64" s="174">
        <f t="shared" si="362"/>
        <v>0</v>
      </c>
      <c r="BM64" s="174">
        <f t="shared" si="362"/>
        <v>0</v>
      </c>
      <c r="BN64" s="174">
        <f t="shared" si="362"/>
        <v>0</v>
      </c>
      <c r="BO64" s="174">
        <f t="shared" si="362"/>
        <v>0</v>
      </c>
      <c r="BP64" s="174">
        <f t="shared" ref="BP64:CU64" si="363">BP51-BP9</f>
        <v>0</v>
      </c>
      <c r="BQ64" s="174">
        <f t="shared" si="363"/>
        <v>0</v>
      </c>
      <c r="BR64" s="174">
        <f t="shared" si="363"/>
        <v>0</v>
      </c>
      <c r="BS64" s="174">
        <f t="shared" si="363"/>
        <v>0</v>
      </c>
      <c r="BT64" s="174">
        <f t="shared" si="363"/>
        <v>0</v>
      </c>
      <c r="BU64" s="174">
        <f t="shared" si="363"/>
        <v>0</v>
      </c>
      <c r="BV64" s="174">
        <f t="shared" si="363"/>
        <v>0</v>
      </c>
      <c r="BW64" s="174">
        <f t="shared" si="363"/>
        <v>0</v>
      </c>
      <c r="BX64" s="174">
        <f t="shared" si="363"/>
        <v>0</v>
      </c>
      <c r="BY64" s="174">
        <f t="shared" si="363"/>
        <v>0</v>
      </c>
      <c r="BZ64" s="174">
        <f t="shared" si="363"/>
        <v>0</v>
      </c>
      <c r="CA64" s="174">
        <f t="shared" si="363"/>
        <v>0</v>
      </c>
      <c r="CB64" s="174">
        <f t="shared" si="363"/>
        <v>0</v>
      </c>
      <c r="CC64" s="174">
        <f t="shared" si="363"/>
        <v>0</v>
      </c>
      <c r="CD64" s="174">
        <f t="shared" si="363"/>
        <v>0</v>
      </c>
      <c r="CE64" s="174">
        <f t="shared" si="363"/>
        <v>0</v>
      </c>
      <c r="CF64" s="174">
        <f t="shared" si="363"/>
        <v>0</v>
      </c>
      <c r="CG64" s="174">
        <f t="shared" si="363"/>
        <v>0</v>
      </c>
      <c r="CH64" s="174">
        <f t="shared" si="363"/>
        <v>0</v>
      </c>
      <c r="CI64" s="174">
        <f t="shared" si="363"/>
        <v>0</v>
      </c>
      <c r="CJ64" s="174">
        <f t="shared" si="363"/>
        <v>0</v>
      </c>
      <c r="CK64" s="174">
        <f t="shared" si="363"/>
        <v>0</v>
      </c>
      <c r="CL64" s="174">
        <f t="shared" si="363"/>
        <v>0</v>
      </c>
      <c r="CM64" s="174">
        <f t="shared" si="363"/>
        <v>0</v>
      </c>
      <c r="CN64" s="174">
        <f t="shared" si="363"/>
        <v>0</v>
      </c>
      <c r="CO64" s="174">
        <f t="shared" si="363"/>
        <v>0</v>
      </c>
      <c r="CP64" s="174">
        <f t="shared" si="363"/>
        <v>0</v>
      </c>
      <c r="CQ64" s="174">
        <f t="shared" si="363"/>
        <v>0</v>
      </c>
      <c r="CR64" s="174">
        <f t="shared" si="363"/>
        <v>0</v>
      </c>
      <c r="CS64" s="174">
        <f t="shared" si="363"/>
        <v>0</v>
      </c>
      <c r="CT64" s="174">
        <f t="shared" si="363"/>
        <v>0</v>
      </c>
      <c r="CU64" s="174">
        <f t="shared" si="363"/>
        <v>0</v>
      </c>
      <c r="CV64" s="174">
        <f t="shared" ref="CV64:EA64" si="364">CV51-CV9</f>
        <v>0</v>
      </c>
      <c r="CW64" s="174">
        <f t="shared" si="364"/>
        <v>0</v>
      </c>
      <c r="CX64" s="174">
        <f t="shared" si="364"/>
        <v>0</v>
      </c>
      <c r="CY64" s="174">
        <f t="shared" si="364"/>
        <v>0</v>
      </c>
      <c r="CZ64" s="174">
        <f t="shared" si="364"/>
        <v>0</v>
      </c>
      <c r="DA64" s="174">
        <f t="shared" si="364"/>
        <v>0</v>
      </c>
      <c r="DB64" s="174">
        <f t="shared" si="364"/>
        <v>0</v>
      </c>
      <c r="DC64" s="174">
        <f t="shared" si="364"/>
        <v>0</v>
      </c>
      <c r="DD64" s="174">
        <f t="shared" si="364"/>
        <v>0</v>
      </c>
      <c r="DE64" s="174">
        <f t="shared" si="364"/>
        <v>0</v>
      </c>
      <c r="DF64" s="174">
        <f t="shared" si="364"/>
        <v>0</v>
      </c>
      <c r="DG64" s="174">
        <f t="shared" si="364"/>
        <v>0</v>
      </c>
      <c r="DH64" s="174">
        <f t="shared" si="364"/>
        <v>0</v>
      </c>
      <c r="DI64" s="174">
        <f t="shared" si="364"/>
        <v>0</v>
      </c>
      <c r="DJ64" s="174">
        <f t="shared" si="364"/>
        <v>0</v>
      </c>
      <c r="DK64" s="174">
        <f t="shared" si="364"/>
        <v>0</v>
      </c>
      <c r="DL64" s="174">
        <f t="shared" si="364"/>
        <v>0</v>
      </c>
      <c r="DM64" s="174">
        <f t="shared" si="364"/>
        <v>0</v>
      </c>
      <c r="DN64" s="174">
        <f t="shared" si="364"/>
        <v>0</v>
      </c>
      <c r="DO64" s="174">
        <f t="shared" si="364"/>
        <v>0</v>
      </c>
      <c r="DP64" s="174">
        <f t="shared" si="364"/>
        <v>0</v>
      </c>
      <c r="DQ64" s="174">
        <f t="shared" si="364"/>
        <v>0</v>
      </c>
      <c r="DR64" s="174">
        <f t="shared" si="364"/>
        <v>0</v>
      </c>
      <c r="DS64" s="174">
        <f t="shared" si="364"/>
        <v>0</v>
      </c>
      <c r="DT64" s="174">
        <f t="shared" si="364"/>
        <v>0</v>
      </c>
      <c r="DU64" s="174">
        <f t="shared" si="364"/>
        <v>0</v>
      </c>
      <c r="DV64" s="174">
        <f t="shared" si="364"/>
        <v>0</v>
      </c>
      <c r="DW64" s="174">
        <f t="shared" si="364"/>
        <v>0</v>
      </c>
      <c r="DX64" s="174">
        <f t="shared" si="364"/>
        <v>0</v>
      </c>
      <c r="DY64" s="174">
        <f t="shared" si="364"/>
        <v>0</v>
      </c>
      <c r="DZ64" s="174">
        <f t="shared" si="364"/>
        <v>0</v>
      </c>
      <c r="EA64" s="174">
        <f t="shared" si="364"/>
        <v>0</v>
      </c>
      <c r="EB64" s="174">
        <f t="shared" ref="EB64:EX64" si="365">EB51-EB9</f>
        <v>0</v>
      </c>
      <c r="EC64" s="174">
        <f t="shared" si="365"/>
        <v>0</v>
      </c>
      <c r="ED64" s="174">
        <f t="shared" si="365"/>
        <v>0</v>
      </c>
      <c r="EE64" s="174">
        <f t="shared" si="365"/>
        <v>0</v>
      </c>
      <c r="EF64" s="174">
        <f t="shared" si="365"/>
        <v>0</v>
      </c>
      <c r="EG64" s="174">
        <f t="shared" si="365"/>
        <v>0</v>
      </c>
      <c r="EH64" s="174">
        <f t="shared" si="365"/>
        <v>0</v>
      </c>
      <c r="EI64" s="174">
        <f t="shared" si="365"/>
        <v>0</v>
      </c>
      <c r="EJ64" s="174">
        <f t="shared" si="365"/>
        <v>0</v>
      </c>
      <c r="EK64" s="174">
        <f t="shared" si="365"/>
        <v>0</v>
      </c>
      <c r="EL64" s="174">
        <f t="shared" si="365"/>
        <v>0</v>
      </c>
      <c r="EM64" s="174">
        <f t="shared" si="365"/>
        <v>-1</v>
      </c>
      <c r="EN64" s="174">
        <f t="shared" si="365"/>
        <v>0</v>
      </c>
      <c r="EO64" s="174">
        <f t="shared" si="365"/>
        <v>0</v>
      </c>
      <c r="EP64" s="174">
        <f t="shared" si="365"/>
        <v>0</v>
      </c>
      <c r="EQ64" s="174">
        <f t="shared" si="365"/>
        <v>0</v>
      </c>
      <c r="ER64" s="174">
        <f t="shared" si="365"/>
        <v>0</v>
      </c>
      <c r="ES64" s="174">
        <f t="shared" si="365"/>
        <v>0</v>
      </c>
      <c r="ET64" s="174">
        <f t="shared" si="365"/>
        <v>0</v>
      </c>
      <c r="EU64" s="174">
        <f t="shared" si="365"/>
        <v>0</v>
      </c>
      <c r="EV64" s="174">
        <f t="shared" si="365"/>
        <v>0</v>
      </c>
      <c r="EW64" s="174">
        <f t="shared" si="365"/>
        <v>0</v>
      </c>
      <c r="EX64" s="174">
        <f t="shared" si="365"/>
        <v>0</v>
      </c>
      <c r="EY64" s="5"/>
      <c r="EZ64" s="5"/>
      <c r="FA64" s="709"/>
      <c r="FB64" s="174">
        <f t="shared" ref="FB64:FC64" si="366">FB51-FB9</f>
        <v>0</v>
      </c>
      <c r="FC64" s="174">
        <f t="shared" si="366"/>
        <v>0</v>
      </c>
    </row>
    <row r="65" spans="2:160" x14ac:dyDescent="0.45">
      <c r="B65" s="2" t="s">
        <v>1168</v>
      </c>
      <c r="C65" s="2" t="s">
        <v>1</v>
      </c>
      <c r="D65" s="68">
        <f t="shared" ref="D65:AI65" si="367">$FB$62*D51 - D62*D51</f>
        <v>5.3068921883565601E-3</v>
      </c>
      <c r="E65" s="68">
        <f t="shared" si="367"/>
        <v>4.9959025415646785E-3</v>
      </c>
      <c r="F65" s="68">
        <f t="shared" si="367"/>
        <v>4.1815110308256465E-3</v>
      </c>
      <c r="G65" s="68">
        <f t="shared" si="367"/>
        <v>2.8786701867535847E-3</v>
      </c>
      <c r="H65" s="68">
        <f t="shared" si="367"/>
        <v>1.1017461662099493E-3</v>
      </c>
      <c r="I65" s="68">
        <f t="shared" si="367"/>
        <v>-1.1354527829463557E-3</v>
      </c>
      <c r="J65" s="68">
        <f t="shared" si="367"/>
        <v>-3.8196494993125718E-3</v>
      </c>
      <c r="K65" s="68">
        <f t="shared" si="367"/>
        <v>-6.9380726181118568E-3</v>
      </c>
      <c r="L65" s="68">
        <f t="shared" si="367"/>
        <v>1.5002650131235917E-2</v>
      </c>
      <c r="M65" s="68">
        <f t="shared" si="367"/>
        <v>1.1052183069209853E-2</v>
      </c>
      <c r="N65" s="68">
        <f t="shared" si="367"/>
        <v>6.7030009001092239E-3</v>
      </c>
      <c r="O65" s="68">
        <f t="shared" si="367"/>
        <v>1.9660774342189491E-3</v>
      </c>
      <c r="P65" s="68">
        <f t="shared" si="367"/>
        <v>-3.1480125658207569E-3</v>
      </c>
      <c r="Q65" s="68">
        <f t="shared" si="367"/>
        <v>-8.6290754098969913E-3</v>
      </c>
      <c r="R65" s="68">
        <f t="shared" si="367"/>
        <v>1.1013801375836518E-2</v>
      </c>
      <c r="S65" s="68">
        <f t="shared" si="367"/>
        <v>4.8279337814434164E-3</v>
      </c>
      <c r="T65" s="68">
        <f t="shared" si="367"/>
        <v>-1.6964463611901515E-3</v>
      </c>
      <c r="U65" s="68">
        <f t="shared" si="367"/>
        <v>-8.5505082899364204E-3</v>
      </c>
      <c r="V65" s="68">
        <f t="shared" si="367"/>
        <v>9.7553570923909483E-3</v>
      </c>
      <c r="W65" s="68">
        <f t="shared" si="367"/>
        <v>2.2672188548549244E-3</v>
      </c>
      <c r="X65" s="68">
        <f t="shared" si="367"/>
        <v>-5.5258845455039562E-3</v>
      </c>
      <c r="Y65" s="68">
        <f t="shared" si="367"/>
        <v>1.1864817932792704E-2</v>
      </c>
      <c r="Z65" s="68">
        <f t="shared" si="367"/>
        <v>3.4845925256883348E-3</v>
      </c>
      <c r="AA65" s="68">
        <f t="shared" si="367"/>
        <v>-5.1782916820277691E-3</v>
      </c>
      <c r="AB65" s="68">
        <f t="shared" si="367"/>
        <v>1.1364198779985735E-2</v>
      </c>
      <c r="AC65" s="68">
        <f t="shared" si="367"/>
        <v>2.1566228131544296E-3</v>
      </c>
      <c r="AD65" s="68">
        <f t="shared" si="367"/>
        <v>-7.3134290710519245E-3</v>
      </c>
      <c r="AE65" s="68">
        <f t="shared" si="367"/>
        <v>8.4414253934801398E-3</v>
      </c>
      <c r="AF65" s="68">
        <f t="shared" si="367"/>
        <v>-1.5348800410770469E-3</v>
      </c>
      <c r="AG65" s="68">
        <f t="shared" si="367"/>
        <v>1.3725727645477193E-2</v>
      </c>
      <c r="AH65" s="68">
        <f t="shared" si="367"/>
        <v>3.2668054928326473E-3</v>
      </c>
      <c r="AI65" s="68">
        <f t="shared" si="367"/>
        <v>-7.4250183759583255E-3</v>
      </c>
      <c r="AJ65" s="68">
        <f t="shared" ref="AJ65:BO65" si="368">$FB$62*AJ51 - AJ62*AJ51</f>
        <v>7.136713538188566E-3</v>
      </c>
      <c r="AK65" s="68">
        <f t="shared" si="368"/>
        <v>-4.004953909534148E-3</v>
      </c>
      <c r="AL65" s="68">
        <f t="shared" si="368"/>
        <v>1.0117197617197426E-2</v>
      </c>
      <c r="AM65" s="68">
        <f t="shared" si="368"/>
        <v>-1.4540968810206056E-3</v>
      </c>
      <c r="AN65" s="68">
        <f t="shared" si="368"/>
        <v>1.2248082683576467E-2</v>
      </c>
      <c r="AO65" s="68">
        <f t="shared" si="368"/>
        <v>2.6618415126744566E-4</v>
      </c>
      <c r="AP65" s="68">
        <f t="shared" si="368"/>
        <v>1.3566851046705741E-2</v>
      </c>
      <c r="AQ65" s="68">
        <f t="shared" si="368"/>
        <v>1.1922647784061713E-3</v>
      </c>
      <c r="AR65" s="68">
        <f t="shared" si="368"/>
        <v>1.4108812128466708E-2</v>
      </c>
      <c r="AS65" s="68">
        <f t="shared" si="368"/>
        <v>1.3584270322717362E-3</v>
      </c>
      <c r="AT65" s="68">
        <f t="shared" si="368"/>
        <v>1.3907257669488526E-2</v>
      </c>
      <c r="AU65" s="68">
        <f t="shared" si="368"/>
        <v>7.9700786491798681E-4</v>
      </c>
      <c r="AV65" s="68">
        <f t="shared" si="368"/>
        <v>1.2993603819380306E-2</v>
      </c>
      <c r="AW65" s="68">
        <f t="shared" si="368"/>
        <v>-4.6146483185460774E-4</v>
      </c>
      <c r="AX65" s="68">
        <f t="shared" si="368"/>
        <v>1.1397521386105947E-2</v>
      </c>
      <c r="AY65" s="68">
        <f t="shared" si="368"/>
        <v>-2.3881474637263977E-3</v>
      </c>
      <c r="AZ65" s="68">
        <f t="shared" si="368"/>
        <v>9.1470553799319898E-3</v>
      </c>
      <c r="BA65" s="68">
        <f t="shared" si="368"/>
        <v>-4.9557661557944055E-3</v>
      </c>
      <c r="BB65" s="68">
        <f t="shared" si="368"/>
        <v>6.2687348646253138E-3</v>
      </c>
      <c r="BC65" s="68">
        <f t="shared" si="368"/>
        <v>-8.1385114022791694E-3</v>
      </c>
      <c r="BD65" s="68">
        <f t="shared" si="368"/>
        <v>2.787674020550579E-3</v>
      </c>
      <c r="BE65" s="68">
        <f t="shared" si="368"/>
        <v>1.3569141755660707E-2</v>
      </c>
      <c r="BF65" s="68">
        <f t="shared" si="368"/>
        <v>-1.2723347708929467E-3</v>
      </c>
      <c r="BG65" s="68">
        <f t="shared" si="368"/>
        <v>9.2281917255057078E-3</v>
      </c>
      <c r="BH65" s="68">
        <f t="shared" si="368"/>
        <v>-5.8887350961716045E-3</v>
      </c>
      <c r="BI65" s="68">
        <f t="shared" si="368"/>
        <v>4.3416898807970838E-3</v>
      </c>
      <c r="BJ65" s="68">
        <f t="shared" si="368"/>
        <v>1.4440955563189251E-2</v>
      </c>
      <c r="BK65" s="68">
        <f t="shared" si="368"/>
        <v>-1.0695146645325337E-3</v>
      </c>
      <c r="BL65" s="68">
        <f t="shared" si="368"/>
        <v>8.7748876655586727E-3</v>
      </c>
      <c r="BM65" s="68">
        <f t="shared" si="368"/>
        <v>-6.9856218085735389E-3</v>
      </c>
      <c r="BN65" s="68">
        <f t="shared" si="368"/>
        <v>2.613444394266029E-3</v>
      </c>
      <c r="BO65" s="68">
        <f t="shared" si="368"/>
        <v>1.2093267538685559E-2</v>
      </c>
      <c r="BP65" s="68">
        <f t="shared" ref="BP65:CU65" si="369">$FB$62*BP51 - BP62*BP51</f>
        <v>-4.025027014626481E-3</v>
      </c>
      <c r="BQ65" s="68">
        <f t="shared" si="369"/>
        <v>5.2228804382343785E-3</v>
      </c>
      <c r="BR65" s="68">
        <f t="shared" si="369"/>
        <v>1.4358008531914157E-2</v>
      </c>
      <c r="BS65" s="68">
        <f t="shared" si="369"/>
        <v>-2.0986750438807267E-3</v>
      </c>
      <c r="BT65" s="68">
        <f t="shared" si="369"/>
        <v>6.8169965223932039E-3</v>
      </c>
      <c r="BU65" s="68">
        <f t="shared" si="369"/>
        <v>-9.855189265204789E-3</v>
      </c>
      <c r="BV65" s="68">
        <f t="shared" si="369"/>
        <v>-1.1511600308078407E-3</v>
      </c>
      <c r="BW65" s="68">
        <f t="shared" si="369"/>
        <v>7.449862940460239E-3</v>
      </c>
      <c r="BX65" s="68">
        <f t="shared" si="369"/>
        <v>-9.5313854379122098E-3</v>
      </c>
      <c r="BY65" s="68">
        <f t="shared" si="369"/>
        <v>-1.1309642407935083E-3</v>
      </c>
      <c r="BZ65" s="68">
        <f t="shared" si="369"/>
        <v>7.1717776400797018E-3</v>
      </c>
      <c r="CA65" s="68">
        <f t="shared" si="369"/>
        <v>-1.0102548778413656E-2</v>
      </c>
      <c r="CB65" s="68">
        <f t="shared" si="369"/>
        <v>-1.9901228864385168E-3</v>
      </c>
      <c r="CC65" s="68">
        <f t="shared" si="369"/>
        <v>6.029589566771465E-3</v>
      </c>
      <c r="CD65" s="68">
        <f t="shared" si="369"/>
        <v>1.3958168923922321E-2</v>
      </c>
      <c r="CE65" s="68">
        <f t="shared" si="369"/>
        <v>-3.6839230303358228E-3</v>
      </c>
      <c r="CF65" s="68">
        <f t="shared" si="369"/>
        <v>4.0669893101785703E-3</v>
      </c>
      <c r="CG65" s="68">
        <f t="shared" si="369"/>
        <v>1.1731299278173291E-2</v>
      </c>
      <c r="CH65" s="68">
        <f t="shared" si="369"/>
        <v>-6.1706325975734444E-3</v>
      </c>
      <c r="CI65" s="68">
        <f t="shared" si="369"/>
        <v>1.3247708462647001E-3</v>
      </c>
      <c r="CJ65" s="68">
        <f t="shared" si="369"/>
        <v>8.7378072192914047E-3</v>
      </c>
      <c r="CK65" s="68">
        <f t="shared" si="369"/>
        <v>-9.4112560427404013E-3</v>
      </c>
      <c r="CL65" s="68">
        <f t="shared" si="369"/>
        <v>-2.158932325698304E-3</v>
      </c>
      <c r="CM65" s="68">
        <f t="shared" si="369"/>
        <v>5.0149878917002955E-3</v>
      </c>
      <c r="CN65" s="68">
        <f t="shared" si="369"/>
        <v>1.211176918202983E-2</v>
      </c>
      <c r="CO65" s="68">
        <f t="shared" si="369"/>
        <v>-6.3484337759116549E-3</v>
      </c>
      <c r="CP65" s="68">
        <f t="shared" si="369"/>
        <v>5.9775589868849011E-4</v>
      </c>
      <c r="CQ65" s="68">
        <f t="shared" si="369"/>
        <v>7.4704409206474143E-3</v>
      </c>
      <c r="CR65" s="68">
        <f t="shared" si="369"/>
        <v>1.4270781889743622E-2</v>
      </c>
      <c r="CS65" s="68">
        <f t="shared" si="369"/>
        <v>-4.48116774409546E-3</v>
      </c>
      <c r="CT65" s="68">
        <f t="shared" si="369"/>
        <v>2.1778703285553203E-3</v>
      </c>
      <c r="CU65" s="68">
        <f t="shared" si="369"/>
        <v>8.7679028253235813E-3</v>
      </c>
      <c r="CV65" s="68">
        <f t="shared" ref="CV65:EA65" si="370">$FB$62*CV51 - CV62*CV51</f>
        <v>-1.0191086001352989E-2</v>
      </c>
      <c r="CW65" s="68">
        <f t="shared" si="370"/>
        <v>-3.7358852559064015E-3</v>
      </c>
      <c r="CX65" s="68">
        <f t="shared" si="370"/>
        <v>2.65344609417828E-3</v>
      </c>
      <c r="CY65" s="68">
        <f t="shared" si="370"/>
        <v>8.9779111361407704E-3</v>
      </c>
      <c r="CZ65" s="68">
        <f t="shared" si="370"/>
        <v>-1.024259015126594E-2</v>
      </c>
      <c r="DA65" s="68">
        <f t="shared" si="370"/>
        <v>-4.044929012231302E-3</v>
      </c>
      <c r="DB65" s="68">
        <f t="shared" si="370"/>
        <v>2.0907555154128232E-3</v>
      </c>
      <c r="DC65" s="68">
        <f t="shared" si="370"/>
        <v>8.1653884557175704E-3</v>
      </c>
      <c r="DD65" s="68">
        <f t="shared" si="370"/>
        <v>1.4179876515425072E-2</v>
      </c>
      <c r="DE65" s="68">
        <f t="shared" si="370"/>
        <v>-5.3459743089612211E-3</v>
      </c>
      <c r="DF65" s="68">
        <f t="shared" si="370"/>
        <v>5.5087308310497463E-4</v>
      </c>
      <c r="DG65" s="68">
        <f t="shared" si="370"/>
        <v>6.3901902567120583E-3</v>
      </c>
      <c r="DH65" s="68">
        <f t="shared" si="370"/>
        <v>1.2172815030575102E-2</v>
      </c>
      <c r="DI65" s="68">
        <f t="shared" si="370"/>
        <v>-7.5815138104200486E-3</v>
      </c>
      <c r="DJ65" s="68">
        <f t="shared" si="370"/>
        <v>-1.9098247496562859E-3</v>
      </c>
      <c r="DK65" s="68">
        <f t="shared" si="370"/>
        <v>3.7075897746410291E-3</v>
      </c>
      <c r="DL65" s="68">
        <f t="shared" si="370"/>
        <v>9.2715051129923509E-3</v>
      </c>
      <c r="DM65" s="68">
        <f t="shared" si="370"/>
        <v>-1.0698400926765661E-2</v>
      </c>
      <c r="DN65" s="68">
        <f t="shared" si="370"/>
        <v>-5.2392163564300986E-3</v>
      </c>
      <c r="DO65" s="68">
        <f t="shared" si="370"/>
        <v>1.6870826488801782E-4</v>
      </c>
      <c r="DP65" s="68">
        <f t="shared" si="370"/>
        <v>5.5260915346049266E-3</v>
      </c>
      <c r="DQ65" s="68">
        <f t="shared" si="370"/>
        <v>1.0833638680882718E-2</v>
      </c>
      <c r="DR65" s="68">
        <f t="shared" si="370"/>
        <v>-9.3890409719936674E-3</v>
      </c>
      <c r="DS65" s="68">
        <f t="shared" si="370"/>
        <v>-4.1791023263153537E-3</v>
      </c>
      <c r="DT65" s="68">
        <f t="shared" si="370"/>
        <v>9.8303871710947455E-4</v>
      </c>
      <c r="DU65" s="68">
        <f t="shared" si="370"/>
        <v>6.0980369199548079E-3</v>
      </c>
      <c r="DV65" s="68">
        <f t="shared" si="370"/>
        <v>1.1166535139138123E-2</v>
      </c>
      <c r="DW65" s="68">
        <f t="shared" si="370"/>
        <v>-9.2919182479400675E-3</v>
      </c>
      <c r="DX65" s="68">
        <f t="shared" si="370"/>
        <v>-4.3145377049484956E-3</v>
      </c>
      <c r="DY65" s="68">
        <f t="shared" si="370"/>
        <v>6.1820265380085893E-4</v>
      </c>
      <c r="DZ65" s="68">
        <f t="shared" si="370"/>
        <v>5.5069006879182592E-3</v>
      </c>
      <c r="EA65" s="68">
        <f t="shared" si="370"/>
        <v>1.0352143628399313E-2</v>
      </c>
      <c r="EB65" s="68">
        <f t="shared" ref="EB65:EX65" si="371">$FB$62*EB51 - EB62*EB51</f>
        <v>-1.0326574531326571E-2</v>
      </c>
      <c r="EC65" s="68">
        <f t="shared" si="371"/>
        <v>-5.5665214300781862E-3</v>
      </c>
      <c r="ED65" s="68">
        <f t="shared" si="371"/>
        <v>-8.4822318059507573E-4</v>
      </c>
      <c r="EE65" s="68">
        <f t="shared" si="371"/>
        <v>3.8288672239141786E-3</v>
      </c>
      <c r="EF65" s="68">
        <f t="shared" si="371"/>
        <v>8.4652872770798471E-3</v>
      </c>
      <c r="EG65" s="68">
        <f t="shared" si="371"/>
        <v>1.3061565165283451E-2</v>
      </c>
      <c r="EH65" s="68">
        <f t="shared" si="371"/>
        <v>-7.8628628758528052E-3</v>
      </c>
      <c r="EI65" s="68">
        <f t="shared" si="371"/>
        <v>-3.3453209896563418E-3</v>
      </c>
      <c r="EJ65" s="68">
        <f t="shared" si="371"/>
        <v>1.1336094274274622E-3</v>
      </c>
      <c r="EK65" s="68">
        <f t="shared" si="371"/>
        <v>5.5744212877704147E-3</v>
      </c>
      <c r="EL65" s="68">
        <f t="shared" si="371"/>
        <v>9.9775991492963012E-3</v>
      </c>
      <c r="EM65" s="68">
        <f t="shared" si="371"/>
        <v>-1.1137463452358443E-2</v>
      </c>
      <c r="EN65" s="68">
        <f t="shared" si="371"/>
        <v>-6.8081324556519274E-3</v>
      </c>
      <c r="EO65" s="68">
        <f t="shared" si="371"/>
        <v>-2.5150301702145939E-3</v>
      </c>
      <c r="EP65" s="68">
        <f t="shared" si="371"/>
        <v>1.7422962628441674E-3</v>
      </c>
      <c r="EQ65" s="68">
        <f t="shared" si="371"/>
        <v>5.9642921860849629E-3</v>
      </c>
      <c r="ER65" s="68">
        <f t="shared" si="371"/>
        <v>1.0151395581034395E-2</v>
      </c>
      <c r="ES65" s="68">
        <f t="shared" si="371"/>
        <v>1.4304037219646792E-2</v>
      </c>
      <c r="ET65" s="68">
        <f t="shared" si="371"/>
        <v>-7.058442032055412E-3</v>
      </c>
      <c r="EU65" s="68">
        <f t="shared" si="371"/>
        <v>-2.9734596934766211E-3</v>
      </c>
      <c r="EV65" s="68">
        <f t="shared" si="371"/>
        <v>1.0783114065772148E-3</v>
      </c>
      <c r="EW65" s="68">
        <f t="shared" si="371"/>
        <v>5.0972746434728711E-3</v>
      </c>
      <c r="EX65" s="68">
        <f t="shared" si="371"/>
        <v>9.0838268865223171E-3</v>
      </c>
      <c r="EY65" s="59"/>
      <c r="EZ65" s="59"/>
      <c r="FA65" s="709"/>
      <c r="FB65" s="68">
        <f>$FB$62*FB51 - FB62*FB51</f>
        <v>0</v>
      </c>
      <c r="FC65" s="68">
        <f>$FB$62*FC51 - FC62*FC51</f>
        <v>0</v>
      </c>
    </row>
    <row r="66" spans="2:160" x14ac:dyDescent="0.45">
      <c r="B66" s="2"/>
      <c r="C66" s="2" t="s">
        <v>903</v>
      </c>
      <c r="D66" s="175">
        <f>D65/(D62*D51)</f>
        <v>2.1297089041093708E-3</v>
      </c>
      <c r="E66" s="175">
        <f t="shared" ref="E66:BP66" si="372">E65/(E62*E51)</f>
        <v>2.0253638698630289E-3</v>
      </c>
      <c r="F66" s="175">
        <f t="shared" ref="F66" si="373">F65/(F62*F51)</f>
        <v>1.7123287671231022E-3</v>
      </c>
      <c r="G66" s="175">
        <f t="shared" si="372"/>
        <v>1.1906035958903489E-3</v>
      </c>
      <c r="H66" s="175">
        <f t="shared" si="372"/>
        <v>4.6018835616423368E-4</v>
      </c>
      <c r="I66" s="175">
        <f t="shared" si="372"/>
        <v>-4.7891695205502858E-4</v>
      </c>
      <c r="J66" s="175">
        <f t="shared" si="372"/>
        <v>-1.626712328767238E-3</v>
      </c>
      <c r="K66" s="175">
        <f t="shared" si="372"/>
        <v>-2.9831977739726459E-3</v>
      </c>
      <c r="L66" s="175">
        <f t="shared" si="372"/>
        <v>6.5122003424655742E-3</v>
      </c>
      <c r="M66" s="175">
        <f t="shared" si="372"/>
        <v>4.8426797945203348E-3</v>
      </c>
      <c r="N66" s="175">
        <f t="shared" si="372"/>
        <v>2.9644691780823054E-3</v>
      </c>
      <c r="O66" s="175">
        <f t="shared" si="372"/>
        <v>8.7756849315079907E-4</v>
      </c>
      <c r="P66" s="175">
        <f t="shared" si="372"/>
        <v>-1.4180222602739601E-3</v>
      </c>
      <c r="Q66" s="175">
        <f t="shared" si="372"/>
        <v>-3.9223030821916288E-3</v>
      </c>
      <c r="R66" s="175">
        <f t="shared" si="372"/>
        <v>5.0513698630136605E-3</v>
      </c>
      <c r="S66" s="175">
        <f t="shared" si="372"/>
        <v>2.2340539383562193E-3</v>
      </c>
      <c r="T66" s="175">
        <f t="shared" si="372"/>
        <v>-7.9195205479439847E-4</v>
      </c>
      <c r="U66" s="175">
        <f t="shared" si="372"/>
        <v>-4.0266481164383094E-3</v>
      </c>
      <c r="V66" s="175">
        <f t="shared" si="372"/>
        <v>4.6339897260275487E-3</v>
      </c>
      <c r="W66" s="175">
        <f t="shared" si="372"/>
        <v>1.0862585616438171E-3</v>
      </c>
      <c r="X66" s="175">
        <f t="shared" si="372"/>
        <v>-2.6701626712329666E-3</v>
      </c>
      <c r="Y66" s="175">
        <f t="shared" si="372"/>
        <v>5.781785102739548E-3</v>
      </c>
      <c r="Z66" s="175">
        <f t="shared" si="372"/>
        <v>1.7123287671232477E-3</v>
      </c>
      <c r="AA66" s="175">
        <f t="shared" si="372"/>
        <v>-2.5658176369863493E-3</v>
      </c>
      <c r="AB66" s="175">
        <f t="shared" si="372"/>
        <v>5.6774400684930729E-3</v>
      </c>
      <c r="AC66" s="175">
        <f t="shared" si="372"/>
        <v>1.0862585616436887E-3</v>
      </c>
      <c r="AD66" s="175">
        <f t="shared" si="372"/>
        <v>-3.7136130136987459E-3</v>
      </c>
      <c r="AE66" s="175">
        <f t="shared" si="372"/>
        <v>4.3209546232876464E-3</v>
      </c>
      <c r="AF66" s="175">
        <f t="shared" si="372"/>
        <v>-7.9195205479452391E-4</v>
      </c>
      <c r="AG66" s="175">
        <f t="shared" si="372"/>
        <v>7.1382705479450959E-3</v>
      </c>
      <c r="AH66" s="175">
        <f t="shared" si="372"/>
        <v>1.7123287671231603E-3</v>
      </c>
      <c r="AI66" s="175">
        <f t="shared" si="372"/>
        <v>-3.9223030821918655E-3</v>
      </c>
      <c r="AJ66" s="175">
        <f t="shared" si="372"/>
        <v>3.7992294520546831E-3</v>
      </c>
      <c r="AK66" s="175">
        <f t="shared" si="372"/>
        <v>-2.1484375000000461E-3</v>
      </c>
      <c r="AL66" s="175">
        <f t="shared" si="372"/>
        <v>5.4687499999998964E-3</v>
      </c>
      <c r="AM66" s="175">
        <f t="shared" si="372"/>
        <v>-7.9195205479465748E-4</v>
      </c>
      <c r="AN66" s="175">
        <f t="shared" si="372"/>
        <v>6.7208904109589155E-3</v>
      </c>
      <c r="AO66" s="175">
        <f t="shared" si="372"/>
        <v>1.4715325342442562E-4</v>
      </c>
      <c r="AP66" s="175">
        <f t="shared" si="372"/>
        <v>7.5556506849313613E-3</v>
      </c>
      <c r="AQ66" s="175">
        <f t="shared" si="372"/>
        <v>6.6887842465753822E-4</v>
      </c>
      <c r="AR66" s="175">
        <f t="shared" si="372"/>
        <v>7.973030821917821E-3</v>
      </c>
      <c r="AS66" s="175">
        <f t="shared" si="372"/>
        <v>7.732234589042337E-4</v>
      </c>
      <c r="AT66" s="175">
        <f t="shared" si="372"/>
        <v>7.9730308219177724E-3</v>
      </c>
      <c r="AU66" s="175">
        <f t="shared" si="372"/>
        <v>4.6018835616432096E-4</v>
      </c>
      <c r="AV66" s="175">
        <f t="shared" si="372"/>
        <v>7.5556506849314541E-3</v>
      </c>
      <c r="AW66" s="175">
        <f t="shared" si="372"/>
        <v>-2.7022688356158049E-4</v>
      </c>
      <c r="AX66" s="175">
        <f t="shared" si="372"/>
        <v>6.7208904109589554E-3</v>
      </c>
      <c r="AY66" s="175">
        <f t="shared" si="372"/>
        <v>-1.4180222602741416E-3</v>
      </c>
      <c r="AZ66" s="175">
        <f t="shared" si="372"/>
        <v>5.4687499999999389E-3</v>
      </c>
      <c r="BA66" s="175">
        <f t="shared" si="372"/>
        <v>-2.983197773972779E-3</v>
      </c>
      <c r="BB66" s="175">
        <f t="shared" si="372"/>
        <v>3.7992294520548179E-3</v>
      </c>
      <c r="BC66" s="175">
        <f t="shared" si="372"/>
        <v>-4.9657534246576466E-3</v>
      </c>
      <c r="BD66" s="175">
        <f t="shared" si="372"/>
        <v>1.712328767123193E-3</v>
      </c>
      <c r="BE66" s="175">
        <f t="shared" si="372"/>
        <v>8.3904109589040196E-3</v>
      </c>
      <c r="BF66" s="175">
        <f t="shared" si="372"/>
        <v>-7.9195205479460566E-4</v>
      </c>
      <c r="BG66" s="175">
        <f t="shared" si="372"/>
        <v>5.7817851027397189E-3</v>
      </c>
      <c r="BH66" s="175">
        <f t="shared" si="372"/>
        <v>-3.713613013698699E-3</v>
      </c>
      <c r="BI66" s="175">
        <f t="shared" si="372"/>
        <v>2.7557791095889289E-3</v>
      </c>
      <c r="BJ66" s="175">
        <f t="shared" si="372"/>
        <v>9.2251712328765556E-3</v>
      </c>
      <c r="BK66" s="175">
        <f t="shared" si="372"/>
        <v>-6.8760702054793403E-4</v>
      </c>
      <c r="BL66" s="175">
        <f t="shared" si="372"/>
        <v>5.6774400684931172E-3</v>
      </c>
      <c r="BM66" s="175">
        <f t="shared" si="372"/>
        <v>-4.5483732876712745E-3</v>
      </c>
      <c r="BN66" s="175">
        <f t="shared" si="372"/>
        <v>1.7123287671231022E-3</v>
      </c>
      <c r="BO66" s="175">
        <f t="shared" si="372"/>
        <v>7.9730308219176961E-3</v>
      </c>
      <c r="BP66" s="175">
        <f t="shared" si="372"/>
        <v>-2.6701626712330611E-3</v>
      </c>
      <c r="BQ66" s="175">
        <f t="shared" ref="BQ66:EB66" si="374">BQ65/(BQ62*BQ51)</f>
        <v>3.4861943493148741E-3</v>
      </c>
      <c r="BR66" s="175">
        <f t="shared" si="374"/>
        <v>9.6425513698629103E-3</v>
      </c>
      <c r="BS66" s="175">
        <f t="shared" si="374"/>
        <v>-1.4180222602741099E-3</v>
      </c>
      <c r="BT66" s="175">
        <f t="shared" si="374"/>
        <v>4.6339897260272277E-3</v>
      </c>
      <c r="BU66" s="175">
        <f t="shared" si="374"/>
        <v>-6.7396190068492734E-3</v>
      </c>
      <c r="BV66" s="175">
        <f t="shared" si="374"/>
        <v>-7.9195205479456207E-4</v>
      </c>
      <c r="BW66" s="175">
        <f t="shared" si="374"/>
        <v>5.1557148972602102E-3</v>
      </c>
      <c r="BX66" s="175">
        <f t="shared" si="374"/>
        <v>-6.6352739726025858E-3</v>
      </c>
      <c r="BY66" s="175">
        <f t="shared" si="374"/>
        <v>-7.9195205479445029E-4</v>
      </c>
      <c r="BZ66" s="175">
        <f t="shared" si="374"/>
        <v>5.0513698630137377E-3</v>
      </c>
      <c r="CA66" s="175">
        <f t="shared" si="374"/>
        <v>-7.1569991438354789E-3</v>
      </c>
      <c r="CB66" s="175">
        <f t="shared" si="374"/>
        <v>-1.4180222602740362E-3</v>
      </c>
      <c r="CC66" s="175">
        <f t="shared" si="374"/>
        <v>4.3209546232876005E-3</v>
      </c>
      <c r="CD66" s="175">
        <f t="shared" si="374"/>
        <v>1.0059931506849295E-2</v>
      </c>
      <c r="CE66" s="175">
        <f t="shared" si="374"/>
        <v>-2.6701626712328595E-3</v>
      </c>
      <c r="CF66" s="175">
        <f t="shared" si="374"/>
        <v>2.964469178082262E-3</v>
      </c>
      <c r="CG66" s="175">
        <f t="shared" si="374"/>
        <v>8.5991010273974138E-3</v>
      </c>
      <c r="CH66" s="175">
        <f t="shared" si="374"/>
        <v>-4.5483732876713855E-3</v>
      </c>
      <c r="CI66" s="175">
        <f t="shared" si="374"/>
        <v>9.8191352739716441E-4</v>
      </c>
      <c r="CJ66" s="175">
        <f t="shared" si="374"/>
        <v>6.5122003424656905E-3</v>
      </c>
      <c r="CK66" s="175">
        <f t="shared" si="374"/>
        <v>-7.052654109589016E-3</v>
      </c>
      <c r="CL66" s="175">
        <f t="shared" si="374"/>
        <v>-1.626712328767158E-3</v>
      </c>
      <c r="CM66" s="175">
        <f t="shared" si="374"/>
        <v>3.7992294520548518E-3</v>
      </c>
      <c r="CN66" s="175">
        <f t="shared" si="374"/>
        <v>9.2251712328766614E-3</v>
      </c>
      <c r="CO66" s="175">
        <f t="shared" si="374"/>
        <v>-4.8614083904109885E-3</v>
      </c>
      <c r="CP66" s="175">
        <f t="shared" si="374"/>
        <v>4.6018835616432101E-4</v>
      </c>
      <c r="CQ66" s="175">
        <f t="shared" si="374"/>
        <v>5.7817851027396694E-3</v>
      </c>
      <c r="CR66" s="175">
        <f t="shared" si="374"/>
        <v>1.1103381849315025E-2</v>
      </c>
      <c r="CS66" s="175">
        <f t="shared" si="374"/>
        <v>-3.5049229452055438E-3</v>
      </c>
      <c r="CT66" s="175">
        <f t="shared" si="374"/>
        <v>1.7123287671233353E-3</v>
      </c>
      <c r="CU66" s="175">
        <f t="shared" si="374"/>
        <v>6.9295804794521137E-3</v>
      </c>
      <c r="CV66" s="175">
        <f t="shared" si="374"/>
        <v>-8.0961044520548552E-3</v>
      </c>
      <c r="CW66" s="175">
        <f t="shared" si="374"/>
        <v>-2.9831977739726593E-3</v>
      </c>
      <c r="CX66" s="175">
        <f t="shared" si="374"/>
        <v>2.1297089041093708E-3</v>
      </c>
      <c r="CY66" s="175">
        <f t="shared" si="374"/>
        <v>7.2426155821918026E-3</v>
      </c>
      <c r="CZ66" s="175">
        <f t="shared" si="374"/>
        <v>-8.3047945205479371E-3</v>
      </c>
      <c r="DA66" s="175">
        <f t="shared" si="374"/>
        <v>-3.2962328767123495E-3</v>
      </c>
      <c r="DB66" s="175">
        <f t="shared" si="374"/>
        <v>1.7123287671231022E-3</v>
      </c>
      <c r="DC66" s="175">
        <f t="shared" si="374"/>
        <v>6.7208904109588539E-3</v>
      </c>
      <c r="DD66" s="175">
        <f t="shared" si="374"/>
        <v>1.1729452054794465E-2</v>
      </c>
      <c r="DE66" s="175">
        <f t="shared" si="374"/>
        <v>-4.444028253424828E-3</v>
      </c>
      <c r="DF66" s="175">
        <f t="shared" si="374"/>
        <v>4.6018835616423368E-4</v>
      </c>
      <c r="DG66" s="175">
        <f t="shared" si="374"/>
        <v>5.3644049657533555E-3</v>
      </c>
      <c r="DH66" s="175">
        <f t="shared" si="374"/>
        <v>1.0268621575342238E-2</v>
      </c>
      <c r="DI66" s="175">
        <f t="shared" si="374"/>
        <v>-6.4265839041097103E-3</v>
      </c>
      <c r="DJ66" s="175">
        <f t="shared" si="374"/>
        <v>-1.626712328767238E-3</v>
      </c>
      <c r="DK66" s="175">
        <f t="shared" si="374"/>
        <v>3.1731592465753986E-3</v>
      </c>
      <c r="DL66" s="175">
        <f t="shared" si="374"/>
        <v>7.9730308219177724E-3</v>
      </c>
      <c r="DM66" s="175">
        <f t="shared" si="374"/>
        <v>-9.2438998287672353E-3</v>
      </c>
      <c r="DN66" s="175">
        <f t="shared" si="374"/>
        <v>-4.5483732876712268E-3</v>
      </c>
      <c r="DO66" s="175">
        <f t="shared" si="374"/>
        <v>1.4715325342460023E-4</v>
      </c>
      <c r="DP66" s="175">
        <f t="shared" si="374"/>
        <v>4.8426797945203348E-3</v>
      </c>
      <c r="DQ66" s="175">
        <f t="shared" si="374"/>
        <v>9.5382063356161655E-3</v>
      </c>
      <c r="DR66" s="175">
        <f t="shared" si="374"/>
        <v>-8.30479452054784E-3</v>
      </c>
      <c r="DS66" s="175">
        <f t="shared" si="374"/>
        <v>-3.7136130136987177E-3</v>
      </c>
      <c r="DT66" s="175">
        <f t="shared" si="374"/>
        <v>8.7756849315079907E-4</v>
      </c>
      <c r="DU66" s="175">
        <f t="shared" si="374"/>
        <v>5.4687500000000716E-3</v>
      </c>
      <c r="DV66" s="175">
        <f t="shared" si="374"/>
        <v>1.0059931506849537E-2</v>
      </c>
      <c r="DW66" s="175">
        <f t="shared" si="374"/>
        <v>-8.4091395547945206E-3</v>
      </c>
      <c r="DX66" s="175">
        <f t="shared" si="374"/>
        <v>-3.9223030821916288E-3</v>
      </c>
      <c r="DY66" s="175">
        <f t="shared" si="374"/>
        <v>5.6453339041113743E-4</v>
      </c>
      <c r="DZ66" s="175">
        <f t="shared" si="374"/>
        <v>5.0513698630136605E-3</v>
      </c>
      <c r="EA66" s="175">
        <f t="shared" si="374"/>
        <v>9.5382063356164171E-3</v>
      </c>
      <c r="EB66" s="175">
        <f t="shared" si="374"/>
        <v>-9.5569349315068018E-3</v>
      </c>
      <c r="EC66" s="175">
        <f t="shared" ref="EC66:FC66" si="375">EC65/(EC62*EC51)</f>
        <v>-5.1744434931506296E-3</v>
      </c>
      <c r="ED66" s="175">
        <f t="shared" si="375"/>
        <v>-7.9195205479439847E-4</v>
      </c>
      <c r="EE66" s="175">
        <f t="shared" si="375"/>
        <v>3.5905393835616406E-3</v>
      </c>
      <c r="EF66" s="175">
        <f t="shared" si="375"/>
        <v>7.9730308219176527E-3</v>
      </c>
      <c r="EG66" s="175">
        <f t="shared" si="375"/>
        <v>1.2355522260274055E-2</v>
      </c>
      <c r="EH66" s="175">
        <f t="shared" si="375"/>
        <v>-7.4700342465751999E-3</v>
      </c>
      <c r="EI66" s="175">
        <f t="shared" si="375"/>
        <v>-3.1918878424657539E-3</v>
      </c>
      <c r="EJ66" s="175">
        <f t="shared" si="375"/>
        <v>1.0862585616438171E-3</v>
      </c>
      <c r="EK66" s="175">
        <f t="shared" si="375"/>
        <v>5.364404965753666E-3</v>
      </c>
      <c r="EL66" s="175">
        <f t="shared" si="375"/>
        <v>9.6425513698629312E-3</v>
      </c>
      <c r="EM66" s="175">
        <f t="shared" si="375"/>
        <v>-1.0809075342465656E-2</v>
      </c>
      <c r="EN66" s="175">
        <f t="shared" si="375"/>
        <v>-6.6352739726029241E-3</v>
      </c>
      <c r="EO66" s="175">
        <f t="shared" si="375"/>
        <v>-2.4614726027398738E-3</v>
      </c>
      <c r="EP66" s="175">
        <f t="shared" si="375"/>
        <v>1.7123287671232477E-3</v>
      </c>
      <c r="EQ66" s="175">
        <f t="shared" si="375"/>
        <v>5.8861301369863197E-3</v>
      </c>
      <c r="ER66" s="175">
        <f t="shared" si="375"/>
        <v>1.0059931506849275E-2</v>
      </c>
      <c r="ES66" s="175">
        <f t="shared" si="375"/>
        <v>1.4233732876712228E-2</v>
      </c>
      <c r="ET66" s="175">
        <f t="shared" si="375"/>
        <v>-7.0526541095891262E-3</v>
      </c>
      <c r="EU66" s="175">
        <f t="shared" si="375"/>
        <v>-2.9831977739727569E-3</v>
      </c>
      <c r="EV66" s="175">
        <f t="shared" si="375"/>
        <v>1.0862585616436887E-3</v>
      </c>
      <c r="EW66" s="175">
        <f t="shared" si="375"/>
        <v>5.1557148972602882E-3</v>
      </c>
      <c r="EX66" s="175">
        <f t="shared" si="375"/>
        <v>9.2251712328766042E-3</v>
      </c>
      <c r="EY66" s="59"/>
      <c r="EZ66" s="59"/>
      <c r="FA66" s="709"/>
      <c r="FB66" s="175">
        <f t="shared" si="375"/>
        <v>0</v>
      </c>
      <c r="FC66" s="175">
        <f t="shared" si="375"/>
        <v>0</v>
      </c>
    </row>
    <row r="67" spans="2:160" x14ac:dyDescent="0.45">
      <c r="B67" s="2" t="s">
        <v>1169</v>
      </c>
      <c r="C67" s="2" t="s">
        <v>903</v>
      </c>
      <c r="D67" s="175"/>
      <c r="E67" s="175">
        <f>E66-D66</f>
        <v>-1.0434503424634192E-4</v>
      </c>
      <c r="F67" s="175">
        <f>F66-E66</f>
        <v>-3.1303510273992673E-4</v>
      </c>
      <c r="G67" s="175">
        <f t="shared" ref="G67:BQ67" si="376">G66-F66</f>
        <v>-5.2172517123275325E-4</v>
      </c>
      <c r="H67" s="175">
        <f t="shared" si="376"/>
        <v>-7.3041523972611525E-4</v>
      </c>
      <c r="I67" s="175">
        <f t="shared" si="376"/>
        <v>-9.3910530821926226E-4</v>
      </c>
      <c r="J67" s="175">
        <f t="shared" si="376"/>
        <v>-1.1477953767122095E-3</v>
      </c>
      <c r="K67" s="175">
        <f t="shared" si="376"/>
        <v>-1.3564854452054079E-3</v>
      </c>
      <c r="L67" s="175">
        <f t="shared" si="376"/>
        <v>9.4953981164382206E-3</v>
      </c>
      <c r="M67" s="175">
        <f t="shared" si="376"/>
        <v>-1.6695205479452394E-3</v>
      </c>
      <c r="N67" s="175">
        <f t="shared" si="376"/>
        <v>-1.8782106164380295E-3</v>
      </c>
      <c r="O67" s="175">
        <f t="shared" si="376"/>
        <v>-2.0869006849315065E-3</v>
      </c>
      <c r="P67" s="175">
        <f t="shared" si="376"/>
        <v>-2.2955907534247593E-3</v>
      </c>
      <c r="Q67" s="175">
        <f t="shared" si="376"/>
        <v>-2.5042808219176687E-3</v>
      </c>
      <c r="R67" s="175">
        <f t="shared" si="376"/>
        <v>8.9736729452052893E-3</v>
      </c>
      <c r="S67" s="175">
        <f t="shared" si="376"/>
        <v>-2.8173159246574412E-3</v>
      </c>
      <c r="T67" s="175">
        <f t="shared" si="376"/>
        <v>-3.0260059931506177E-3</v>
      </c>
      <c r="U67" s="175">
        <f t="shared" si="376"/>
        <v>-3.2346960616439109E-3</v>
      </c>
      <c r="V67" s="175">
        <f t="shared" si="376"/>
        <v>8.660637842465858E-3</v>
      </c>
      <c r="W67" s="175">
        <f t="shared" si="376"/>
        <v>-3.5477311643837316E-3</v>
      </c>
      <c r="X67" s="175">
        <f t="shared" si="376"/>
        <v>-3.7564212328767836E-3</v>
      </c>
      <c r="Y67" s="175">
        <f t="shared" si="376"/>
        <v>8.4519477739725141E-3</v>
      </c>
      <c r="Z67" s="175">
        <f t="shared" si="376"/>
        <v>-4.0694563356163003E-3</v>
      </c>
      <c r="AA67" s="175">
        <f t="shared" si="376"/>
        <v>-4.2781464041095965E-3</v>
      </c>
      <c r="AB67" s="175">
        <f t="shared" si="376"/>
        <v>8.2432577054794218E-3</v>
      </c>
      <c r="AC67" s="175">
        <f t="shared" si="376"/>
        <v>-4.5911815068493842E-3</v>
      </c>
      <c r="AD67" s="175">
        <f t="shared" si="376"/>
        <v>-4.7998715753424341E-3</v>
      </c>
      <c r="AE67" s="175">
        <f t="shared" si="376"/>
        <v>8.0345676369863919E-3</v>
      </c>
      <c r="AF67" s="175">
        <f t="shared" si="376"/>
        <v>-5.1129066780821707E-3</v>
      </c>
      <c r="AG67" s="175">
        <f t="shared" si="376"/>
        <v>7.9302226027396193E-3</v>
      </c>
      <c r="AH67" s="175">
        <f t="shared" si="376"/>
        <v>-5.4259417808219359E-3</v>
      </c>
      <c r="AI67" s="175">
        <f t="shared" si="376"/>
        <v>-5.6346318493150256E-3</v>
      </c>
      <c r="AJ67" s="175">
        <f t="shared" si="376"/>
        <v>7.7215325342465486E-3</v>
      </c>
      <c r="AK67" s="175">
        <f t="shared" si="376"/>
        <v>-5.9476669520547292E-3</v>
      </c>
      <c r="AL67" s="175">
        <f t="shared" si="376"/>
        <v>7.6171874999999426E-3</v>
      </c>
      <c r="AM67" s="175">
        <f t="shared" si="376"/>
        <v>-6.2607020547945542E-3</v>
      </c>
      <c r="AN67" s="175">
        <f t="shared" si="376"/>
        <v>7.5128424657535733E-3</v>
      </c>
      <c r="AO67" s="175">
        <f t="shared" si="376"/>
        <v>-6.5737371575344903E-3</v>
      </c>
      <c r="AP67" s="175">
        <f t="shared" si="376"/>
        <v>7.4084974315069361E-3</v>
      </c>
      <c r="AQ67" s="175">
        <f t="shared" si="376"/>
        <v>-6.8867722602738227E-3</v>
      </c>
      <c r="AR67" s="175">
        <f t="shared" si="376"/>
        <v>7.3041523972602832E-3</v>
      </c>
      <c r="AS67" s="175">
        <f t="shared" si="376"/>
        <v>-7.199807363013587E-3</v>
      </c>
      <c r="AT67" s="175">
        <f t="shared" si="376"/>
        <v>7.1998073630135384E-3</v>
      </c>
      <c r="AU67" s="175">
        <f t="shared" si="376"/>
        <v>-7.5128424657534519E-3</v>
      </c>
      <c r="AV67" s="175">
        <f t="shared" si="376"/>
        <v>7.0954623287671336E-3</v>
      </c>
      <c r="AW67" s="175">
        <f>AW66-AV66</f>
        <v>-7.8258775684930341E-3</v>
      </c>
      <c r="AX67" s="175">
        <f t="shared" si="376"/>
        <v>6.9911172945205362E-3</v>
      </c>
      <c r="AY67" s="175">
        <f t="shared" si="376"/>
        <v>-8.1389126712330968E-3</v>
      </c>
      <c r="AZ67" s="175">
        <f t="shared" si="376"/>
        <v>6.8867722602740803E-3</v>
      </c>
      <c r="BA67" s="175">
        <f t="shared" si="376"/>
        <v>-8.4519477739727171E-3</v>
      </c>
      <c r="BB67" s="175">
        <f t="shared" si="376"/>
        <v>6.7824272260275965E-3</v>
      </c>
      <c r="BC67" s="175">
        <f t="shared" si="376"/>
        <v>-8.7649828767124641E-3</v>
      </c>
      <c r="BD67" s="175">
        <f t="shared" si="376"/>
        <v>6.6780821917808396E-3</v>
      </c>
      <c r="BE67" s="175">
        <f t="shared" si="376"/>
        <v>6.6780821917808266E-3</v>
      </c>
      <c r="BF67" s="175">
        <f t="shared" si="376"/>
        <v>-9.1823630136986245E-3</v>
      </c>
      <c r="BG67" s="175">
        <f t="shared" si="376"/>
        <v>6.5737371575343246E-3</v>
      </c>
      <c r="BH67" s="175">
        <f t="shared" si="376"/>
        <v>-9.4953981164384183E-3</v>
      </c>
      <c r="BI67" s="175">
        <f t="shared" si="376"/>
        <v>6.4693921232876275E-3</v>
      </c>
      <c r="BJ67" s="175">
        <f t="shared" si="376"/>
        <v>6.4693921232876267E-3</v>
      </c>
      <c r="BK67" s="175">
        <f t="shared" si="376"/>
        <v>-9.9127782534244903E-3</v>
      </c>
      <c r="BL67" s="175">
        <f t="shared" si="376"/>
        <v>6.365047089041051E-3</v>
      </c>
      <c r="BM67" s="175">
        <f t="shared" si="376"/>
        <v>-1.0225813356164392E-2</v>
      </c>
      <c r="BN67" s="175">
        <f t="shared" si="376"/>
        <v>6.2607020547943764E-3</v>
      </c>
      <c r="BO67" s="175">
        <f t="shared" si="376"/>
        <v>6.2607020547945941E-3</v>
      </c>
      <c r="BP67" s="175">
        <f t="shared" si="376"/>
        <v>-1.0643193493150757E-2</v>
      </c>
      <c r="BQ67" s="175">
        <f t="shared" si="376"/>
        <v>6.1563570205479352E-3</v>
      </c>
      <c r="BR67" s="175">
        <f t="shared" ref="BR67:EC67" si="377">BR66-BQ66</f>
        <v>6.1563570205480367E-3</v>
      </c>
      <c r="BS67" s="175">
        <f t="shared" si="377"/>
        <v>-1.106057363013702E-2</v>
      </c>
      <c r="BT67" s="175">
        <f t="shared" si="377"/>
        <v>6.0520119863013378E-3</v>
      </c>
      <c r="BU67" s="175">
        <f t="shared" si="377"/>
        <v>-1.1373608732876501E-2</v>
      </c>
      <c r="BV67" s="175">
        <f t="shared" si="377"/>
        <v>5.947666952054711E-3</v>
      </c>
      <c r="BW67" s="175">
        <f t="shared" si="377"/>
        <v>5.9476669520547726E-3</v>
      </c>
      <c r="BX67" s="175">
        <f t="shared" si="377"/>
        <v>-1.1790988869862795E-2</v>
      </c>
      <c r="BY67" s="175">
        <f t="shared" si="377"/>
        <v>5.8433219178081353E-3</v>
      </c>
      <c r="BZ67" s="175">
        <f t="shared" si="377"/>
        <v>5.8433219178081882E-3</v>
      </c>
      <c r="CA67" s="175">
        <f t="shared" si="377"/>
        <v>-1.2208369006849216E-2</v>
      </c>
      <c r="CB67" s="175">
        <f t="shared" si="377"/>
        <v>5.7389768835614426E-3</v>
      </c>
      <c r="CC67" s="175">
        <f t="shared" si="377"/>
        <v>5.7389768835616368E-3</v>
      </c>
      <c r="CD67" s="175">
        <f t="shared" si="377"/>
        <v>5.7389768835616941E-3</v>
      </c>
      <c r="CE67" s="175">
        <f t="shared" si="377"/>
        <v>-1.2730094178082154E-2</v>
      </c>
      <c r="CF67" s="175">
        <f t="shared" si="377"/>
        <v>5.634631849315121E-3</v>
      </c>
      <c r="CG67" s="175">
        <f t="shared" si="377"/>
        <v>5.6346318493151522E-3</v>
      </c>
      <c r="CH67" s="175">
        <f t="shared" si="377"/>
        <v>-1.31474743150688E-2</v>
      </c>
      <c r="CI67" s="175">
        <f t="shared" si="377"/>
        <v>5.5302868150685497E-3</v>
      </c>
      <c r="CJ67" s="175">
        <f t="shared" si="377"/>
        <v>5.5302868150685263E-3</v>
      </c>
      <c r="CK67" s="175">
        <f t="shared" si="377"/>
        <v>-1.3564854452054707E-2</v>
      </c>
      <c r="CL67" s="175">
        <f t="shared" si="377"/>
        <v>5.4259417808218578E-3</v>
      </c>
      <c r="CM67" s="175">
        <f t="shared" si="377"/>
        <v>5.4259417808220096E-3</v>
      </c>
      <c r="CN67" s="175">
        <f t="shared" si="377"/>
        <v>5.4259417808218101E-3</v>
      </c>
      <c r="CO67" s="175">
        <f t="shared" si="377"/>
        <v>-1.4086579623287649E-2</v>
      </c>
      <c r="CP67" s="175">
        <f t="shared" si="377"/>
        <v>5.3215967465753099E-3</v>
      </c>
      <c r="CQ67" s="175">
        <f t="shared" si="377"/>
        <v>5.321596746575348E-3</v>
      </c>
      <c r="CR67" s="175">
        <f t="shared" si="377"/>
        <v>5.3215967465753558E-3</v>
      </c>
      <c r="CS67" s="175">
        <f t="shared" si="377"/>
        <v>-1.460830479452057E-2</v>
      </c>
      <c r="CT67" s="175">
        <f t="shared" si="377"/>
        <v>5.217251712328879E-3</v>
      </c>
      <c r="CU67" s="175">
        <f t="shared" si="377"/>
        <v>5.2172517123287784E-3</v>
      </c>
      <c r="CV67" s="175">
        <f t="shared" si="377"/>
        <v>-1.502568493150697E-2</v>
      </c>
      <c r="CW67" s="175">
        <f t="shared" si="377"/>
        <v>5.1129066780821958E-3</v>
      </c>
      <c r="CX67" s="175">
        <f t="shared" si="377"/>
        <v>5.1129066780820302E-3</v>
      </c>
      <c r="CY67" s="175">
        <f t="shared" si="377"/>
        <v>5.1129066780824317E-3</v>
      </c>
      <c r="CZ67" s="175">
        <f t="shared" si="377"/>
        <v>-1.554741010273974E-2</v>
      </c>
      <c r="DA67" s="175">
        <f t="shared" si="377"/>
        <v>5.0085616438355872E-3</v>
      </c>
      <c r="DB67" s="175">
        <f t="shared" si="377"/>
        <v>5.0085616438354519E-3</v>
      </c>
      <c r="DC67" s="175">
        <f t="shared" si="377"/>
        <v>5.008561643835752E-3</v>
      </c>
      <c r="DD67" s="175">
        <f t="shared" si="377"/>
        <v>5.0085616438356115E-3</v>
      </c>
      <c r="DE67" s="175">
        <f t="shared" si="377"/>
        <v>-1.6173480308219294E-2</v>
      </c>
      <c r="DF67" s="175">
        <f t="shared" si="377"/>
        <v>4.9042166095890618E-3</v>
      </c>
      <c r="DG67" s="175">
        <f t="shared" si="377"/>
        <v>4.9042166095891217E-3</v>
      </c>
      <c r="DH67" s="175">
        <f t="shared" si="377"/>
        <v>4.9042166095888823E-3</v>
      </c>
      <c r="DI67" s="175">
        <f t="shared" si="377"/>
        <v>-1.6695205479451948E-2</v>
      </c>
      <c r="DJ67" s="175">
        <f t="shared" si="377"/>
        <v>4.7998715753424723E-3</v>
      </c>
      <c r="DK67" s="175">
        <f t="shared" si="377"/>
        <v>4.7998715753426371E-3</v>
      </c>
      <c r="DL67" s="175">
        <f t="shared" si="377"/>
        <v>4.7998715753423734E-3</v>
      </c>
      <c r="DM67" s="175">
        <f t="shared" si="377"/>
        <v>-1.7216930650685008E-2</v>
      </c>
      <c r="DN67" s="175">
        <f t="shared" si="377"/>
        <v>4.6955265410960085E-3</v>
      </c>
      <c r="DO67" s="175">
        <f t="shared" si="377"/>
        <v>4.6955265410958272E-3</v>
      </c>
      <c r="DP67" s="175">
        <f t="shared" si="377"/>
        <v>4.6955265410957344E-3</v>
      </c>
      <c r="DQ67" s="175">
        <f t="shared" si="377"/>
        <v>4.6955265410958307E-3</v>
      </c>
      <c r="DR67" s="175">
        <f t="shared" si="377"/>
        <v>-1.7843000856164005E-2</v>
      </c>
      <c r="DS67" s="175">
        <f t="shared" si="377"/>
        <v>4.5911815068491223E-3</v>
      </c>
      <c r="DT67" s="175">
        <f t="shared" si="377"/>
        <v>4.591181506849517E-3</v>
      </c>
      <c r="DU67" s="175">
        <f t="shared" si="377"/>
        <v>4.5911815068492724E-3</v>
      </c>
      <c r="DV67" s="175">
        <f t="shared" si="377"/>
        <v>4.5911815068494658E-3</v>
      </c>
      <c r="DW67" s="175">
        <f t="shared" si="377"/>
        <v>-1.8469071061644058E-2</v>
      </c>
      <c r="DX67" s="175">
        <f t="shared" si="377"/>
        <v>4.4868364726028918E-3</v>
      </c>
      <c r="DY67" s="175">
        <f t="shared" si="377"/>
        <v>4.4868364726027661E-3</v>
      </c>
      <c r="DZ67" s="175">
        <f t="shared" si="377"/>
        <v>4.4868364726025232E-3</v>
      </c>
      <c r="EA67" s="175">
        <f t="shared" si="377"/>
        <v>4.4868364726027565E-3</v>
      </c>
      <c r="EB67" s="175">
        <f t="shared" si="377"/>
        <v>-1.9095141267123219E-2</v>
      </c>
      <c r="EC67" s="175">
        <f t="shared" si="377"/>
        <v>4.3824914383561722E-3</v>
      </c>
      <c r="ED67" s="175">
        <f t="shared" ref="ED67:FC67" si="378">ED66-EC66</f>
        <v>4.3824914383562312E-3</v>
      </c>
      <c r="EE67" s="175">
        <f t="shared" si="378"/>
        <v>4.3824914383560395E-3</v>
      </c>
      <c r="EF67" s="175">
        <f t="shared" si="378"/>
        <v>4.3824914383560117E-3</v>
      </c>
      <c r="EG67" s="175">
        <f t="shared" si="378"/>
        <v>4.382491438356402E-3</v>
      </c>
      <c r="EH67" s="175">
        <f t="shared" si="378"/>
        <v>-1.9825556506849255E-2</v>
      </c>
      <c r="EI67" s="175">
        <f t="shared" si="378"/>
        <v>4.2781464041094456E-3</v>
      </c>
      <c r="EJ67" s="175">
        <f t="shared" si="378"/>
        <v>4.2781464041095705E-3</v>
      </c>
      <c r="EK67" s="175">
        <f t="shared" si="378"/>
        <v>4.2781464041098489E-3</v>
      </c>
      <c r="EL67" s="175">
        <f t="shared" si="378"/>
        <v>4.2781464041092652E-3</v>
      </c>
      <c r="EM67" s="175">
        <f t="shared" si="378"/>
        <v>-2.0451626712328586E-2</v>
      </c>
      <c r="EN67" s="175">
        <f t="shared" si="378"/>
        <v>4.173801369862732E-3</v>
      </c>
      <c r="EO67" s="175">
        <f t="shared" si="378"/>
        <v>4.1738013698630503E-3</v>
      </c>
      <c r="EP67" s="175">
        <f t="shared" si="378"/>
        <v>4.1738013698631215E-3</v>
      </c>
      <c r="EQ67" s="175">
        <f t="shared" si="378"/>
        <v>4.173801369863072E-3</v>
      </c>
      <c r="ER67" s="175">
        <f t="shared" si="378"/>
        <v>4.1738013698629558E-3</v>
      </c>
      <c r="ES67" s="175">
        <f t="shared" si="378"/>
        <v>4.1738013698629523E-3</v>
      </c>
      <c r="ET67" s="175">
        <f t="shared" si="378"/>
        <v>-2.1286386986301354E-2</v>
      </c>
      <c r="EU67" s="175">
        <f t="shared" si="378"/>
        <v>4.0694563356163688E-3</v>
      </c>
      <c r="EV67" s="175">
        <f t="shared" si="378"/>
        <v>4.0694563356164452E-3</v>
      </c>
      <c r="EW67" s="175">
        <f t="shared" si="378"/>
        <v>4.0694563356165996E-3</v>
      </c>
      <c r="EX67" s="175">
        <f t="shared" si="378"/>
        <v>4.0694563356163159E-3</v>
      </c>
      <c r="EY67" s="59"/>
      <c r="EZ67" s="59"/>
      <c r="FA67" s="709"/>
      <c r="FB67" s="175">
        <f t="shared" si="378"/>
        <v>0</v>
      </c>
      <c r="FC67" s="175">
        <f t="shared" si="378"/>
        <v>0</v>
      </c>
    </row>
    <row r="68" spans="2:160" x14ac:dyDescent="0.45">
      <c r="B68" s="2" t="s">
        <v>1170</v>
      </c>
      <c r="C68" s="2" t="s">
        <v>903</v>
      </c>
      <c r="D68" s="175">
        <f>D66-E66</f>
        <v>1.0434503424634192E-4</v>
      </c>
      <c r="E68" s="175">
        <f>E66-F66</f>
        <v>3.1303510273992673E-4</v>
      </c>
      <c r="F68" s="175">
        <f>F66-G66</f>
        <v>5.2172517123275325E-4</v>
      </c>
      <c r="G68" s="175">
        <f t="shared" ref="G68:BQ68" si="379">G66-H66</f>
        <v>7.3041523972611525E-4</v>
      </c>
      <c r="H68" s="175">
        <f t="shared" si="379"/>
        <v>9.3910530821926226E-4</v>
      </c>
      <c r="I68" s="175">
        <f t="shared" si="379"/>
        <v>1.1477953767122095E-3</v>
      </c>
      <c r="J68" s="175">
        <f t="shared" si="379"/>
        <v>1.3564854452054079E-3</v>
      </c>
      <c r="K68" s="175">
        <f t="shared" si="379"/>
        <v>-9.4953981164382206E-3</v>
      </c>
      <c r="L68" s="175">
        <f t="shared" si="379"/>
        <v>1.6695205479452394E-3</v>
      </c>
      <c r="M68" s="175">
        <f t="shared" si="379"/>
        <v>1.8782106164380295E-3</v>
      </c>
      <c r="N68" s="175">
        <f t="shared" si="379"/>
        <v>2.0869006849315065E-3</v>
      </c>
      <c r="O68" s="175">
        <f t="shared" si="379"/>
        <v>2.2955907534247593E-3</v>
      </c>
      <c r="P68" s="175">
        <f t="shared" si="379"/>
        <v>2.5042808219176687E-3</v>
      </c>
      <c r="Q68" s="175">
        <f t="shared" si="379"/>
        <v>-8.9736729452052893E-3</v>
      </c>
      <c r="R68" s="175">
        <f t="shared" si="379"/>
        <v>2.8173159246574412E-3</v>
      </c>
      <c r="S68" s="175">
        <f t="shared" si="379"/>
        <v>3.0260059931506177E-3</v>
      </c>
      <c r="T68" s="175">
        <f t="shared" si="379"/>
        <v>3.2346960616439109E-3</v>
      </c>
      <c r="U68" s="175">
        <f t="shared" si="379"/>
        <v>-8.660637842465858E-3</v>
      </c>
      <c r="V68" s="175">
        <f t="shared" si="379"/>
        <v>3.5477311643837316E-3</v>
      </c>
      <c r="W68" s="175">
        <f t="shared" si="379"/>
        <v>3.7564212328767836E-3</v>
      </c>
      <c r="X68" s="175">
        <f t="shared" si="379"/>
        <v>-8.4519477739725141E-3</v>
      </c>
      <c r="Y68" s="175">
        <f t="shared" si="379"/>
        <v>4.0694563356163003E-3</v>
      </c>
      <c r="Z68" s="175">
        <f t="shared" si="379"/>
        <v>4.2781464041095965E-3</v>
      </c>
      <c r="AA68" s="175">
        <f t="shared" si="379"/>
        <v>-8.2432577054794218E-3</v>
      </c>
      <c r="AB68" s="175">
        <f t="shared" si="379"/>
        <v>4.5911815068493842E-3</v>
      </c>
      <c r="AC68" s="175">
        <f t="shared" si="379"/>
        <v>4.7998715753424341E-3</v>
      </c>
      <c r="AD68" s="175">
        <f t="shared" si="379"/>
        <v>-8.0345676369863919E-3</v>
      </c>
      <c r="AE68" s="175">
        <f t="shared" si="379"/>
        <v>5.1129066780821707E-3</v>
      </c>
      <c r="AF68" s="175">
        <f t="shared" si="379"/>
        <v>-7.9302226027396193E-3</v>
      </c>
      <c r="AG68" s="175">
        <f t="shared" si="379"/>
        <v>5.4259417808219359E-3</v>
      </c>
      <c r="AH68" s="175">
        <f t="shared" si="379"/>
        <v>5.6346318493150256E-3</v>
      </c>
      <c r="AI68" s="175">
        <f t="shared" si="379"/>
        <v>-7.7215325342465486E-3</v>
      </c>
      <c r="AJ68" s="175">
        <f t="shared" si="379"/>
        <v>5.9476669520547292E-3</v>
      </c>
      <c r="AK68" s="175">
        <f t="shared" si="379"/>
        <v>-7.6171874999999426E-3</v>
      </c>
      <c r="AL68" s="175">
        <f t="shared" si="379"/>
        <v>6.2607020547945542E-3</v>
      </c>
      <c r="AM68" s="175">
        <f t="shared" si="379"/>
        <v>-7.5128424657535733E-3</v>
      </c>
      <c r="AN68" s="175">
        <f t="shared" si="379"/>
        <v>6.5737371575344903E-3</v>
      </c>
      <c r="AO68" s="175">
        <f t="shared" si="379"/>
        <v>-7.4084974315069361E-3</v>
      </c>
      <c r="AP68" s="175">
        <f t="shared" si="379"/>
        <v>6.8867722602738227E-3</v>
      </c>
      <c r="AQ68" s="175">
        <f t="shared" si="379"/>
        <v>-7.3041523972602832E-3</v>
      </c>
      <c r="AR68" s="175">
        <f t="shared" si="379"/>
        <v>7.199807363013587E-3</v>
      </c>
      <c r="AS68" s="175">
        <f t="shared" si="379"/>
        <v>-7.1998073630135384E-3</v>
      </c>
      <c r="AT68" s="175">
        <f t="shared" si="379"/>
        <v>7.5128424657534519E-3</v>
      </c>
      <c r="AU68" s="175">
        <f t="shared" si="379"/>
        <v>-7.0954623287671336E-3</v>
      </c>
      <c r="AV68" s="175">
        <f>AV66-AW66</f>
        <v>7.8258775684930341E-3</v>
      </c>
      <c r="AW68" s="175">
        <f t="shared" si="379"/>
        <v>-6.9911172945205362E-3</v>
      </c>
      <c r="AX68" s="175">
        <f t="shared" si="379"/>
        <v>8.1389126712330968E-3</v>
      </c>
      <c r="AY68" s="175">
        <f t="shared" si="379"/>
        <v>-6.8867722602740803E-3</v>
      </c>
      <c r="AZ68" s="175">
        <f t="shared" si="379"/>
        <v>8.4519477739727171E-3</v>
      </c>
      <c r="BA68" s="175">
        <f t="shared" si="379"/>
        <v>-6.7824272260275965E-3</v>
      </c>
      <c r="BB68" s="175">
        <f t="shared" si="379"/>
        <v>8.7649828767124641E-3</v>
      </c>
      <c r="BC68" s="175">
        <f t="shared" si="379"/>
        <v>-6.6780821917808396E-3</v>
      </c>
      <c r="BD68" s="175">
        <f t="shared" si="379"/>
        <v>-6.6780821917808266E-3</v>
      </c>
      <c r="BE68" s="175">
        <f t="shared" si="379"/>
        <v>9.1823630136986245E-3</v>
      </c>
      <c r="BF68" s="175">
        <f t="shared" si="379"/>
        <v>-6.5737371575343246E-3</v>
      </c>
      <c r="BG68" s="175">
        <f t="shared" si="379"/>
        <v>9.4953981164384183E-3</v>
      </c>
      <c r="BH68" s="175">
        <f t="shared" si="379"/>
        <v>-6.4693921232876275E-3</v>
      </c>
      <c r="BI68" s="175">
        <f t="shared" si="379"/>
        <v>-6.4693921232876267E-3</v>
      </c>
      <c r="BJ68" s="175">
        <f t="shared" si="379"/>
        <v>9.9127782534244903E-3</v>
      </c>
      <c r="BK68" s="175">
        <f t="shared" si="379"/>
        <v>-6.365047089041051E-3</v>
      </c>
      <c r="BL68" s="175">
        <f t="shared" si="379"/>
        <v>1.0225813356164392E-2</v>
      </c>
      <c r="BM68" s="175">
        <f t="shared" si="379"/>
        <v>-6.2607020547943764E-3</v>
      </c>
      <c r="BN68" s="175">
        <f t="shared" si="379"/>
        <v>-6.2607020547945941E-3</v>
      </c>
      <c r="BO68" s="175">
        <f t="shared" si="379"/>
        <v>1.0643193493150757E-2</v>
      </c>
      <c r="BP68" s="175">
        <f t="shared" si="379"/>
        <v>-6.1563570205479352E-3</v>
      </c>
      <c r="BQ68" s="175">
        <f t="shared" si="379"/>
        <v>-6.1563570205480367E-3</v>
      </c>
      <c r="BR68" s="175">
        <f t="shared" ref="BR68:EC68" si="380">BR66-BS66</f>
        <v>1.106057363013702E-2</v>
      </c>
      <c r="BS68" s="175">
        <f t="shared" si="380"/>
        <v>-6.0520119863013378E-3</v>
      </c>
      <c r="BT68" s="175">
        <f t="shared" si="380"/>
        <v>1.1373608732876501E-2</v>
      </c>
      <c r="BU68" s="175">
        <f t="shared" si="380"/>
        <v>-5.947666952054711E-3</v>
      </c>
      <c r="BV68" s="175">
        <f t="shared" si="380"/>
        <v>-5.9476669520547726E-3</v>
      </c>
      <c r="BW68" s="175">
        <f t="shared" si="380"/>
        <v>1.1790988869862795E-2</v>
      </c>
      <c r="BX68" s="175">
        <f t="shared" si="380"/>
        <v>-5.8433219178081353E-3</v>
      </c>
      <c r="BY68" s="175">
        <f t="shared" si="380"/>
        <v>-5.8433219178081882E-3</v>
      </c>
      <c r="BZ68" s="175">
        <f t="shared" si="380"/>
        <v>1.2208369006849216E-2</v>
      </c>
      <c r="CA68" s="175">
        <f t="shared" si="380"/>
        <v>-5.7389768835614426E-3</v>
      </c>
      <c r="CB68" s="175">
        <f t="shared" si="380"/>
        <v>-5.7389768835616368E-3</v>
      </c>
      <c r="CC68" s="175">
        <f t="shared" si="380"/>
        <v>-5.7389768835616941E-3</v>
      </c>
      <c r="CD68" s="175">
        <f t="shared" si="380"/>
        <v>1.2730094178082154E-2</v>
      </c>
      <c r="CE68" s="175">
        <f t="shared" si="380"/>
        <v>-5.634631849315121E-3</v>
      </c>
      <c r="CF68" s="175">
        <f t="shared" si="380"/>
        <v>-5.6346318493151522E-3</v>
      </c>
      <c r="CG68" s="175">
        <f t="shared" si="380"/>
        <v>1.31474743150688E-2</v>
      </c>
      <c r="CH68" s="175">
        <f t="shared" si="380"/>
        <v>-5.5302868150685497E-3</v>
      </c>
      <c r="CI68" s="175">
        <f t="shared" si="380"/>
        <v>-5.5302868150685263E-3</v>
      </c>
      <c r="CJ68" s="175">
        <f t="shared" si="380"/>
        <v>1.3564854452054707E-2</v>
      </c>
      <c r="CK68" s="175">
        <f t="shared" si="380"/>
        <v>-5.4259417808218578E-3</v>
      </c>
      <c r="CL68" s="175">
        <f t="shared" si="380"/>
        <v>-5.4259417808220096E-3</v>
      </c>
      <c r="CM68" s="175">
        <f t="shared" si="380"/>
        <v>-5.4259417808218101E-3</v>
      </c>
      <c r="CN68" s="175">
        <f t="shared" si="380"/>
        <v>1.4086579623287649E-2</v>
      </c>
      <c r="CO68" s="175">
        <f t="shared" si="380"/>
        <v>-5.3215967465753099E-3</v>
      </c>
      <c r="CP68" s="175">
        <f t="shared" si="380"/>
        <v>-5.321596746575348E-3</v>
      </c>
      <c r="CQ68" s="175">
        <f t="shared" si="380"/>
        <v>-5.3215967465753558E-3</v>
      </c>
      <c r="CR68" s="175">
        <f t="shared" si="380"/>
        <v>1.460830479452057E-2</v>
      </c>
      <c r="CS68" s="175">
        <f t="shared" si="380"/>
        <v>-5.217251712328879E-3</v>
      </c>
      <c r="CT68" s="175">
        <f t="shared" si="380"/>
        <v>-5.2172517123287784E-3</v>
      </c>
      <c r="CU68" s="175">
        <f t="shared" si="380"/>
        <v>1.502568493150697E-2</v>
      </c>
      <c r="CV68" s="175">
        <f t="shared" si="380"/>
        <v>-5.1129066780821958E-3</v>
      </c>
      <c r="CW68" s="175">
        <f t="shared" si="380"/>
        <v>-5.1129066780820302E-3</v>
      </c>
      <c r="CX68" s="175">
        <f t="shared" si="380"/>
        <v>-5.1129066780824317E-3</v>
      </c>
      <c r="CY68" s="175">
        <f t="shared" si="380"/>
        <v>1.554741010273974E-2</v>
      </c>
      <c r="CZ68" s="175">
        <f t="shared" si="380"/>
        <v>-5.0085616438355872E-3</v>
      </c>
      <c r="DA68" s="175">
        <f t="shared" si="380"/>
        <v>-5.0085616438354519E-3</v>
      </c>
      <c r="DB68" s="175">
        <f t="shared" si="380"/>
        <v>-5.008561643835752E-3</v>
      </c>
      <c r="DC68" s="175">
        <f t="shared" si="380"/>
        <v>-5.0085616438356115E-3</v>
      </c>
      <c r="DD68" s="175">
        <f t="shared" si="380"/>
        <v>1.6173480308219294E-2</v>
      </c>
      <c r="DE68" s="175">
        <f t="shared" si="380"/>
        <v>-4.9042166095890618E-3</v>
      </c>
      <c r="DF68" s="175">
        <f t="shared" si="380"/>
        <v>-4.9042166095891217E-3</v>
      </c>
      <c r="DG68" s="175">
        <f t="shared" si="380"/>
        <v>-4.9042166095888823E-3</v>
      </c>
      <c r="DH68" s="175">
        <f t="shared" si="380"/>
        <v>1.6695205479451948E-2</v>
      </c>
      <c r="DI68" s="175">
        <f t="shared" si="380"/>
        <v>-4.7998715753424723E-3</v>
      </c>
      <c r="DJ68" s="175">
        <f t="shared" si="380"/>
        <v>-4.7998715753426371E-3</v>
      </c>
      <c r="DK68" s="175">
        <f t="shared" si="380"/>
        <v>-4.7998715753423734E-3</v>
      </c>
      <c r="DL68" s="175">
        <f t="shared" si="380"/>
        <v>1.7216930650685008E-2</v>
      </c>
      <c r="DM68" s="175">
        <f t="shared" si="380"/>
        <v>-4.6955265410960085E-3</v>
      </c>
      <c r="DN68" s="175">
        <f t="shared" si="380"/>
        <v>-4.6955265410958272E-3</v>
      </c>
      <c r="DO68" s="175">
        <f t="shared" si="380"/>
        <v>-4.6955265410957344E-3</v>
      </c>
      <c r="DP68" s="175">
        <f t="shared" si="380"/>
        <v>-4.6955265410958307E-3</v>
      </c>
      <c r="DQ68" s="175">
        <f t="shared" si="380"/>
        <v>1.7843000856164005E-2</v>
      </c>
      <c r="DR68" s="175">
        <f t="shared" si="380"/>
        <v>-4.5911815068491223E-3</v>
      </c>
      <c r="DS68" s="175">
        <f t="shared" si="380"/>
        <v>-4.591181506849517E-3</v>
      </c>
      <c r="DT68" s="175">
        <f t="shared" si="380"/>
        <v>-4.5911815068492724E-3</v>
      </c>
      <c r="DU68" s="175">
        <f t="shared" si="380"/>
        <v>-4.5911815068494658E-3</v>
      </c>
      <c r="DV68" s="175">
        <f t="shared" si="380"/>
        <v>1.8469071061644058E-2</v>
      </c>
      <c r="DW68" s="175">
        <f t="shared" si="380"/>
        <v>-4.4868364726028918E-3</v>
      </c>
      <c r="DX68" s="175">
        <f t="shared" si="380"/>
        <v>-4.4868364726027661E-3</v>
      </c>
      <c r="DY68" s="175">
        <f t="shared" si="380"/>
        <v>-4.4868364726025232E-3</v>
      </c>
      <c r="DZ68" s="175">
        <f t="shared" si="380"/>
        <v>-4.4868364726027565E-3</v>
      </c>
      <c r="EA68" s="175">
        <f t="shared" si="380"/>
        <v>1.9095141267123219E-2</v>
      </c>
      <c r="EB68" s="175">
        <f t="shared" si="380"/>
        <v>-4.3824914383561722E-3</v>
      </c>
      <c r="EC68" s="175">
        <f t="shared" si="380"/>
        <v>-4.3824914383562312E-3</v>
      </c>
      <c r="ED68" s="175">
        <f t="shared" ref="ED68:FB68" si="381">ED66-EE66</f>
        <v>-4.3824914383560395E-3</v>
      </c>
      <c r="EE68" s="175">
        <f t="shared" si="381"/>
        <v>-4.3824914383560117E-3</v>
      </c>
      <c r="EF68" s="175">
        <f t="shared" si="381"/>
        <v>-4.382491438356402E-3</v>
      </c>
      <c r="EG68" s="175">
        <f t="shared" si="381"/>
        <v>1.9825556506849255E-2</v>
      </c>
      <c r="EH68" s="175">
        <f t="shared" si="381"/>
        <v>-4.2781464041094456E-3</v>
      </c>
      <c r="EI68" s="175">
        <f t="shared" si="381"/>
        <v>-4.2781464041095705E-3</v>
      </c>
      <c r="EJ68" s="175">
        <f t="shared" si="381"/>
        <v>-4.2781464041098489E-3</v>
      </c>
      <c r="EK68" s="175">
        <f t="shared" si="381"/>
        <v>-4.2781464041092652E-3</v>
      </c>
      <c r="EL68" s="175">
        <f t="shared" si="381"/>
        <v>2.0451626712328586E-2</v>
      </c>
      <c r="EM68" s="175">
        <f t="shared" si="381"/>
        <v>-4.173801369862732E-3</v>
      </c>
      <c r="EN68" s="175">
        <f t="shared" si="381"/>
        <v>-4.1738013698630503E-3</v>
      </c>
      <c r="EO68" s="175">
        <f t="shared" si="381"/>
        <v>-4.1738013698631215E-3</v>
      </c>
      <c r="EP68" s="175">
        <f t="shared" si="381"/>
        <v>-4.173801369863072E-3</v>
      </c>
      <c r="EQ68" s="175">
        <f t="shared" si="381"/>
        <v>-4.1738013698629558E-3</v>
      </c>
      <c r="ER68" s="175">
        <f t="shared" si="381"/>
        <v>-4.1738013698629523E-3</v>
      </c>
      <c r="ES68" s="175">
        <f t="shared" si="381"/>
        <v>2.1286386986301354E-2</v>
      </c>
      <c r="ET68" s="175">
        <f t="shared" si="381"/>
        <v>-4.0694563356163688E-3</v>
      </c>
      <c r="EU68" s="175">
        <f t="shared" si="381"/>
        <v>-4.0694563356164452E-3</v>
      </c>
      <c r="EV68" s="175">
        <f t="shared" si="381"/>
        <v>-4.0694563356165996E-3</v>
      </c>
      <c r="EW68" s="175">
        <f t="shared" si="381"/>
        <v>-4.0694563356163159E-3</v>
      </c>
      <c r="EX68" s="175">
        <f t="shared" si="381"/>
        <v>9.2251712328766042E-3</v>
      </c>
      <c r="EY68" s="59"/>
      <c r="EZ68" s="59"/>
      <c r="FA68" s="709"/>
      <c r="FB68" s="175">
        <f t="shared" si="381"/>
        <v>0</v>
      </c>
      <c r="FC68" s="175" t="e">
        <f>FC66-#REF!</f>
        <v>#REF!</v>
      </c>
    </row>
    <row r="69" spans="2:160" x14ac:dyDescent="0.45">
      <c r="C69" s="1"/>
      <c r="D69" s="153">
        <f>(D63-39.312)/39.312</f>
        <v>4.1666666666661742E-4</v>
      </c>
      <c r="E69" s="153">
        <f t="shared" ref="E69:BP69" si="382">(E63-39.312)/39.312</f>
        <v>3.1250000000014383E-4</v>
      </c>
      <c r="F69" s="153">
        <f t="shared" ref="F69" si="383">(F63-39.312)/39.312</f>
        <v>0</v>
      </c>
      <c r="G69" s="153">
        <f t="shared" si="382"/>
        <v>-5.2083333333327174E-4</v>
      </c>
      <c r="H69" s="153">
        <f t="shared" si="382"/>
        <v>-1.250000000000033E-3</v>
      </c>
      <c r="I69" s="153">
        <f t="shared" si="382"/>
        <v>-2.1874999999999221E-3</v>
      </c>
      <c r="J69" s="153">
        <f t="shared" si="382"/>
        <v>-3.3333333333333006E-3</v>
      </c>
      <c r="K69" s="153">
        <f t="shared" si="382"/>
        <v>-4.6874999999998073E-3</v>
      </c>
      <c r="L69" s="153">
        <f t="shared" si="382"/>
        <v>4.7916666666666429E-3</v>
      </c>
      <c r="M69" s="153">
        <f t="shared" si="382"/>
        <v>3.1249999999999919E-3</v>
      </c>
      <c r="N69" s="153">
        <f t="shared" si="382"/>
        <v>1.2500000000002138E-3</v>
      </c>
      <c r="O69" s="153">
        <f t="shared" si="382"/>
        <v>-8.3333333333323483E-4</v>
      </c>
      <c r="P69" s="153">
        <f t="shared" si="382"/>
        <v>-3.1249999999998115E-3</v>
      </c>
      <c r="Q69" s="153">
        <f t="shared" si="382"/>
        <v>-5.6249999999998775E-3</v>
      </c>
      <c r="R69" s="153">
        <f t="shared" si="382"/>
        <v>3.3333333333333006E-3</v>
      </c>
      <c r="S69" s="153">
        <f t="shared" si="382"/>
        <v>5.2083333333345248E-4</v>
      </c>
      <c r="T69" s="153">
        <f t="shared" si="382"/>
        <v>-2.4999999999997043E-3</v>
      </c>
      <c r="U69" s="153">
        <f t="shared" si="382"/>
        <v>-5.7291666666667122E-3</v>
      </c>
      <c r="V69" s="153">
        <f t="shared" si="382"/>
        <v>2.9166666666668641E-3</v>
      </c>
      <c r="W69" s="153">
        <f t="shared" si="382"/>
        <v>-6.2499999999992607E-4</v>
      </c>
      <c r="X69" s="153">
        <f t="shared" si="382"/>
        <v>-4.3750000000000247E-3</v>
      </c>
      <c r="Y69" s="153">
        <f t="shared" si="382"/>
        <v>4.0625000000000617E-3</v>
      </c>
      <c r="Z69" s="153">
        <f t="shared" si="382"/>
        <v>0</v>
      </c>
      <c r="AA69" s="153">
        <f t="shared" si="382"/>
        <v>-4.27083333333319E-3</v>
      </c>
      <c r="AB69" s="153">
        <f t="shared" si="382"/>
        <v>3.958333333333227E-3</v>
      </c>
      <c r="AC69" s="153">
        <f t="shared" si="382"/>
        <v>-6.2499999999992607E-4</v>
      </c>
      <c r="AD69" s="153">
        <f t="shared" si="382"/>
        <v>-5.4166666666667493E-3</v>
      </c>
      <c r="AE69" s="153">
        <f t="shared" si="382"/>
        <v>2.6041666666667203E-3</v>
      </c>
      <c r="AF69" s="153">
        <f t="shared" si="382"/>
        <v>-2.4999999999998851E-3</v>
      </c>
      <c r="AG69" s="153">
        <f t="shared" si="382"/>
        <v>5.4166666666665688E-3</v>
      </c>
      <c r="AH69" s="153">
        <f t="shared" si="382"/>
        <v>0</v>
      </c>
      <c r="AI69" s="153">
        <f t="shared" si="382"/>
        <v>-5.6249999999998775E-3</v>
      </c>
      <c r="AJ69" s="153">
        <f t="shared" si="382"/>
        <v>2.0833333333332678E-3</v>
      </c>
      <c r="AK69" s="153">
        <f t="shared" si="382"/>
        <v>-3.8541666666665727E-3</v>
      </c>
      <c r="AL69" s="153">
        <f t="shared" si="382"/>
        <v>3.7500000000000992E-3</v>
      </c>
      <c r="AM69" s="153">
        <f t="shared" si="382"/>
        <v>-2.4999999999998851E-3</v>
      </c>
      <c r="AN69" s="153">
        <f t="shared" si="382"/>
        <v>5.0000000000001319E-3</v>
      </c>
      <c r="AO69" s="153">
        <f t="shared" si="382"/>
        <v>-1.562499999999996E-3</v>
      </c>
      <c r="AP69" s="153">
        <f t="shared" si="382"/>
        <v>5.8333333333333666E-3</v>
      </c>
      <c r="AQ69" s="153">
        <f t="shared" si="382"/>
        <v>-1.0416666666665435E-3</v>
      </c>
      <c r="AR69" s="153">
        <f t="shared" si="382"/>
        <v>6.2500000000001651E-3</v>
      </c>
      <c r="AS69" s="153">
        <f t="shared" si="382"/>
        <v>-9.3749999999988916E-4</v>
      </c>
      <c r="AT69" s="153">
        <f t="shared" si="382"/>
        <v>6.2500000000001651E-3</v>
      </c>
      <c r="AU69" s="153">
        <f t="shared" si="382"/>
        <v>-1.250000000000033E-3</v>
      </c>
      <c r="AV69" s="153">
        <f t="shared" si="382"/>
        <v>5.8333333333333666E-3</v>
      </c>
      <c r="AW69" s="153">
        <f t="shared" si="382"/>
        <v>-1.9791666666666135E-3</v>
      </c>
      <c r="AX69" s="153">
        <f t="shared" si="382"/>
        <v>5.0000000000001319E-3</v>
      </c>
      <c r="AY69" s="153">
        <f t="shared" si="382"/>
        <v>-3.1249999999999919E-3</v>
      </c>
      <c r="AZ69" s="153">
        <f t="shared" si="382"/>
        <v>3.7500000000000992E-3</v>
      </c>
      <c r="BA69" s="153">
        <f t="shared" si="382"/>
        <v>-4.6874999999999886E-3</v>
      </c>
      <c r="BB69" s="153">
        <f t="shared" si="382"/>
        <v>2.0833333333334487E-3</v>
      </c>
      <c r="BC69" s="153">
        <f t="shared" si="382"/>
        <v>-6.6666666666666012E-3</v>
      </c>
      <c r="BD69" s="153">
        <f t="shared" si="382"/>
        <v>0</v>
      </c>
      <c r="BE69" s="153">
        <f t="shared" si="382"/>
        <v>6.6666666666667825E-3</v>
      </c>
      <c r="BF69" s="153">
        <f t="shared" si="382"/>
        <v>-2.4999999999998851E-3</v>
      </c>
      <c r="BG69" s="153">
        <f t="shared" si="382"/>
        <v>4.0625000000000617E-3</v>
      </c>
      <c r="BH69" s="153">
        <f t="shared" si="382"/>
        <v>-5.4166666666667493E-3</v>
      </c>
      <c r="BI69" s="153">
        <f t="shared" si="382"/>
        <v>1.0416666666667243E-3</v>
      </c>
      <c r="BJ69" s="153">
        <f t="shared" si="382"/>
        <v>7.5000000000000171E-3</v>
      </c>
      <c r="BK69" s="153">
        <f t="shared" si="382"/>
        <v>-2.3958333333332308E-3</v>
      </c>
      <c r="BL69" s="153">
        <f t="shared" si="382"/>
        <v>3.9583333333334074E-3</v>
      </c>
      <c r="BM69" s="153">
        <f t="shared" si="382"/>
        <v>-6.2499999999998035E-3</v>
      </c>
      <c r="BN69" s="153">
        <f t="shared" si="382"/>
        <v>0</v>
      </c>
      <c r="BO69" s="153">
        <f t="shared" si="382"/>
        <v>6.2500000000001651E-3</v>
      </c>
      <c r="BP69" s="153">
        <f t="shared" si="382"/>
        <v>-4.3750000000000247E-3</v>
      </c>
      <c r="BQ69" s="153">
        <f t="shared" ref="BQ69:EB69" si="384">(BQ63-39.312)/39.312</f>
        <v>1.7708333333333048E-3</v>
      </c>
      <c r="BR69" s="153">
        <f t="shared" si="384"/>
        <v>7.9166666666666344E-3</v>
      </c>
      <c r="BS69" s="153">
        <f t="shared" si="384"/>
        <v>-3.1249999999999919E-3</v>
      </c>
      <c r="BT69" s="153">
        <f t="shared" si="384"/>
        <v>2.9166666666666833E-3</v>
      </c>
      <c r="BU69" s="153">
        <f t="shared" si="384"/>
        <v>-8.4374999999999069E-3</v>
      </c>
      <c r="BV69" s="153">
        <f t="shared" si="384"/>
        <v>-2.4999999999998851E-3</v>
      </c>
      <c r="BW69" s="153">
        <f t="shared" si="384"/>
        <v>3.4374999999999553E-3</v>
      </c>
      <c r="BX69" s="153">
        <f t="shared" si="384"/>
        <v>-8.3333333333330713E-3</v>
      </c>
      <c r="BY69" s="153">
        <f t="shared" si="384"/>
        <v>-2.4999999999998851E-3</v>
      </c>
      <c r="BZ69" s="153">
        <f t="shared" si="384"/>
        <v>3.3333333333334814E-3</v>
      </c>
      <c r="CA69" s="153">
        <f t="shared" si="384"/>
        <v>-8.8541666666665242E-3</v>
      </c>
      <c r="CB69" s="153">
        <f t="shared" si="384"/>
        <v>-3.1249999999999919E-3</v>
      </c>
      <c r="CC69" s="153">
        <f t="shared" si="384"/>
        <v>2.6041666666665395E-3</v>
      </c>
      <c r="CD69" s="153">
        <f t="shared" si="384"/>
        <v>8.3333333333334321E-3</v>
      </c>
      <c r="CE69" s="153">
        <f t="shared" si="384"/>
        <v>-4.3750000000000247E-3</v>
      </c>
      <c r="CF69" s="153">
        <f t="shared" si="384"/>
        <v>1.2500000000002138E-3</v>
      </c>
      <c r="CG69" s="153">
        <f t="shared" si="384"/>
        <v>6.8750000000000911E-3</v>
      </c>
      <c r="CH69" s="153">
        <f t="shared" si="384"/>
        <v>-6.2499999999999839E-3</v>
      </c>
      <c r="CI69" s="153">
        <f t="shared" si="384"/>
        <v>-7.2916666666676124E-4</v>
      </c>
      <c r="CJ69" s="153">
        <f t="shared" si="384"/>
        <v>4.7916666666666429E-3</v>
      </c>
      <c r="CK69" s="153">
        <f t="shared" si="384"/>
        <v>-8.749999999999869E-3</v>
      </c>
      <c r="CL69" s="153">
        <f t="shared" si="384"/>
        <v>-3.3333333333333006E-3</v>
      </c>
      <c r="CM69" s="153">
        <f t="shared" si="384"/>
        <v>2.0833333333334487E-3</v>
      </c>
      <c r="CN69" s="153">
        <f t="shared" si="384"/>
        <v>7.5000000000000171E-3</v>
      </c>
      <c r="CO69" s="153">
        <f t="shared" si="384"/>
        <v>-6.5624999999999468E-3</v>
      </c>
      <c r="CP69" s="153">
        <f t="shared" si="384"/>
        <v>-1.2499999999998521E-3</v>
      </c>
      <c r="CQ69" s="153">
        <f t="shared" si="384"/>
        <v>4.0625000000000617E-3</v>
      </c>
      <c r="CR69" s="153">
        <f t="shared" si="384"/>
        <v>9.3749999999999771E-3</v>
      </c>
      <c r="CS69" s="153">
        <f t="shared" si="384"/>
        <v>-5.2083333333332602E-3</v>
      </c>
      <c r="CT69" s="153">
        <f t="shared" si="384"/>
        <v>1.8074448915346465E-16</v>
      </c>
      <c r="CU69" s="153">
        <f t="shared" si="384"/>
        <v>5.2083333333334406E-3</v>
      </c>
      <c r="CV69" s="153">
        <f t="shared" si="384"/>
        <v>-9.7916666666665944E-3</v>
      </c>
      <c r="CW69" s="153">
        <f t="shared" si="384"/>
        <v>-4.6874999999998073E-3</v>
      </c>
      <c r="CX69" s="153">
        <f t="shared" si="384"/>
        <v>4.1666666666661742E-4</v>
      </c>
      <c r="CY69" s="153">
        <f t="shared" si="384"/>
        <v>5.5208333333334036E-3</v>
      </c>
      <c r="CZ69" s="153">
        <f t="shared" si="384"/>
        <v>-9.9999999999999031E-3</v>
      </c>
      <c r="DA69" s="153">
        <f t="shared" si="384"/>
        <v>-4.9999999999997703E-3</v>
      </c>
      <c r="DB69" s="153">
        <f t="shared" si="384"/>
        <v>0</v>
      </c>
      <c r="DC69" s="153">
        <f t="shared" si="384"/>
        <v>5.0000000000001319E-3</v>
      </c>
      <c r="DD69" s="153">
        <f t="shared" si="384"/>
        <v>1.0000000000000083E-2</v>
      </c>
      <c r="DE69" s="153">
        <f t="shared" si="384"/>
        <v>-6.1458333333333295E-3</v>
      </c>
      <c r="DF69" s="153">
        <f t="shared" si="384"/>
        <v>-1.250000000000033E-3</v>
      </c>
      <c r="DG69" s="153">
        <f t="shared" si="384"/>
        <v>3.6458333333334444E-3</v>
      </c>
      <c r="DH69" s="153">
        <f t="shared" si="384"/>
        <v>8.5416666666667408E-3</v>
      </c>
      <c r="DI69" s="153">
        <f t="shared" si="384"/>
        <v>-8.124999999999943E-3</v>
      </c>
      <c r="DJ69" s="153">
        <f t="shared" si="384"/>
        <v>-3.3333333333333006E-3</v>
      </c>
      <c r="DK69" s="153">
        <f t="shared" si="384"/>
        <v>1.4583333333335225E-3</v>
      </c>
      <c r="DL69" s="153">
        <f t="shared" si="384"/>
        <v>6.2500000000001651E-3</v>
      </c>
      <c r="DM69" s="153">
        <f t="shared" si="384"/>
        <v>-1.0937499999999972E-2</v>
      </c>
      <c r="DN69" s="153">
        <f t="shared" si="384"/>
        <v>-6.2499999999998035E-3</v>
      </c>
      <c r="DO69" s="153">
        <f t="shared" si="384"/>
        <v>-1.5624999999998153E-3</v>
      </c>
      <c r="DP69" s="153">
        <f t="shared" si="384"/>
        <v>3.1249999999999919E-3</v>
      </c>
      <c r="DQ69" s="153">
        <f t="shared" si="384"/>
        <v>7.8124999999999801E-3</v>
      </c>
      <c r="DR69" s="153">
        <f t="shared" si="384"/>
        <v>-9.9999999999999031E-3</v>
      </c>
      <c r="DS69" s="153">
        <f t="shared" si="384"/>
        <v>-5.4166666666667493E-3</v>
      </c>
      <c r="DT69" s="153">
        <f t="shared" si="384"/>
        <v>-8.3333333333323483E-4</v>
      </c>
      <c r="DU69" s="153">
        <f t="shared" si="384"/>
        <v>3.7500000000000992E-3</v>
      </c>
      <c r="DV69" s="153">
        <f t="shared" si="384"/>
        <v>8.3333333333334321E-3</v>
      </c>
      <c r="DW69" s="153">
        <f t="shared" si="384"/>
        <v>-1.0104166666666557E-2</v>
      </c>
      <c r="DX69" s="153">
        <f t="shared" si="384"/>
        <v>-5.6249999999998775E-3</v>
      </c>
      <c r="DY69" s="153">
        <f t="shared" si="384"/>
        <v>-1.1458333333331978E-3</v>
      </c>
      <c r="DZ69" s="153">
        <f t="shared" si="384"/>
        <v>3.3333333333333006E-3</v>
      </c>
      <c r="EA69" s="153">
        <f t="shared" si="384"/>
        <v>7.8125000000001613E-3</v>
      </c>
      <c r="EB69" s="153">
        <f t="shared" si="384"/>
        <v>-1.1249999999999935E-2</v>
      </c>
      <c r="EC69" s="153">
        <f t="shared" ref="EC69:FC69" si="385">(EC63-39.312)/39.312</f>
        <v>-6.8749999999999107E-3</v>
      </c>
      <c r="ED69" s="153">
        <f t="shared" si="385"/>
        <v>-2.4999999999997043E-3</v>
      </c>
      <c r="EE69" s="153">
        <f t="shared" si="385"/>
        <v>1.8750000000001398E-3</v>
      </c>
      <c r="EF69" s="153">
        <f t="shared" si="385"/>
        <v>6.2499999999999839E-3</v>
      </c>
      <c r="EG69" s="153">
        <f t="shared" si="385"/>
        <v>1.062500000000019E-2</v>
      </c>
      <c r="EH69" s="153">
        <f t="shared" si="385"/>
        <v>-9.1666666666664863E-3</v>
      </c>
      <c r="EI69" s="153">
        <f t="shared" si="385"/>
        <v>-4.8958333333332972E-3</v>
      </c>
      <c r="EJ69" s="153">
        <f t="shared" si="385"/>
        <v>-6.2499999999992607E-4</v>
      </c>
      <c r="EK69" s="153">
        <f t="shared" si="385"/>
        <v>3.6458333333336253E-3</v>
      </c>
      <c r="EL69" s="153">
        <f t="shared" si="385"/>
        <v>7.9166666666666344E-3</v>
      </c>
      <c r="EM69" s="153">
        <f t="shared" si="385"/>
        <v>-1.2499999999999787E-2</v>
      </c>
      <c r="EN69" s="153">
        <f t="shared" si="385"/>
        <v>-8.3333333333334321E-3</v>
      </c>
      <c r="EO69" s="153">
        <f t="shared" si="385"/>
        <v>-4.166666666666716E-3</v>
      </c>
      <c r="EP69" s="153">
        <f t="shared" si="385"/>
        <v>0</v>
      </c>
      <c r="EQ69" s="153">
        <f t="shared" si="385"/>
        <v>4.166666666666716E-3</v>
      </c>
      <c r="ER69" s="153">
        <f t="shared" si="385"/>
        <v>8.3333333333334321E-3</v>
      </c>
      <c r="ES69" s="153">
        <f t="shared" si="385"/>
        <v>1.2499999999999968E-2</v>
      </c>
      <c r="ET69" s="153">
        <f t="shared" si="385"/>
        <v>-8.7500000000000494E-3</v>
      </c>
      <c r="EU69" s="153">
        <f t="shared" si="385"/>
        <v>-4.6874999999999886E-3</v>
      </c>
      <c r="EV69" s="153">
        <f t="shared" si="385"/>
        <v>-6.2499999999992607E-4</v>
      </c>
      <c r="EW69" s="153">
        <f t="shared" si="385"/>
        <v>3.4375000000001358E-3</v>
      </c>
      <c r="EX69" s="153">
        <f t="shared" si="385"/>
        <v>7.5000000000000171E-3</v>
      </c>
      <c r="EY69" s="715"/>
      <c r="EZ69" s="715"/>
      <c r="FA69" s="709"/>
      <c r="FB69" s="153">
        <f t="shared" si="385"/>
        <v>-1.7094017094015212E-3</v>
      </c>
      <c r="FC69" s="153">
        <f t="shared" si="385"/>
        <v>-1.709401709401702E-3</v>
      </c>
    </row>
    <row r="70" spans="2:160" ht="17.5" thickBot="1" x14ac:dyDescent="0.5">
      <c r="F70" s="5"/>
      <c r="EY70" s="5"/>
      <c r="EZ70" s="5"/>
      <c r="FA70" s="709"/>
      <c r="FB70">
        <f>(FB63-39.312)/39.312 * 100</f>
        <v>-0.17094017094015213</v>
      </c>
    </row>
    <row r="71" spans="2:160" x14ac:dyDescent="0.45">
      <c r="B71" s="142" t="s">
        <v>1184</v>
      </c>
      <c r="C71" s="183"/>
      <c r="D71" s="183" t="s">
        <v>1159</v>
      </c>
      <c r="E71" s="184">
        <v>393192</v>
      </c>
      <c r="F71" s="184">
        <v>393193</v>
      </c>
      <c r="G71" s="184">
        <f>E71/10</f>
        <v>39319.199999999997</v>
      </c>
      <c r="H71" s="144"/>
      <c r="I71" s="143" t="s">
        <v>1158</v>
      </c>
      <c r="J71" s="189">
        <v>5</v>
      </c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  <c r="BM71" s="185"/>
      <c r="BN71" s="185"/>
      <c r="BO71" s="185"/>
      <c r="BP71" s="185"/>
      <c r="BQ71" s="185"/>
      <c r="BR71" s="185"/>
      <c r="BS71" s="185"/>
      <c r="BT71" s="185"/>
      <c r="BU71" s="185"/>
      <c r="BV71" s="185"/>
      <c r="BW71" s="185"/>
      <c r="BX71" s="185"/>
      <c r="BY71" s="185"/>
      <c r="BZ71" s="185"/>
      <c r="CA71" s="185"/>
      <c r="CB71" s="185"/>
      <c r="CC71" s="185"/>
      <c r="CD71" s="185"/>
      <c r="CE71" s="185"/>
      <c r="CF71" s="185"/>
      <c r="CG71" s="185"/>
      <c r="CH71" s="185"/>
      <c r="CI71" s="185"/>
      <c r="CJ71" s="185"/>
      <c r="CK71" s="185"/>
      <c r="CL71" s="185"/>
      <c r="CM71" s="185"/>
      <c r="CN71" s="185"/>
      <c r="CO71" s="185"/>
      <c r="CP71" s="185"/>
      <c r="CQ71" s="185"/>
      <c r="CR71" s="185"/>
      <c r="CS71" s="185"/>
      <c r="CT71" s="185"/>
      <c r="CU71" s="185"/>
      <c r="CV71" s="185"/>
      <c r="CW71" s="185"/>
      <c r="CX71" s="185"/>
      <c r="CY71" s="185"/>
      <c r="CZ71" s="185"/>
      <c r="DA71" s="185"/>
      <c r="DB71" s="185"/>
      <c r="DC71" s="185"/>
      <c r="DD71" s="185"/>
      <c r="DE71" s="185"/>
      <c r="DF71" s="185"/>
      <c r="DG71" s="185"/>
      <c r="DH71" s="185"/>
      <c r="DI71" s="185"/>
      <c r="DJ71" s="185"/>
      <c r="DK71" s="185"/>
      <c r="DL71" s="185"/>
      <c r="DM71" s="185"/>
      <c r="DN71" s="185"/>
      <c r="DO71" s="185"/>
      <c r="DP71" s="185"/>
      <c r="DQ71" s="185"/>
      <c r="DR71" s="185"/>
      <c r="DS71" s="185"/>
      <c r="DT71" s="185"/>
      <c r="DU71" s="185"/>
      <c r="DV71" s="185"/>
      <c r="DW71" s="185"/>
      <c r="DX71" s="185"/>
      <c r="DY71" s="185"/>
      <c r="DZ71" s="185"/>
      <c r="EA71" s="185"/>
      <c r="EB71" s="185"/>
      <c r="EC71" s="185"/>
      <c r="ED71" s="185"/>
      <c r="EE71" s="185"/>
      <c r="EF71" s="185"/>
      <c r="EG71" s="185"/>
      <c r="EH71" s="185"/>
      <c r="EI71" s="185"/>
      <c r="EJ71" s="185"/>
      <c r="EK71" s="185"/>
      <c r="EL71" s="185"/>
      <c r="EM71" s="185"/>
      <c r="EN71" s="185"/>
      <c r="EO71" s="185"/>
      <c r="EP71" s="185"/>
      <c r="EQ71" s="185"/>
      <c r="ER71" s="185"/>
      <c r="ES71" s="185"/>
      <c r="ET71" s="185"/>
      <c r="EU71" s="185"/>
      <c r="EV71" s="185"/>
      <c r="EW71" s="185"/>
      <c r="EX71" s="185"/>
      <c r="EY71" s="721"/>
      <c r="EZ71" s="721"/>
      <c r="FA71" s="709"/>
      <c r="FB71" s="185"/>
      <c r="FC71" s="185"/>
      <c r="FD71" s="100"/>
    </row>
    <row r="72" spans="2:160" s="31" customFormat="1" x14ac:dyDescent="0.45">
      <c r="B72" s="155" t="s">
        <v>1156</v>
      </c>
      <c r="C72" s="156" t="s">
        <v>4</v>
      </c>
      <c r="D72" s="182">
        <v>100</v>
      </c>
      <c r="E72" s="182">
        <f>D72+$J$71</f>
        <v>105</v>
      </c>
      <c r="F72" s="182">
        <f>E72+$J$71</f>
        <v>110</v>
      </c>
      <c r="G72" s="182">
        <f t="shared" ref="G72:BQ72" si="386">F72+$J$71</f>
        <v>115</v>
      </c>
      <c r="H72" s="182">
        <f t="shared" si="386"/>
        <v>120</v>
      </c>
      <c r="I72" s="182">
        <f t="shared" si="386"/>
        <v>125</v>
      </c>
      <c r="J72" s="182">
        <f t="shared" si="386"/>
        <v>130</v>
      </c>
      <c r="K72" s="182">
        <f t="shared" si="386"/>
        <v>135</v>
      </c>
      <c r="L72" s="182">
        <f t="shared" si="386"/>
        <v>140</v>
      </c>
      <c r="M72" s="182">
        <f t="shared" si="386"/>
        <v>145</v>
      </c>
      <c r="N72" s="182">
        <f t="shared" si="386"/>
        <v>150</v>
      </c>
      <c r="O72" s="182">
        <f t="shared" si="386"/>
        <v>155</v>
      </c>
      <c r="P72" s="182">
        <f t="shared" si="386"/>
        <v>160</v>
      </c>
      <c r="Q72" s="182">
        <f t="shared" si="386"/>
        <v>165</v>
      </c>
      <c r="R72" s="182">
        <f t="shared" si="386"/>
        <v>170</v>
      </c>
      <c r="S72" s="182">
        <f t="shared" si="386"/>
        <v>175</v>
      </c>
      <c r="T72" s="182">
        <f t="shared" si="386"/>
        <v>180</v>
      </c>
      <c r="U72" s="182">
        <f t="shared" si="386"/>
        <v>185</v>
      </c>
      <c r="V72" s="182">
        <f t="shared" si="386"/>
        <v>190</v>
      </c>
      <c r="W72" s="182">
        <f t="shared" si="386"/>
        <v>195</v>
      </c>
      <c r="X72" s="182">
        <f t="shared" si="386"/>
        <v>200</v>
      </c>
      <c r="Y72" s="182">
        <f t="shared" si="386"/>
        <v>205</v>
      </c>
      <c r="Z72" s="182">
        <f t="shared" si="386"/>
        <v>210</v>
      </c>
      <c r="AA72" s="182">
        <f t="shared" si="386"/>
        <v>215</v>
      </c>
      <c r="AB72" s="182">
        <f t="shared" si="386"/>
        <v>220</v>
      </c>
      <c r="AC72" s="182">
        <f t="shared" si="386"/>
        <v>225</v>
      </c>
      <c r="AD72" s="182">
        <f t="shared" si="386"/>
        <v>230</v>
      </c>
      <c r="AE72" s="182">
        <f t="shared" si="386"/>
        <v>235</v>
      </c>
      <c r="AF72" s="182">
        <f t="shared" si="386"/>
        <v>240</v>
      </c>
      <c r="AG72" s="182">
        <f t="shared" si="386"/>
        <v>245</v>
      </c>
      <c r="AH72" s="182">
        <f t="shared" si="386"/>
        <v>250</v>
      </c>
      <c r="AI72" s="182">
        <f t="shared" si="386"/>
        <v>255</v>
      </c>
      <c r="AJ72" s="182">
        <f t="shared" si="386"/>
        <v>260</v>
      </c>
      <c r="AK72" s="182">
        <f t="shared" si="386"/>
        <v>265</v>
      </c>
      <c r="AL72" s="182">
        <f t="shared" si="386"/>
        <v>270</v>
      </c>
      <c r="AM72" s="182">
        <f t="shared" si="386"/>
        <v>275</v>
      </c>
      <c r="AN72" s="182">
        <f t="shared" si="386"/>
        <v>280</v>
      </c>
      <c r="AO72" s="182">
        <f t="shared" si="386"/>
        <v>285</v>
      </c>
      <c r="AP72" s="182">
        <f t="shared" si="386"/>
        <v>290</v>
      </c>
      <c r="AQ72" s="182">
        <f t="shared" si="386"/>
        <v>295</v>
      </c>
      <c r="AR72" s="182">
        <f t="shared" si="386"/>
        <v>300</v>
      </c>
      <c r="AS72" s="182">
        <f t="shared" si="386"/>
        <v>305</v>
      </c>
      <c r="AT72" s="182">
        <f t="shared" si="386"/>
        <v>310</v>
      </c>
      <c r="AU72" s="182">
        <f t="shared" si="386"/>
        <v>315</v>
      </c>
      <c r="AV72" s="182">
        <f t="shared" si="386"/>
        <v>320</v>
      </c>
      <c r="AW72" s="182">
        <f>AV72+$J$71</f>
        <v>325</v>
      </c>
      <c r="AX72" s="182">
        <f t="shared" si="386"/>
        <v>330</v>
      </c>
      <c r="AY72" s="182">
        <f t="shared" si="386"/>
        <v>335</v>
      </c>
      <c r="AZ72" s="182">
        <f t="shared" si="386"/>
        <v>340</v>
      </c>
      <c r="BA72" s="182">
        <f t="shared" si="386"/>
        <v>345</v>
      </c>
      <c r="BB72" s="182">
        <f t="shared" si="386"/>
        <v>350</v>
      </c>
      <c r="BC72" s="182">
        <f t="shared" si="386"/>
        <v>355</v>
      </c>
      <c r="BD72" s="182">
        <f t="shared" si="386"/>
        <v>360</v>
      </c>
      <c r="BE72" s="182">
        <f t="shared" si="386"/>
        <v>365</v>
      </c>
      <c r="BF72" s="182">
        <f t="shared" si="386"/>
        <v>370</v>
      </c>
      <c r="BG72" s="182">
        <f t="shared" si="386"/>
        <v>375</v>
      </c>
      <c r="BH72" s="182">
        <f t="shared" si="386"/>
        <v>380</v>
      </c>
      <c r="BI72" s="182">
        <f t="shared" si="386"/>
        <v>385</v>
      </c>
      <c r="BJ72" s="182">
        <f t="shared" si="386"/>
        <v>390</v>
      </c>
      <c r="BK72" s="182">
        <f t="shared" si="386"/>
        <v>395</v>
      </c>
      <c r="BL72" s="182">
        <f t="shared" si="386"/>
        <v>400</v>
      </c>
      <c r="BM72" s="182">
        <f t="shared" si="386"/>
        <v>405</v>
      </c>
      <c r="BN72" s="182">
        <f t="shared" si="386"/>
        <v>410</v>
      </c>
      <c r="BO72" s="182">
        <f t="shared" si="386"/>
        <v>415</v>
      </c>
      <c r="BP72" s="182">
        <f t="shared" si="386"/>
        <v>420</v>
      </c>
      <c r="BQ72" s="182">
        <f t="shared" si="386"/>
        <v>425</v>
      </c>
      <c r="BR72" s="182">
        <f t="shared" ref="BR72:EC72" si="387">BQ72+$J$71</f>
        <v>430</v>
      </c>
      <c r="BS72" s="182">
        <f t="shared" si="387"/>
        <v>435</v>
      </c>
      <c r="BT72" s="182">
        <f t="shared" si="387"/>
        <v>440</v>
      </c>
      <c r="BU72" s="182">
        <f t="shared" si="387"/>
        <v>445</v>
      </c>
      <c r="BV72" s="182">
        <f t="shared" si="387"/>
        <v>450</v>
      </c>
      <c r="BW72" s="182">
        <f t="shared" si="387"/>
        <v>455</v>
      </c>
      <c r="BX72" s="182">
        <f t="shared" si="387"/>
        <v>460</v>
      </c>
      <c r="BY72" s="182">
        <f t="shared" si="387"/>
        <v>465</v>
      </c>
      <c r="BZ72" s="182">
        <f t="shared" si="387"/>
        <v>470</v>
      </c>
      <c r="CA72" s="182">
        <f t="shared" si="387"/>
        <v>475</v>
      </c>
      <c r="CB72" s="182">
        <f t="shared" si="387"/>
        <v>480</v>
      </c>
      <c r="CC72" s="182">
        <f t="shared" si="387"/>
        <v>485</v>
      </c>
      <c r="CD72" s="182">
        <f t="shared" si="387"/>
        <v>490</v>
      </c>
      <c r="CE72" s="182">
        <f t="shared" si="387"/>
        <v>495</v>
      </c>
      <c r="CF72" s="182">
        <f t="shared" si="387"/>
        <v>500</v>
      </c>
      <c r="CG72" s="182">
        <f t="shared" si="387"/>
        <v>505</v>
      </c>
      <c r="CH72" s="182">
        <f t="shared" si="387"/>
        <v>510</v>
      </c>
      <c r="CI72" s="182">
        <f t="shared" si="387"/>
        <v>515</v>
      </c>
      <c r="CJ72" s="182">
        <f t="shared" si="387"/>
        <v>520</v>
      </c>
      <c r="CK72" s="182">
        <f t="shared" si="387"/>
        <v>525</v>
      </c>
      <c r="CL72" s="182">
        <f t="shared" si="387"/>
        <v>530</v>
      </c>
      <c r="CM72" s="182">
        <f t="shared" si="387"/>
        <v>535</v>
      </c>
      <c r="CN72" s="182">
        <f t="shared" si="387"/>
        <v>540</v>
      </c>
      <c r="CO72" s="182">
        <f t="shared" si="387"/>
        <v>545</v>
      </c>
      <c r="CP72" s="182">
        <f t="shared" si="387"/>
        <v>550</v>
      </c>
      <c r="CQ72" s="182">
        <f t="shared" si="387"/>
        <v>555</v>
      </c>
      <c r="CR72" s="182">
        <f t="shared" si="387"/>
        <v>560</v>
      </c>
      <c r="CS72" s="182">
        <f t="shared" si="387"/>
        <v>565</v>
      </c>
      <c r="CT72" s="182">
        <f t="shared" si="387"/>
        <v>570</v>
      </c>
      <c r="CU72" s="182">
        <f t="shared" si="387"/>
        <v>575</v>
      </c>
      <c r="CV72" s="182">
        <f t="shared" si="387"/>
        <v>580</v>
      </c>
      <c r="CW72" s="182">
        <f t="shared" si="387"/>
        <v>585</v>
      </c>
      <c r="CX72" s="182">
        <f t="shared" si="387"/>
        <v>590</v>
      </c>
      <c r="CY72" s="182">
        <f t="shared" si="387"/>
        <v>595</v>
      </c>
      <c r="CZ72" s="182">
        <f t="shared" si="387"/>
        <v>600</v>
      </c>
      <c r="DA72" s="182">
        <f t="shared" si="387"/>
        <v>605</v>
      </c>
      <c r="DB72" s="182">
        <f t="shared" si="387"/>
        <v>610</v>
      </c>
      <c r="DC72" s="182">
        <f t="shared" si="387"/>
        <v>615</v>
      </c>
      <c r="DD72" s="182">
        <f t="shared" si="387"/>
        <v>620</v>
      </c>
      <c r="DE72" s="182">
        <f t="shared" si="387"/>
        <v>625</v>
      </c>
      <c r="DF72" s="182">
        <f t="shared" si="387"/>
        <v>630</v>
      </c>
      <c r="DG72" s="182">
        <f t="shared" si="387"/>
        <v>635</v>
      </c>
      <c r="DH72" s="182">
        <f t="shared" si="387"/>
        <v>640</v>
      </c>
      <c r="DI72" s="182">
        <f t="shared" si="387"/>
        <v>645</v>
      </c>
      <c r="DJ72" s="182">
        <f t="shared" si="387"/>
        <v>650</v>
      </c>
      <c r="DK72" s="182">
        <f t="shared" si="387"/>
        <v>655</v>
      </c>
      <c r="DL72" s="182">
        <f t="shared" si="387"/>
        <v>660</v>
      </c>
      <c r="DM72" s="182">
        <f t="shared" si="387"/>
        <v>665</v>
      </c>
      <c r="DN72" s="182">
        <f t="shared" si="387"/>
        <v>670</v>
      </c>
      <c r="DO72" s="182">
        <f t="shared" si="387"/>
        <v>675</v>
      </c>
      <c r="DP72" s="182">
        <f t="shared" si="387"/>
        <v>680</v>
      </c>
      <c r="DQ72" s="182">
        <f t="shared" si="387"/>
        <v>685</v>
      </c>
      <c r="DR72" s="182">
        <f t="shared" si="387"/>
        <v>690</v>
      </c>
      <c r="DS72" s="182">
        <f t="shared" si="387"/>
        <v>695</v>
      </c>
      <c r="DT72" s="182">
        <f t="shared" si="387"/>
        <v>700</v>
      </c>
      <c r="DU72" s="182">
        <f t="shared" si="387"/>
        <v>705</v>
      </c>
      <c r="DV72" s="182">
        <f t="shared" si="387"/>
        <v>710</v>
      </c>
      <c r="DW72" s="182">
        <f t="shared" si="387"/>
        <v>715</v>
      </c>
      <c r="DX72" s="182">
        <f t="shared" si="387"/>
        <v>720</v>
      </c>
      <c r="DY72" s="182">
        <f t="shared" si="387"/>
        <v>725</v>
      </c>
      <c r="DZ72" s="182">
        <f t="shared" si="387"/>
        <v>730</v>
      </c>
      <c r="EA72" s="182">
        <f t="shared" si="387"/>
        <v>735</v>
      </c>
      <c r="EB72" s="182">
        <f t="shared" si="387"/>
        <v>740</v>
      </c>
      <c r="EC72" s="182">
        <f t="shared" si="387"/>
        <v>745</v>
      </c>
      <c r="ED72" s="182">
        <f t="shared" ref="ED72:EX72" si="388">EC72+$J$71</f>
        <v>750</v>
      </c>
      <c r="EE72" s="182">
        <f t="shared" si="388"/>
        <v>755</v>
      </c>
      <c r="EF72" s="182">
        <f t="shared" si="388"/>
        <v>760</v>
      </c>
      <c r="EG72" s="182">
        <f t="shared" si="388"/>
        <v>765</v>
      </c>
      <c r="EH72" s="182">
        <f t="shared" si="388"/>
        <v>770</v>
      </c>
      <c r="EI72" s="182">
        <f t="shared" si="388"/>
        <v>775</v>
      </c>
      <c r="EJ72" s="182">
        <f t="shared" si="388"/>
        <v>780</v>
      </c>
      <c r="EK72" s="182">
        <f t="shared" si="388"/>
        <v>785</v>
      </c>
      <c r="EL72" s="182">
        <f t="shared" si="388"/>
        <v>790</v>
      </c>
      <c r="EM72" s="182">
        <f t="shared" si="388"/>
        <v>795</v>
      </c>
      <c r="EN72" s="182">
        <f t="shared" si="388"/>
        <v>800</v>
      </c>
      <c r="EO72" s="182">
        <f t="shared" si="388"/>
        <v>805</v>
      </c>
      <c r="EP72" s="182">
        <f t="shared" si="388"/>
        <v>810</v>
      </c>
      <c r="EQ72" s="182">
        <f t="shared" si="388"/>
        <v>815</v>
      </c>
      <c r="ER72" s="182">
        <f t="shared" si="388"/>
        <v>820</v>
      </c>
      <c r="ES72" s="182">
        <f t="shared" si="388"/>
        <v>825</v>
      </c>
      <c r="ET72" s="182">
        <f t="shared" si="388"/>
        <v>830</v>
      </c>
      <c r="EU72" s="182">
        <f t="shared" si="388"/>
        <v>835</v>
      </c>
      <c r="EV72" s="182">
        <f t="shared" si="388"/>
        <v>840</v>
      </c>
      <c r="EW72" s="182">
        <f t="shared" si="388"/>
        <v>845</v>
      </c>
      <c r="EX72" s="182">
        <f t="shared" si="388"/>
        <v>850</v>
      </c>
      <c r="EY72" s="715"/>
      <c r="EZ72" s="715"/>
      <c r="FA72" s="709"/>
      <c r="FB72" s="182">
        <v>800</v>
      </c>
      <c r="FC72" s="182">
        <v>960</v>
      </c>
      <c r="FD72" s="100"/>
    </row>
    <row r="73" spans="2:160" s="31" customFormat="1" x14ac:dyDescent="0.45">
      <c r="B73" s="154"/>
      <c r="C73" s="152" t="s">
        <v>1</v>
      </c>
      <c r="D73" s="157">
        <f>ROUNDDOWN(1000000 / (D72/(D88)), 0)</f>
        <v>10000</v>
      </c>
      <c r="E73" s="157">
        <f t="shared" ref="E73:BP73" si="389">ROUNDDOWN(1000000 / (E72/(E88)), 0)</f>
        <v>9523</v>
      </c>
      <c r="F73" s="157">
        <f t="shared" ref="F73" si="390">ROUNDDOWN(1000000 / (F72/(F88)), 0)</f>
        <v>9090</v>
      </c>
      <c r="G73" s="157">
        <f t="shared" si="389"/>
        <v>8695</v>
      </c>
      <c r="H73" s="157">
        <f t="shared" si="389"/>
        <v>8333</v>
      </c>
      <c r="I73" s="157">
        <f t="shared" si="389"/>
        <v>8000</v>
      </c>
      <c r="J73" s="157">
        <f t="shared" si="389"/>
        <v>7692</v>
      </c>
      <c r="K73" s="157">
        <f t="shared" si="389"/>
        <v>7407</v>
      </c>
      <c r="L73" s="157">
        <f t="shared" si="389"/>
        <v>7142</v>
      </c>
      <c r="M73" s="157">
        <f t="shared" si="389"/>
        <v>6896</v>
      </c>
      <c r="N73" s="157">
        <f t="shared" si="389"/>
        <v>6666</v>
      </c>
      <c r="O73" s="157">
        <f t="shared" si="389"/>
        <v>6451</v>
      </c>
      <c r="P73" s="157">
        <f t="shared" si="389"/>
        <v>6250</v>
      </c>
      <c r="Q73" s="157">
        <f t="shared" si="389"/>
        <v>6060</v>
      </c>
      <c r="R73" s="157">
        <f t="shared" si="389"/>
        <v>5882</v>
      </c>
      <c r="S73" s="157">
        <f t="shared" si="389"/>
        <v>5714</v>
      </c>
      <c r="T73" s="157">
        <f t="shared" si="389"/>
        <v>5555</v>
      </c>
      <c r="U73" s="157">
        <f t="shared" si="389"/>
        <v>5405</v>
      </c>
      <c r="V73" s="157">
        <f t="shared" si="389"/>
        <v>5263</v>
      </c>
      <c r="W73" s="157">
        <f t="shared" si="389"/>
        <v>5128</v>
      </c>
      <c r="X73" s="157">
        <f t="shared" si="389"/>
        <v>5000</v>
      </c>
      <c r="Y73" s="157">
        <f t="shared" si="389"/>
        <v>4878</v>
      </c>
      <c r="Z73" s="157">
        <f t="shared" si="389"/>
        <v>4761</v>
      </c>
      <c r="AA73" s="157">
        <f t="shared" si="389"/>
        <v>4651</v>
      </c>
      <c r="AB73" s="157">
        <f t="shared" si="389"/>
        <v>4545</v>
      </c>
      <c r="AC73" s="157">
        <f t="shared" si="389"/>
        <v>4444</v>
      </c>
      <c r="AD73" s="157">
        <f t="shared" si="389"/>
        <v>4347</v>
      </c>
      <c r="AE73" s="157">
        <f t="shared" si="389"/>
        <v>4255</v>
      </c>
      <c r="AF73" s="157">
        <f t="shared" si="389"/>
        <v>4166</v>
      </c>
      <c r="AG73" s="157">
        <f t="shared" si="389"/>
        <v>4081</v>
      </c>
      <c r="AH73" s="157">
        <f t="shared" si="389"/>
        <v>4000</v>
      </c>
      <c r="AI73" s="157">
        <f t="shared" si="389"/>
        <v>3921</v>
      </c>
      <c r="AJ73" s="157">
        <f t="shared" si="389"/>
        <v>3846</v>
      </c>
      <c r="AK73" s="157">
        <f t="shared" si="389"/>
        <v>3773</v>
      </c>
      <c r="AL73" s="157">
        <f t="shared" si="389"/>
        <v>3703</v>
      </c>
      <c r="AM73" s="157">
        <f t="shared" si="389"/>
        <v>3636</v>
      </c>
      <c r="AN73" s="157">
        <f t="shared" si="389"/>
        <v>3571</v>
      </c>
      <c r="AO73" s="157">
        <f t="shared" si="389"/>
        <v>3508</v>
      </c>
      <c r="AP73" s="157">
        <f t="shared" si="389"/>
        <v>3448</v>
      </c>
      <c r="AQ73" s="157">
        <f t="shared" si="389"/>
        <v>3389</v>
      </c>
      <c r="AR73" s="157">
        <f t="shared" si="389"/>
        <v>3333</v>
      </c>
      <c r="AS73" s="157">
        <f t="shared" si="389"/>
        <v>3278</v>
      </c>
      <c r="AT73" s="157">
        <f t="shared" si="389"/>
        <v>3225</v>
      </c>
      <c r="AU73" s="157">
        <f t="shared" si="389"/>
        <v>3174</v>
      </c>
      <c r="AV73" s="157">
        <f t="shared" si="389"/>
        <v>3125</v>
      </c>
      <c r="AW73" s="157">
        <f t="shared" si="389"/>
        <v>3076</v>
      </c>
      <c r="AX73" s="157">
        <f t="shared" si="389"/>
        <v>3030</v>
      </c>
      <c r="AY73" s="157">
        <f t="shared" si="389"/>
        <v>2985</v>
      </c>
      <c r="AZ73" s="157">
        <f t="shared" si="389"/>
        <v>2941</v>
      </c>
      <c r="BA73" s="157">
        <f t="shared" si="389"/>
        <v>2898</v>
      </c>
      <c r="BB73" s="157">
        <f t="shared" si="389"/>
        <v>2857</v>
      </c>
      <c r="BC73" s="157">
        <f t="shared" si="389"/>
        <v>2816</v>
      </c>
      <c r="BD73" s="157">
        <f t="shared" si="389"/>
        <v>2777</v>
      </c>
      <c r="BE73" s="157">
        <f t="shared" si="389"/>
        <v>2739</v>
      </c>
      <c r="BF73" s="157">
        <f t="shared" si="389"/>
        <v>2702</v>
      </c>
      <c r="BG73" s="157">
        <f t="shared" si="389"/>
        <v>2666</v>
      </c>
      <c r="BH73" s="157">
        <f t="shared" si="389"/>
        <v>2631</v>
      </c>
      <c r="BI73" s="157">
        <f t="shared" si="389"/>
        <v>2597</v>
      </c>
      <c r="BJ73" s="157">
        <f t="shared" si="389"/>
        <v>2564</v>
      </c>
      <c r="BK73" s="157">
        <f t="shared" si="389"/>
        <v>2531</v>
      </c>
      <c r="BL73" s="157">
        <f t="shared" si="389"/>
        <v>2500</v>
      </c>
      <c r="BM73" s="157">
        <f t="shared" si="389"/>
        <v>2469</v>
      </c>
      <c r="BN73" s="157">
        <f t="shared" si="389"/>
        <v>2439</v>
      </c>
      <c r="BO73" s="157">
        <f t="shared" si="389"/>
        <v>2409</v>
      </c>
      <c r="BP73" s="157">
        <f t="shared" si="389"/>
        <v>2380</v>
      </c>
      <c r="BQ73" s="157">
        <f t="shared" ref="BQ73:EB73" si="391">ROUNDDOWN(1000000 / (BQ72/(BQ88)), 0)</f>
        <v>2352</v>
      </c>
      <c r="BR73" s="157">
        <f t="shared" si="391"/>
        <v>2325</v>
      </c>
      <c r="BS73" s="157">
        <f t="shared" si="391"/>
        <v>2298</v>
      </c>
      <c r="BT73" s="157">
        <f t="shared" si="391"/>
        <v>2272</v>
      </c>
      <c r="BU73" s="157">
        <f t="shared" si="391"/>
        <v>2247</v>
      </c>
      <c r="BV73" s="157">
        <f t="shared" si="391"/>
        <v>2222</v>
      </c>
      <c r="BW73" s="157">
        <f t="shared" si="391"/>
        <v>2197</v>
      </c>
      <c r="BX73" s="157">
        <f t="shared" si="391"/>
        <v>2173</v>
      </c>
      <c r="BY73" s="157">
        <f t="shared" si="391"/>
        <v>2150</v>
      </c>
      <c r="BZ73" s="157">
        <f t="shared" si="391"/>
        <v>2127</v>
      </c>
      <c r="CA73" s="157">
        <f t="shared" si="391"/>
        <v>2105</v>
      </c>
      <c r="CB73" s="157">
        <f t="shared" si="391"/>
        <v>2083</v>
      </c>
      <c r="CC73" s="157">
        <f t="shared" si="391"/>
        <v>2061</v>
      </c>
      <c r="CD73" s="157">
        <f t="shared" si="391"/>
        <v>2040</v>
      </c>
      <c r="CE73" s="157">
        <f t="shared" si="391"/>
        <v>2020</v>
      </c>
      <c r="CF73" s="157">
        <f t="shared" si="391"/>
        <v>2000</v>
      </c>
      <c r="CG73" s="157">
        <f t="shared" si="391"/>
        <v>1980</v>
      </c>
      <c r="CH73" s="157">
        <f t="shared" si="391"/>
        <v>1960</v>
      </c>
      <c r="CI73" s="157">
        <f t="shared" si="391"/>
        <v>1941</v>
      </c>
      <c r="CJ73" s="157">
        <f t="shared" si="391"/>
        <v>1923</v>
      </c>
      <c r="CK73" s="157">
        <f t="shared" si="391"/>
        <v>1904</v>
      </c>
      <c r="CL73" s="157">
        <f t="shared" si="391"/>
        <v>1886</v>
      </c>
      <c r="CM73" s="157">
        <f t="shared" si="391"/>
        <v>1869</v>
      </c>
      <c r="CN73" s="157">
        <f t="shared" si="391"/>
        <v>1851</v>
      </c>
      <c r="CO73" s="157">
        <f t="shared" si="391"/>
        <v>1834</v>
      </c>
      <c r="CP73" s="157">
        <f t="shared" si="391"/>
        <v>1818</v>
      </c>
      <c r="CQ73" s="157">
        <f t="shared" si="391"/>
        <v>1801</v>
      </c>
      <c r="CR73" s="157">
        <f t="shared" si="391"/>
        <v>1785</v>
      </c>
      <c r="CS73" s="157">
        <f t="shared" si="391"/>
        <v>1769</v>
      </c>
      <c r="CT73" s="157">
        <f t="shared" si="391"/>
        <v>1754</v>
      </c>
      <c r="CU73" s="157">
        <f t="shared" si="391"/>
        <v>1739</v>
      </c>
      <c r="CV73" s="157">
        <f t="shared" si="391"/>
        <v>1724</v>
      </c>
      <c r="CW73" s="157">
        <f t="shared" si="391"/>
        <v>1709</v>
      </c>
      <c r="CX73" s="157">
        <f t="shared" si="391"/>
        <v>1694</v>
      </c>
      <c r="CY73" s="157">
        <f t="shared" si="391"/>
        <v>1680</v>
      </c>
      <c r="CZ73" s="157">
        <f t="shared" si="391"/>
        <v>1666</v>
      </c>
      <c r="DA73" s="157">
        <f t="shared" si="391"/>
        <v>1652</v>
      </c>
      <c r="DB73" s="157">
        <f t="shared" si="391"/>
        <v>1639</v>
      </c>
      <c r="DC73" s="157">
        <f t="shared" si="391"/>
        <v>1626</v>
      </c>
      <c r="DD73" s="157">
        <f t="shared" si="391"/>
        <v>1612</v>
      </c>
      <c r="DE73" s="157">
        <f t="shared" si="391"/>
        <v>1600</v>
      </c>
      <c r="DF73" s="157">
        <f t="shared" si="391"/>
        <v>1587</v>
      </c>
      <c r="DG73" s="157">
        <f t="shared" si="391"/>
        <v>1574</v>
      </c>
      <c r="DH73" s="157">
        <f t="shared" si="391"/>
        <v>1562</v>
      </c>
      <c r="DI73" s="157">
        <f t="shared" si="391"/>
        <v>1550</v>
      </c>
      <c r="DJ73" s="157">
        <f t="shared" si="391"/>
        <v>1538</v>
      </c>
      <c r="DK73" s="157">
        <f t="shared" si="391"/>
        <v>1526</v>
      </c>
      <c r="DL73" s="157">
        <f t="shared" si="391"/>
        <v>1515</v>
      </c>
      <c r="DM73" s="157">
        <f t="shared" si="391"/>
        <v>1503</v>
      </c>
      <c r="DN73" s="157">
        <f t="shared" si="391"/>
        <v>1492</v>
      </c>
      <c r="DO73" s="157">
        <f t="shared" si="391"/>
        <v>1481</v>
      </c>
      <c r="DP73" s="157">
        <f t="shared" si="391"/>
        <v>1470</v>
      </c>
      <c r="DQ73" s="157">
        <f t="shared" si="391"/>
        <v>1459</v>
      </c>
      <c r="DR73" s="157">
        <f t="shared" si="391"/>
        <v>1449</v>
      </c>
      <c r="DS73" s="157">
        <f t="shared" si="391"/>
        <v>1438</v>
      </c>
      <c r="DT73" s="157">
        <f t="shared" si="391"/>
        <v>1428</v>
      </c>
      <c r="DU73" s="157">
        <f t="shared" si="391"/>
        <v>1418</v>
      </c>
      <c r="DV73" s="157">
        <f t="shared" si="391"/>
        <v>1408</v>
      </c>
      <c r="DW73" s="157">
        <f t="shared" si="391"/>
        <v>1398</v>
      </c>
      <c r="DX73" s="157">
        <f t="shared" si="391"/>
        <v>1388</v>
      </c>
      <c r="DY73" s="157">
        <f t="shared" si="391"/>
        <v>1379</v>
      </c>
      <c r="DZ73" s="157">
        <f t="shared" si="391"/>
        <v>1369</v>
      </c>
      <c r="EA73" s="157">
        <f t="shared" si="391"/>
        <v>1360</v>
      </c>
      <c r="EB73" s="157">
        <f t="shared" si="391"/>
        <v>1351</v>
      </c>
      <c r="EC73" s="157">
        <f t="shared" ref="EC73:EJ73" si="392">ROUNDDOWN(1000000 / (EC72/(EC88)), 0)</f>
        <v>1342</v>
      </c>
      <c r="ED73" s="157">
        <f t="shared" si="392"/>
        <v>1333</v>
      </c>
      <c r="EE73" s="157">
        <f t="shared" si="392"/>
        <v>1324</v>
      </c>
      <c r="EF73" s="157">
        <f t="shared" si="392"/>
        <v>1315</v>
      </c>
      <c r="EG73" s="157">
        <f t="shared" si="392"/>
        <v>1307</v>
      </c>
      <c r="EH73" s="157">
        <f t="shared" si="392"/>
        <v>1298</v>
      </c>
      <c r="EI73" s="157">
        <f t="shared" si="392"/>
        <v>1290</v>
      </c>
      <c r="EJ73" s="157">
        <f t="shared" si="392"/>
        <v>1282</v>
      </c>
      <c r="EK73" s="157">
        <f>ROUNDDOWN(1000000 / (EK72/(EK88)), 0)</f>
        <v>1273</v>
      </c>
      <c r="EL73" s="157">
        <f t="shared" ref="EL73:FC73" si="393">ROUNDDOWN(1000000 / (EL72/(EL88)), 0)</f>
        <v>1265</v>
      </c>
      <c r="EM73" s="157">
        <f t="shared" si="393"/>
        <v>1257</v>
      </c>
      <c r="EN73" s="157">
        <f t="shared" si="393"/>
        <v>1250</v>
      </c>
      <c r="EO73" s="157">
        <f t="shared" si="393"/>
        <v>1242</v>
      </c>
      <c r="EP73" s="157">
        <f t="shared" si="393"/>
        <v>1234</v>
      </c>
      <c r="EQ73" s="157">
        <f t="shared" si="393"/>
        <v>1226</v>
      </c>
      <c r="ER73" s="157">
        <f t="shared" si="393"/>
        <v>1219</v>
      </c>
      <c r="ES73" s="157">
        <f t="shared" si="393"/>
        <v>1212</v>
      </c>
      <c r="ET73" s="157">
        <f t="shared" si="393"/>
        <v>1204</v>
      </c>
      <c r="EU73" s="157">
        <f t="shared" si="393"/>
        <v>1197</v>
      </c>
      <c r="EV73" s="157">
        <f t="shared" si="393"/>
        <v>1190</v>
      </c>
      <c r="EW73" s="157">
        <f t="shared" si="393"/>
        <v>1183</v>
      </c>
      <c r="EX73" s="157">
        <f t="shared" si="393"/>
        <v>1176</v>
      </c>
      <c r="EY73" s="715"/>
      <c r="EZ73" s="715"/>
      <c r="FA73" s="709"/>
      <c r="FB73" s="157">
        <f t="shared" si="393"/>
        <v>10000</v>
      </c>
      <c r="FC73" s="157">
        <f t="shared" si="393"/>
        <v>8333</v>
      </c>
      <c r="FD73" s="100"/>
    </row>
    <row r="74" spans="2:160" s="31" customFormat="1" x14ac:dyDescent="0.45">
      <c r="B74" s="155" t="s">
        <v>1161</v>
      </c>
      <c r="C74" s="156" t="s">
        <v>18</v>
      </c>
      <c r="D74" s="55">
        <v>14</v>
      </c>
      <c r="E74" s="55">
        <f>D74</f>
        <v>14</v>
      </c>
      <c r="F74" s="55">
        <f>E74</f>
        <v>14</v>
      </c>
      <c r="G74" s="55">
        <f t="shared" ref="G74:BQ74" si="394">F74</f>
        <v>14</v>
      </c>
      <c r="H74" s="55">
        <f t="shared" si="394"/>
        <v>14</v>
      </c>
      <c r="I74" s="55">
        <f t="shared" si="394"/>
        <v>14</v>
      </c>
      <c r="J74" s="55">
        <f t="shared" si="394"/>
        <v>14</v>
      </c>
      <c r="K74" s="55">
        <f t="shared" si="394"/>
        <v>14</v>
      </c>
      <c r="L74" s="55">
        <f t="shared" si="394"/>
        <v>14</v>
      </c>
      <c r="M74" s="55">
        <f t="shared" si="394"/>
        <v>14</v>
      </c>
      <c r="N74" s="55">
        <f t="shared" si="394"/>
        <v>14</v>
      </c>
      <c r="O74" s="55">
        <f t="shared" si="394"/>
        <v>14</v>
      </c>
      <c r="P74" s="55">
        <f t="shared" si="394"/>
        <v>14</v>
      </c>
      <c r="Q74" s="55">
        <f t="shared" si="394"/>
        <v>14</v>
      </c>
      <c r="R74" s="55">
        <f t="shared" si="394"/>
        <v>14</v>
      </c>
      <c r="S74" s="55">
        <f t="shared" si="394"/>
        <v>14</v>
      </c>
      <c r="T74" s="55">
        <f t="shared" si="394"/>
        <v>14</v>
      </c>
      <c r="U74" s="55">
        <f t="shared" si="394"/>
        <v>14</v>
      </c>
      <c r="V74" s="55">
        <f t="shared" si="394"/>
        <v>14</v>
      </c>
      <c r="W74" s="55">
        <f t="shared" si="394"/>
        <v>14</v>
      </c>
      <c r="X74" s="55">
        <f t="shared" si="394"/>
        <v>14</v>
      </c>
      <c r="Y74" s="55">
        <f t="shared" si="394"/>
        <v>14</v>
      </c>
      <c r="Z74" s="55">
        <f t="shared" si="394"/>
        <v>14</v>
      </c>
      <c r="AA74" s="55">
        <f t="shared" si="394"/>
        <v>14</v>
      </c>
      <c r="AB74" s="55">
        <f t="shared" si="394"/>
        <v>14</v>
      </c>
      <c r="AC74" s="55">
        <f t="shared" si="394"/>
        <v>14</v>
      </c>
      <c r="AD74" s="55">
        <f t="shared" si="394"/>
        <v>14</v>
      </c>
      <c r="AE74" s="55">
        <f t="shared" si="394"/>
        <v>14</v>
      </c>
      <c r="AF74" s="55">
        <f t="shared" si="394"/>
        <v>14</v>
      </c>
      <c r="AG74" s="55">
        <f t="shared" si="394"/>
        <v>14</v>
      </c>
      <c r="AH74" s="55">
        <f t="shared" si="394"/>
        <v>14</v>
      </c>
      <c r="AI74" s="55">
        <f t="shared" si="394"/>
        <v>14</v>
      </c>
      <c r="AJ74" s="55">
        <f t="shared" si="394"/>
        <v>14</v>
      </c>
      <c r="AK74" s="55">
        <f t="shared" si="394"/>
        <v>14</v>
      </c>
      <c r="AL74" s="55">
        <f t="shared" si="394"/>
        <v>14</v>
      </c>
      <c r="AM74" s="55">
        <f t="shared" si="394"/>
        <v>14</v>
      </c>
      <c r="AN74" s="55">
        <f t="shared" si="394"/>
        <v>14</v>
      </c>
      <c r="AO74" s="55">
        <f t="shared" si="394"/>
        <v>14</v>
      </c>
      <c r="AP74" s="55">
        <f t="shared" si="394"/>
        <v>14</v>
      </c>
      <c r="AQ74" s="55">
        <f t="shared" si="394"/>
        <v>14</v>
      </c>
      <c r="AR74" s="55">
        <f t="shared" si="394"/>
        <v>14</v>
      </c>
      <c r="AS74" s="55">
        <f t="shared" si="394"/>
        <v>14</v>
      </c>
      <c r="AT74" s="55">
        <f t="shared" si="394"/>
        <v>14</v>
      </c>
      <c r="AU74" s="55">
        <f t="shared" si="394"/>
        <v>14</v>
      </c>
      <c r="AV74" s="55">
        <f t="shared" si="394"/>
        <v>14</v>
      </c>
      <c r="AW74" s="55">
        <f>AV74</f>
        <v>14</v>
      </c>
      <c r="AX74" s="55">
        <f t="shared" si="394"/>
        <v>14</v>
      </c>
      <c r="AY74" s="55">
        <f t="shared" si="394"/>
        <v>14</v>
      </c>
      <c r="AZ74" s="55">
        <f t="shared" si="394"/>
        <v>14</v>
      </c>
      <c r="BA74" s="55">
        <f t="shared" si="394"/>
        <v>14</v>
      </c>
      <c r="BB74" s="55">
        <f t="shared" si="394"/>
        <v>14</v>
      </c>
      <c r="BC74" s="55">
        <f t="shared" si="394"/>
        <v>14</v>
      </c>
      <c r="BD74" s="55">
        <f t="shared" si="394"/>
        <v>14</v>
      </c>
      <c r="BE74" s="55">
        <f t="shared" si="394"/>
        <v>14</v>
      </c>
      <c r="BF74" s="55">
        <f t="shared" si="394"/>
        <v>14</v>
      </c>
      <c r="BG74" s="55">
        <f t="shared" si="394"/>
        <v>14</v>
      </c>
      <c r="BH74" s="55">
        <f t="shared" si="394"/>
        <v>14</v>
      </c>
      <c r="BI74" s="55">
        <f t="shared" si="394"/>
        <v>14</v>
      </c>
      <c r="BJ74" s="55">
        <f t="shared" si="394"/>
        <v>14</v>
      </c>
      <c r="BK74" s="55">
        <f t="shared" si="394"/>
        <v>14</v>
      </c>
      <c r="BL74" s="55">
        <f t="shared" si="394"/>
        <v>14</v>
      </c>
      <c r="BM74" s="55">
        <f t="shared" si="394"/>
        <v>14</v>
      </c>
      <c r="BN74" s="55">
        <f t="shared" si="394"/>
        <v>14</v>
      </c>
      <c r="BO74" s="55">
        <f t="shared" si="394"/>
        <v>14</v>
      </c>
      <c r="BP74" s="55">
        <f t="shared" si="394"/>
        <v>14</v>
      </c>
      <c r="BQ74" s="55">
        <f t="shared" si="394"/>
        <v>14</v>
      </c>
      <c r="BR74" s="55">
        <f t="shared" ref="BR74:EC74" si="395">BQ74</f>
        <v>14</v>
      </c>
      <c r="BS74" s="55">
        <f t="shared" si="395"/>
        <v>14</v>
      </c>
      <c r="BT74" s="55">
        <f t="shared" si="395"/>
        <v>14</v>
      </c>
      <c r="BU74" s="55">
        <f t="shared" si="395"/>
        <v>14</v>
      </c>
      <c r="BV74" s="55">
        <f t="shared" si="395"/>
        <v>14</v>
      </c>
      <c r="BW74" s="55">
        <f t="shared" si="395"/>
        <v>14</v>
      </c>
      <c r="BX74" s="55">
        <f t="shared" si="395"/>
        <v>14</v>
      </c>
      <c r="BY74" s="55">
        <f t="shared" si="395"/>
        <v>14</v>
      </c>
      <c r="BZ74" s="55">
        <f t="shared" si="395"/>
        <v>14</v>
      </c>
      <c r="CA74" s="55">
        <f t="shared" si="395"/>
        <v>14</v>
      </c>
      <c r="CB74" s="55">
        <f t="shared" si="395"/>
        <v>14</v>
      </c>
      <c r="CC74" s="55">
        <f t="shared" si="395"/>
        <v>14</v>
      </c>
      <c r="CD74" s="55">
        <f t="shared" si="395"/>
        <v>14</v>
      </c>
      <c r="CE74" s="55">
        <f t="shared" si="395"/>
        <v>14</v>
      </c>
      <c r="CF74" s="55">
        <f t="shared" si="395"/>
        <v>14</v>
      </c>
      <c r="CG74" s="55">
        <f t="shared" si="395"/>
        <v>14</v>
      </c>
      <c r="CH74" s="55">
        <f t="shared" si="395"/>
        <v>14</v>
      </c>
      <c r="CI74" s="55">
        <f t="shared" si="395"/>
        <v>14</v>
      </c>
      <c r="CJ74" s="55">
        <f t="shared" si="395"/>
        <v>14</v>
      </c>
      <c r="CK74" s="55">
        <f t="shared" si="395"/>
        <v>14</v>
      </c>
      <c r="CL74" s="55">
        <f t="shared" si="395"/>
        <v>14</v>
      </c>
      <c r="CM74" s="55">
        <f t="shared" si="395"/>
        <v>14</v>
      </c>
      <c r="CN74" s="55">
        <f t="shared" si="395"/>
        <v>14</v>
      </c>
      <c r="CO74" s="55">
        <f t="shared" si="395"/>
        <v>14</v>
      </c>
      <c r="CP74" s="55">
        <f t="shared" si="395"/>
        <v>14</v>
      </c>
      <c r="CQ74" s="55">
        <f t="shared" si="395"/>
        <v>14</v>
      </c>
      <c r="CR74" s="55">
        <f t="shared" si="395"/>
        <v>14</v>
      </c>
      <c r="CS74" s="55">
        <f t="shared" si="395"/>
        <v>14</v>
      </c>
      <c r="CT74" s="55">
        <f t="shared" si="395"/>
        <v>14</v>
      </c>
      <c r="CU74" s="55">
        <f t="shared" si="395"/>
        <v>14</v>
      </c>
      <c r="CV74" s="55">
        <f t="shared" si="395"/>
        <v>14</v>
      </c>
      <c r="CW74" s="55">
        <f t="shared" si="395"/>
        <v>14</v>
      </c>
      <c r="CX74" s="55">
        <f t="shared" si="395"/>
        <v>14</v>
      </c>
      <c r="CY74" s="55">
        <f t="shared" si="395"/>
        <v>14</v>
      </c>
      <c r="CZ74" s="55">
        <f t="shared" si="395"/>
        <v>14</v>
      </c>
      <c r="DA74" s="55">
        <f t="shared" si="395"/>
        <v>14</v>
      </c>
      <c r="DB74" s="55">
        <f t="shared" si="395"/>
        <v>14</v>
      </c>
      <c r="DC74" s="55">
        <f t="shared" si="395"/>
        <v>14</v>
      </c>
      <c r="DD74" s="55">
        <f t="shared" si="395"/>
        <v>14</v>
      </c>
      <c r="DE74" s="55">
        <f t="shared" si="395"/>
        <v>14</v>
      </c>
      <c r="DF74" s="55">
        <f t="shared" si="395"/>
        <v>14</v>
      </c>
      <c r="DG74" s="55">
        <f t="shared" si="395"/>
        <v>14</v>
      </c>
      <c r="DH74" s="55">
        <f t="shared" si="395"/>
        <v>14</v>
      </c>
      <c r="DI74" s="55">
        <f t="shared" si="395"/>
        <v>14</v>
      </c>
      <c r="DJ74" s="55">
        <f t="shared" si="395"/>
        <v>14</v>
      </c>
      <c r="DK74" s="55">
        <f t="shared" si="395"/>
        <v>14</v>
      </c>
      <c r="DL74" s="55">
        <f t="shared" si="395"/>
        <v>14</v>
      </c>
      <c r="DM74" s="55">
        <f t="shared" si="395"/>
        <v>14</v>
      </c>
      <c r="DN74" s="55">
        <f t="shared" si="395"/>
        <v>14</v>
      </c>
      <c r="DO74" s="55">
        <f t="shared" si="395"/>
        <v>14</v>
      </c>
      <c r="DP74" s="55">
        <f t="shared" si="395"/>
        <v>14</v>
      </c>
      <c r="DQ74" s="55">
        <f t="shared" si="395"/>
        <v>14</v>
      </c>
      <c r="DR74" s="55">
        <f t="shared" si="395"/>
        <v>14</v>
      </c>
      <c r="DS74" s="55">
        <f t="shared" si="395"/>
        <v>14</v>
      </c>
      <c r="DT74" s="55">
        <f t="shared" si="395"/>
        <v>14</v>
      </c>
      <c r="DU74" s="55">
        <f t="shared" si="395"/>
        <v>14</v>
      </c>
      <c r="DV74" s="55">
        <f t="shared" si="395"/>
        <v>14</v>
      </c>
      <c r="DW74" s="55">
        <f t="shared" si="395"/>
        <v>14</v>
      </c>
      <c r="DX74" s="55">
        <f t="shared" si="395"/>
        <v>14</v>
      </c>
      <c r="DY74" s="55">
        <f t="shared" si="395"/>
        <v>14</v>
      </c>
      <c r="DZ74" s="55">
        <f t="shared" si="395"/>
        <v>14</v>
      </c>
      <c r="EA74" s="55">
        <f t="shared" si="395"/>
        <v>14</v>
      </c>
      <c r="EB74" s="55">
        <f t="shared" si="395"/>
        <v>14</v>
      </c>
      <c r="EC74" s="55">
        <f t="shared" si="395"/>
        <v>14</v>
      </c>
      <c r="ED74" s="55">
        <f t="shared" ref="ED74:FC74" si="396">EC74</f>
        <v>14</v>
      </c>
      <c r="EE74" s="55">
        <f t="shared" si="396"/>
        <v>14</v>
      </c>
      <c r="EF74" s="55">
        <f t="shared" si="396"/>
        <v>14</v>
      </c>
      <c r="EG74" s="55">
        <f t="shared" si="396"/>
        <v>14</v>
      </c>
      <c r="EH74" s="55">
        <f t="shared" si="396"/>
        <v>14</v>
      </c>
      <c r="EI74" s="55">
        <f t="shared" si="396"/>
        <v>14</v>
      </c>
      <c r="EJ74" s="55">
        <f t="shared" si="396"/>
        <v>14</v>
      </c>
      <c r="EK74" s="55">
        <f t="shared" si="396"/>
        <v>14</v>
      </c>
      <c r="EL74" s="55">
        <f t="shared" si="396"/>
        <v>14</v>
      </c>
      <c r="EM74" s="55">
        <f t="shared" si="396"/>
        <v>14</v>
      </c>
      <c r="EN74" s="55">
        <f t="shared" si="396"/>
        <v>14</v>
      </c>
      <c r="EO74" s="55">
        <f t="shared" si="396"/>
        <v>14</v>
      </c>
      <c r="EP74" s="55">
        <f t="shared" si="396"/>
        <v>14</v>
      </c>
      <c r="EQ74" s="55">
        <f t="shared" si="396"/>
        <v>14</v>
      </c>
      <c r="ER74" s="55">
        <f t="shared" si="396"/>
        <v>14</v>
      </c>
      <c r="ES74" s="55">
        <f t="shared" si="396"/>
        <v>14</v>
      </c>
      <c r="ET74" s="55">
        <f t="shared" si="396"/>
        <v>14</v>
      </c>
      <c r="EU74" s="55">
        <f t="shared" si="396"/>
        <v>14</v>
      </c>
      <c r="EV74" s="55">
        <f t="shared" si="396"/>
        <v>14</v>
      </c>
      <c r="EW74" s="55">
        <f t="shared" si="396"/>
        <v>14</v>
      </c>
      <c r="EX74" s="55">
        <f t="shared" si="396"/>
        <v>14</v>
      </c>
      <c r="EY74" s="712"/>
      <c r="EZ74" s="712"/>
      <c r="FA74" s="709"/>
      <c r="FB74" s="55">
        <v>11</v>
      </c>
      <c r="FC74" s="55">
        <f t="shared" si="396"/>
        <v>11</v>
      </c>
      <c r="FD74" s="100"/>
    </row>
    <row r="75" spans="2:160" s="31" customFormat="1" x14ac:dyDescent="0.45">
      <c r="B75" s="158"/>
      <c r="C75" s="160" t="s">
        <v>1158</v>
      </c>
      <c r="D75" s="31">
        <f t="shared" ref="D75:E75" si="397">2^D74-1</f>
        <v>16383</v>
      </c>
      <c r="E75" s="31">
        <f t="shared" si="397"/>
        <v>16383</v>
      </c>
      <c r="F75" s="31">
        <f t="shared" ref="F75" si="398">2^F74-1</f>
        <v>16383</v>
      </c>
      <c r="G75" s="31">
        <f>2^G74-1</f>
        <v>16383</v>
      </c>
      <c r="H75" s="31">
        <f>2^H74-1</f>
        <v>16383</v>
      </c>
      <c r="I75" s="31">
        <f t="shared" ref="I75:BT75" si="399">2^I74-1</f>
        <v>16383</v>
      </c>
      <c r="J75" s="31">
        <f t="shared" si="399"/>
        <v>16383</v>
      </c>
      <c r="K75" s="31">
        <f t="shared" si="399"/>
        <v>16383</v>
      </c>
      <c r="L75" s="31">
        <f t="shared" si="399"/>
        <v>16383</v>
      </c>
      <c r="M75" s="31">
        <f t="shared" si="399"/>
        <v>16383</v>
      </c>
      <c r="N75" s="31">
        <f t="shared" si="399"/>
        <v>16383</v>
      </c>
      <c r="O75" s="31">
        <f t="shared" si="399"/>
        <v>16383</v>
      </c>
      <c r="P75" s="31">
        <f t="shared" si="399"/>
        <v>16383</v>
      </c>
      <c r="Q75" s="31">
        <f t="shared" si="399"/>
        <v>16383</v>
      </c>
      <c r="R75" s="31">
        <f t="shared" si="399"/>
        <v>16383</v>
      </c>
      <c r="S75" s="31">
        <f t="shared" si="399"/>
        <v>16383</v>
      </c>
      <c r="T75" s="31">
        <f t="shared" si="399"/>
        <v>16383</v>
      </c>
      <c r="U75" s="31">
        <f t="shared" si="399"/>
        <v>16383</v>
      </c>
      <c r="V75" s="31">
        <f t="shared" si="399"/>
        <v>16383</v>
      </c>
      <c r="W75" s="31">
        <f t="shared" si="399"/>
        <v>16383</v>
      </c>
      <c r="X75" s="31">
        <f t="shared" si="399"/>
        <v>16383</v>
      </c>
      <c r="Y75" s="31">
        <f t="shared" si="399"/>
        <v>16383</v>
      </c>
      <c r="Z75" s="31">
        <f t="shared" si="399"/>
        <v>16383</v>
      </c>
      <c r="AA75" s="31">
        <f t="shared" si="399"/>
        <v>16383</v>
      </c>
      <c r="AB75" s="31">
        <f t="shared" si="399"/>
        <v>16383</v>
      </c>
      <c r="AC75" s="31">
        <f t="shared" si="399"/>
        <v>16383</v>
      </c>
      <c r="AD75" s="31">
        <f t="shared" si="399"/>
        <v>16383</v>
      </c>
      <c r="AE75" s="31">
        <f t="shared" si="399"/>
        <v>16383</v>
      </c>
      <c r="AF75" s="31">
        <f t="shared" si="399"/>
        <v>16383</v>
      </c>
      <c r="AG75" s="31">
        <f t="shared" si="399"/>
        <v>16383</v>
      </c>
      <c r="AH75" s="31">
        <f t="shared" si="399"/>
        <v>16383</v>
      </c>
      <c r="AI75" s="31">
        <f t="shared" si="399"/>
        <v>16383</v>
      </c>
      <c r="AJ75" s="31">
        <f t="shared" si="399"/>
        <v>16383</v>
      </c>
      <c r="AK75" s="31">
        <f t="shared" si="399"/>
        <v>16383</v>
      </c>
      <c r="AL75" s="31">
        <f t="shared" si="399"/>
        <v>16383</v>
      </c>
      <c r="AM75" s="31">
        <f t="shared" si="399"/>
        <v>16383</v>
      </c>
      <c r="AN75" s="31">
        <f t="shared" si="399"/>
        <v>16383</v>
      </c>
      <c r="AO75" s="31">
        <f t="shared" si="399"/>
        <v>16383</v>
      </c>
      <c r="AP75" s="31">
        <f t="shared" si="399"/>
        <v>16383</v>
      </c>
      <c r="AQ75" s="31">
        <f t="shared" si="399"/>
        <v>16383</v>
      </c>
      <c r="AR75" s="31">
        <f t="shared" si="399"/>
        <v>16383</v>
      </c>
      <c r="AS75" s="31">
        <f t="shared" si="399"/>
        <v>16383</v>
      </c>
      <c r="AT75" s="31">
        <f t="shared" si="399"/>
        <v>16383</v>
      </c>
      <c r="AU75" s="31">
        <f t="shared" si="399"/>
        <v>16383</v>
      </c>
      <c r="AV75" s="31">
        <f t="shared" si="399"/>
        <v>16383</v>
      </c>
      <c r="AW75" s="31">
        <f t="shared" si="399"/>
        <v>16383</v>
      </c>
      <c r="AX75" s="31">
        <f t="shared" si="399"/>
        <v>16383</v>
      </c>
      <c r="AY75" s="31">
        <f t="shared" si="399"/>
        <v>16383</v>
      </c>
      <c r="AZ75" s="31">
        <f t="shared" si="399"/>
        <v>16383</v>
      </c>
      <c r="BA75" s="31">
        <f t="shared" si="399"/>
        <v>16383</v>
      </c>
      <c r="BB75" s="31">
        <f t="shared" si="399"/>
        <v>16383</v>
      </c>
      <c r="BC75" s="31">
        <f t="shared" si="399"/>
        <v>16383</v>
      </c>
      <c r="BD75" s="31">
        <f t="shared" si="399"/>
        <v>16383</v>
      </c>
      <c r="BE75" s="31">
        <f t="shared" si="399"/>
        <v>16383</v>
      </c>
      <c r="BF75" s="31">
        <f t="shared" si="399"/>
        <v>16383</v>
      </c>
      <c r="BG75" s="31">
        <f t="shared" si="399"/>
        <v>16383</v>
      </c>
      <c r="BH75" s="31">
        <f t="shared" si="399"/>
        <v>16383</v>
      </c>
      <c r="BI75" s="31">
        <f t="shared" si="399"/>
        <v>16383</v>
      </c>
      <c r="BJ75" s="31">
        <f t="shared" si="399"/>
        <v>16383</v>
      </c>
      <c r="BK75" s="31">
        <f t="shared" si="399"/>
        <v>16383</v>
      </c>
      <c r="BL75" s="31">
        <f t="shared" si="399"/>
        <v>16383</v>
      </c>
      <c r="BM75" s="31">
        <f t="shared" si="399"/>
        <v>16383</v>
      </c>
      <c r="BN75" s="31">
        <f t="shared" si="399"/>
        <v>16383</v>
      </c>
      <c r="BO75" s="31">
        <f t="shared" si="399"/>
        <v>16383</v>
      </c>
      <c r="BP75" s="31">
        <f t="shared" si="399"/>
        <v>16383</v>
      </c>
      <c r="BQ75" s="31">
        <f t="shared" si="399"/>
        <v>16383</v>
      </c>
      <c r="BR75" s="31">
        <f t="shared" si="399"/>
        <v>16383</v>
      </c>
      <c r="BS75" s="31">
        <f t="shared" si="399"/>
        <v>16383</v>
      </c>
      <c r="BT75" s="31">
        <f t="shared" si="399"/>
        <v>16383</v>
      </c>
      <c r="BU75" s="31">
        <f t="shared" ref="BU75:EF75" si="400">2^BU74-1</f>
        <v>16383</v>
      </c>
      <c r="BV75" s="31">
        <f t="shared" si="400"/>
        <v>16383</v>
      </c>
      <c r="BW75" s="31">
        <f t="shared" si="400"/>
        <v>16383</v>
      </c>
      <c r="BX75" s="31">
        <f t="shared" si="400"/>
        <v>16383</v>
      </c>
      <c r="BY75" s="31">
        <f t="shared" si="400"/>
        <v>16383</v>
      </c>
      <c r="BZ75" s="31">
        <f t="shared" si="400"/>
        <v>16383</v>
      </c>
      <c r="CA75" s="31">
        <f t="shared" si="400"/>
        <v>16383</v>
      </c>
      <c r="CB75" s="31">
        <f t="shared" si="400"/>
        <v>16383</v>
      </c>
      <c r="CC75" s="31">
        <f t="shared" si="400"/>
        <v>16383</v>
      </c>
      <c r="CD75" s="31">
        <f t="shared" si="400"/>
        <v>16383</v>
      </c>
      <c r="CE75" s="31">
        <f t="shared" si="400"/>
        <v>16383</v>
      </c>
      <c r="CF75" s="31">
        <f t="shared" si="400"/>
        <v>16383</v>
      </c>
      <c r="CG75" s="31">
        <f t="shared" si="400"/>
        <v>16383</v>
      </c>
      <c r="CH75" s="31">
        <f t="shared" si="400"/>
        <v>16383</v>
      </c>
      <c r="CI75" s="31">
        <f t="shared" si="400"/>
        <v>16383</v>
      </c>
      <c r="CJ75" s="31">
        <f t="shared" si="400"/>
        <v>16383</v>
      </c>
      <c r="CK75" s="31">
        <f t="shared" si="400"/>
        <v>16383</v>
      </c>
      <c r="CL75" s="31">
        <f t="shared" si="400"/>
        <v>16383</v>
      </c>
      <c r="CM75" s="31">
        <f t="shared" si="400"/>
        <v>16383</v>
      </c>
      <c r="CN75" s="31">
        <f t="shared" si="400"/>
        <v>16383</v>
      </c>
      <c r="CO75" s="31">
        <f t="shared" si="400"/>
        <v>16383</v>
      </c>
      <c r="CP75" s="31">
        <f t="shared" si="400"/>
        <v>16383</v>
      </c>
      <c r="CQ75" s="31">
        <f t="shared" si="400"/>
        <v>16383</v>
      </c>
      <c r="CR75" s="31">
        <f t="shared" si="400"/>
        <v>16383</v>
      </c>
      <c r="CS75" s="31">
        <f t="shared" si="400"/>
        <v>16383</v>
      </c>
      <c r="CT75" s="31">
        <f t="shared" si="400"/>
        <v>16383</v>
      </c>
      <c r="CU75" s="31">
        <f t="shared" si="400"/>
        <v>16383</v>
      </c>
      <c r="CV75" s="31">
        <f t="shared" si="400"/>
        <v>16383</v>
      </c>
      <c r="CW75" s="31">
        <f t="shared" si="400"/>
        <v>16383</v>
      </c>
      <c r="CX75" s="31">
        <f t="shared" si="400"/>
        <v>16383</v>
      </c>
      <c r="CY75" s="31">
        <f t="shared" si="400"/>
        <v>16383</v>
      </c>
      <c r="CZ75" s="31">
        <f t="shared" si="400"/>
        <v>16383</v>
      </c>
      <c r="DA75" s="31">
        <f t="shared" si="400"/>
        <v>16383</v>
      </c>
      <c r="DB75" s="31">
        <f t="shared" si="400"/>
        <v>16383</v>
      </c>
      <c r="DC75" s="31">
        <f t="shared" si="400"/>
        <v>16383</v>
      </c>
      <c r="DD75" s="31">
        <f t="shared" si="400"/>
        <v>16383</v>
      </c>
      <c r="DE75" s="31">
        <f t="shared" si="400"/>
        <v>16383</v>
      </c>
      <c r="DF75" s="31">
        <f t="shared" si="400"/>
        <v>16383</v>
      </c>
      <c r="DG75" s="31">
        <f t="shared" si="400"/>
        <v>16383</v>
      </c>
      <c r="DH75" s="31">
        <f t="shared" si="400"/>
        <v>16383</v>
      </c>
      <c r="DI75" s="31">
        <f t="shared" si="400"/>
        <v>16383</v>
      </c>
      <c r="DJ75" s="31">
        <f t="shared" si="400"/>
        <v>16383</v>
      </c>
      <c r="DK75" s="31">
        <f t="shared" si="400"/>
        <v>16383</v>
      </c>
      <c r="DL75" s="31">
        <f t="shared" si="400"/>
        <v>16383</v>
      </c>
      <c r="DM75" s="31">
        <f t="shared" si="400"/>
        <v>16383</v>
      </c>
      <c r="DN75" s="31">
        <f t="shared" si="400"/>
        <v>16383</v>
      </c>
      <c r="DO75" s="31">
        <f t="shared" si="400"/>
        <v>16383</v>
      </c>
      <c r="DP75" s="31">
        <f t="shared" si="400"/>
        <v>16383</v>
      </c>
      <c r="DQ75" s="31">
        <f t="shared" si="400"/>
        <v>16383</v>
      </c>
      <c r="DR75" s="31">
        <f t="shared" si="400"/>
        <v>16383</v>
      </c>
      <c r="DS75" s="31">
        <f t="shared" si="400"/>
        <v>16383</v>
      </c>
      <c r="DT75" s="31">
        <f t="shared" si="400"/>
        <v>16383</v>
      </c>
      <c r="DU75" s="31">
        <f t="shared" si="400"/>
        <v>16383</v>
      </c>
      <c r="DV75" s="31">
        <f t="shared" si="400"/>
        <v>16383</v>
      </c>
      <c r="DW75" s="31">
        <f t="shared" si="400"/>
        <v>16383</v>
      </c>
      <c r="DX75" s="31">
        <f t="shared" si="400"/>
        <v>16383</v>
      </c>
      <c r="DY75" s="31">
        <f t="shared" si="400"/>
        <v>16383</v>
      </c>
      <c r="DZ75" s="31">
        <f t="shared" si="400"/>
        <v>16383</v>
      </c>
      <c r="EA75" s="31">
        <f t="shared" si="400"/>
        <v>16383</v>
      </c>
      <c r="EB75" s="31">
        <f t="shared" si="400"/>
        <v>16383</v>
      </c>
      <c r="EC75" s="31">
        <f t="shared" si="400"/>
        <v>16383</v>
      </c>
      <c r="ED75" s="31">
        <f t="shared" si="400"/>
        <v>16383</v>
      </c>
      <c r="EE75" s="31">
        <f t="shared" si="400"/>
        <v>16383</v>
      </c>
      <c r="EF75" s="31">
        <f t="shared" si="400"/>
        <v>16383</v>
      </c>
      <c r="EG75" s="31">
        <f t="shared" ref="EG75:FC75" si="401">2^EG74-1</f>
        <v>16383</v>
      </c>
      <c r="EH75" s="31">
        <f t="shared" si="401"/>
        <v>16383</v>
      </c>
      <c r="EI75" s="31">
        <f t="shared" si="401"/>
        <v>16383</v>
      </c>
      <c r="EJ75" s="31">
        <f t="shared" si="401"/>
        <v>16383</v>
      </c>
      <c r="EK75" s="31">
        <f t="shared" si="401"/>
        <v>16383</v>
      </c>
      <c r="EL75" s="31">
        <f t="shared" si="401"/>
        <v>16383</v>
      </c>
      <c r="EM75" s="31">
        <f t="shared" si="401"/>
        <v>16383</v>
      </c>
      <c r="EN75" s="31">
        <f t="shared" si="401"/>
        <v>16383</v>
      </c>
      <c r="EO75" s="31">
        <f t="shared" si="401"/>
        <v>16383</v>
      </c>
      <c r="EP75" s="31">
        <f t="shared" si="401"/>
        <v>16383</v>
      </c>
      <c r="EQ75" s="31">
        <f t="shared" si="401"/>
        <v>16383</v>
      </c>
      <c r="ER75" s="31">
        <f t="shared" si="401"/>
        <v>16383</v>
      </c>
      <c r="ES75" s="31">
        <f t="shared" si="401"/>
        <v>16383</v>
      </c>
      <c r="ET75" s="31">
        <f t="shared" si="401"/>
        <v>16383</v>
      </c>
      <c r="EU75" s="31">
        <f t="shared" si="401"/>
        <v>16383</v>
      </c>
      <c r="EV75" s="31">
        <f t="shared" si="401"/>
        <v>16383</v>
      </c>
      <c r="EW75" s="31">
        <f t="shared" si="401"/>
        <v>16383</v>
      </c>
      <c r="EX75" s="31">
        <f t="shared" si="401"/>
        <v>16383</v>
      </c>
      <c r="FA75" s="709"/>
      <c r="FB75" s="31">
        <f t="shared" si="401"/>
        <v>2047</v>
      </c>
      <c r="FC75" s="31">
        <f t="shared" si="401"/>
        <v>2047</v>
      </c>
      <c r="FD75" s="100"/>
    </row>
    <row r="76" spans="2:160" s="31" customFormat="1" x14ac:dyDescent="0.45">
      <c r="B76" s="154"/>
      <c r="C76" s="161" t="s">
        <v>1157</v>
      </c>
      <c r="D76" s="157">
        <f>ROUNDDOWN((D73 * 10000)/(D75*D88), 0)</f>
        <v>6103</v>
      </c>
      <c r="E76" s="157">
        <f t="shared" ref="E76:BP76" si="402">ROUNDDOWN((E73 * 10000)/(E75*E88), 0)</f>
        <v>5812</v>
      </c>
      <c r="F76" s="157">
        <f t="shared" ref="F76" si="403">ROUNDDOWN((F73 * 10000)/(F75*F88), 0)</f>
        <v>5548</v>
      </c>
      <c r="G76" s="157">
        <f t="shared" si="402"/>
        <v>5307</v>
      </c>
      <c r="H76" s="157">
        <f t="shared" si="402"/>
        <v>5086</v>
      </c>
      <c r="I76" s="157">
        <f t="shared" si="402"/>
        <v>4883</v>
      </c>
      <c r="J76" s="157">
        <f t="shared" si="402"/>
        <v>4695</v>
      </c>
      <c r="K76" s="157">
        <f t="shared" si="402"/>
        <v>4521</v>
      </c>
      <c r="L76" s="157">
        <f t="shared" si="402"/>
        <v>4359</v>
      </c>
      <c r="M76" s="157">
        <f t="shared" si="402"/>
        <v>4209</v>
      </c>
      <c r="N76" s="157">
        <f t="shared" si="402"/>
        <v>4068</v>
      </c>
      <c r="O76" s="157">
        <f t="shared" si="402"/>
        <v>3937</v>
      </c>
      <c r="P76" s="157">
        <f t="shared" si="402"/>
        <v>3814</v>
      </c>
      <c r="Q76" s="157">
        <f t="shared" si="402"/>
        <v>3698</v>
      </c>
      <c r="R76" s="157">
        <f t="shared" si="402"/>
        <v>3590</v>
      </c>
      <c r="S76" s="157">
        <f t="shared" si="402"/>
        <v>3487</v>
      </c>
      <c r="T76" s="157">
        <f t="shared" si="402"/>
        <v>3390</v>
      </c>
      <c r="U76" s="157">
        <f t="shared" si="402"/>
        <v>3299</v>
      </c>
      <c r="V76" s="157">
        <f t="shared" si="402"/>
        <v>3212</v>
      </c>
      <c r="W76" s="157">
        <f t="shared" si="402"/>
        <v>3130</v>
      </c>
      <c r="X76" s="157">
        <f t="shared" si="402"/>
        <v>3051</v>
      </c>
      <c r="Y76" s="157">
        <f t="shared" si="402"/>
        <v>2977</v>
      </c>
      <c r="Z76" s="157">
        <f t="shared" si="402"/>
        <v>2906</v>
      </c>
      <c r="AA76" s="157">
        <f t="shared" si="402"/>
        <v>2838</v>
      </c>
      <c r="AB76" s="157">
        <f t="shared" si="402"/>
        <v>2774</v>
      </c>
      <c r="AC76" s="157">
        <f t="shared" si="402"/>
        <v>2712</v>
      </c>
      <c r="AD76" s="157">
        <f t="shared" si="402"/>
        <v>2653</v>
      </c>
      <c r="AE76" s="157">
        <f t="shared" si="402"/>
        <v>2597</v>
      </c>
      <c r="AF76" s="157">
        <f t="shared" si="402"/>
        <v>2542</v>
      </c>
      <c r="AG76" s="157">
        <f t="shared" si="402"/>
        <v>2490</v>
      </c>
      <c r="AH76" s="157">
        <f t="shared" si="402"/>
        <v>2441</v>
      </c>
      <c r="AI76" s="157">
        <f t="shared" si="402"/>
        <v>2393</v>
      </c>
      <c r="AJ76" s="157">
        <f t="shared" si="402"/>
        <v>2347</v>
      </c>
      <c r="AK76" s="157">
        <f t="shared" si="402"/>
        <v>2302</v>
      </c>
      <c r="AL76" s="157">
        <f t="shared" si="402"/>
        <v>2260</v>
      </c>
      <c r="AM76" s="157">
        <f t="shared" si="402"/>
        <v>2219</v>
      </c>
      <c r="AN76" s="157">
        <f t="shared" si="402"/>
        <v>2179</v>
      </c>
      <c r="AO76" s="157">
        <f t="shared" si="402"/>
        <v>2141</v>
      </c>
      <c r="AP76" s="157">
        <f t="shared" si="402"/>
        <v>2104</v>
      </c>
      <c r="AQ76" s="157">
        <f t="shared" si="402"/>
        <v>2068</v>
      </c>
      <c r="AR76" s="157">
        <f t="shared" si="402"/>
        <v>2034</v>
      </c>
      <c r="AS76" s="157">
        <f t="shared" si="402"/>
        <v>2000</v>
      </c>
      <c r="AT76" s="157">
        <f t="shared" si="402"/>
        <v>1968</v>
      </c>
      <c r="AU76" s="157">
        <f t="shared" si="402"/>
        <v>1937</v>
      </c>
      <c r="AV76" s="157">
        <f t="shared" si="402"/>
        <v>1907</v>
      </c>
      <c r="AW76" s="157">
        <f t="shared" si="402"/>
        <v>1877</v>
      </c>
      <c r="AX76" s="157">
        <f t="shared" si="402"/>
        <v>1849</v>
      </c>
      <c r="AY76" s="157">
        <f t="shared" si="402"/>
        <v>1822</v>
      </c>
      <c r="AZ76" s="157">
        <f t="shared" si="402"/>
        <v>1795</v>
      </c>
      <c r="BA76" s="157">
        <f t="shared" si="402"/>
        <v>1768</v>
      </c>
      <c r="BB76" s="157">
        <f t="shared" si="402"/>
        <v>1743</v>
      </c>
      <c r="BC76" s="157">
        <f t="shared" si="402"/>
        <v>1718</v>
      </c>
      <c r="BD76" s="157">
        <f t="shared" si="402"/>
        <v>1695</v>
      </c>
      <c r="BE76" s="157">
        <f t="shared" si="402"/>
        <v>1671</v>
      </c>
      <c r="BF76" s="157">
        <f t="shared" si="402"/>
        <v>1649</v>
      </c>
      <c r="BG76" s="157">
        <f t="shared" si="402"/>
        <v>1627</v>
      </c>
      <c r="BH76" s="157">
        <f t="shared" si="402"/>
        <v>1605</v>
      </c>
      <c r="BI76" s="157">
        <f t="shared" si="402"/>
        <v>1585</v>
      </c>
      <c r="BJ76" s="157">
        <f t="shared" si="402"/>
        <v>1565</v>
      </c>
      <c r="BK76" s="157">
        <f t="shared" si="402"/>
        <v>1544</v>
      </c>
      <c r="BL76" s="157">
        <f t="shared" si="402"/>
        <v>1525</v>
      </c>
      <c r="BM76" s="157">
        <f t="shared" si="402"/>
        <v>1507</v>
      </c>
      <c r="BN76" s="157">
        <f t="shared" si="402"/>
        <v>1488</v>
      </c>
      <c r="BO76" s="157">
        <f t="shared" si="402"/>
        <v>1470</v>
      </c>
      <c r="BP76" s="157">
        <f t="shared" si="402"/>
        <v>1452</v>
      </c>
      <c r="BQ76" s="157">
        <f t="shared" ref="BQ76:EB76" si="404">ROUNDDOWN((BQ73 * 10000)/(BQ75*BQ88), 0)</f>
        <v>1435</v>
      </c>
      <c r="BR76" s="157">
        <f t="shared" si="404"/>
        <v>1419</v>
      </c>
      <c r="BS76" s="157">
        <f t="shared" si="404"/>
        <v>1402</v>
      </c>
      <c r="BT76" s="157">
        <f t="shared" si="404"/>
        <v>1386</v>
      </c>
      <c r="BU76" s="157">
        <f t="shared" si="404"/>
        <v>1371</v>
      </c>
      <c r="BV76" s="157">
        <f t="shared" si="404"/>
        <v>1356</v>
      </c>
      <c r="BW76" s="157">
        <f t="shared" si="404"/>
        <v>1341</v>
      </c>
      <c r="BX76" s="157">
        <f t="shared" si="404"/>
        <v>1326</v>
      </c>
      <c r="BY76" s="157">
        <f t="shared" si="404"/>
        <v>1312</v>
      </c>
      <c r="BZ76" s="157">
        <f t="shared" si="404"/>
        <v>1298</v>
      </c>
      <c r="CA76" s="157">
        <f t="shared" si="404"/>
        <v>1284</v>
      </c>
      <c r="CB76" s="157">
        <f t="shared" si="404"/>
        <v>1271</v>
      </c>
      <c r="CC76" s="157">
        <f t="shared" si="404"/>
        <v>1258</v>
      </c>
      <c r="CD76" s="157">
        <f t="shared" si="404"/>
        <v>1245</v>
      </c>
      <c r="CE76" s="157">
        <f t="shared" si="404"/>
        <v>1232</v>
      </c>
      <c r="CF76" s="157">
        <f t="shared" si="404"/>
        <v>1220</v>
      </c>
      <c r="CG76" s="157">
        <f t="shared" si="404"/>
        <v>1208</v>
      </c>
      <c r="CH76" s="157">
        <f t="shared" si="404"/>
        <v>1196</v>
      </c>
      <c r="CI76" s="157">
        <f t="shared" si="404"/>
        <v>1184</v>
      </c>
      <c r="CJ76" s="157">
        <f t="shared" si="404"/>
        <v>1173</v>
      </c>
      <c r="CK76" s="157">
        <f t="shared" si="404"/>
        <v>1162</v>
      </c>
      <c r="CL76" s="157">
        <f t="shared" si="404"/>
        <v>1151</v>
      </c>
      <c r="CM76" s="157">
        <f t="shared" si="404"/>
        <v>1140</v>
      </c>
      <c r="CN76" s="157">
        <f t="shared" si="404"/>
        <v>1129</v>
      </c>
      <c r="CO76" s="157">
        <f t="shared" si="404"/>
        <v>1119</v>
      </c>
      <c r="CP76" s="157">
        <f t="shared" si="404"/>
        <v>1109</v>
      </c>
      <c r="CQ76" s="157">
        <f t="shared" si="404"/>
        <v>1099</v>
      </c>
      <c r="CR76" s="157">
        <f t="shared" si="404"/>
        <v>1089</v>
      </c>
      <c r="CS76" s="157">
        <f t="shared" si="404"/>
        <v>1079</v>
      </c>
      <c r="CT76" s="157">
        <f t="shared" si="404"/>
        <v>1070</v>
      </c>
      <c r="CU76" s="157">
        <f t="shared" si="404"/>
        <v>1061</v>
      </c>
      <c r="CV76" s="157">
        <f t="shared" si="404"/>
        <v>1052</v>
      </c>
      <c r="CW76" s="157">
        <f t="shared" si="404"/>
        <v>1043</v>
      </c>
      <c r="CX76" s="157">
        <f t="shared" si="404"/>
        <v>1033</v>
      </c>
      <c r="CY76" s="157">
        <f t="shared" si="404"/>
        <v>1025</v>
      </c>
      <c r="CZ76" s="157">
        <f t="shared" si="404"/>
        <v>1016</v>
      </c>
      <c r="DA76" s="157">
        <f t="shared" si="404"/>
        <v>1008</v>
      </c>
      <c r="DB76" s="157">
        <f t="shared" si="404"/>
        <v>1000</v>
      </c>
      <c r="DC76" s="157">
        <f t="shared" si="404"/>
        <v>992</v>
      </c>
      <c r="DD76" s="157">
        <f t="shared" si="404"/>
        <v>983</v>
      </c>
      <c r="DE76" s="157">
        <f t="shared" si="404"/>
        <v>976</v>
      </c>
      <c r="DF76" s="157">
        <f t="shared" si="404"/>
        <v>968</v>
      </c>
      <c r="DG76" s="157">
        <f t="shared" si="404"/>
        <v>960</v>
      </c>
      <c r="DH76" s="157">
        <f t="shared" si="404"/>
        <v>953</v>
      </c>
      <c r="DI76" s="157">
        <f t="shared" si="404"/>
        <v>946</v>
      </c>
      <c r="DJ76" s="157">
        <f t="shared" si="404"/>
        <v>938</v>
      </c>
      <c r="DK76" s="157">
        <f t="shared" si="404"/>
        <v>931</v>
      </c>
      <c r="DL76" s="157">
        <f t="shared" si="404"/>
        <v>924</v>
      </c>
      <c r="DM76" s="157">
        <f t="shared" si="404"/>
        <v>917</v>
      </c>
      <c r="DN76" s="157">
        <f t="shared" si="404"/>
        <v>910</v>
      </c>
      <c r="DO76" s="157">
        <f t="shared" si="404"/>
        <v>903</v>
      </c>
      <c r="DP76" s="157">
        <f t="shared" si="404"/>
        <v>897</v>
      </c>
      <c r="DQ76" s="157">
        <f t="shared" si="404"/>
        <v>890</v>
      </c>
      <c r="DR76" s="157">
        <f t="shared" si="404"/>
        <v>884</v>
      </c>
      <c r="DS76" s="157">
        <f t="shared" si="404"/>
        <v>877</v>
      </c>
      <c r="DT76" s="157">
        <f t="shared" si="404"/>
        <v>871</v>
      </c>
      <c r="DU76" s="157">
        <f t="shared" si="404"/>
        <v>865</v>
      </c>
      <c r="DV76" s="157">
        <f t="shared" si="404"/>
        <v>859</v>
      </c>
      <c r="DW76" s="157">
        <f t="shared" si="404"/>
        <v>853</v>
      </c>
      <c r="DX76" s="157">
        <f t="shared" si="404"/>
        <v>847</v>
      </c>
      <c r="DY76" s="157">
        <f t="shared" si="404"/>
        <v>841</v>
      </c>
      <c r="DZ76" s="157">
        <f t="shared" si="404"/>
        <v>835</v>
      </c>
      <c r="EA76" s="157">
        <f t="shared" si="404"/>
        <v>830</v>
      </c>
      <c r="EB76" s="157">
        <f t="shared" si="404"/>
        <v>824</v>
      </c>
      <c r="EC76" s="157">
        <f t="shared" ref="EC76:FC76" si="405">ROUNDDOWN((EC73 * 10000)/(EC75*EC88), 0)</f>
        <v>819</v>
      </c>
      <c r="ED76" s="157">
        <f t="shared" si="405"/>
        <v>813</v>
      </c>
      <c r="EE76" s="157">
        <f t="shared" si="405"/>
        <v>808</v>
      </c>
      <c r="EF76" s="157">
        <f t="shared" si="405"/>
        <v>802</v>
      </c>
      <c r="EG76" s="157">
        <f t="shared" si="405"/>
        <v>797</v>
      </c>
      <c r="EH76" s="157">
        <f t="shared" si="405"/>
        <v>792</v>
      </c>
      <c r="EI76" s="157">
        <f t="shared" si="405"/>
        <v>787</v>
      </c>
      <c r="EJ76" s="157">
        <f t="shared" si="405"/>
        <v>782</v>
      </c>
      <c r="EK76" s="157">
        <f t="shared" si="405"/>
        <v>777</v>
      </c>
      <c r="EL76" s="157">
        <f t="shared" si="405"/>
        <v>772</v>
      </c>
      <c r="EM76" s="157">
        <f t="shared" si="405"/>
        <v>767</v>
      </c>
      <c r="EN76" s="157">
        <f t="shared" si="405"/>
        <v>762</v>
      </c>
      <c r="EO76" s="157">
        <f t="shared" si="405"/>
        <v>758</v>
      </c>
      <c r="EP76" s="157">
        <f t="shared" si="405"/>
        <v>753</v>
      </c>
      <c r="EQ76" s="157">
        <f t="shared" si="405"/>
        <v>748</v>
      </c>
      <c r="ER76" s="157">
        <f t="shared" si="405"/>
        <v>744</v>
      </c>
      <c r="ES76" s="157">
        <f t="shared" si="405"/>
        <v>739</v>
      </c>
      <c r="ET76" s="157">
        <f t="shared" si="405"/>
        <v>734</v>
      </c>
      <c r="EU76" s="157">
        <f t="shared" si="405"/>
        <v>730</v>
      </c>
      <c r="EV76" s="157">
        <f t="shared" si="405"/>
        <v>726</v>
      </c>
      <c r="EW76" s="157">
        <f t="shared" si="405"/>
        <v>722</v>
      </c>
      <c r="EX76" s="157">
        <f t="shared" si="405"/>
        <v>717</v>
      </c>
      <c r="EY76" s="31">
        <v>38.86974</v>
      </c>
      <c r="EZ76" s="31">
        <v>39.791115000000005</v>
      </c>
      <c r="FA76" s="709"/>
      <c r="FB76" s="157">
        <f t="shared" si="405"/>
        <v>6106</v>
      </c>
      <c r="FC76" s="157">
        <f t="shared" si="405"/>
        <v>5088</v>
      </c>
      <c r="FD76" s="100"/>
    </row>
    <row r="77" spans="2:160" s="31" customFormat="1" x14ac:dyDescent="0.45">
      <c r="B77" s="155" t="s">
        <v>1163</v>
      </c>
      <c r="C77" s="156" t="s">
        <v>1164</v>
      </c>
      <c r="D77" s="162">
        <f>D76 * $G$71</f>
        <v>239965077.59999999</v>
      </c>
      <c r="E77" s="162">
        <f>E76 * $G$71</f>
        <v>228523190.39999998</v>
      </c>
      <c r="F77" s="162">
        <f>F76 * $G$71</f>
        <v>218142921.59999999</v>
      </c>
      <c r="G77" s="162">
        <f t="shared" ref="G77:BQ77" si="406">G76 * $G$71</f>
        <v>208666994.39999998</v>
      </c>
      <c r="H77" s="162">
        <f t="shared" si="406"/>
        <v>199977451.19999999</v>
      </c>
      <c r="I77" s="162">
        <f t="shared" si="406"/>
        <v>191995653.59999999</v>
      </c>
      <c r="J77" s="162">
        <f t="shared" si="406"/>
        <v>184603644</v>
      </c>
      <c r="K77" s="162">
        <f t="shared" si="406"/>
        <v>177762103.19999999</v>
      </c>
      <c r="L77" s="162">
        <f t="shared" si="406"/>
        <v>171392392.79999998</v>
      </c>
      <c r="M77" s="162">
        <f t="shared" si="406"/>
        <v>165494512.79999998</v>
      </c>
      <c r="N77" s="162">
        <f t="shared" si="406"/>
        <v>159950505.59999999</v>
      </c>
      <c r="O77" s="162">
        <f t="shared" si="406"/>
        <v>154799690.39999998</v>
      </c>
      <c r="P77" s="162">
        <f t="shared" si="406"/>
        <v>149963428.79999998</v>
      </c>
      <c r="Q77" s="162">
        <f t="shared" si="406"/>
        <v>145402401.59999999</v>
      </c>
      <c r="R77" s="162">
        <f t="shared" si="406"/>
        <v>141155928</v>
      </c>
      <c r="S77" s="162">
        <f t="shared" si="406"/>
        <v>137106050.39999998</v>
      </c>
      <c r="T77" s="162">
        <f t="shared" si="406"/>
        <v>133292087.99999999</v>
      </c>
      <c r="U77" s="162">
        <f t="shared" si="406"/>
        <v>129714040.8</v>
      </c>
      <c r="V77" s="162">
        <f t="shared" si="406"/>
        <v>126293270.39999999</v>
      </c>
      <c r="W77" s="162">
        <f t="shared" si="406"/>
        <v>123069095.99999999</v>
      </c>
      <c r="X77" s="162">
        <f t="shared" si="406"/>
        <v>119962879.19999999</v>
      </c>
      <c r="Y77" s="162">
        <f t="shared" si="406"/>
        <v>117053258.39999999</v>
      </c>
      <c r="Z77" s="162">
        <f t="shared" si="406"/>
        <v>114261595.19999999</v>
      </c>
      <c r="AA77" s="162">
        <f t="shared" si="406"/>
        <v>111587889.59999999</v>
      </c>
      <c r="AB77" s="162">
        <f t="shared" si="406"/>
        <v>109071460.8</v>
      </c>
      <c r="AC77" s="162">
        <f t="shared" si="406"/>
        <v>106633670.39999999</v>
      </c>
      <c r="AD77" s="162">
        <f t="shared" si="406"/>
        <v>104313837.59999999</v>
      </c>
      <c r="AE77" s="162">
        <f t="shared" si="406"/>
        <v>102111962.39999999</v>
      </c>
      <c r="AF77" s="162">
        <f t="shared" si="406"/>
        <v>99949406.399999991</v>
      </c>
      <c r="AG77" s="162">
        <f t="shared" si="406"/>
        <v>97904808</v>
      </c>
      <c r="AH77" s="162">
        <f t="shared" si="406"/>
        <v>95978167.199999988</v>
      </c>
      <c r="AI77" s="162">
        <f t="shared" si="406"/>
        <v>94090845.599999994</v>
      </c>
      <c r="AJ77" s="162">
        <f t="shared" si="406"/>
        <v>92282162.399999991</v>
      </c>
      <c r="AK77" s="162">
        <f t="shared" si="406"/>
        <v>90512798.399999991</v>
      </c>
      <c r="AL77" s="162">
        <f t="shared" si="406"/>
        <v>88861392</v>
      </c>
      <c r="AM77" s="162">
        <f t="shared" si="406"/>
        <v>87249304.799999997</v>
      </c>
      <c r="AN77" s="162">
        <f t="shared" si="406"/>
        <v>85676536.799999997</v>
      </c>
      <c r="AO77" s="162">
        <f t="shared" si="406"/>
        <v>84182407.199999988</v>
      </c>
      <c r="AP77" s="162">
        <f t="shared" si="406"/>
        <v>82727596.799999997</v>
      </c>
      <c r="AQ77" s="162">
        <f t="shared" si="406"/>
        <v>81312105.599999994</v>
      </c>
      <c r="AR77" s="162">
        <f t="shared" si="406"/>
        <v>79975252.799999997</v>
      </c>
      <c r="AS77" s="162">
        <f t="shared" si="406"/>
        <v>78638400</v>
      </c>
      <c r="AT77" s="162">
        <f t="shared" si="406"/>
        <v>77380185.599999994</v>
      </c>
      <c r="AU77" s="162">
        <f t="shared" si="406"/>
        <v>76161290.399999991</v>
      </c>
      <c r="AV77" s="162">
        <f t="shared" si="406"/>
        <v>74981714.399999991</v>
      </c>
      <c r="AW77" s="162">
        <f t="shared" si="406"/>
        <v>73802138.399999991</v>
      </c>
      <c r="AX77" s="162">
        <f t="shared" si="406"/>
        <v>72701200.799999997</v>
      </c>
      <c r="AY77" s="162">
        <f t="shared" si="406"/>
        <v>71639582.399999991</v>
      </c>
      <c r="AZ77" s="162">
        <f t="shared" si="406"/>
        <v>70577964</v>
      </c>
      <c r="BA77" s="162">
        <f t="shared" si="406"/>
        <v>69516345.599999994</v>
      </c>
      <c r="BB77" s="162">
        <f t="shared" si="406"/>
        <v>68533365.599999994</v>
      </c>
      <c r="BC77" s="162">
        <f t="shared" si="406"/>
        <v>67550385.599999994</v>
      </c>
      <c r="BD77" s="162">
        <f t="shared" si="406"/>
        <v>66646043.999999993</v>
      </c>
      <c r="BE77" s="162">
        <f t="shared" si="406"/>
        <v>65702383.199999996</v>
      </c>
      <c r="BF77" s="162">
        <f t="shared" si="406"/>
        <v>64837360.799999997</v>
      </c>
      <c r="BG77" s="162">
        <f t="shared" si="406"/>
        <v>63972338.399999999</v>
      </c>
      <c r="BH77" s="162">
        <f t="shared" si="406"/>
        <v>63107315.999999993</v>
      </c>
      <c r="BI77" s="162">
        <f t="shared" si="406"/>
        <v>62320931.999999993</v>
      </c>
      <c r="BJ77" s="162">
        <f t="shared" si="406"/>
        <v>61534547.999999993</v>
      </c>
      <c r="BK77" s="162">
        <f t="shared" si="406"/>
        <v>60708844.799999997</v>
      </c>
      <c r="BL77" s="162">
        <f t="shared" si="406"/>
        <v>59961779.999999993</v>
      </c>
      <c r="BM77" s="162">
        <f t="shared" si="406"/>
        <v>59254034.399999999</v>
      </c>
      <c r="BN77" s="162">
        <f t="shared" si="406"/>
        <v>58506969.599999994</v>
      </c>
      <c r="BO77" s="162">
        <f t="shared" si="406"/>
        <v>57799223.999999993</v>
      </c>
      <c r="BP77" s="162">
        <f t="shared" si="406"/>
        <v>57091478.399999999</v>
      </c>
      <c r="BQ77" s="162">
        <f t="shared" si="406"/>
        <v>56423051.999999993</v>
      </c>
      <c r="BR77" s="162">
        <f t="shared" ref="BR77:EC77" si="407">BR76 * $G$71</f>
        <v>55793944.799999997</v>
      </c>
      <c r="BS77" s="162">
        <f t="shared" si="407"/>
        <v>55125518.399999999</v>
      </c>
      <c r="BT77" s="162">
        <f t="shared" si="407"/>
        <v>54496411.199999996</v>
      </c>
      <c r="BU77" s="162">
        <f t="shared" si="407"/>
        <v>53906623.199999996</v>
      </c>
      <c r="BV77" s="162">
        <f t="shared" si="407"/>
        <v>53316835.199999996</v>
      </c>
      <c r="BW77" s="162">
        <f t="shared" si="407"/>
        <v>52727047.199999996</v>
      </c>
      <c r="BX77" s="162">
        <f t="shared" si="407"/>
        <v>52137259.199999996</v>
      </c>
      <c r="BY77" s="162">
        <f t="shared" si="407"/>
        <v>51586790.399999999</v>
      </c>
      <c r="BZ77" s="162">
        <f t="shared" si="407"/>
        <v>51036321.599999994</v>
      </c>
      <c r="CA77" s="162">
        <f t="shared" si="407"/>
        <v>50485852.799999997</v>
      </c>
      <c r="CB77" s="162">
        <f t="shared" si="407"/>
        <v>49974703.199999996</v>
      </c>
      <c r="CC77" s="162">
        <f t="shared" si="407"/>
        <v>49463553.599999994</v>
      </c>
      <c r="CD77" s="162">
        <f t="shared" si="407"/>
        <v>48952404</v>
      </c>
      <c r="CE77" s="162">
        <f t="shared" si="407"/>
        <v>48441254.399999999</v>
      </c>
      <c r="CF77" s="162">
        <f t="shared" si="407"/>
        <v>47969424</v>
      </c>
      <c r="CG77" s="162">
        <f t="shared" si="407"/>
        <v>47497593.599999994</v>
      </c>
      <c r="CH77" s="162">
        <f t="shared" si="407"/>
        <v>47025763.199999996</v>
      </c>
      <c r="CI77" s="162">
        <f t="shared" si="407"/>
        <v>46553932.799999997</v>
      </c>
      <c r="CJ77" s="162">
        <f t="shared" si="407"/>
        <v>46121421.599999994</v>
      </c>
      <c r="CK77" s="162">
        <f t="shared" si="407"/>
        <v>45688910.399999999</v>
      </c>
      <c r="CL77" s="162">
        <f t="shared" si="407"/>
        <v>45256399.199999996</v>
      </c>
      <c r="CM77" s="162">
        <f t="shared" si="407"/>
        <v>44823888</v>
      </c>
      <c r="CN77" s="162">
        <f t="shared" si="407"/>
        <v>44391376.799999997</v>
      </c>
      <c r="CO77" s="162">
        <f t="shared" si="407"/>
        <v>43998184.799999997</v>
      </c>
      <c r="CP77" s="162">
        <f t="shared" si="407"/>
        <v>43604992.799999997</v>
      </c>
      <c r="CQ77" s="162">
        <f t="shared" si="407"/>
        <v>43211800.799999997</v>
      </c>
      <c r="CR77" s="162">
        <f t="shared" si="407"/>
        <v>42818608.799999997</v>
      </c>
      <c r="CS77" s="162">
        <f t="shared" si="407"/>
        <v>42425416.799999997</v>
      </c>
      <c r="CT77" s="162">
        <f t="shared" si="407"/>
        <v>42071544</v>
      </c>
      <c r="CU77" s="162">
        <f t="shared" si="407"/>
        <v>41717671.199999996</v>
      </c>
      <c r="CV77" s="162">
        <f t="shared" si="407"/>
        <v>41363798.399999999</v>
      </c>
      <c r="CW77" s="162">
        <f t="shared" si="407"/>
        <v>41009925.599999994</v>
      </c>
      <c r="CX77" s="162">
        <f t="shared" si="407"/>
        <v>40616733.599999994</v>
      </c>
      <c r="CY77" s="162">
        <f t="shared" si="407"/>
        <v>40302180</v>
      </c>
      <c r="CZ77" s="162">
        <f t="shared" si="407"/>
        <v>39948307.199999996</v>
      </c>
      <c r="DA77" s="162">
        <f t="shared" si="407"/>
        <v>39633753.599999994</v>
      </c>
      <c r="DB77" s="162">
        <f t="shared" si="407"/>
        <v>39319200</v>
      </c>
      <c r="DC77" s="162">
        <f t="shared" si="407"/>
        <v>39004646.399999999</v>
      </c>
      <c r="DD77" s="162">
        <f t="shared" si="407"/>
        <v>38650773.599999994</v>
      </c>
      <c r="DE77" s="162">
        <f t="shared" si="407"/>
        <v>38375539.199999996</v>
      </c>
      <c r="DF77" s="162">
        <f t="shared" si="407"/>
        <v>38060985.599999994</v>
      </c>
      <c r="DG77" s="162">
        <f t="shared" si="407"/>
        <v>37746432</v>
      </c>
      <c r="DH77" s="162">
        <f t="shared" si="407"/>
        <v>37471197.599999994</v>
      </c>
      <c r="DI77" s="162">
        <f t="shared" si="407"/>
        <v>37195963.199999996</v>
      </c>
      <c r="DJ77" s="162">
        <f t="shared" si="407"/>
        <v>36881409.599999994</v>
      </c>
      <c r="DK77" s="162">
        <f t="shared" si="407"/>
        <v>36606175.199999996</v>
      </c>
      <c r="DL77" s="162">
        <f t="shared" si="407"/>
        <v>36330940.799999997</v>
      </c>
      <c r="DM77" s="162">
        <f t="shared" si="407"/>
        <v>36055706.399999999</v>
      </c>
      <c r="DN77" s="162">
        <f t="shared" si="407"/>
        <v>35780472</v>
      </c>
      <c r="DO77" s="162">
        <f t="shared" si="407"/>
        <v>35505237.599999994</v>
      </c>
      <c r="DP77" s="162">
        <f t="shared" si="407"/>
        <v>35269322.399999999</v>
      </c>
      <c r="DQ77" s="162">
        <f t="shared" si="407"/>
        <v>34994088</v>
      </c>
      <c r="DR77" s="162">
        <f t="shared" si="407"/>
        <v>34758172.799999997</v>
      </c>
      <c r="DS77" s="162">
        <f t="shared" si="407"/>
        <v>34482938.399999999</v>
      </c>
      <c r="DT77" s="162">
        <f t="shared" si="407"/>
        <v>34247023.199999996</v>
      </c>
      <c r="DU77" s="162">
        <f t="shared" si="407"/>
        <v>34011108</v>
      </c>
      <c r="DV77" s="162">
        <f t="shared" si="407"/>
        <v>33775192.799999997</v>
      </c>
      <c r="DW77" s="162">
        <f t="shared" si="407"/>
        <v>33539277.599999998</v>
      </c>
      <c r="DX77" s="162">
        <f t="shared" si="407"/>
        <v>33303362.399999999</v>
      </c>
      <c r="DY77" s="162">
        <f t="shared" si="407"/>
        <v>33067447.199999999</v>
      </c>
      <c r="DZ77" s="162">
        <f t="shared" si="407"/>
        <v>32831531.999999996</v>
      </c>
      <c r="EA77" s="162">
        <f t="shared" si="407"/>
        <v>32634935.999999996</v>
      </c>
      <c r="EB77" s="162">
        <f t="shared" si="407"/>
        <v>32399020.799999997</v>
      </c>
      <c r="EC77" s="162">
        <f t="shared" si="407"/>
        <v>32202424.799999997</v>
      </c>
      <c r="ED77" s="162">
        <f t="shared" ref="ED77:FC77" si="408">ED76 * $G$71</f>
        <v>31966509.599999998</v>
      </c>
      <c r="EE77" s="162">
        <f t="shared" si="408"/>
        <v>31769913.599999998</v>
      </c>
      <c r="EF77" s="162">
        <f t="shared" si="408"/>
        <v>31533998.399999999</v>
      </c>
      <c r="EG77" s="162">
        <f t="shared" si="408"/>
        <v>31337402.399999999</v>
      </c>
      <c r="EH77" s="162">
        <f t="shared" si="408"/>
        <v>31140806.399999999</v>
      </c>
      <c r="EI77" s="162">
        <f t="shared" si="408"/>
        <v>30944210.399999999</v>
      </c>
      <c r="EJ77" s="162">
        <f t="shared" si="408"/>
        <v>30747614.399999999</v>
      </c>
      <c r="EK77" s="162">
        <f t="shared" si="408"/>
        <v>30551018.399999999</v>
      </c>
      <c r="EL77" s="162">
        <f t="shared" si="408"/>
        <v>30354422.399999999</v>
      </c>
      <c r="EM77" s="162">
        <f t="shared" si="408"/>
        <v>30157826.399999999</v>
      </c>
      <c r="EN77" s="162">
        <f t="shared" si="408"/>
        <v>29961230.399999999</v>
      </c>
      <c r="EO77" s="162">
        <f t="shared" si="408"/>
        <v>29803953.599999998</v>
      </c>
      <c r="EP77" s="162">
        <f t="shared" si="408"/>
        <v>29607357.599999998</v>
      </c>
      <c r="EQ77" s="162">
        <f t="shared" si="408"/>
        <v>29410761.599999998</v>
      </c>
      <c r="ER77" s="162">
        <f t="shared" si="408"/>
        <v>29253484.799999997</v>
      </c>
      <c r="ES77" s="162">
        <f t="shared" si="408"/>
        <v>29056888.799999997</v>
      </c>
      <c r="ET77" s="162">
        <f t="shared" si="408"/>
        <v>28860292.799999997</v>
      </c>
      <c r="EU77" s="162">
        <f t="shared" si="408"/>
        <v>28703015.999999996</v>
      </c>
      <c r="EV77" s="162">
        <f t="shared" si="408"/>
        <v>28545739.199999999</v>
      </c>
      <c r="EW77" s="162">
        <f t="shared" si="408"/>
        <v>28388462.399999999</v>
      </c>
      <c r="EX77" s="162">
        <f t="shared" si="408"/>
        <v>28191866.399999999</v>
      </c>
      <c r="EY77" s="1">
        <v>37.680899999999994</v>
      </c>
      <c r="EZ77" s="1">
        <v>40.547925000000006</v>
      </c>
      <c r="FA77" s="709"/>
      <c r="FB77" s="162">
        <f t="shared" si="408"/>
        <v>240083035.19999999</v>
      </c>
      <c r="FC77" s="162">
        <f t="shared" si="408"/>
        <v>200056089.59999999</v>
      </c>
      <c r="FD77" s="100"/>
    </row>
    <row r="78" spans="2:160" s="31" customFormat="1" x14ac:dyDescent="0.45">
      <c r="B78" s="155" t="s">
        <v>16</v>
      </c>
      <c r="C78" s="156" t="s">
        <v>5</v>
      </c>
      <c r="D78" s="164">
        <f>ROUNDDOWN(D77 / 1000000, 0)</f>
        <v>239</v>
      </c>
      <c r="E78" s="164">
        <f t="shared" ref="E78:F78" si="409">ROUNDDOWN(E77 / 1000000, 0)</f>
        <v>228</v>
      </c>
      <c r="F78" s="164">
        <f t="shared" si="409"/>
        <v>218</v>
      </c>
      <c r="G78" s="164">
        <f>ROUNDDOWN(G77 / 1000000, 0)</f>
        <v>208</v>
      </c>
      <c r="H78" s="164">
        <f t="shared" ref="H78:BS78" si="410">ROUNDDOWN(H77 / 1000000, 0)</f>
        <v>199</v>
      </c>
      <c r="I78" s="164">
        <f t="shared" si="410"/>
        <v>191</v>
      </c>
      <c r="J78" s="164">
        <f t="shared" si="410"/>
        <v>184</v>
      </c>
      <c r="K78" s="164">
        <f t="shared" si="410"/>
        <v>177</v>
      </c>
      <c r="L78" s="164">
        <f t="shared" si="410"/>
        <v>171</v>
      </c>
      <c r="M78" s="164">
        <f t="shared" si="410"/>
        <v>165</v>
      </c>
      <c r="N78" s="164">
        <f t="shared" si="410"/>
        <v>159</v>
      </c>
      <c r="O78" s="164">
        <f t="shared" si="410"/>
        <v>154</v>
      </c>
      <c r="P78" s="164">
        <f t="shared" si="410"/>
        <v>149</v>
      </c>
      <c r="Q78" s="164">
        <f t="shared" si="410"/>
        <v>145</v>
      </c>
      <c r="R78" s="164">
        <f t="shared" si="410"/>
        <v>141</v>
      </c>
      <c r="S78" s="164">
        <f t="shared" si="410"/>
        <v>137</v>
      </c>
      <c r="T78" s="164">
        <f t="shared" si="410"/>
        <v>133</v>
      </c>
      <c r="U78" s="164">
        <f t="shared" si="410"/>
        <v>129</v>
      </c>
      <c r="V78" s="164">
        <f t="shared" si="410"/>
        <v>126</v>
      </c>
      <c r="W78" s="164">
        <f t="shared" si="410"/>
        <v>123</v>
      </c>
      <c r="X78" s="164">
        <f t="shared" si="410"/>
        <v>119</v>
      </c>
      <c r="Y78" s="164">
        <f t="shared" si="410"/>
        <v>117</v>
      </c>
      <c r="Z78" s="164">
        <f t="shared" si="410"/>
        <v>114</v>
      </c>
      <c r="AA78" s="164">
        <f t="shared" si="410"/>
        <v>111</v>
      </c>
      <c r="AB78" s="164">
        <f t="shared" si="410"/>
        <v>109</v>
      </c>
      <c r="AC78" s="164">
        <f t="shared" si="410"/>
        <v>106</v>
      </c>
      <c r="AD78" s="164">
        <f t="shared" si="410"/>
        <v>104</v>
      </c>
      <c r="AE78" s="164">
        <f t="shared" si="410"/>
        <v>102</v>
      </c>
      <c r="AF78" s="164">
        <f t="shared" si="410"/>
        <v>99</v>
      </c>
      <c r="AG78" s="164">
        <f t="shared" si="410"/>
        <v>97</v>
      </c>
      <c r="AH78" s="164">
        <f t="shared" si="410"/>
        <v>95</v>
      </c>
      <c r="AI78" s="164">
        <f t="shared" si="410"/>
        <v>94</v>
      </c>
      <c r="AJ78" s="164">
        <f t="shared" si="410"/>
        <v>92</v>
      </c>
      <c r="AK78" s="164">
        <f t="shared" si="410"/>
        <v>90</v>
      </c>
      <c r="AL78" s="164">
        <f t="shared" si="410"/>
        <v>88</v>
      </c>
      <c r="AM78" s="164">
        <f t="shared" si="410"/>
        <v>87</v>
      </c>
      <c r="AN78" s="164">
        <f t="shared" si="410"/>
        <v>85</v>
      </c>
      <c r="AO78" s="164">
        <f t="shared" si="410"/>
        <v>84</v>
      </c>
      <c r="AP78" s="164">
        <f t="shared" si="410"/>
        <v>82</v>
      </c>
      <c r="AQ78" s="164">
        <f t="shared" si="410"/>
        <v>81</v>
      </c>
      <c r="AR78" s="164">
        <f t="shared" si="410"/>
        <v>79</v>
      </c>
      <c r="AS78" s="164">
        <f t="shared" si="410"/>
        <v>78</v>
      </c>
      <c r="AT78" s="164">
        <f t="shared" si="410"/>
        <v>77</v>
      </c>
      <c r="AU78" s="164">
        <f t="shared" si="410"/>
        <v>76</v>
      </c>
      <c r="AV78" s="164">
        <f t="shared" si="410"/>
        <v>74</v>
      </c>
      <c r="AW78" s="164">
        <f t="shared" si="410"/>
        <v>73</v>
      </c>
      <c r="AX78" s="164">
        <f t="shared" si="410"/>
        <v>72</v>
      </c>
      <c r="AY78" s="164">
        <f t="shared" si="410"/>
        <v>71</v>
      </c>
      <c r="AZ78" s="164">
        <f t="shared" si="410"/>
        <v>70</v>
      </c>
      <c r="BA78" s="164">
        <f t="shared" si="410"/>
        <v>69</v>
      </c>
      <c r="BB78" s="164">
        <f t="shared" si="410"/>
        <v>68</v>
      </c>
      <c r="BC78" s="164">
        <f t="shared" si="410"/>
        <v>67</v>
      </c>
      <c r="BD78" s="164">
        <f t="shared" si="410"/>
        <v>66</v>
      </c>
      <c r="BE78" s="164">
        <f t="shared" si="410"/>
        <v>65</v>
      </c>
      <c r="BF78" s="164">
        <f t="shared" si="410"/>
        <v>64</v>
      </c>
      <c r="BG78" s="164">
        <f t="shared" si="410"/>
        <v>63</v>
      </c>
      <c r="BH78" s="164">
        <f t="shared" si="410"/>
        <v>63</v>
      </c>
      <c r="BI78" s="164">
        <f t="shared" si="410"/>
        <v>62</v>
      </c>
      <c r="BJ78" s="164">
        <f t="shared" si="410"/>
        <v>61</v>
      </c>
      <c r="BK78" s="164">
        <f t="shared" si="410"/>
        <v>60</v>
      </c>
      <c r="BL78" s="164">
        <f t="shared" si="410"/>
        <v>59</v>
      </c>
      <c r="BM78" s="164">
        <f t="shared" si="410"/>
        <v>59</v>
      </c>
      <c r="BN78" s="164">
        <f t="shared" si="410"/>
        <v>58</v>
      </c>
      <c r="BO78" s="164">
        <f t="shared" si="410"/>
        <v>57</v>
      </c>
      <c r="BP78" s="164">
        <f t="shared" si="410"/>
        <v>57</v>
      </c>
      <c r="BQ78" s="164">
        <f t="shared" si="410"/>
        <v>56</v>
      </c>
      <c r="BR78" s="164">
        <f t="shared" si="410"/>
        <v>55</v>
      </c>
      <c r="BS78" s="164">
        <f t="shared" si="410"/>
        <v>55</v>
      </c>
      <c r="BT78" s="164">
        <f t="shared" ref="BT78:EE78" si="411">ROUNDDOWN(BT77 / 1000000, 0)</f>
        <v>54</v>
      </c>
      <c r="BU78" s="164">
        <f t="shared" si="411"/>
        <v>53</v>
      </c>
      <c r="BV78" s="164">
        <f t="shared" si="411"/>
        <v>53</v>
      </c>
      <c r="BW78" s="164">
        <f t="shared" si="411"/>
        <v>52</v>
      </c>
      <c r="BX78" s="164">
        <f t="shared" si="411"/>
        <v>52</v>
      </c>
      <c r="BY78" s="164">
        <f t="shared" si="411"/>
        <v>51</v>
      </c>
      <c r="BZ78" s="164">
        <f t="shared" si="411"/>
        <v>51</v>
      </c>
      <c r="CA78" s="164">
        <f t="shared" si="411"/>
        <v>50</v>
      </c>
      <c r="CB78" s="164">
        <f t="shared" si="411"/>
        <v>49</v>
      </c>
      <c r="CC78" s="164">
        <f t="shared" si="411"/>
        <v>49</v>
      </c>
      <c r="CD78" s="164">
        <f t="shared" si="411"/>
        <v>48</v>
      </c>
      <c r="CE78" s="164">
        <f t="shared" si="411"/>
        <v>48</v>
      </c>
      <c r="CF78" s="164">
        <f t="shared" si="411"/>
        <v>47</v>
      </c>
      <c r="CG78" s="164">
        <f t="shared" si="411"/>
        <v>47</v>
      </c>
      <c r="CH78" s="164">
        <f t="shared" si="411"/>
        <v>47</v>
      </c>
      <c r="CI78" s="164">
        <f t="shared" si="411"/>
        <v>46</v>
      </c>
      <c r="CJ78" s="164">
        <f t="shared" si="411"/>
        <v>46</v>
      </c>
      <c r="CK78" s="164">
        <f t="shared" si="411"/>
        <v>45</v>
      </c>
      <c r="CL78" s="164">
        <f t="shared" si="411"/>
        <v>45</v>
      </c>
      <c r="CM78" s="164">
        <f t="shared" si="411"/>
        <v>44</v>
      </c>
      <c r="CN78" s="164">
        <f t="shared" si="411"/>
        <v>44</v>
      </c>
      <c r="CO78" s="164">
        <f t="shared" si="411"/>
        <v>43</v>
      </c>
      <c r="CP78" s="164">
        <f t="shared" si="411"/>
        <v>43</v>
      </c>
      <c r="CQ78" s="164">
        <f t="shared" si="411"/>
        <v>43</v>
      </c>
      <c r="CR78" s="164">
        <f t="shared" si="411"/>
        <v>42</v>
      </c>
      <c r="CS78" s="164">
        <f t="shared" si="411"/>
        <v>42</v>
      </c>
      <c r="CT78" s="164">
        <f t="shared" si="411"/>
        <v>42</v>
      </c>
      <c r="CU78" s="164">
        <f t="shared" si="411"/>
        <v>41</v>
      </c>
      <c r="CV78" s="164">
        <f t="shared" si="411"/>
        <v>41</v>
      </c>
      <c r="CW78" s="164">
        <f t="shared" si="411"/>
        <v>41</v>
      </c>
      <c r="CX78" s="164">
        <f t="shared" si="411"/>
        <v>40</v>
      </c>
      <c r="CY78" s="164">
        <f t="shared" si="411"/>
        <v>40</v>
      </c>
      <c r="CZ78" s="164">
        <f t="shared" si="411"/>
        <v>39</v>
      </c>
      <c r="DA78" s="164">
        <f t="shared" si="411"/>
        <v>39</v>
      </c>
      <c r="DB78" s="164">
        <f t="shared" si="411"/>
        <v>39</v>
      </c>
      <c r="DC78" s="164">
        <f t="shared" si="411"/>
        <v>39</v>
      </c>
      <c r="DD78" s="164">
        <f t="shared" si="411"/>
        <v>38</v>
      </c>
      <c r="DE78" s="164">
        <f t="shared" si="411"/>
        <v>38</v>
      </c>
      <c r="DF78" s="164">
        <f t="shared" si="411"/>
        <v>38</v>
      </c>
      <c r="DG78" s="164">
        <f t="shared" si="411"/>
        <v>37</v>
      </c>
      <c r="DH78" s="164">
        <f t="shared" si="411"/>
        <v>37</v>
      </c>
      <c r="DI78" s="164">
        <f t="shared" si="411"/>
        <v>37</v>
      </c>
      <c r="DJ78" s="164">
        <f t="shared" si="411"/>
        <v>36</v>
      </c>
      <c r="DK78" s="164">
        <f t="shared" si="411"/>
        <v>36</v>
      </c>
      <c r="DL78" s="164">
        <f t="shared" si="411"/>
        <v>36</v>
      </c>
      <c r="DM78" s="164">
        <f t="shared" si="411"/>
        <v>36</v>
      </c>
      <c r="DN78" s="164">
        <f t="shared" si="411"/>
        <v>35</v>
      </c>
      <c r="DO78" s="164">
        <f t="shared" si="411"/>
        <v>35</v>
      </c>
      <c r="DP78" s="164">
        <f t="shared" si="411"/>
        <v>35</v>
      </c>
      <c r="DQ78" s="164">
        <f t="shared" si="411"/>
        <v>34</v>
      </c>
      <c r="DR78" s="164">
        <f t="shared" si="411"/>
        <v>34</v>
      </c>
      <c r="DS78" s="164">
        <f t="shared" si="411"/>
        <v>34</v>
      </c>
      <c r="DT78" s="164">
        <f t="shared" si="411"/>
        <v>34</v>
      </c>
      <c r="DU78" s="164">
        <f t="shared" si="411"/>
        <v>34</v>
      </c>
      <c r="DV78" s="164">
        <f t="shared" si="411"/>
        <v>33</v>
      </c>
      <c r="DW78" s="164">
        <f t="shared" si="411"/>
        <v>33</v>
      </c>
      <c r="DX78" s="164">
        <f t="shared" si="411"/>
        <v>33</v>
      </c>
      <c r="DY78" s="164">
        <f t="shared" si="411"/>
        <v>33</v>
      </c>
      <c r="DZ78" s="164">
        <f t="shared" si="411"/>
        <v>32</v>
      </c>
      <c r="EA78" s="164">
        <f t="shared" si="411"/>
        <v>32</v>
      </c>
      <c r="EB78" s="164">
        <f t="shared" si="411"/>
        <v>32</v>
      </c>
      <c r="EC78" s="164">
        <f t="shared" si="411"/>
        <v>32</v>
      </c>
      <c r="ED78" s="164">
        <f t="shared" si="411"/>
        <v>31</v>
      </c>
      <c r="EE78" s="164">
        <f t="shared" si="411"/>
        <v>31</v>
      </c>
      <c r="EF78" s="164">
        <f t="shared" ref="EF78:FC78" si="412">ROUNDDOWN(EF77 / 1000000, 0)</f>
        <v>31</v>
      </c>
      <c r="EG78" s="164">
        <f t="shared" si="412"/>
        <v>31</v>
      </c>
      <c r="EH78" s="164">
        <f t="shared" si="412"/>
        <v>31</v>
      </c>
      <c r="EI78" s="164">
        <f t="shared" si="412"/>
        <v>30</v>
      </c>
      <c r="EJ78" s="164">
        <f t="shared" si="412"/>
        <v>30</v>
      </c>
      <c r="EK78" s="164">
        <f t="shared" si="412"/>
        <v>30</v>
      </c>
      <c r="EL78" s="164">
        <f t="shared" si="412"/>
        <v>30</v>
      </c>
      <c r="EM78" s="164">
        <f t="shared" si="412"/>
        <v>30</v>
      </c>
      <c r="EN78" s="164">
        <f t="shared" si="412"/>
        <v>29</v>
      </c>
      <c r="EO78" s="164">
        <f t="shared" si="412"/>
        <v>29</v>
      </c>
      <c r="EP78" s="164">
        <f t="shared" si="412"/>
        <v>29</v>
      </c>
      <c r="EQ78" s="164">
        <f t="shared" si="412"/>
        <v>29</v>
      </c>
      <c r="ER78" s="164">
        <f t="shared" si="412"/>
        <v>29</v>
      </c>
      <c r="ES78" s="164">
        <f t="shared" si="412"/>
        <v>29</v>
      </c>
      <c r="ET78" s="164">
        <f t="shared" si="412"/>
        <v>28</v>
      </c>
      <c r="EU78" s="164">
        <f t="shared" si="412"/>
        <v>28</v>
      </c>
      <c r="EV78" s="164">
        <f t="shared" si="412"/>
        <v>28</v>
      </c>
      <c r="EW78" s="164">
        <f t="shared" si="412"/>
        <v>28</v>
      </c>
      <c r="EX78" s="164">
        <f t="shared" si="412"/>
        <v>28</v>
      </c>
      <c r="FA78" s="709"/>
      <c r="FB78" s="164">
        <f t="shared" si="412"/>
        <v>240</v>
      </c>
      <c r="FC78" s="164">
        <f t="shared" si="412"/>
        <v>200</v>
      </c>
      <c r="FD78" s="100"/>
    </row>
    <row r="79" spans="2:160" s="31" customFormat="1" x14ac:dyDescent="0.45">
      <c r="B79" s="158"/>
      <c r="C79" s="159" t="s">
        <v>5</v>
      </c>
      <c r="D79" s="165">
        <f>ROUND(D77/10000000, 0)</f>
        <v>24</v>
      </c>
      <c r="E79" s="165">
        <f t="shared" ref="E79:F79" si="413">ROUND(E77/10000000, 0)</f>
        <v>23</v>
      </c>
      <c r="F79" s="165">
        <f t="shared" si="413"/>
        <v>22</v>
      </c>
      <c r="G79" s="165">
        <f>ROUND(G77/10000000, 0)</f>
        <v>21</v>
      </c>
      <c r="H79" s="165">
        <f t="shared" ref="H79:BS79" si="414">ROUND(H77/10000000, 0)</f>
        <v>20</v>
      </c>
      <c r="I79" s="165">
        <f t="shared" si="414"/>
        <v>19</v>
      </c>
      <c r="J79" s="165">
        <f t="shared" si="414"/>
        <v>18</v>
      </c>
      <c r="K79" s="165">
        <f t="shared" si="414"/>
        <v>18</v>
      </c>
      <c r="L79" s="165">
        <f t="shared" si="414"/>
        <v>17</v>
      </c>
      <c r="M79" s="165">
        <f t="shared" si="414"/>
        <v>17</v>
      </c>
      <c r="N79" s="165">
        <f t="shared" si="414"/>
        <v>16</v>
      </c>
      <c r="O79" s="165">
        <f t="shared" si="414"/>
        <v>15</v>
      </c>
      <c r="P79" s="165">
        <f t="shared" si="414"/>
        <v>15</v>
      </c>
      <c r="Q79" s="165">
        <f t="shared" si="414"/>
        <v>15</v>
      </c>
      <c r="R79" s="165">
        <f t="shared" si="414"/>
        <v>14</v>
      </c>
      <c r="S79" s="165">
        <f t="shared" si="414"/>
        <v>14</v>
      </c>
      <c r="T79" s="165">
        <f t="shared" si="414"/>
        <v>13</v>
      </c>
      <c r="U79" s="165">
        <f t="shared" si="414"/>
        <v>13</v>
      </c>
      <c r="V79" s="165">
        <f t="shared" si="414"/>
        <v>13</v>
      </c>
      <c r="W79" s="165">
        <f t="shared" si="414"/>
        <v>12</v>
      </c>
      <c r="X79" s="165">
        <f t="shared" si="414"/>
        <v>12</v>
      </c>
      <c r="Y79" s="165">
        <f t="shared" si="414"/>
        <v>12</v>
      </c>
      <c r="Z79" s="165">
        <f t="shared" si="414"/>
        <v>11</v>
      </c>
      <c r="AA79" s="165">
        <f t="shared" si="414"/>
        <v>11</v>
      </c>
      <c r="AB79" s="165">
        <f t="shared" si="414"/>
        <v>11</v>
      </c>
      <c r="AC79" s="165">
        <f t="shared" si="414"/>
        <v>11</v>
      </c>
      <c r="AD79" s="165">
        <f t="shared" si="414"/>
        <v>10</v>
      </c>
      <c r="AE79" s="165">
        <f t="shared" si="414"/>
        <v>10</v>
      </c>
      <c r="AF79" s="165">
        <f t="shared" si="414"/>
        <v>10</v>
      </c>
      <c r="AG79" s="165">
        <f t="shared" si="414"/>
        <v>10</v>
      </c>
      <c r="AH79" s="165">
        <f t="shared" si="414"/>
        <v>10</v>
      </c>
      <c r="AI79" s="165">
        <f t="shared" si="414"/>
        <v>9</v>
      </c>
      <c r="AJ79" s="165">
        <f t="shared" si="414"/>
        <v>9</v>
      </c>
      <c r="AK79" s="165">
        <f t="shared" si="414"/>
        <v>9</v>
      </c>
      <c r="AL79" s="165">
        <f t="shared" si="414"/>
        <v>9</v>
      </c>
      <c r="AM79" s="165">
        <f t="shared" si="414"/>
        <v>9</v>
      </c>
      <c r="AN79" s="165">
        <f t="shared" si="414"/>
        <v>9</v>
      </c>
      <c r="AO79" s="165">
        <f t="shared" si="414"/>
        <v>8</v>
      </c>
      <c r="AP79" s="165">
        <f t="shared" si="414"/>
        <v>8</v>
      </c>
      <c r="AQ79" s="165">
        <f t="shared" si="414"/>
        <v>8</v>
      </c>
      <c r="AR79" s="165">
        <f t="shared" si="414"/>
        <v>8</v>
      </c>
      <c r="AS79" s="165">
        <f t="shared" si="414"/>
        <v>8</v>
      </c>
      <c r="AT79" s="165">
        <f t="shared" si="414"/>
        <v>8</v>
      </c>
      <c r="AU79" s="165">
        <f t="shared" si="414"/>
        <v>8</v>
      </c>
      <c r="AV79" s="165">
        <f t="shared" si="414"/>
        <v>7</v>
      </c>
      <c r="AW79" s="165">
        <f t="shared" si="414"/>
        <v>7</v>
      </c>
      <c r="AX79" s="165">
        <f t="shared" si="414"/>
        <v>7</v>
      </c>
      <c r="AY79" s="165">
        <f t="shared" si="414"/>
        <v>7</v>
      </c>
      <c r="AZ79" s="165">
        <f t="shared" si="414"/>
        <v>7</v>
      </c>
      <c r="BA79" s="165">
        <f t="shared" si="414"/>
        <v>7</v>
      </c>
      <c r="BB79" s="165">
        <f t="shared" si="414"/>
        <v>7</v>
      </c>
      <c r="BC79" s="165">
        <f t="shared" si="414"/>
        <v>7</v>
      </c>
      <c r="BD79" s="165">
        <f t="shared" si="414"/>
        <v>7</v>
      </c>
      <c r="BE79" s="165">
        <f t="shared" si="414"/>
        <v>7</v>
      </c>
      <c r="BF79" s="165">
        <f t="shared" si="414"/>
        <v>6</v>
      </c>
      <c r="BG79" s="165">
        <f t="shared" si="414"/>
        <v>6</v>
      </c>
      <c r="BH79" s="165">
        <f t="shared" si="414"/>
        <v>6</v>
      </c>
      <c r="BI79" s="165">
        <f t="shared" si="414"/>
        <v>6</v>
      </c>
      <c r="BJ79" s="165">
        <f t="shared" si="414"/>
        <v>6</v>
      </c>
      <c r="BK79" s="165">
        <f t="shared" si="414"/>
        <v>6</v>
      </c>
      <c r="BL79" s="165">
        <f t="shared" si="414"/>
        <v>6</v>
      </c>
      <c r="BM79" s="165">
        <f t="shared" si="414"/>
        <v>6</v>
      </c>
      <c r="BN79" s="165">
        <f t="shared" si="414"/>
        <v>6</v>
      </c>
      <c r="BO79" s="165">
        <f t="shared" si="414"/>
        <v>6</v>
      </c>
      <c r="BP79" s="165">
        <f t="shared" si="414"/>
        <v>6</v>
      </c>
      <c r="BQ79" s="165">
        <f t="shared" si="414"/>
        <v>6</v>
      </c>
      <c r="BR79" s="165">
        <f t="shared" si="414"/>
        <v>6</v>
      </c>
      <c r="BS79" s="165">
        <f t="shared" si="414"/>
        <v>6</v>
      </c>
      <c r="BT79" s="165">
        <f t="shared" ref="BT79:EE79" si="415">ROUND(BT77/10000000, 0)</f>
        <v>5</v>
      </c>
      <c r="BU79" s="165">
        <f t="shared" si="415"/>
        <v>5</v>
      </c>
      <c r="BV79" s="165">
        <f t="shared" si="415"/>
        <v>5</v>
      </c>
      <c r="BW79" s="165">
        <f t="shared" si="415"/>
        <v>5</v>
      </c>
      <c r="BX79" s="165">
        <f t="shared" si="415"/>
        <v>5</v>
      </c>
      <c r="BY79" s="165">
        <f t="shared" si="415"/>
        <v>5</v>
      </c>
      <c r="BZ79" s="165">
        <f t="shared" si="415"/>
        <v>5</v>
      </c>
      <c r="CA79" s="165">
        <f t="shared" si="415"/>
        <v>5</v>
      </c>
      <c r="CB79" s="165">
        <f t="shared" si="415"/>
        <v>5</v>
      </c>
      <c r="CC79" s="165">
        <f t="shared" si="415"/>
        <v>5</v>
      </c>
      <c r="CD79" s="165">
        <f t="shared" si="415"/>
        <v>5</v>
      </c>
      <c r="CE79" s="165">
        <f t="shared" si="415"/>
        <v>5</v>
      </c>
      <c r="CF79" s="165">
        <f t="shared" si="415"/>
        <v>5</v>
      </c>
      <c r="CG79" s="165">
        <f t="shared" si="415"/>
        <v>5</v>
      </c>
      <c r="CH79" s="165">
        <f t="shared" si="415"/>
        <v>5</v>
      </c>
      <c r="CI79" s="165">
        <f t="shared" si="415"/>
        <v>5</v>
      </c>
      <c r="CJ79" s="165">
        <f t="shared" si="415"/>
        <v>5</v>
      </c>
      <c r="CK79" s="165">
        <f t="shared" si="415"/>
        <v>5</v>
      </c>
      <c r="CL79" s="165">
        <f t="shared" si="415"/>
        <v>5</v>
      </c>
      <c r="CM79" s="165">
        <f t="shared" si="415"/>
        <v>4</v>
      </c>
      <c r="CN79" s="165">
        <f t="shared" si="415"/>
        <v>4</v>
      </c>
      <c r="CO79" s="165">
        <f t="shared" si="415"/>
        <v>4</v>
      </c>
      <c r="CP79" s="165">
        <f t="shared" si="415"/>
        <v>4</v>
      </c>
      <c r="CQ79" s="165">
        <f t="shared" si="415"/>
        <v>4</v>
      </c>
      <c r="CR79" s="165">
        <f t="shared" si="415"/>
        <v>4</v>
      </c>
      <c r="CS79" s="165">
        <f t="shared" si="415"/>
        <v>4</v>
      </c>
      <c r="CT79" s="165">
        <f t="shared" si="415"/>
        <v>4</v>
      </c>
      <c r="CU79" s="165">
        <f t="shared" si="415"/>
        <v>4</v>
      </c>
      <c r="CV79" s="165">
        <f t="shared" si="415"/>
        <v>4</v>
      </c>
      <c r="CW79" s="165">
        <f t="shared" si="415"/>
        <v>4</v>
      </c>
      <c r="CX79" s="165">
        <f t="shared" si="415"/>
        <v>4</v>
      </c>
      <c r="CY79" s="165">
        <f t="shared" si="415"/>
        <v>4</v>
      </c>
      <c r="CZ79" s="165">
        <f t="shared" si="415"/>
        <v>4</v>
      </c>
      <c r="DA79" s="165">
        <f t="shared" si="415"/>
        <v>4</v>
      </c>
      <c r="DB79" s="165">
        <f t="shared" si="415"/>
        <v>4</v>
      </c>
      <c r="DC79" s="165">
        <f t="shared" si="415"/>
        <v>4</v>
      </c>
      <c r="DD79" s="165">
        <f t="shared" si="415"/>
        <v>4</v>
      </c>
      <c r="DE79" s="165">
        <f t="shared" si="415"/>
        <v>4</v>
      </c>
      <c r="DF79" s="165">
        <f t="shared" si="415"/>
        <v>4</v>
      </c>
      <c r="DG79" s="165">
        <f t="shared" si="415"/>
        <v>4</v>
      </c>
      <c r="DH79" s="165">
        <f t="shared" si="415"/>
        <v>4</v>
      </c>
      <c r="DI79" s="165">
        <f t="shared" si="415"/>
        <v>4</v>
      </c>
      <c r="DJ79" s="165">
        <f t="shared" si="415"/>
        <v>4</v>
      </c>
      <c r="DK79" s="165">
        <f t="shared" si="415"/>
        <v>4</v>
      </c>
      <c r="DL79" s="165">
        <f t="shared" si="415"/>
        <v>4</v>
      </c>
      <c r="DM79" s="165">
        <f t="shared" si="415"/>
        <v>4</v>
      </c>
      <c r="DN79" s="165">
        <f t="shared" si="415"/>
        <v>4</v>
      </c>
      <c r="DO79" s="165">
        <f t="shared" si="415"/>
        <v>4</v>
      </c>
      <c r="DP79" s="165">
        <f t="shared" si="415"/>
        <v>4</v>
      </c>
      <c r="DQ79" s="165">
        <f t="shared" si="415"/>
        <v>3</v>
      </c>
      <c r="DR79" s="165">
        <f t="shared" si="415"/>
        <v>3</v>
      </c>
      <c r="DS79" s="165">
        <f t="shared" si="415"/>
        <v>3</v>
      </c>
      <c r="DT79" s="165">
        <f t="shared" si="415"/>
        <v>3</v>
      </c>
      <c r="DU79" s="165">
        <f t="shared" si="415"/>
        <v>3</v>
      </c>
      <c r="DV79" s="165">
        <f t="shared" si="415"/>
        <v>3</v>
      </c>
      <c r="DW79" s="165">
        <f t="shared" si="415"/>
        <v>3</v>
      </c>
      <c r="DX79" s="165">
        <f t="shared" si="415"/>
        <v>3</v>
      </c>
      <c r="DY79" s="165">
        <f t="shared" si="415"/>
        <v>3</v>
      </c>
      <c r="DZ79" s="165">
        <f t="shared" si="415"/>
        <v>3</v>
      </c>
      <c r="EA79" s="165">
        <f t="shared" si="415"/>
        <v>3</v>
      </c>
      <c r="EB79" s="165">
        <f t="shared" si="415"/>
        <v>3</v>
      </c>
      <c r="EC79" s="165">
        <f t="shared" si="415"/>
        <v>3</v>
      </c>
      <c r="ED79" s="165">
        <f t="shared" si="415"/>
        <v>3</v>
      </c>
      <c r="EE79" s="165">
        <f t="shared" si="415"/>
        <v>3</v>
      </c>
      <c r="EF79" s="165">
        <f t="shared" ref="EF79:FC79" si="416">ROUND(EF77/10000000, 0)</f>
        <v>3</v>
      </c>
      <c r="EG79" s="165">
        <f t="shared" si="416"/>
        <v>3</v>
      </c>
      <c r="EH79" s="165">
        <f t="shared" si="416"/>
        <v>3</v>
      </c>
      <c r="EI79" s="165">
        <f t="shared" si="416"/>
        <v>3</v>
      </c>
      <c r="EJ79" s="165">
        <f t="shared" si="416"/>
        <v>3</v>
      </c>
      <c r="EK79" s="165">
        <f t="shared" si="416"/>
        <v>3</v>
      </c>
      <c r="EL79" s="165">
        <f t="shared" si="416"/>
        <v>3</v>
      </c>
      <c r="EM79" s="165">
        <f t="shared" si="416"/>
        <v>3</v>
      </c>
      <c r="EN79" s="165">
        <f t="shared" si="416"/>
        <v>3</v>
      </c>
      <c r="EO79" s="165">
        <f t="shared" si="416"/>
        <v>3</v>
      </c>
      <c r="EP79" s="165">
        <f t="shared" si="416"/>
        <v>3</v>
      </c>
      <c r="EQ79" s="165">
        <f t="shared" si="416"/>
        <v>3</v>
      </c>
      <c r="ER79" s="165">
        <f t="shared" si="416"/>
        <v>3</v>
      </c>
      <c r="ES79" s="165">
        <f t="shared" si="416"/>
        <v>3</v>
      </c>
      <c r="ET79" s="165">
        <f t="shared" si="416"/>
        <v>3</v>
      </c>
      <c r="EU79" s="165">
        <f t="shared" si="416"/>
        <v>3</v>
      </c>
      <c r="EV79" s="165">
        <f t="shared" si="416"/>
        <v>3</v>
      </c>
      <c r="EW79" s="165">
        <f t="shared" si="416"/>
        <v>3</v>
      </c>
      <c r="EX79" s="165">
        <f t="shared" si="416"/>
        <v>3</v>
      </c>
      <c r="EY79" s="715"/>
      <c r="EZ79" s="715"/>
      <c r="FA79" s="709"/>
      <c r="FB79" s="165">
        <f t="shared" si="416"/>
        <v>24</v>
      </c>
      <c r="FC79" s="165">
        <f t="shared" si="416"/>
        <v>20</v>
      </c>
      <c r="FD79" s="100"/>
    </row>
    <row r="80" spans="2:160" s="31" customFormat="1" x14ac:dyDescent="0.45">
      <c r="B80" s="154"/>
      <c r="C80" s="152" t="s">
        <v>5</v>
      </c>
      <c r="D80" s="166">
        <f>D79-1</f>
        <v>23</v>
      </c>
      <c r="E80" s="166">
        <f t="shared" ref="E80:BP80" si="417">E79-1</f>
        <v>22</v>
      </c>
      <c r="F80" s="166">
        <f t="shared" ref="F80" si="418">F79-1</f>
        <v>21</v>
      </c>
      <c r="G80" s="166">
        <f t="shared" si="417"/>
        <v>20</v>
      </c>
      <c r="H80" s="166">
        <f t="shared" si="417"/>
        <v>19</v>
      </c>
      <c r="I80" s="166">
        <f t="shared" si="417"/>
        <v>18</v>
      </c>
      <c r="J80" s="166">
        <f t="shared" si="417"/>
        <v>17</v>
      </c>
      <c r="K80" s="166">
        <f t="shared" si="417"/>
        <v>17</v>
      </c>
      <c r="L80" s="166">
        <f t="shared" si="417"/>
        <v>16</v>
      </c>
      <c r="M80" s="166">
        <f t="shared" si="417"/>
        <v>16</v>
      </c>
      <c r="N80" s="166">
        <f t="shared" si="417"/>
        <v>15</v>
      </c>
      <c r="O80" s="166">
        <f t="shared" si="417"/>
        <v>14</v>
      </c>
      <c r="P80" s="166">
        <f t="shared" si="417"/>
        <v>14</v>
      </c>
      <c r="Q80" s="166">
        <f t="shared" si="417"/>
        <v>14</v>
      </c>
      <c r="R80" s="166">
        <f t="shared" si="417"/>
        <v>13</v>
      </c>
      <c r="S80" s="166">
        <f t="shared" si="417"/>
        <v>13</v>
      </c>
      <c r="T80" s="166">
        <f t="shared" si="417"/>
        <v>12</v>
      </c>
      <c r="U80" s="166">
        <f t="shared" si="417"/>
        <v>12</v>
      </c>
      <c r="V80" s="166">
        <f t="shared" si="417"/>
        <v>12</v>
      </c>
      <c r="W80" s="166">
        <f t="shared" si="417"/>
        <v>11</v>
      </c>
      <c r="X80" s="166">
        <f t="shared" si="417"/>
        <v>11</v>
      </c>
      <c r="Y80" s="166">
        <f t="shared" si="417"/>
        <v>11</v>
      </c>
      <c r="Z80" s="166">
        <f t="shared" si="417"/>
        <v>10</v>
      </c>
      <c r="AA80" s="166">
        <f t="shared" si="417"/>
        <v>10</v>
      </c>
      <c r="AB80" s="166">
        <f t="shared" si="417"/>
        <v>10</v>
      </c>
      <c r="AC80" s="166">
        <f t="shared" si="417"/>
        <v>10</v>
      </c>
      <c r="AD80" s="166">
        <f t="shared" si="417"/>
        <v>9</v>
      </c>
      <c r="AE80" s="166">
        <f t="shared" si="417"/>
        <v>9</v>
      </c>
      <c r="AF80" s="166">
        <f t="shared" si="417"/>
        <v>9</v>
      </c>
      <c r="AG80" s="166">
        <f t="shared" si="417"/>
        <v>9</v>
      </c>
      <c r="AH80" s="166">
        <f t="shared" si="417"/>
        <v>9</v>
      </c>
      <c r="AI80" s="166">
        <f t="shared" si="417"/>
        <v>8</v>
      </c>
      <c r="AJ80" s="166">
        <f t="shared" si="417"/>
        <v>8</v>
      </c>
      <c r="AK80" s="166">
        <f t="shared" si="417"/>
        <v>8</v>
      </c>
      <c r="AL80" s="166">
        <f t="shared" si="417"/>
        <v>8</v>
      </c>
      <c r="AM80" s="166">
        <f t="shared" si="417"/>
        <v>8</v>
      </c>
      <c r="AN80" s="166">
        <f t="shared" si="417"/>
        <v>8</v>
      </c>
      <c r="AO80" s="166">
        <f t="shared" si="417"/>
        <v>7</v>
      </c>
      <c r="AP80" s="166">
        <f t="shared" si="417"/>
        <v>7</v>
      </c>
      <c r="AQ80" s="166">
        <f t="shared" si="417"/>
        <v>7</v>
      </c>
      <c r="AR80" s="166">
        <f t="shared" si="417"/>
        <v>7</v>
      </c>
      <c r="AS80" s="166">
        <f t="shared" si="417"/>
        <v>7</v>
      </c>
      <c r="AT80" s="166">
        <f t="shared" si="417"/>
        <v>7</v>
      </c>
      <c r="AU80" s="166">
        <f t="shared" si="417"/>
        <v>7</v>
      </c>
      <c r="AV80" s="166">
        <f t="shared" si="417"/>
        <v>6</v>
      </c>
      <c r="AW80" s="166">
        <f t="shared" si="417"/>
        <v>6</v>
      </c>
      <c r="AX80" s="166">
        <f t="shared" si="417"/>
        <v>6</v>
      </c>
      <c r="AY80" s="166">
        <f t="shared" si="417"/>
        <v>6</v>
      </c>
      <c r="AZ80" s="166">
        <f t="shared" si="417"/>
        <v>6</v>
      </c>
      <c r="BA80" s="166">
        <f t="shared" si="417"/>
        <v>6</v>
      </c>
      <c r="BB80" s="166">
        <f t="shared" si="417"/>
        <v>6</v>
      </c>
      <c r="BC80" s="166">
        <f t="shared" si="417"/>
        <v>6</v>
      </c>
      <c r="BD80" s="166">
        <f t="shared" si="417"/>
        <v>6</v>
      </c>
      <c r="BE80" s="166">
        <f t="shared" si="417"/>
        <v>6</v>
      </c>
      <c r="BF80" s="166">
        <f t="shared" si="417"/>
        <v>5</v>
      </c>
      <c r="BG80" s="166">
        <f t="shared" si="417"/>
        <v>5</v>
      </c>
      <c r="BH80" s="166">
        <f t="shared" si="417"/>
        <v>5</v>
      </c>
      <c r="BI80" s="166">
        <f t="shared" si="417"/>
        <v>5</v>
      </c>
      <c r="BJ80" s="166">
        <f t="shared" si="417"/>
        <v>5</v>
      </c>
      <c r="BK80" s="166">
        <f t="shared" si="417"/>
        <v>5</v>
      </c>
      <c r="BL80" s="166">
        <f t="shared" si="417"/>
        <v>5</v>
      </c>
      <c r="BM80" s="166">
        <f t="shared" si="417"/>
        <v>5</v>
      </c>
      <c r="BN80" s="166">
        <f t="shared" si="417"/>
        <v>5</v>
      </c>
      <c r="BO80" s="166">
        <f t="shared" si="417"/>
        <v>5</v>
      </c>
      <c r="BP80" s="166">
        <f t="shared" si="417"/>
        <v>5</v>
      </c>
      <c r="BQ80" s="166">
        <f t="shared" ref="BQ80:EB80" si="419">BQ79-1</f>
        <v>5</v>
      </c>
      <c r="BR80" s="166">
        <f t="shared" si="419"/>
        <v>5</v>
      </c>
      <c r="BS80" s="166">
        <f t="shared" si="419"/>
        <v>5</v>
      </c>
      <c r="BT80" s="166">
        <f t="shared" si="419"/>
        <v>4</v>
      </c>
      <c r="BU80" s="166">
        <f t="shared" si="419"/>
        <v>4</v>
      </c>
      <c r="BV80" s="166">
        <f t="shared" si="419"/>
        <v>4</v>
      </c>
      <c r="BW80" s="166">
        <f t="shared" si="419"/>
        <v>4</v>
      </c>
      <c r="BX80" s="166">
        <f t="shared" si="419"/>
        <v>4</v>
      </c>
      <c r="BY80" s="166">
        <f t="shared" si="419"/>
        <v>4</v>
      </c>
      <c r="BZ80" s="166">
        <f t="shared" si="419"/>
        <v>4</v>
      </c>
      <c r="CA80" s="166">
        <f t="shared" si="419"/>
        <v>4</v>
      </c>
      <c r="CB80" s="166">
        <f t="shared" si="419"/>
        <v>4</v>
      </c>
      <c r="CC80" s="166">
        <f t="shared" si="419"/>
        <v>4</v>
      </c>
      <c r="CD80" s="166">
        <f t="shared" si="419"/>
        <v>4</v>
      </c>
      <c r="CE80" s="166">
        <f t="shared" si="419"/>
        <v>4</v>
      </c>
      <c r="CF80" s="166">
        <f t="shared" si="419"/>
        <v>4</v>
      </c>
      <c r="CG80" s="166">
        <f t="shared" si="419"/>
        <v>4</v>
      </c>
      <c r="CH80" s="166">
        <f t="shared" si="419"/>
        <v>4</v>
      </c>
      <c r="CI80" s="166">
        <f t="shared" si="419"/>
        <v>4</v>
      </c>
      <c r="CJ80" s="166">
        <f t="shared" si="419"/>
        <v>4</v>
      </c>
      <c r="CK80" s="166">
        <f t="shared" si="419"/>
        <v>4</v>
      </c>
      <c r="CL80" s="166">
        <f t="shared" si="419"/>
        <v>4</v>
      </c>
      <c r="CM80" s="166">
        <f t="shared" si="419"/>
        <v>3</v>
      </c>
      <c r="CN80" s="166">
        <f t="shared" si="419"/>
        <v>3</v>
      </c>
      <c r="CO80" s="166">
        <f t="shared" si="419"/>
        <v>3</v>
      </c>
      <c r="CP80" s="166">
        <f t="shared" si="419"/>
        <v>3</v>
      </c>
      <c r="CQ80" s="166">
        <f t="shared" si="419"/>
        <v>3</v>
      </c>
      <c r="CR80" s="166">
        <f t="shared" si="419"/>
        <v>3</v>
      </c>
      <c r="CS80" s="166">
        <f t="shared" si="419"/>
        <v>3</v>
      </c>
      <c r="CT80" s="166">
        <f t="shared" si="419"/>
        <v>3</v>
      </c>
      <c r="CU80" s="166">
        <f t="shared" si="419"/>
        <v>3</v>
      </c>
      <c r="CV80" s="166">
        <f t="shared" si="419"/>
        <v>3</v>
      </c>
      <c r="CW80" s="166">
        <f t="shared" si="419"/>
        <v>3</v>
      </c>
      <c r="CX80" s="166">
        <f t="shared" si="419"/>
        <v>3</v>
      </c>
      <c r="CY80" s="166">
        <f t="shared" si="419"/>
        <v>3</v>
      </c>
      <c r="CZ80" s="166">
        <f t="shared" si="419"/>
        <v>3</v>
      </c>
      <c r="DA80" s="166">
        <f t="shared" si="419"/>
        <v>3</v>
      </c>
      <c r="DB80" s="166">
        <f t="shared" si="419"/>
        <v>3</v>
      </c>
      <c r="DC80" s="166">
        <f t="shared" si="419"/>
        <v>3</v>
      </c>
      <c r="DD80" s="166">
        <f t="shared" si="419"/>
        <v>3</v>
      </c>
      <c r="DE80" s="166">
        <f t="shared" si="419"/>
        <v>3</v>
      </c>
      <c r="DF80" s="166">
        <f t="shared" si="419"/>
        <v>3</v>
      </c>
      <c r="DG80" s="166">
        <f t="shared" si="419"/>
        <v>3</v>
      </c>
      <c r="DH80" s="166">
        <f t="shared" si="419"/>
        <v>3</v>
      </c>
      <c r="DI80" s="166">
        <f t="shared" si="419"/>
        <v>3</v>
      </c>
      <c r="DJ80" s="166">
        <f t="shared" si="419"/>
        <v>3</v>
      </c>
      <c r="DK80" s="166">
        <f t="shared" si="419"/>
        <v>3</v>
      </c>
      <c r="DL80" s="166">
        <f t="shared" si="419"/>
        <v>3</v>
      </c>
      <c r="DM80" s="166">
        <f t="shared" si="419"/>
        <v>3</v>
      </c>
      <c r="DN80" s="166">
        <f t="shared" si="419"/>
        <v>3</v>
      </c>
      <c r="DO80" s="166">
        <f t="shared" si="419"/>
        <v>3</v>
      </c>
      <c r="DP80" s="166">
        <f t="shared" si="419"/>
        <v>3</v>
      </c>
      <c r="DQ80" s="166">
        <f t="shared" si="419"/>
        <v>2</v>
      </c>
      <c r="DR80" s="166">
        <f t="shared" si="419"/>
        <v>2</v>
      </c>
      <c r="DS80" s="166">
        <f t="shared" si="419"/>
        <v>2</v>
      </c>
      <c r="DT80" s="166">
        <f t="shared" si="419"/>
        <v>2</v>
      </c>
      <c r="DU80" s="166">
        <f t="shared" si="419"/>
        <v>2</v>
      </c>
      <c r="DV80" s="166">
        <f t="shared" si="419"/>
        <v>2</v>
      </c>
      <c r="DW80" s="166">
        <f t="shared" si="419"/>
        <v>2</v>
      </c>
      <c r="DX80" s="166">
        <f t="shared" si="419"/>
        <v>2</v>
      </c>
      <c r="DY80" s="166">
        <f t="shared" si="419"/>
        <v>2</v>
      </c>
      <c r="DZ80" s="166">
        <f t="shared" si="419"/>
        <v>2</v>
      </c>
      <c r="EA80" s="166">
        <f t="shared" si="419"/>
        <v>2</v>
      </c>
      <c r="EB80" s="166">
        <f t="shared" si="419"/>
        <v>2</v>
      </c>
      <c r="EC80" s="166">
        <f t="shared" ref="EC80:FC80" si="420">EC79-1</f>
        <v>2</v>
      </c>
      <c r="ED80" s="166">
        <f t="shared" si="420"/>
        <v>2</v>
      </c>
      <c r="EE80" s="166">
        <f t="shared" si="420"/>
        <v>2</v>
      </c>
      <c r="EF80" s="166">
        <f t="shared" si="420"/>
        <v>2</v>
      </c>
      <c r="EG80" s="166">
        <f t="shared" si="420"/>
        <v>2</v>
      </c>
      <c r="EH80" s="166">
        <f t="shared" si="420"/>
        <v>2</v>
      </c>
      <c r="EI80" s="166">
        <f t="shared" si="420"/>
        <v>2</v>
      </c>
      <c r="EJ80" s="166">
        <f t="shared" si="420"/>
        <v>2</v>
      </c>
      <c r="EK80" s="166">
        <f t="shared" si="420"/>
        <v>2</v>
      </c>
      <c r="EL80" s="166">
        <f t="shared" si="420"/>
        <v>2</v>
      </c>
      <c r="EM80" s="166">
        <f t="shared" si="420"/>
        <v>2</v>
      </c>
      <c r="EN80" s="166">
        <f t="shared" si="420"/>
        <v>2</v>
      </c>
      <c r="EO80" s="166">
        <f t="shared" si="420"/>
        <v>2</v>
      </c>
      <c r="EP80" s="166">
        <f t="shared" si="420"/>
        <v>2</v>
      </c>
      <c r="EQ80" s="166">
        <f t="shared" si="420"/>
        <v>2</v>
      </c>
      <c r="ER80" s="166">
        <f t="shared" si="420"/>
        <v>2</v>
      </c>
      <c r="ES80" s="166">
        <f t="shared" si="420"/>
        <v>2</v>
      </c>
      <c r="ET80" s="166">
        <f t="shared" si="420"/>
        <v>2</v>
      </c>
      <c r="EU80" s="166">
        <f t="shared" si="420"/>
        <v>2</v>
      </c>
      <c r="EV80" s="166">
        <f t="shared" si="420"/>
        <v>2</v>
      </c>
      <c r="EW80" s="166">
        <f t="shared" si="420"/>
        <v>2</v>
      </c>
      <c r="EX80" s="166">
        <f t="shared" si="420"/>
        <v>2</v>
      </c>
      <c r="EY80" s="715"/>
      <c r="EZ80" s="715"/>
      <c r="FA80" s="709"/>
      <c r="FB80" s="166">
        <f t="shared" si="420"/>
        <v>23</v>
      </c>
      <c r="FC80" s="166">
        <f t="shared" si="420"/>
        <v>19</v>
      </c>
      <c r="FD80" s="100"/>
    </row>
    <row r="81" spans="2:160" s="31" customFormat="1" x14ac:dyDescent="0.45">
      <c r="B81" s="155" t="s">
        <v>2</v>
      </c>
      <c r="C81" s="156" t="s">
        <v>1</v>
      </c>
      <c r="D81" s="157">
        <f>ROUNDDOWN(D76 * 10000 / D79, 0)</f>
        <v>2542916</v>
      </c>
      <c r="E81" s="157">
        <f t="shared" ref="E81:F81" si="421">ROUNDDOWN(E76 * 10000 / E79, 0)</f>
        <v>2526956</v>
      </c>
      <c r="F81" s="157">
        <f t="shared" si="421"/>
        <v>2521818</v>
      </c>
      <c r="G81" s="157">
        <f>ROUNDDOWN(G76 * 10000 / G79, 0)</f>
        <v>2527142</v>
      </c>
      <c r="H81" s="157">
        <f>ROUNDDOWN(H76 * 10000 / H79, 0)</f>
        <v>2543000</v>
      </c>
      <c r="I81" s="157">
        <f t="shared" ref="I81:BT81" si="422">ROUNDDOWN(I76 * 10000 / I79, 0)</f>
        <v>2570000</v>
      </c>
      <c r="J81" s="157">
        <f t="shared" si="422"/>
        <v>2608333</v>
      </c>
      <c r="K81" s="157">
        <f t="shared" si="422"/>
        <v>2511666</v>
      </c>
      <c r="L81" s="157">
        <f t="shared" si="422"/>
        <v>2564117</v>
      </c>
      <c r="M81" s="157">
        <f t="shared" si="422"/>
        <v>2475882</v>
      </c>
      <c r="N81" s="157">
        <f t="shared" si="422"/>
        <v>2542500</v>
      </c>
      <c r="O81" s="157">
        <f t="shared" si="422"/>
        <v>2624666</v>
      </c>
      <c r="P81" s="157">
        <f t="shared" si="422"/>
        <v>2542666</v>
      </c>
      <c r="Q81" s="157">
        <f t="shared" si="422"/>
        <v>2465333</v>
      </c>
      <c r="R81" s="157">
        <f t="shared" si="422"/>
        <v>2564285</v>
      </c>
      <c r="S81" s="157">
        <f t="shared" si="422"/>
        <v>2490714</v>
      </c>
      <c r="T81" s="157">
        <f t="shared" si="422"/>
        <v>2607692</v>
      </c>
      <c r="U81" s="157">
        <f t="shared" si="422"/>
        <v>2537692</v>
      </c>
      <c r="V81" s="157">
        <f t="shared" si="422"/>
        <v>2470769</v>
      </c>
      <c r="W81" s="157">
        <f t="shared" si="422"/>
        <v>2608333</v>
      </c>
      <c r="X81" s="157">
        <f t="shared" si="422"/>
        <v>2542500</v>
      </c>
      <c r="Y81" s="157">
        <f t="shared" si="422"/>
        <v>2480833</v>
      </c>
      <c r="Z81" s="157">
        <f t="shared" si="422"/>
        <v>2641818</v>
      </c>
      <c r="AA81" s="157">
        <f t="shared" si="422"/>
        <v>2580000</v>
      </c>
      <c r="AB81" s="157">
        <f t="shared" si="422"/>
        <v>2521818</v>
      </c>
      <c r="AC81" s="157">
        <f t="shared" si="422"/>
        <v>2465454</v>
      </c>
      <c r="AD81" s="157">
        <f t="shared" si="422"/>
        <v>2653000</v>
      </c>
      <c r="AE81" s="157">
        <f t="shared" si="422"/>
        <v>2597000</v>
      </c>
      <c r="AF81" s="157">
        <f t="shared" si="422"/>
        <v>2542000</v>
      </c>
      <c r="AG81" s="157">
        <f t="shared" si="422"/>
        <v>2490000</v>
      </c>
      <c r="AH81" s="157">
        <f t="shared" si="422"/>
        <v>2441000</v>
      </c>
      <c r="AI81" s="157">
        <f t="shared" si="422"/>
        <v>2658888</v>
      </c>
      <c r="AJ81" s="157">
        <f t="shared" si="422"/>
        <v>2607777</v>
      </c>
      <c r="AK81" s="157">
        <f t="shared" si="422"/>
        <v>2557777</v>
      </c>
      <c r="AL81" s="157">
        <f t="shared" si="422"/>
        <v>2511111</v>
      </c>
      <c r="AM81" s="157">
        <f t="shared" si="422"/>
        <v>2465555</v>
      </c>
      <c r="AN81" s="157">
        <f t="shared" si="422"/>
        <v>2421111</v>
      </c>
      <c r="AO81" s="157">
        <f t="shared" si="422"/>
        <v>2676250</v>
      </c>
      <c r="AP81" s="157">
        <f t="shared" si="422"/>
        <v>2630000</v>
      </c>
      <c r="AQ81" s="157">
        <f t="shared" si="422"/>
        <v>2585000</v>
      </c>
      <c r="AR81" s="157">
        <f t="shared" si="422"/>
        <v>2542500</v>
      </c>
      <c r="AS81" s="157">
        <f t="shared" si="422"/>
        <v>2500000</v>
      </c>
      <c r="AT81" s="157">
        <f t="shared" si="422"/>
        <v>2460000</v>
      </c>
      <c r="AU81" s="157">
        <f t="shared" si="422"/>
        <v>2421250</v>
      </c>
      <c r="AV81" s="157">
        <f t="shared" si="422"/>
        <v>2724285</v>
      </c>
      <c r="AW81" s="157">
        <f t="shared" si="422"/>
        <v>2681428</v>
      </c>
      <c r="AX81" s="157">
        <f t="shared" si="422"/>
        <v>2641428</v>
      </c>
      <c r="AY81" s="157">
        <f t="shared" si="422"/>
        <v>2602857</v>
      </c>
      <c r="AZ81" s="157">
        <f t="shared" si="422"/>
        <v>2564285</v>
      </c>
      <c r="BA81" s="157">
        <f t="shared" si="422"/>
        <v>2525714</v>
      </c>
      <c r="BB81" s="157">
        <f t="shared" si="422"/>
        <v>2490000</v>
      </c>
      <c r="BC81" s="157">
        <f t="shared" si="422"/>
        <v>2454285</v>
      </c>
      <c r="BD81" s="157">
        <f t="shared" si="422"/>
        <v>2421428</v>
      </c>
      <c r="BE81" s="157">
        <f t="shared" si="422"/>
        <v>2387142</v>
      </c>
      <c r="BF81" s="157">
        <f t="shared" si="422"/>
        <v>2748333</v>
      </c>
      <c r="BG81" s="157">
        <f t="shared" si="422"/>
        <v>2711666</v>
      </c>
      <c r="BH81" s="157">
        <f t="shared" si="422"/>
        <v>2675000</v>
      </c>
      <c r="BI81" s="157">
        <f t="shared" si="422"/>
        <v>2641666</v>
      </c>
      <c r="BJ81" s="157">
        <f t="shared" si="422"/>
        <v>2608333</v>
      </c>
      <c r="BK81" s="157">
        <f t="shared" si="422"/>
        <v>2573333</v>
      </c>
      <c r="BL81" s="157">
        <f t="shared" si="422"/>
        <v>2541666</v>
      </c>
      <c r="BM81" s="157">
        <f t="shared" si="422"/>
        <v>2511666</v>
      </c>
      <c r="BN81" s="157">
        <f t="shared" si="422"/>
        <v>2480000</v>
      </c>
      <c r="BO81" s="157">
        <f t="shared" si="422"/>
        <v>2450000</v>
      </c>
      <c r="BP81" s="157">
        <f t="shared" si="422"/>
        <v>2420000</v>
      </c>
      <c r="BQ81" s="157">
        <f t="shared" si="422"/>
        <v>2391666</v>
      </c>
      <c r="BR81" s="157">
        <f t="shared" si="422"/>
        <v>2365000</v>
      </c>
      <c r="BS81" s="157">
        <f t="shared" si="422"/>
        <v>2336666</v>
      </c>
      <c r="BT81" s="157">
        <f t="shared" si="422"/>
        <v>2772000</v>
      </c>
      <c r="BU81" s="157">
        <f t="shared" ref="BU81:EF81" si="423">ROUNDDOWN(BU76 * 10000 / BU79, 0)</f>
        <v>2742000</v>
      </c>
      <c r="BV81" s="157">
        <f t="shared" si="423"/>
        <v>2712000</v>
      </c>
      <c r="BW81" s="157">
        <f t="shared" si="423"/>
        <v>2682000</v>
      </c>
      <c r="BX81" s="157">
        <f t="shared" si="423"/>
        <v>2652000</v>
      </c>
      <c r="BY81" s="157">
        <f t="shared" si="423"/>
        <v>2624000</v>
      </c>
      <c r="BZ81" s="157">
        <f t="shared" si="423"/>
        <v>2596000</v>
      </c>
      <c r="CA81" s="157">
        <f t="shared" si="423"/>
        <v>2568000</v>
      </c>
      <c r="CB81" s="157">
        <f t="shared" si="423"/>
        <v>2542000</v>
      </c>
      <c r="CC81" s="157">
        <f t="shared" si="423"/>
        <v>2516000</v>
      </c>
      <c r="CD81" s="157">
        <f t="shared" si="423"/>
        <v>2490000</v>
      </c>
      <c r="CE81" s="157">
        <f t="shared" si="423"/>
        <v>2464000</v>
      </c>
      <c r="CF81" s="157">
        <f t="shared" si="423"/>
        <v>2440000</v>
      </c>
      <c r="CG81" s="157">
        <f t="shared" si="423"/>
        <v>2416000</v>
      </c>
      <c r="CH81" s="157">
        <f t="shared" si="423"/>
        <v>2392000</v>
      </c>
      <c r="CI81" s="157">
        <f t="shared" si="423"/>
        <v>2368000</v>
      </c>
      <c r="CJ81" s="157">
        <f t="shared" si="423"/>
        <v>2346000</v>
      </c>
      <c r="CK81" s="157">
        <f t="shared" si="423"/>
        <v>2324000</v>
      </c>
      <c r="CL81" s="157">
        <f t="shared" si="423"/>
        <v>2302000</v>
      </c>
      <c r="CM81" s="157">
        <f t="shared" si="423"/>
        <v>2850000</v>
      </c>
      <c r="CN81" s="157">
        <f t="shared" si="423"/>
        <v>2822500</v>
      </c>
      <c r="CO81" s="157">
        <f t="shared" si="423"/>
        <v>2797500</v>
      </c>
      <c r="CP81" s="157">
        <f t="shared" si="423"/>
        <v>2772500</v>
      </c>
      <c r="CQ81" s="157">
        <f t="shared" si="423"/>
        <v>2747500</v>
      </c>
      <c r="CR81" s="157">
        <f t="shared" si="423"/>
        <v>2722500</v>
      </c>
      <c r="CS81" s="157">
        <f t="shared" si="423"/>
        <v>2697500</v>
      </c>
      <c r="CT81" s="157">
        <f t="shared" si="423"/>
        <v>2675000</v>
      </c>
      <c r="CU81" s="157">
        <f t="shared" si="423"/>
        <v>2652500</v>
      </c>
      <c r="CV81" s="157">
        <f t="shared" si="423"/>
        <v>2630000</v>
      </c>
      <c r="CW81" s="157">
        <f t="shared" si="423"/>
        <v>2607500</v>
      </c>
      <c r="CX81" s="157">
        <f t="shared" si="423"/>
        <v>2582500</v>
      </c>
      <c r="CY81" s="157">
        <f t="shared" si="423"/>
        <v>2562500</v>
      </c>
      <c r="CZ81" s="157">
        <f t="shared" si="423"/>
        <v>2540000</v>
      </c>
      <c r="DA81" s="157">
        <f t="shared" si="423"/>
        <v>2520000</v>
      </c>
      <c r="DB81" s="157">
        <f t="shared" si="423"/>
        <v>2500000</v>
      </c>
      <c r="DC81" s="157">
        <f t="shared" si="423"/>
        <v>2480000</v>
      </c>
      <c r="DD81" s="157">
        <f t="shared" si="423"/>
        <v>2457500</v>
      </c>
      <c r="DE81" s="157">
        <f t="shared" si="423"/>
        <v>2440000</v>
      </c>
      <c r="DF81" s="157">
        <f t="shared" si="423"/>
        <v>2420000</v>
      </c>
      <c r="DG81" s="157">
        <f t="shared" si="423"/>
        <v>2400000</v>
      </c>
      <c r="DH81" s="157">
        <f t="shared" si="423"/>
        <v>2382500</v>
      </c>
      <c r="DI81" s="157">
        <f t="shared" si="423"/>
        <v>2365000</v>
      </c>
      <c r="DJ81" s="157">
        <f t="shared" si="423"/>
        <v>2345000</v>
      </c>
      <c r="DK81" s="157">
        <f t="shared" si="423"/>
        <v>2327500</v>
      </c>
      <c r="DL81" s="157">
        <f t="shared" si="423"/>
        <v>2310000</v>
      </c>
      <c r="DM81" s="157">
        <f t="shared" si="423"/>
        <v>2292500</v>
      </c>
      <c r="DN81" s="157">
        <f t="shared" si="423"/>
        <v>2275000</v>
      </c>
      <c r="DO81" s="157">
        <f t="shared" si="423"/>
        <v>2257500</v>
      </c>
      <c r="DP81" s="157">
        <f t="shared" si="423"/>
        <v>2242500</v>
      </c>
      <c r="DQ81" s="157">
        <f t="shared" si="423"/>
        <v>2966666</v>
      </c>
      <c r="DR81" s="157">
        <f t="shared" si="423"/>
        <v>2946666</v>
      </c>
      <c r="DS81" s="157">
        <f t="shared" si="423"/>
        <v>2923333</v>
      </c>
      <c r="DT81" s="157">
        <f t="shared" si="423"/>
        <v>2903333</v>
      </c>
      <c r="DU81" s="157">
        <f t="shared" si="423"/>
        <v>2883333</v>
      </c>
      <c r="DV81" s="157">
        <f t="shared" si="423"/>
        <v>2863333</v>
      </c>
      <c r="DW81" s="157">
        <f t="shared" si="423"/>
        <v>2843333</v>
      </c>
      <c r="DX81" s="157">
        <f t="shared" si="423"/>
        <v>2823333</v>
      </c>
      <c r="DY81" s="157">
        <f t="shared" si="423"/>
        <v>2803333</v>
      </c>
      <c r="DZ81" s="157">
        <f t="shared" si="423"/>
        <v>2783333</v>
      </c>
      <c r="EA81" s="157">
        <f t="shared" si="423"/>
        <v>2766666</v>
      </c>
      <c r="EB81" s="157">
        <f t="shared" si="423"/>
        <v>2746666</v>
      </c>
      <c r="EC81" s="157">
        <f t="shared" si="423"/>
        <v>2730000</v>
      </c>
      <c r="ED81" s="157">
        <f t="shared" si="423"/>
        <v>2710000</v>
      </c>
      <c r="EE81" s="157">
        <f t="shared" si="423"/>
        <v>2693333</v>
      </c>
      <c r="EF81" s="157">
        <f t="shared" si="423"/>
        <v>2673333</v>
      </c>
      <c r="EG81" s="157">
        <f t="shared" ref="EG81:FC81" si="424">ROUNDDOWN(EG76 * 10000 / EG79, 0)</f>
        <v>2656666</v>
      </c>
      <c r="EH81" s="157">
        <f t="shared" si="424"/>
        <v>2640000</v>
      </c>
      <c r="EI81" s="157">
        <f t="shared" si="424"/>
        <v>2623333</v>
      </c>
      <c r="EJ81" s="157">
        <f t="shared" si="424"/>
        <v>2606666</v>
      </c>
      <c r="EK81" s="157">
        <f t="shared" si="424"/>
        <v>2590000</v>
      </c>
      <c r="EL81" s="157">
        <f t="shared" si="424"/>
        <v>2573333</v>
      </c>
      <c r="EM81" s="157">
        <f t="shared" si="424"/>
        <v>2556666</v>
      </c>
      <c r="EN81" s="157">
        <f t="shared" si="424"/>
        <v>2540000</v>
      </c>
      <c r="EO81" s="157">
        <f t="shared" si="424"/>
        <v>2526666</v>
      </c>
      <c r="EP81" s="157">
        <f t="shared" si="424"/>
        <v>2510000</v>
      </c>
      <c r="EQ81" s="157">
        <f t="shared" si="424"/>
        <v>2493333</v>
      </c>
      <c r="ER81" s="157">
        <f t="shared" si="424"/>
        <v>2480000</v>
      </c>
      <c r="ES81" s="157">
        <f t="shared" si="424"/>
        <v>2463333</v>
      </c>
      <c r="ET81" s="157">
        <f t="shared" si="424"/>
        <v>2446666</v>
      </c>
      <c r="EU81" s="157">
        <f t="shared" si="424"/>
        <v>2433333</v>
      </c>
      <c r="EV81" s="157">
        <f t="shared" si="424"/>
        <v>2420000</v>
      </c>
      <c r="EW81" s="157">
        <f t="shared" si="424"/>
        <v>2406666</v>
      </c>
      <c r="EX81" s="157">
        <f t="shared" si="424"/>
        <v>2390000</v>
      </c>
      <c r="EY81" s="715"/>
      <c r="EZ81" s="715"/>
      <c r="FA81" s="709"/>
      <c r="FB81" s="157">
        <f t="shared" si="424"/>
        <v>2544166</v>
      </c>
      <c r="FC81" s="157">
        <f t="shared" si="424"/>
        <v>2544000</v>
      </c>
      <c r="FD81" s="100"/>
    </row>
    <row r="82" spans="2:160" s="31" customFormat="1" x14ac:dyDescent="0.45">
      <c r="B82" s="158"/>
      <c r="C82" s="159" t="s">
        <v>0</v>
      </c>
      <c r="D82" s="157">
        <f>ROUNDDOWN(1000000000/D81, 0) * 100</f>
        <v>39300</v>
      </c>
      <c r="E82" s="157">
        <f t="shared" ref="E82:BP82" si="425">ROUNDDOWN(1000000000/E81, 0) * 100</f>
        <v>39500</v>
      </c>
      <c r="F82" s="157">
        <f t="shared" ref="F82" si="426">ROUNDDOWN(1000000000/F81, 0) * 100</f>
        <v>39600</v>
      </c>
      <c r="G82" s="157">
        <f t="shared" si="425"/>
        <v>39500</v>
      </c>
      <c r="H82" s="157">
        <f t="shared" si="425"/>
        <v>39300</v>
      </c>
      <c r="I82" s="157">
        <f t="shared" si="425"/>
        <v>38900</v>
      </c>
      <c r="J82" s="157">
        <f t="shared" si="425"/>
        <v>38300</v>
      </c>
      <c r="K82" s="157">
        <f t="shared" si="425"/>
        <v>39800</v>
      </c>
      <c r="L82" s="157">
        <f t="shared" si="425"/>
        <v>38900</v>
      </c>
      <c r="M82" s="157">
        <f t="shared" si="425"/>
        <v>40300</v>
      </c>
      <c r="N82" s="157">
        <f t="shared" si="425"/>
        <v>39300</v>
      </c>
      <c r="O82" s="157">
        <f t="shared" si="425"/>
        <v>38100</v>
      </c>
      <c r="P82" s="157">
        <f t="shared" si="425"/>
        <v>39300</v>
      </c>
      <c r="Q82" s="157">
        <f t="shared" si="425"/>
        <v>40500</v>
      </c>
      <c r="R82" s="157">
        <f t="shared" si="425"/>
        <v>38900</v>
      </c>
      <c r="S82" s="157">
        <f t="shared" si="425"/>
        <v>40100</v>
      </c>
      <c r="T82" s="157">
        <f t="shared" si="425"/>
        <v>38300</v>
      </c>
      <c r="U82" s="157">
        <f t="shared" si="425"/>
        <v>39400</v>
      </c>
      <c r="V82" s="157">
        <f t="shared" si="425"/>
        <v>40400</v>
      </c>
      <c r="W82" s="157">
        <f t="shared" si="425"/>
        <v>38300</v>
      </c>
      <c r="X82" s="157">
        <f t="shared" si="425"/>
        <v>39300</v>
      </c>
      <c r="Y82" s="157">
        <f t="shared" si="425"/>
        <v>40300</v>
      </c>
      <c r="Z82" s="157">
        <f t="shared" si="425"/>
        <v>37800</v>
      </c>
      <c r="AA82" s="157">
        <f t="shared" si="425"/>
        <v>38700</v>
      </c>
      <c r="AB82" s="157">
        <f t="shared" si="425"/>
        <v>39600</v>
      </c>
      <c r="AC82" s="157">
        <f t="shared" si="425"/>
        <v>40500</v>
      </c>
      <c r="AD82" s="157">
        <f t="shared" si="425"/>
        <v>37600</v>
      </c>
      <c r="AE82" s="157">
        <f t="shared" si="425"/>
        <v>38500</v>
      </c>
      <c r="AF82" s="157">
        <f t="shared" si="425"/>
        <v>39300</v>
      </c>
      <c r="AG82" s="157">
        <f t="shared" si="425"/>
        <v>40100</v>
      </c>
      <c r="AH82" s="157">
        <f t="shared" si="425"/>
        <v>40900</v>
      </c>
      <c r="AI82" s="157">
        <f t="shared" si="425"/>
        <v>37600</v>
      </c>
      <c r="AJ82" s="157">
        <f t="shared" si="425"/>
        <v>38300</v>
      </c>
      <c r="AK82" s="157">
        <f t="shared" si="425"/>
        <v>39000</v>
      </c>
      <c r="AL82" s="157">
        <f t="shared" si="425"/>
        <v>39800</v>
      </c>
      <c r="AM82" s="157">
        <f t="shared" si="425"/>
        <v>40500</v>
      </c>
      <c r="AN82" s="157">
        <f t="shared" si="425"/>
        <v>41300</v>
      </c>
      <c r="AO82" s="157">
        <f t="shared" si="425"/>
        <v>37300</v>
      </c>
      <c r="AP82" s="157">
        <f t="shared" si="425"/>
        <v>38000</v>
      </c>
      <c r="AQ82" s="157">
        <f t="shared" si="425"/>
        <v>38600</v>
      </c>
      <c r="AR82" s="157">
        <f t="shared" si="425"/>
        <v>39300</v>
      </c>
      <c r="AS82" s="157">
        <f t="shared" si="425"/>
        <v>40000</v>
      </c>
      <c r="AT82" s="157">
        <f t="shared" si="425"/>
        <v>40600</v>
      </c>
      <c r="AU82" s="157">
        <f t="shared" si="425"/>
        <v>41300</v>
      </c>
      <c r="AV82" s="157">
        <f t="shared" si="425"/>
        <v>36700</v>
      </c>
      <c r="AW82" s="157">
        <f t="shared" si="425"/>
        <v>37200</v>
      </c>
      <c r="AX82" s="157">
        <f t="shared" si="425"/>
        <v>37800</v>
      </c>
      <c r="AY82" s="157">
        <f t="shared" si="425"/>
        <v>38400</v>
      </c>
      <c r="AZ82" s="157">
        <f t="shared" si="425"/>
        <v>38900</v>
      </c>
      <c r="BA82" s="157">
        <f t="shared" si="425"/>
        <v>39500</v>
      </c>
      <c r="BB82" s="157">
        <f t="shared" si="425"/>
        <v>40100</v>
      </c>
      <c r="BC82" s="157">
        <f t="shared" si="425"/>
        <v>40700</v>
      </c>
      <c r="BD82" s="157">
        <f t="shared" si="425"/>
        <v>41200</v>
      </c>
      <c r="BE82" s="157">
        <f t="shared" si="425"/>
        <v>41800</v>
      </c>
      <c r="BF82" s="157">
        <f t="shared" si="425"/>
        <v>36300</v>
      </c>
      <c r="BG82" s="157">
        <f t="shared" si="425"/>
        <v>36800</v>
      </c>
      <c r="BH82" s="157">
        <f t="shared" si="425"/>
        <v>37300</v>
      </c>
      <c r="BI82" s="157">
        <f t="shared" si="425"/>
        <v>37800</v>
      </c>
      <c r="BJ82" s="157">
        <f t="shared" si="425"/>
        <v>38300</v>
      </c>
      <c r="BK82" s="157">
        <f t="shared" si="425"/>
        <v>38800</v>
      </c>
      <c r="BL82" s="157">
        <f t="shared" si="425"/>
        <v>39300</v>
      </c>
      <c r="BM82" s="157">
        <f t="shared" si="425"/>
        <v>39800</v>
      </c>
      <c r="BN82" s="157">
        <f t="shared" si="425"/>
        <v>40300</v>
      </c>
      <c r="BO82" s="157">
        <f t="shared" si="425"/>
        <v>40800</v>
      </c>
      <c r="BP82" s="157">
        <f t="shared" si="425"/>
        <v>41300</v>
      </c>
      <c r="BQ82" s="157">
        <f t="shared" ref="BQ82:EB82" si="427">ROUNDDOWN(1000000000/BQ81, 0) * 100</f>
        <v>41800</v>
      </c>
      <c r="BR82" s="157">
        <f t="shared" si="427"/>
        <v>42200</v>
      </c>
      <c r="BS82" s="157">
        <f t="shared" si="427"/>
        <v>42700</v>
      </c>
      <c r="BT82" s="157">
        <f t="shared" si="427"/>
        <v>36000</v>
      </c>
      <c r="BU82" s="157">
        <f t="shared" si="427"/>
        <v>36400</v>
      </c>
      <c r="BV82" s="157">
        <f t="shared" si="427"/>
        <v>36800</v>
      </c>
      <c r="BW82" s="157">
        <f t="shared" si="427"/>
        <v>37200</v>
      </c>
      <c r="BX82" s="157">
        <f t="shared" si="427"/>
        <v>37700</v>
      </c>
      <c r="BY82" s="157">
        <f t="shared" si="427"/>
        <v>38100</v>
      </c>
      <c r="BZ82" s="157">
        <f t="shared" si="427"/>
        <v>38500</v>
      </c>
      <c r="CA82" s="157">
        <f t="shared" si="427"/>
        <v>38900</v>
      </c>
      <c r="CB82" s="157">
        <f t="shared" si="427"/>
        <v>39300</v>
      </c>
      <c r="CC82" s="157">
        <f t="shared" si="427"/>
        <v>39700</v>
      </c>
      <c r="CD82" s="157">
        <f t="shared" si="427"/>
        <v>40100</v>
      </c>
      <c r="CE82" s="157">
        <f t="shared" si="427"/>
        <v>40500</v>
      </c>
      <c r="CF82" s="157">
        <f t="shared" si="427"/>
        <v>40900</v>
      </c>
      <c r="CG82" s="157">
        <f t="shared" si="427"/>
        <v>41300</v>
      </c>
      <c r="CH82" s="157">
        <f t="shared" si="427"/>
        <v>41800</v>
      </c>
      <c r="CI82" s="157">
        <f t="shared" si="427"/>
        <v>42200</v>
      </c>
      <c r="CJ82" s="157">
        <f t="shared" si="427"/>
        <v>42600</v>
      </c>
      <c r="CK82" s="157">
        <f t="shared" si="427"/>
        <v>43000</v>
      </c>
      <c r="CL82" s="157">
        <f t="shared" si="427"/>
        <v>43400</v>
      </c>
      <c r="CM82" s="157">
        <f t="shared" si="427"/>
        <v>35000</v>
      </c>
      <c r="CN82" s="157">
        <f t="shared" si="427"/>
        <v>35400</v>
      </c>
      <c r="CO82" s="157">
        <f t="shared" si="427"/>
        <v>35700</v>
      </c>
      <c r="CP82" s="157">
        <f t="shared" si="427"/>
        <v>36000</v>
      </c>
      <c r="CQ82" s="157">
        <f t="shared" si="427"/>
        <v>36300</v>
      </c>
      <c r="CR82" s="157">
        <f t="shared" si="427"/>
        <v>36700</v>
      </c>
      <c r="CS82" s="157">
        <f t="shared" si="427"/>
        <v>37000</v>
      </c>
      <c r="CT82" s="157">
        <f t="shared" si="427"/>
        <v>37300</v>
      </c>
      <c r="CU82" s="157">
        <f t="shared" si="427"/>
        <v>37700</v>
      </c>
      <c r="CV82" s="157">
        <f t="shared" si="427"/>
        <v>38000</v>
      </c>
      <c r="CW82" s="157">
        <f t="shared" si="427"/>
        <v>38300</v>
      </c>
      <c r="CX82" s="157">
        <f t="shared" si="427"/>
        <v>38700</v>
      </c>
      <c r="CY82" s="157">
        <f t="shared" si="427"/>
        <v>39000</v>
      </c>
      <c r="CZ82" s="157">
        <f t="shared" si="427"/>
        <v>39300</v>
      </c>
      <c r="DA82" s="157">
        <f t="shared" si="427"/>
        <v>39600</v>
      </c>
      <c r="DB82" s="157">
        <f t="shared" si="427"/>
        <v>40000</v>
      </c>
      <c r="DC82" s="157">
        <f t="shared" si="427"/>
        <v>40300</v>
      </c>
      <c r="DD82" s="157">
        <f t="shared" si="427"/>
        <v>40600</v>
      </c>
      <c r="DE82" s="157">
        <f t="shared" si="427"/>
        <v>40900</v>
      </c>
      <c r="DF82" s="157">
        <f t="shared" si="427"/>
        <v>41300</v>
      </c>
      <c r="DG82" s="157">
        <f t="shared" si="427"/>
        <v>41600</v>
      </c>
      <c r="DH82" s="157">
        <f t="shared" si="427"/>
        <v>41900</v>
      </c>
      <c r="DI82" s="157">
        <f t="shared" si="427"/>
        <v>42200</v>
      </c>
      <c r="DJ82" s="157">
        <f t="shared" si="427"/>
        <v>42600</v>
      </c>
      <c r="DK82" s="157">
        <f t="shared" si="427"/>
        <v>42900</v>
      </c>
      <c r="DL82" s="157">
        <f t="shared" si="427"/>
        <v>43200</v>
      </c>
      <c r="DM82" s="157">
        <f t="shared" si="427"/>
        <v>43600</v>
      </c>
      <c r="DN82" s="157">
        <f t="shared" si="427"/>
        <v>43900</v>
      </c>
      <c r="DO82" s="157">
        <f t="shared" si="427"/>
        <v>44200</v>
      </c>
      <c r="DP82" s="157">
        <f t="shared" si="427"/>
        <v>44500</v>
      </c>
      <c r="DQ82" s="157">
        <f t="shared" si="427"/>
        <v>33700</v>
      </c>
      <c r="DR82" s="157">
        <f t="shared" si="427"/>
        <v>33900</v>
      </c>
      <c r="DS82" s="157">
        <f t="shared" si="427"/>
        <v>34200</v>
      </c>
      <c r="DT82" s="157">
        <f t="shared" si="427"/>
        <v>34400</v>
      </c>
      <c r="DU82" s="157">
        <f t="shared" si="427"/>
        <v>34600</v>
      </c>
      <c r="DV82" s="157">
        <f t="shared" si="427"/>
        <v>34900</v>
      </c>
      <c r="DW82" s="157">
        <f t="shared" si="427"/>
        <v>35100</v>
      </c>
      <c r="DX82" s="157">
        <f t="shared" si="427"/>
        <v>35400</v>
      </c>
      <c r="DY82" s="157">
        <f t="shared" si="427"/>
        <v>35600</v>
      </c>
      <c r="DZ82" s="157">
        <f t="shared" si="427"/>
        <v>35900</v>
      </c>
      <c r="EA82" s="157">
        <f t="shared" si="427"/>
        <v>36100</v>
      </c>
      <c r="EB82" s="157">
        <f t="shared" si="427"/>
        <v>36400</v>
      </c>
      <c r="EC82" s="157">
        <f t="shared" ref="EC82:FC82" si="428">ROUNDDOWN(1000000000/EC81, 0) * 100</f>
        <v>36600</v>
      </c>
      <c r="ED82" s="157">
        <f t="shared" si="428"/>
        <v>36900</v>
      </c>
      <c r="EE82" s="157">
        <f t="shared" si="428"/>
        <v>37100</v>
      </c>
      <c r="EF82" s="157">
        <f t="shared" si="428"/>
        <v>37400</v>
      </c>
      <c r="EG82" s="157">
        <f t="shared" si="428"/>
        <v>37600</v>
      </c>
      <c r="EH82" s="157">
        <f t="shared" si="428"/>
        <v>37800</v>
      </c>
      <c r="EI82" s="157">
        <f t="shared" si="428"/>
        <v>38100</v>
      </c>
      <c r="EJ82" s="157">
        <f t="shared" si="428"/>
        <v>38300</v>
      </c>
      <c r="EK82" s="157">
        <f t="shared" si="428"/>
        <v>38600</v>
      </c>
      <c r="EL82" s="157">
        <f t="shared" si="428"/>
        <v>38800</v>
      </c>
      <c r="EM82" s="157">
        <f t="shared" si="428"/>
        <v>39100</v>
      </c>
      <c r="EN82" s="157">
        <f t="shared" si="428"/>
        <v>39300</v>
      </c>
      <c r="EO82" s="157">
        <f t="shared" si="428"/>
        <v>39500</v>
      </c>
      <c r="EP82" s="157">
        <f t="shared" si="428"/>
        <v>39800</v>
      </c>
      <c r="EQ82" s="157">
        <f t="shared" si="428"/>
        <v>40100</v>
      </c>
      <c r="ER82" s="157">
        <f t="shared" si="428"/>
        <v>40300</v>
      </c>
      <c r="ES82" s="157">
        <f t="shared" si="428"/>
        <v>40500</v>
      </c>
      <c r="ET82" s="157">
        <f t="shared" si="428"/>
        <v>40800</v>
      </c>
      <c r="EU82" s="157">
        <f t="shared" si="428"/>
        <v>41000</v>
      </c>
      <c r="EV82" s="157">
        <f t="shared" si="428"/>
        <v>41300</v>
      </c>
      <c r="EW82" s="157">
        <f t="shared" si="428"/>
        <v>41500</v>
      </c>
      <c r="EX82" s="157">
        <f t="shared" si="428"/>
        <v>41800</v>
      </c>
      <c r="EY82" s="714">
        <f>MIN(D82:AF82)</f>
        <v>37600</v>
      </c>
      <c r="EZ82" s="714">
        <f>MAX(E82:AF82)</f>
        <v>40500</v>
      </c>
      <c r="FA82" s="709"/>
      <c r="FB82" s="157">
        <f t="shared" si="428"/>
        <v>39300</v>
      </c>
      <c r="FC82" s="157">
        <f t="shared" si="428"/>
        <v>39300</v>
      </c>
      <c r="FD82" s="100"/>
    </row>
    <row r="83" spans="2:160" s="31" customFormat="1" x14ac:dyDescent="0.45">
      <c r="B83" s="154"/>
      <c r="C83" s="152" t="s">
        <v>1160</v>
      </c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153"/>
      <c r="AV83" s="153"/>
      <c r="AW83" s="153"/>
      <c r="AX83" s="153"/>
      <c r="AY83" s="153"/>
      <c r="AZ83" s="153"/>
      <c r="BA83" s="153"/>
      <c r="BB83" s="153"/>
      <c r="BC83" s="153"/>
      <c r="BD83" s="153"/>
      <c r="BE83" s="153"/>
      <c r="BF83" s="153"/>
      <c r="BG83" s="153"/>
      <c r="BH83" s="153"/>
      <c r="BI83" s="153"/>
      <c r="BJ83" s="153"/>
      <c r="BK83" s="153"/>
      <c r="BL83" s="153"/>
      <c r="BM83" s="153"/>
      <c r="BN83" s="153"/>
      <c r="BO83" s="153"/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53"/>
      <c r="CS83" s="153"/>
      <c r="CT83" s="153"/>
      <c r="CU83" s="153"/>
      <c r="CV83" s="153"/>
      <c r="CW83" s="153"/>
      <c r="CX83" s="153"/>
      <c r="CY83" s="153"/>
      <c r="CZ83" s="153"/>
      <c r="DA83" s="153"/>
      <c r="DB83" s="153"/>
      <c r="DC83" s="153"/>
      <c r="DD83" s="153"/>
      <c r="DE83" s="153"/>
      <c r="DF83" s="153"/>
      <c r="DG83" s="153"/>
      <c r="DH83" s="153"/>
      <c r="DI83" s="153"/>
      <c r="DJ83" s="153"/>
      <c r="DK83" s="153"/>
      <c r="DL83" s="153"/>
      <c r="DM83" s="153"/>
      <c r="DN83" s="153"/>
      <c r="DO83" s="153"/>
      <c r="DP83" s="153"/>
      <c r="DQ83" s="153"/>
      <c r="DR83" s="153"/>
      <c r="DS83" s="153"/>
      <c r="DT83" s="153"/>
      <c r="DU83" s="153"/>
      <c r="DV83" s="153"/>
      <c r="DW83" s="153"/>
      <c r="DX83" s="153"/>
      <c r="DY83" s="153"/>
      <c r="DZ83" s="153"/>
      <c r="EA83" s="153"/>
      <c r="EB83" s="153"/>
      <c r="EC83" s="153"/>
      <c r="ED83" s="153"/>
      <c r="EE83" s="153"/>
      <c r="EF83" s="153"/>
      <c r="EG83" s="153"/>
      <c r="EH83" s="153"/>
      <c r="EI83" s="153"/>
      <c r="EJ83" s="153"/>
      <c r="EK83" s="153"/>
      <c r="EL83" s="153"/>
      <c r="EM83" s="153"/>
      <c r="EN83" s="153"/>
      <c r="EO83" s="153"/>
      <c r="EP83" s="153"/>
      <c r="EQ83" s="153"/>
      <c r="ER83" s="153"/>
      <c r="ES83" s="153"/>
      <c r="ET83" s="153"/>
      <c r="EU83" s="153"/>
      <c r="EV83" s="153"/>
      <c r="EW83" s="153"/>
      <c r="EX83" s="153"/>
      <c r="EY83" s="153"/>
      <c r="EZ83" s="153"/>
      <c r="FA83" s="709"/>
      <c r="FB83" s="153"/>
      <c r="FC83" s="153"/>
      <c r="FD83" s="100"/>
    </row>
    <row r="84" spans="2:160" s="31" customFormat="1" x14ac:dyDescent="0.45">
      <c r="B84" s="155" t="s">
        <v>7</v>
      </c>
      <c r="C84" s="156" t="s">
        <v>5</v>
      </c>
      <c r="D84" s="163">
        <f>ROUNDDOWN(D75*D88*D79, 0)</f>
        <v>393192</v>
      </c>
      <c r="E84" s="163">
        <f t="shared" ref="E84:BE84" si="429">ROUNDDOWN(E75*E88*E79, 0)</f>
        <v>376809</v>
      </c>
      <c r="F84" s="163">
        <f t="shared" ref="F84" si="430">ROUNDDOWN(F75*F88*F79, 0)</f>
        <v>360426</v>
      </c>
      <c r="G84" s="163">
        <f t="shared" si="429"/>
        <v>344043</v>
      </c>
      <c r="H84" s="163">
        <f t="shared" si="429"/>
        <v>327660</v>
      </c>
      <c r="I84" s="163">
        <f t="shared" si="429"/>
        <v>311277</v>
      </c>
      <c r="J84" s="163">
        <f t="shared" si="429"/>
        <v>294894</v>
      </c>
      <c r="K84" s="163">
        <f t="shared" si="429"/>
        <v>294894</v>
      </c>
      <c r="L84" s="163">
        <f t="shared" si="429"/>
        <v>278511</v>
      </c>
      <c r="M84" s="163">
        <f t="shared" si="429"/>
        <v>278511</v>
      </c>
      <c r="N84" s="163">
        <f t="shared" si="429"/>
        <v>262128</v>
      </c>
      <c r="O84" s="163">
        <f t="shared" si="429"/>
        <v>245745</v>
      </c>
      <c r="P84" s="163">
        <f t="shared" si="429"/>
        <v>245745</v>
      </c>
      <c r="Q84" s="163">
        <f t="shared" si="429"/>
        <v>245745</v>
      </c>
      <c r="R84" s="163">
        <f t="shared" si="429"/>
        <v>229362</v>
      </c>
      <c r="S84" s="163">
        <f t="shared" si="429"/>
        <v>229362</v>
      </c>
      <c r="T84" s="163">
        <f t="shared" si="429"/>
        <v>212979</v>
      </c>
      <c r="U84" s="163">
        <f t="shared" si="429"/>
        <v>212979</v>
      </c>
      <c r="V84" s="163">
        <f t="shared" si="429"/>
        <v>212979</v>
      </c>
      <c r="W84" s="163">
        <f t="shared" si="429"/>
        <v>196596</v>
      </c>
      <c r="X84" s="163">
        <f t="shared" si="429"/>
        <v>196596</v>
      </c>
      <c r="Y84" s="163">
        <f t="shared" si="429"/>
        <v>196596</v>
      </c>
      <c r="Z84" s="163">
        <f t="shared" si="429"/>
        <v>180213</v>
      </c>
      <c r="AA84" s="163">
        <f t="shared" si="429"/>
        <v>180213</v>
      </c>
      <c r="AB84" s="163">
        <f t="shared" si="429"/>
        <v>180213</v>
      </c>
      <c r="AC84" s="163">
        <f t="shared" si="429"/>
        <v>180213</v>
      </c>
      <c r="AD84" s="163">
        <f t="shared" si="429"/>
        <v>163830</v>
      </c>
      <c r="AE84" s="163">
        <f t="shared" si="429"/>
        <v>163830</v>
      </c>
      <c r="AF84" s="163">
        <f t="shared" si="429"/>
        <v>163830</v>
      </c>
      <c r="AG84" s="163">
        <f t="shared" si="429"/>
        <v>163830</v>
      </c>
      <c r="AH84" s="163">
        <f t="shared" si="429"/>
        <v>163830</v>
      </c>
      <c r="AI84" s="163">
        <f t="shared" si="429"/>
        <v>147447</v>
      </c>
      <c r="AJ84" s="163">
        <f t="shared" si="429"/>
        <v>147447</v>
      </c>
      <c r="AK84" s="163">
        <f t="shared" si="429"/>
        <v>147447</v>
      </c>
      <c r="AL84" s="163">
        <f t="shared" si="429"/>
        <v>147447</v>
      </c>
      <c r="AM84" s="163">
        <f t="shared" si="429"/>
        <v>147447</v>
      </c>
      <c r="AN84" s="163">
        <f t="shared" si="429"/>
        <v>147447</v>
      </c>
      <c r="AO84" s="163">
        <f t="shared" si="429"/>
        <v>131064</v>
      </c>
      <c r="AP84" s="163">
        <f t="shared" si="429"/>
        <v>131064</v>
      </c>
      <c r="AQ84" s="163">
        <f t="shared" si="429"/>
        <v>131064</v>
      </c>
      <c r="AR84" s="163">
        <f t="shared" si="429"/>
        <v>131064</v>
      </c>
      <c r="AS84" s="163">
        <f t="shared" si="429"/>
        <v>131064</v>
      </c>
      <c r="AT84" s="163">
        <f t="shared" si="429"/>
        <v>131064</v>
      </c>
      <c r="AU84" s="163">
        <f t="shared" si="429"/>
        <v>131064</v>
      </c>
      <c r="AV84" s="163">
        <f t="shared" si="429"/>
        <v>114681</v>
      </c>
      <c r="AW84" s="163">
        <f t="shared" si="429"/>
        <v>114681</v>
      </c>
      <c r="AX84" s="163">
        <f t="shared" si="429"/>
        <v>114681</v>
      </c>
      <c r="AY84" s="163">
        <f t="shared" si="429"/>
        <v>114681</v>
      </c>
      <c r="AZ84" s="163">
        <f t="shared" si="429"/>
        <v>114681</v>
      </c>
      <c r="BA84" s="163">
        <f t="shared" si="429"/>
        <v>114681</v>
      </c>
      <c r="BB84" s="163">
        <f t="shared" si="429"/>
        <v>114681</v>
      </c>
      <c r="BC84" s="163">
        <f t="shared" si="429"/>
        <v>114681</v>
      </c>
      <c r="BD84" s="163">
        <f t="shared" si="429"/>
        <v>114681</v>
      </c>
      <c r="BE84" s="163">
        <f t="shared" si="429"/>
        <v>114681</v>
      </c>
      <c r="BF84" s="163">
        <f>ROUNDDOWN(BF75*BF88*BF79, 0)</f>
        <v>98298</v>
      </c>
      <c r="BG84" s="163">
        <f t="shared" ref="BG84:DR84" si="431">ROUNDDOWN(BG75*BG88*BG79, 0)</f>
        <v>98298</v>
      </c>
      <c r="BH84" s="163">
        <f t="shared" si="431"/>
        <v>98298</v>
      </c>
      <c r="BI84" s="163">
        <f t="shared" si="431"/>
        <v>98298</v>
      </c>
      <c r="BJ84" s="163">
        <f t="shared" si="431"/>
        <v>98298</v>
      </c>
      <c r="BK84" s="163">
        <f t="shared" si="431"/>
        <v>98298</v>
      </c>
      <c r="BL84" s="163">
        <f t="shared" si="431"/>
        <v>98298</v>
      </c>
      <c r="BM84" s="163">
        <f t="shared" si="431"/>
        <v>98298</v>
      </c>
      <c r="BN84" s="163">
        <f t="shared" si="431"/>
        <v>98298</v>
      </c>
      <c r="BO84" s="163">
        <f t="shared" si="431"/>
        <v>98298</v>
      </c>
      <c r="BP84" s="163">
        <f t="shared" si="431"/>
        <v>98298</v>
      </c>
      <c r="BQ84" s="163">
        <f t="shared" si="431"/>
        <v>98298</v>
      </c>
      <c r="BR84" s="163">
        <f t="shared" si="431"/>
        <v>98298</v>
      </c>
      <c r="BS84" s="163">
        <f t="shared" si="431"/>
        <v>98298</v>
      </c>
      <c r="BT84" s="163">
        <f t="shared" si="431"/>
        <v>81915</v>
      </c>
      <c r="BU84" s="163">
        <f t="shared" si="431"/>
        <v>81915</v>
      </c>
      <c r="BV84" s="163">
        <f t="shared" si="431"/>
        <v>81915</v>
      </c>
      <c r="BW84" s="163">
        <f t="shared" si="431"/>
        <v>81915</v>
      </c>
      <c r="BX84" s="163">
        <f t="shared" si="431"/>
        <v>81915</v>
      </c>
      <c r="BY84" s="163">
        <f t="shared" si="431"/>
        <v>81915</v>
      </c>
      <c r="BZ84" s="163">
        <f t="shared" si="431"/>
        <v>81915</v>
      </c>
      <c r="CA84" s="163">
        <f t="shared" si="431"/>
        <v>81915</v>
      </c>
      <c r="CB84" s="163">
        <f t="shared" si="431"/>
        <v>81915</v>
      </c>
      <c r="CC84" s="163">
        <f t="shared" si="431"/>
        <v>81915</v>
      </c>
      <c r="CD84" s="163">
        <f t="shared" si="431"/>
        <v>81915</v>
      </c>
      <c r="CE84" s="163">
        <f t="shared" si="431"/>
        <v>81915</v>
      </c>
      <c r="CF84" s="163">
        <f t="shared" si="431"/>
        <v>81915</v>
      </c>
      <c r="CG84" s="163">
        <f t="shared" si="431"/>
        <v>81915</v>
      </c>
      <c r="CH84" s="163">
        <f t="shared" si="431"/>
        <v>81915</v>
      </c>
      <c r="CI84" s="163">
        <f t="shared" si="431"/>
        <v>81915</v>
      </c>
      <c r="CJ84" s="163">
        <f t="shared" si="431"/>
        <v>81915</v>
      </c>
      <c r="CK84" s="163">
        <f t="shared" si="431"/>
        <v>81915</v>
      </c>
      <c r="CL84" s="163">
        <f t="shared" si="431"/>
        <v>81915</v>
      </c>
      <c r="CM84" s="163">
        <f t="shared" si="431"/>
        <v>65532</v>
      </c>
      <c r="CN84" s="163">
        <f t="shared" si="431"/>
        <v>65532</v>
      </c>
      <c r="CO84" s="163">
        <f t="shared" si="431"/>
        <v>65532</v>
      </c>
      <c r="CP84" s="163">
        <f t="shared" si="431"/>
        <v>65532</v>
      </c>
      <c r="CQ84" s="163">
        <f t="shared" si="431"/>
        <v>65532</v>
      </c>
      <c r="CR84" s="163">
        <f t="shared" si="431"/>
        <v>65532</v>
      </c>
      <c r="CS84" s="163">
        <f t="shared" si="431"/>
        <v>65532</v>
      </c>
      <c r="CT84" s="163">
        <f t="shared" si="431"/>
        <v>65532</v>
      </c>
      <c r="CU84" s="163">
        <f t="shared" si="431"/>
        <v>65532</v>
      </c>
      <c r="CV84" s="163">
        <f t="shared" si="431"/>
        <v>65532</v>
      </c>
      <c r="CW84" s="163">
        <f t="shared" si="431"/>
        <v>65532</v>
      </c>
      <c r="CX84" s="163">
        <f t="shared" si="431"/>
        <v>65532</v>
      </c>
      <c r="CY84" s="163">
        <f t="shared" si="431"/>
        <v>65532</v>
      </c>
      <c r="CZ84" s="163">
        <f t="shared" si="431"/>
        <v>65532</v>
      </c>
      <c r="DA84" s="163">
        <f t="shared" si="431"/>
        <v>65532</v>
      </c>
      <c r="DB84" s="163">
        <f t="shared" si="431"/>
        <v>65532</v>
      </c>
      <c r="DC84" s="163">
        <f t="shared" si="431"/>
        <v>65532</v>
      </c>
      <c r="DD84" s="163">
        <f t="shared" si="431"/>
        <v>65532</v>
      </c>
      <c r="DE84" s="163">
        <f t="shared" si="431"/>
        <v>65532</v>
      </c>
      <c r="DF84" s="163">
        <f t="shared" si="431"/>
        <v>65532</v>
      </c>
      <c r="DG84" s="163">
        <f t="shared" si="431"/>
        <v>65532</v>
      </c>
      <c r="DH84" s="163">
        <f t="shared" si="431"/>
        <v>65532</v>
      </c>
      <c r="DI84" s="163">
        <f t="shared" si="431"/>
        <v>65532</v>
      </c>
      <c r="DJ84" s="163">
        <f t="shared" si="431"/>
        <v>65532</v>
      </c>
      <c r="DK84" s="163">
        <f t="shared" si="431"/>
        <v>65532</v>
      </c>
      <c r="DL84" s="163">
        <f t="shared" si="431"/>
        <v>65532</v>
      </c>
      <c r="DM84" s="163">
        <f t="shared" si="431"/>
        <v>65532</v>
      </c>
      <c r="DN84" s="163">
        <f t="shared" si="431"/>
        <v>65532</v>
      </c>
      <c r="DO84" s="163">
        <f t="shared" si="431"/>
        <v>65532</v>
      </c>
      <c r="DP84" s="163">
        <f t="shared" si="431"/>
        <v>65532</v>
      </c>
      <c r="DQ84" s="163">
        <f t="shared" si="431"/>
        <v>49149</v>
      </c>
      <c r="DR84" s="163">
        <f t="shared" si="431"/>
        <v>49149</v>
      </c>
      <c r="DS84" s="163">
        <f t="shared" ref="DS84:FC84" si="432">ROUNDDOWN(DS75*DS88*DS79, 0)</f>
        <v>49149</v>
      </c>
      <c r="DT84" s="163">
        <f t="shared" si="432"/>
        <v>49149</v>
      </c>
      <c r="DU84" s="163">
        <f t="shared" si="432"/>
        <v>49149</v>
      </c>
      <c r="DV84" s="163">
        <f t="shared" si="432"/>
        <v>49149</v>
      </c>
      <c r="DW84" s="163">
        <f t="shared" si="432"/>
        <v>49149</v>
      </c>
      <c r="DX84" s="163">
        <f t="shared" si="432"/>
        <v>49149</v>
      </c>
      <c r="DY84" s="163">
        <f t="shared" si="432"/>
        <v>49149</v>
      </c>
      <c r="DZ84" s="163">
        <f t="shared" si="432"/>
        <v>49149</v>
      </c>
      <c r="EA84" s="163">
        <f t="shared" si="432"/>
        <v>49149</v>
      </c>
      <c r="EB84" s="163">
        <f t="shared" si="432"/>
        <v>49149</v>
      </c>
      <c r="EC84" s="163">
        <f t="shared" si="432"/>
        <v>49149</v>
      </c>
      <c r="ED84" s="163">
        <f t="shared" si="432"/>
        <v>49149</v>
      </c>
      <c r="EE84" s="163">
        <f t="shared" si="432"/>
        <v>49149</v>
      </c>
      <c r="EF84" s="163">
        <f t="shared" si="432"/>
        <v>49149</v>
      </c>
      <c r="EG84" s="163">
        <f t="shared" si="432"/>
        <v>49149</v>
      </c>
      <c r="EH84" s="163">
        <f t="shared" si="432"/>
        <v>49149</v>
      </c>
      <c r="EI84" s="163">
        <f t="shared" si="432"/>
        <v>49149</v>
      </c>
      <c r="EJ84" s="163">
        <f t="shared" si="432"/>
        <v>49149</v>
      </c>
      <c r="EK84" s="163">
        <f t="shared" si="432"/>
        <v>49149</v>
      </c>
      <c r="EL84" s="163">
        <f t="shared" si="432"/>
        <v>49149</v>
      </c>
      <c r="EM84" s="163">
        <f t="shared" si="432"/>
        <v>49149</v>
      </c>
      <c r="EN84" s="163">
        <f t="shared" si="432"/>
        <v>49149</v>
      </c>
      <c r="EO84" s="163">
        <f t="shared" si="432"/>
        <v>49149</v>
      </c>
      <c r="EP84" s="163">
        <f t="shared" si="432"/>
        <v>49149</v>
      </c>
      <c r="EQ84" s="163">
        <f t="shared" si="432"/>
        <v>49149</v>
      </c>
      <c r="ER84" s="163">
        <f t="shared" si="432"/>
        <v>49149</v>
      </c>
      <c r="ES84" s="163">
        <f t="shared" si="432"/>
        <v>49149</v>
      </c>
      <c r="ET84" s="163">
        <f t="shared" si="432"/>
        <v>49149</v>
      </c>
      <c r="EU84" s="163">
        <f t="shared" si="432"/>
        <v>49149</v>
      </c>
      <c r="EV84" s="163">
        <f t="shared" si="432"/>
        <v>49149</v>
      </c>
      <c r="EW84" s="163">
        <f t="shared" si="432"/>
        <v>49149</v>
      </c>
      <c r="EX84" s="163">
        <f t="shared" si="432"/>
        <v>49149</v>
      </c>
      <c r="FA84" s="709"/>
      <c r="FB84" s="163">
        <f t="shared" si="432"/>
        <v>393024</v>
      </c>
      <c r="FC84" s="163">
        <f t="shared" si="432"/>
        <v>327520</v>
      </c>
      <c r="FD84" s="100"/>
    </row>
    <row r="85" spans="2:160" s="31" customFormat="1" x14ac:dyDescent="0.45">
      <c r="B85" s="158">
        <f>C85*10000</f>
        <v>10</v>
      </c>
      <c r="C85" s="167">
        <v>1E-3</v>
      </c>
      <c r="D85" s="168">
        <f>D84 + ROUNDDOWN( (D84*$B85) / 10000, 0)</f>
        <v>393585</v>
      </c>
      <c r="E85" s="168">
        <f t="shared" ref="E85:F85" si="433">E84 + ROUNDDOWN( (E84*$B85) / 10000, 0)</f>
        <v>377185</v>
      </c>
      <c r="F85" s="168">
        <f t="shared" si="433"/>
        <v>360786</v>
      </c>
      <c r="G85" s="168">
        <f>G84 + ROUNDDOWN( (G84*$B85) / 10000, 0)</f>
        <v>344387</v>
      </c>
      <c r="H85" s="168">
        <f>H84 + ROUNDDOWN( (H84*$B85) / 10000, 0)</f>
        <v>327987</v>
      </c>
      <c r="I85" s="168">
        <f t="shared" ref="I85:BT85" si="434">I84 + ROUNDDOWN( (I84*$B85) / 10000, 0)</f>
        <v>311588</v>
      </c>
      <c r="J85" s="168">
        <f t="shared" si="434"/>
        <v>295188</v>
      </c>
      <c r="K85" s="168">
        <f t="shared" si="434"/>
        <v>295188</v>
      </c>
      <c r="L85" s="168">
        <f t="shared" si="434"/>
        <v>278789</v>
      </c>
      <c r="M85" s="168">
        <f t="shared" si="434"/>
        <v>278789</v>
      </c>
      <c r="N85" s="168">
        <f t="shared" si="434"/>
        <v>262390</v>
      </c>
      <c r="O85" s="168">
        <f t="shared" si="434"/>
        <v>245990</v>
      </c>
      <c r="P85" s="168">
        <f t="shared" si="434"/>
        <v>245990</v>
      </c>
      <c r="Q85" s="168">
        <f t="shared" si="434"/>
        <v>245990</v>
      </c>
      <c r="R85" s="168">
        <f t="shared" si="434"/>
        <v>229591</v>
      </c>
      <c r="S85" s="168">
        <f t="shared" si="434"/>
        <v>229591</v>
      </c>
      <c r="T85" s="168">
        <f t="shared" si="434"/>
        <v>213191</v>
      </c>
      <c r="U85" s="168">
        <f t="shared" si="434"/>
        <v>213191</v>
      </c>
      <c r="V85" s="168">
        <f t="shared" si="434"/>
        <v>213191</v>
      </c>
      <c r="W85" s="168">
        <f t="shared" si="434"/>
        <v>196792</v>
      </c>
      <c r="X85" s="168">
        <f t="shared" si="434"/>
        <v>196792</v>
      </c>
      <c r="Y85" s="168">
        <f t="shared" si="434"/>
        <v>196792</v>
      </c>
      <c r="Z85" s="168">
        <f t="shared" si="434"/>
        <v>180393</v>
      </c>
      <c r="AA85" s="168">
        <f t="shared" si="434"/>
        <v>180393</v>
      </c>
      <c r="AB85" s="168">
        <f t="shared" si="434"/>
        <v>180393</v>
      </c>
      <c r="AC85" s="168">
        <f t="shared" si="434"/>
        <v>180393</v>
      </c>
      <c r="AD85" s="168">
        <f t="shared" si="434"/>
        <v>163993</v>
      </c>
      <c r="AE85" s="168">
        <f t="shared" si="434"/>
        <v>163993</v>
      </c>
      <c r="AF85" s="168">
        <f t="shared" si="434"/>
        <v>163993</v>
      </c>
      <c r="AG85" s="168">
        <f t="shared" si="434"/>
        <v>163993</v>
      </c>
      <c r="AH85" s="168">
        <f t="shared" si="434"/>
        <v>163993</v>
      </c>
      <c r="AI85" s="168">
        <f t="shared" si="434"/>
        <v>147594</v>
      </c>
      <c r="AJ85" s="168">
        <f t="shared" si="434"/>
        <v>147594</v>
      </c>
      <c r="AK85" s="168">
        <f t="shared" si="434"/>
        <v>147594</v>
      </c>
      <c r="AL85" s="168">
        <f t="shared" si="434"/>
        <v>147594</v>
      </c>
      <c r="AM85" s="168">
        <f t="shared" si="434"/>
        <v>147594</v>
      </c>
      <c r="AN85" s="168">
        <f t="shared" si="434"/>
        <v>147594</v>
      </c>
      <c r="AO85" s="168">
        <f t="shared" si="434"/>
        <v>131195</v>
      </c>
      <c r="AP85" s="168">
        <f t="shared" si="434"/>
        <v>131195</v>
      </c>
      <c r="AQ85" s="168">
        <f t="shared" si="434"/>
        <v>131195</v>
      </c>
      <c r="AR85" s="168">
        <f t="shared" si="434"/>
        <v>131195</v>
      </c>
      <c r="AS85" s="168">
        <f t="shared" si="434"/>
        <v>131195</v>
      </c>
      <c r="AT85" s="168">
        <f t="shared" si="434"/>
        <v>131195</v>
      </c>
      <c r="AU85" s="168">
        <f t="shared" si="434"/>
        <v>131195</v>
      </c>
      <c r="AV85" s="168">
        <f t="shared" si="434"/>
        <v>114795</v>
      </c>
      <c r="AW85" s="168">
        <f t="shared" si="434"/>
        <v>114795</v>
      </c>
      <c r="AX85" s="168">
        <f t="shared" si="434"/>
        <v>114795</v>
      </c>
      <c r="AY85" s="168">
        <f t="shared" si="434"/>
        <v>114795</v>
      </c>
      <c r="AZ85" s="168">
        <f t="shared" si="434"/>
        <v>114795</v>
      </c>
      <c r="BA85" s="168">
        <f t="shared" si="434"/>
        <v>114795</v>
      </c>
      <c r="BB85" s="168">
        <f t="shared" si="434"/>
        <v>114795</v>
      </c>
      <c r="BC85" s="168">
        <f t="shared" si="434"/>
        <v>114795</v>
      </c>
      <c r="BD85" s="168">
        <f t="shared" si="434"/>
        <v>114795</v>
      </c>
      <c r="BE85" s="168">
        <f t="shared" si="434"/>
        <v>114795</v>
      </c>
      <c r="BF85" s="168">
        <f t="shared" si="434"/>
        <v>98396</v>
      </c>
      <c r="BG85" s="168">
        <f t="shared" si="434"/>
        <v>98396</v>
      </c>
      <c r="BH85" s="168">
        <f t="shared" si="434"/>
        <v>98396</v>
      </c>
      <c r="BI85" s="168">
        <f t="shared" si="434"/>
        <v>98396</v>
      </c>
      <c r="BJ85" s="168">
        <f t="shared" si="434"/>
        <v>98396</v>
      </c>
      <c r="BK85" s="168">
        <f t="shared" si="434"/>
        <v>98396</v>
      </c>
      <c r="BL85" s="168">
        <f t="shared" si="434"/>
        <v>98396</v>
      </c>
      <c r="BM85" s="168">
        <f t="shared" si="434"/>
        <v>98396</v>
      </c>
      <c r="BN85" s="168">
        <f t="shared" si="434"/>
        <v>98396</v>
      </c>
      <c r="BO85" s="168">
        <f t="shared" si="434"/>
        <v>98396</v>
      </c>
      <c r="BP85" s="168">
        <f t="shared" si="434"/>
        <v>98396</v>
      </c>
      <c r="BQ85" s="168">
        <f t="shared" si="434"/>
        <v>98396</v>
      </c>
      <c r="BR85" s="168">
        <f t="shared" si="434"/>
        <v>98396</v>
      </c>
      <c r="BS85" s="168">
        <f t="shared" si="434"/>
        <v>98396</v>
      </c>
      <c r="BT85" s="168">
        <f t="shared" si="434"/>
        <v>81996</v>
      </c>
      <c r="BU85" s="168">
        <f t="shared" ref="BU85:EF85" si="435">BU84 + ROUNDDOWN( (BU84*$B85) / 10000, 0)</f>
        <v>81996</v>
      </c>
      <c r="BV85" s="168">
        <f t="shared" si="435"/>
        <v>81996</v>
      </c>
      <c r="BW85" s="168">
        <f t="shared" si="435"/>
        <v>81996</v>
      </c>
      <c r="BX85" s="168">
        <f t="shared" si="435"/>
        <v>81996</v>
      </c>
      <c r="BY85" s="168">
        <f t="shared" si="435"/>
        <v>81996</v>
      </c>
      <c r="BZ85" s="168">
        <f t="shared" si="435"/>
        <v>81996</v>
      </c>
      <c r="CA85" s="168">
        <f t="shared" si="435"/>
        <v>81996</v>
      </c>
      <c r="CB85" s="168">
        <f t="shared" si="435"/>
        <v>81996</v>
      </c>
      <c r="CC85" s="168">
        <f t="shared" si="435"/>
        <v>81996</v>
      </c>
      <c r="CD85" s="168">
        <f t="shared" si="435"/>
        <v>81996</v>
      </c>
      <c r="CE85" s="168">
        <f t="shared" si="435"/>
        <v>81996</v>
      </c>
      <c r="CF85" s="168">
        <f t="shared" si="435"/>
        <v>81996</v>
      </c>
      <c r="CG85" s="168">
        <f t="shared" si="435"/>
        <v>81996</v>
      </c>
      <c r="CH85" s="168">
        <f t="shared" si="435"/>
        <v>81996</v>
      </c>
      <c r="CI85" s="168">
        <f t="shared" si="435"/>
        <v>81996</v>
      </c>
      <c r="CJ85" s="168">
        <f t="shared" si="435"/>
        <v>81996</v>
      </c>
      <c r="CK85" s="168">
        <f t="shared" si="435"/>
        <v>81996</v>
      </c>
      <c r="CL85" s="168">
        <f t="shared" si="435"/>
        <v>81996</v>
      </c>
      <c r="CM85" s="168">
        <f t="shared" si="435"/>
        <v>65597</v>
      </c>
      <c r="CN85" s="168">
        <f t="shared" si="435"/>
        <v>65597</v>
      </c>
      <c r="CO85" s="168">
        <f t="shared" si="435"/>
        <v>65597</v>
      </c>
      <c r="CP85" s="168">
        <f t="shared" si="435"/>
        <v>65597</v>
      </c>
      <c r="CQ85" s="168">
        <f t="shared" si="435"/>
        <v>65597</v>
      </c>
      <c r="CR85" s="168">
        <f t="shared" si="435"/>
        <v>65597</v>
      </c>
      <c r="CS85" s="168">
        <f t="shared" si="435"/>
        <v>65597</v>
      </c>
      <c r="CT85" s="168">
        <f t="shared" si="435"/>
        <v>65597</v>
      </c>
      <c r="CU85" s="168">
        <f t="shared" si="435"/>
        <v>65597</v>
      </c>
      <c r="CV85" s="168">
        <f t="shared" si="435"/>
        <v>65597</v>
      </c>
      <c r="CW85" s="168">
        <f t="shared" si="435"/>
        <v>65597</v>
      </c>
      <c r="CX85" s="168">
        <f t="shared" si="435"/>
        <v>65597</v>
      </c>
      <c r="CY85" s="168">
        <f t="shared" si="435"/>
        <v>65597</v>
      </c>
      <c r="CZ85" s="168">
        <f t="shared" si="435"/>
        <v>65597</v>
      </c>
      <c r="DA85" s="168">
        <f t="shared" si="435"/>
        <v>65597</v>
      </c>
      <c r="DB85" s="168">
        <f t="shared" si="435"/>
        <v>65597</v>
      </c>
      <c r="DC85" s="168">
        <f t="shared" si="435"/>
        <v>65597</v>
      </c>
      <c r="DD85" s="168">
        <f t="shared" si="435"/>
        <v>65597</v>
      </c>
      <c r="DE85" s="168">
        <f t="shared" si="435"/>
        <v>65597</v>
      </c>
      <c r="DF85" s="168">
        <f t="shared" si="435"/>
        <v>65597</v>
      </c>
      <c r="DG85" s="168">
        <f t="shared" si="435"/>
        <v>65597</v>
      </c>
      <c r="DH85" s="168">
        <f t="shared" si="435"/>
        <v>65597</v>
      </c>
      <c r="DI85" s="168">
        <f t="shared" si="435"/>
        <v>65597</v>
      </c>
      <c r="DJ85" s="168">
        <f t="shared" si="435"/>
        <v>65597</v>
      </c>
      <c r="DK85" s="168">
        <f t="shared" si="435"/>
        <v>65597</v>
      </c>
      <c r="DL85" s="168">
        <f t="shared" si="435"/>
        <v>65597</v>
      </c>
      <c r="DM85" s="168">
        <f t="shared" si="435"/>
        <v>65597</v>
      </c>
      <c r="DN85" s="168">
        <f t="shared" si="435"/>
        <v>65597</v>
      </c>
      <c r="DO85" s="168">
        <f t="shared" si="435"/>
        <v>65597</v>
      </c>
      <c r="DP85" s="168">
        <f t="shared" si="435"/>
        <v>65597</v>
      </c>
      <c r="DQ85" s="168">
        <f t="shared" si="435"/>
        <v>49198</v>
      </c>
      <c r="DR85" s="168">
        <f t="shared" si="435"/>
        <v>49198</v>
      </c>
      <c r="DS85" s="168">
        <f t="shared" si="435"/>
        <v>49198</v>
      </c>
      <c r="DT85" s="168">
        <f t="shared" si="435"/>
        <v>49198</v>
      </c>
      <c r="DU85" s="168">
        <f t="shared" si="435"/>
        <v>49198</v>
      </c>
      <c r="DV85" s="168">
        <f t="shared" si="435"/>
        <v>49198</v>
      </c>
      <c r="DW85" s="168">
        <f t="shared" si="435"/>
        <v>49198</v>
      </c>
      <c r="DX85" s="168">
        <f t="shared" si="435"/>
        <v>49198</v>
      </c>
      <c r="DY85" s="168">
        <f t="shared" si="435"/>
        <v>49198</v>
      </c>
      <c r="DZ85" s="168">
        <f t="shared" si="435"/>
        <v>49198</v>
      </c>
      <c r="EA85" s="168">
        <f t="shared" si="435"/>
        <v>49198</v>
      </c>
      <c r="EB85" s="168">
        <f t="shared" si="435"/>
        <v>49198</v>
      </c>
      <c r="EC85" s="168">
        <f t="shared" si="435"/>
        <v>49198</v>
      </c>
      <c r="ED85" s="168">
        <f t="shared" si="435"/>
        <v>49198</v>
      </c>
      <c r="EE85" s="168">
        <f t="shared" si="435"/>
        <v>49198</v>
      </c>
      <c r="EF85" s="168">
        <f t="shared" si="435"/>
        <v>49198</v>
      </c>
      <c r="EG85" s="168">
        <f t="shared" ref="EG85:FC85" si="436">EG84 + ROUNDDOWN( (EG84*$B85) / 10000, 0)</f>
        <v>49198</v>
      </c>
      <c r="EH85" s="168">
        <f t="shared" si="436"/>
        <v>49198</v>
      </c>
      <c r="EI85" s="168">
        <f t="shared" si="436"/>
        <v>49198</v>
      </c>
      <c r="EJ85" s="168">
        <f t="shared" si="436"/>
        <v>49198</v>
      </c>
      <c r="EK85" s="168">
        <f t="shared" si="436"/>
        <v>49198</v>
      </c>
      <c r="EL85" s="168">
        <f t="shared" si="436"/>
        <v>49198</v>
      </c>
      <c r="EM85" s="168">
        <f t="shared" si="436"/>
        <v>49198</v>
      </c>
      <c r="EN85" s="168">
        <f t="shared" si="436"/>
        <v>49198</v>
      </c>
      <c r="EO85" s="168">
        <f t="shared" si="436"/>
        <v>49198</v>
      </c>
      <c r="EP85" s="168">
        <f t="shared" si="436"/>
        <v>49198</v>
      </c>
      <c r="EQ85" s="168">
        <f t="shared" si="436"/>
        <v>49198</v>
      </c>
      <c r="ER85" s="168">
        <f t="shared" si="436"/>
        <v>49198</v>
      </c>
      <c r="ES85" s="168">
        <f t="shared" si="436"/>
        <v>49198</v>
      </c>
      <c r="ET85" s="168">
        <f t="shared" si="436"/>
        <v>49198</v>
      </c>
      <c r="EU85" s="168">
        <f t="shared" si="436"/>
        <v>49198</v>
      </c>
      <c r="EV85" s="168">
        <f t="shared" si="436"/>
        <v>49198</v>
      </c>
      <c r="EW85" s="168">
        <f t="shared" si="436"/>
        <v>49198</v>
      </c>
      <c r="EX85" s="168">
        <f t="shared" si="436"/>
        <v>49198</v>
      </c>
      <c r="FA85" s="709"/>
      <c r="FB85" s="168">
        <f t="shared" si="436"/>
        <v>393417</v>
      </c>
      <c r="FC85" s="168">
        <f t="shared" si="436"/>
        <v>327847</v>
      </c>
      <c r="FD85" s="100"/>
    </row>
    <row r="86" spans="2:160" s="31" customFormat="1" x14ac:dyDescent="0.45">
      <c r="B86" s="158"/>
      <c r="C86" s="159" t="s">
        <v>8</v>
      </c>
      <c r="D86" s="169" t="str">
        <f>DEC2HEX(D85)</f>
        <v>60171</v>
      </c>
      <c r="E86" s="169" t="str">
        <f t="shared" ref="E86:F86" si="437">DEC2HEX(E85)</f>
        <v>5C161</v>
      </c>
      <c r="F86" s="169" t="str">
        <f t="shared" si="437"/>
        <v>58152</v>
      </c>
      <c r="G86" s="169" t="str">
        <f>DEC2HEX(G85)</f>
        <v>54143</v>
      </c>
      <c r="H86" s="169" t="str">
        <f t="shared" ref="H86:BS86" si="438">DEC2HEX(H85)</f>
        <v>50133</v>
      </c>
      <c r="I86" s="169" t="str">
        <f t="shared" si="438"/>
        <v>4C124</v>
      </c>
      <c r="J86" s="169" t="str">
        <f t="shared" si="438"/>
        <v>48114</v>
      </c>
      <c r="K86" s="169" t="str">
        <f t="shared" si="438"/>
        <v>48114</v>
      </c>
      <c r="L86" s="169" t="str">
        <f t="shared" si="438"/>
        <v>44105</v>
      </c>
      <c r="M86" s="169" t="str">
        <f t="shared" si="438"/>
        <v>44105</v>
      </c>
      <c r="N86" s="169" t="str">
        <f t="shared" si="438"/>
        <v>400F6</v>
      </c>
      <c r="O86" s="169" t="str">
        <f t="shared" si="438"/>
        <v>3C0E6</v>
      </c>
      <c r="P86" s="169" t="str">
        <f t="shared" si="438"/>
        <v>3C0E6</v>
      </c>
      <c r="Q86" s="169" t="str">
        <f t="shared" si="438"/>
        <v>3C0E6</v>
      </c>
      <c r="R86" s="169" t="str">
        <f t="shared" si="438"/>
        <v>380D7</v>
      </c>
      <c r="S86" s="169" t="str">
        <f t="shared" si="438"/>
        <v>380D7</v>
      </c>
      <c r="T86" s="169" t="str">
        <f t="shared" si="438"/>
        <v>340C7</v>
      </c>
      <c r="U86" s="169" t="str">
        <f t="shared" si="438"/>
        <v>340C7</v>
      </c>
      <c r="V86" s="169" t="str">
        <f t="shared" si="438"/>
        <v>340C7</v>
      </c>
      <c r="W86" s="169" t="str">
        <f t="shared" si="438"/>
        <v>300B8</v>
      </c>
      <c r="X86" s="169" t="str">
        <f t="shared" si="438"/>
        <v>300B8</v>
      </c>
      <c r="Y86" s="169" t="str">
        <f t="shared" si="438"/>
        <v>300B8</v>
      </c>
      <c r="Z86" s="169" t="str">
        <f t="shared" si="438"/>
        <v>2C0A9</v>
      </c>
      <c r="AA86" s="169" t="str">
        <f t="shared" si="438"/>
        <v>2C0A9</v>
      </c>
      <c r="AB86" s="169" t="str">
        <f t="shared" si="438"/>
        <v>2C0A9</v>
      </c>
      <c r="AC86" s="169" t="str">
        <f t="shared" si="438"/>
        <v>2C0A9</v>
      </c>
      <c r="AD86" s="169" t="str">
        <f t="shared" si="438"/>
        <v>28099</v>
      </c>
      <c r="AE86" s="169" t="str">
        <f t="shared" si="438"/>
        <v>28099</v>
      </c>
      <c r="AF86" s="169" t="str">
        <f t="shared" si="438"/>
        <v>28099</v>
      </c>
      <c r="AG86" s="169" t="str">
        <f t="shared" si="438"/>
        <v>28099</v>
      </c>
      <c r="AH86" s="169" t="str">
        <f t="shared" si="438"/>
        <v>28099</v>
      </c>
      <c r="AI86" s="169" t="str">
        <f t="shared" si="438"/>
        <v>2408A</v>
      </c>
      <c r="AJ86" s="169" t="str">
        <f t="shared" si="438"/>
        <v>2408A</v>
      </c>
      <c r="AK86" s="169" t="str">
        <f t="shared" si="438"/>
        <v>2408A</v>
      </c>
      <c r="AL86" s="169" t="str">
        <f t="shared" si="438"/>
        <v>2408A</v>
      </c>
      <c r="AM86" s="169" t="str">
        <f t="shared" si="438"/>
        <v>2408A</v>
      </c>
      <c r="AN86" s="169" t="str">
        <f t="shared" si="438"/>
        <v>2408A</v>
      </c>
      <c r="AO86" s="169" t="str">
        <f t="shared" si="438"/>
        <v>2007B</v>
      </c>
      <c r="AP86" s="169" t="str">
        <f t="shared" si="438"/>
        <v>2007B</v>
      </c>
      <c r="AQ86" s="169" t="str">
        <f t="shared" si="438"/>
        <v>2007B</v>
      </c>
      <c r="AR86" s="169" t="str">
        <f t="shared" si="438"/>
        <v>2007B</v>
      </c>
      <c r="AS86" s="169" t="str">
        <f t="shared" si="438"/>
        <v>2007B</v>
      </c>
      <c r="AT86" s="169" t="str">
        <f t="shared" si="438"/>
        <v>2007B</v>
      </c>
      <c r="AU86" s="169" t="str">
        <f t="shared" si="438"/>
        <v>2007B</v>
      </c>
      <c r="AV86" s="169" t="str">
        <f t="shared" si="438"/>
        <v>1C06B</v>
      </c>
      <c r="AW86" s="169" t="str">
        <f t="shared" si="438"/>
        <v>1C06B</v>
      </c>
      <c r="AX86" s="169" t="str">
        <f t="shared" si="438"/>
        <v>1C06B</v>
      </c>
      <c r="AY86" s="169" t="str">
        <f t="shared" si="438"/>
        <v>1C06B</v>
      </c>
      <c r="AZ86" s="169" t="str">
        <f t="shared" si="438"/>
        <v>1C06B</v>
      </c>
      <c r="BA86" s="169" t="str">
        <f t="shared" si="438"/>
        <v>1C06B</v>
      </c>
      <c r="BB86" s="169" t="str">
        <f t="shared" si="438"/>
        <v>1C06B</v>
      </c>
      <c r="BC86" s="169" t="str">
        <f t="shared" si="438"/>
        <v>1C06B</v>
      </c>
      <c r="BD86" s="169" t="str">
        <f t="shared" si="438"/>
        <v>1C06B</v>
      </c>
      <c r="BE86" s="169" t="str">
        <f t="shared" si="438"/>
        <v>1C06B</v>
      </c>
      <c r="BF86" s="169" t="str">
        <f t="shared" si="438"/>
        <v>1805C</v>
      </c>
      <c r="BG86" s="169" t="str">
        <f t="shared" si="438"/>
        <v>1805C</v>
      </c>
      <c r="BH86" s="169" t="str">
        <f t="shared" si="438"/>
        <v>1805C</v>
      </c>
      <c r="BI86" s="169" t="str">
        <f t="shared" si="438"/>
        <v>1805C</v>
      </c>
      <c r="BJ86" s="169" t="str">
        <f t="shared" si="438"/>
        <v>1805C</v>
      </c>
      <c r="BK86" s="169" t="str">
        <f t="shared" si="438"/>
        <v>1805C</v>
      </c>
      <c r="BL86" s="169" t="str">
        <f t="shared" si="438"/>
        <v>1805C</v>
      </c>
      <c r="BM86" s="169" t="str">
        <f t="shared" si="438"/>
        <v>1805C</v>
      </c>
      <c r="BN86" s="169" t="str">
        <f t="shared" si="438"/>
        <v>1805C</v>
      </c>
      <c r="BO86" s="169" t="str">
        <f t="shared" si="438"/>
        <v>1805C</v>
      </c>
      <c r="BP86" s="169" t="str">
        <f t="shared" si="438"/>
        <v>1805C</v>
      </c>
      <c r="BQ86" s="169" t="str">
        <f t="shared" si="438"/>
        <v>1805C</v>
      </c>
      <c r="BR86" s="169" t="str">
        <f t="shared" si="438"/>
        <v>1805C</v>
      </c>
      <c r="BS86" s="169" t="str">
        <f t="shared" si="438"/>
        <v>1805C</v>
      </c>
      <c r="BT86" s="169" t="str">
        <f t="shared" ref="BT86:EE86" si="439">DEC2HEX(BT85)</f>
        <v>1404C</v>
      </c>
      <c r="BU86" s="169" t="str">
        <f t="shared" si="439"/>
        <v>1404C</v>
      </c>
      <c r="BV86" s="169" t="str">
        <f t="shared" si="439"/>
        <v>1404C</v>
      </c>
      <c r="BW86" s="169" t="str">
        <f t="shared" si="439"/>
        <v>1404C</v>
      </c>
      <c r="BX86" s="169" t="str">
        <f t="shared" si="439"/>
        <v>1404C</v>
      </c>
      <c r="BY86" s="169" t="str">
        <f t="shared" si="439"/>
        <v>1404C</v>
      </c>
      <c r="BZ86" s="169" t="str">
        <f t="shared" si="439"/>
        <v>1404C</v>
      </c>
      <c r="CA86" s="169" t="str">
        <f t="shared" si="439"/>
        <v>1404C</v>
      </c>
      <c r="CB86" s="169" t="str">
        <f t="shared" si="439"/>
        <v>1404C</v>
      </c>
      <c r="CC86" s="169" t="str">
        <f t="shared" si="439"/>
        <v>1404C</v>
      </c>
      <c r="CD86" s="169" t="str">
        <f t="shared" si="439"/>
        <v>1404C</v>
      </c>
      <c r="CE86" s="169" t="str">
        <f t="shared" si="439"/>
        <v>1404C</v>
      </c>
      <c r="CF86" s="169" t="str">
        <f t="shared" si="439"/>
        <v>1404C</v>
      </c>
      <c r="CG86" s="169" t="str">
        <f t="shared" si="439"/>
        <v>1404C</v>
      </c>
      <c r="CH86" s="169" t="str">
        <f t="shared" si="439"/>
        <v>1404C</v>
      </c>
      <c r="CI86" s="169" t="str">
        <f t="shared" si="439"/>
        <v>1404C</v>
      </c>
      <c r="CJ86" s="169" t="str">
        <f t="shared" si="439"/>
        <v>1404C</v>
      </c>
      <c r="CK86" s="169" t="str">
        <f t="shared" si="439"/>
        <v>1404C</v>
      </c>
      <c r="CL86" s="169" t="str">
        <f t="shared" si="439"/>
        <v>1404C</v>
      </c>
      <c r="CM86" s="169" t="str">
        <f t="shared" si="439"/>
        <v>1003D</v>
      </c>
      <c r="CN86" s="169" t="str">
        <f t="shared" si="439"/>
        <v>1003D</v>
      </c>
      <c r="CO86" s="169" t="str">
        <f t="shared" si="439"/>
        <v>1003D</v>
      </c>
      <c r="CP86" s="169" t="str">
        <f t="shared" si="439"/>
        <v>1003D</v>
      </c>
      <c r="CQ86" s="169" t="str">
        <f t="shared" si="439"/>
        <v>1003D</v>
      </c>
      <c r="CR86" s="169" t="str">
        <f t="shared" si="439"/>
        <v>1003D</v>
      </c>
      <c r="CS86" s="169" t="str">
        <f t="shared" si="439"/>
        <v>1003D</v>
      </c>
      <c r="CT86" s="169" t="str">
        <f t="shared" si="439"/>
        <v>1003D</v>
      </c>
      <c r="CU86" s="169" t="str">
        <f t="shared" si="439"/>
        <v>1003D</v>
      </c>
      <c r="CV86" s="169" t="str">
        <f t="shared" si="439"/>
        <v>1003D</v>
      </c>
      <c r="CW86" s="169" t="str">
        <f t="shared" si="439"/>
        <v>1003D</v>
      </c>
      <c r="CX86" s="169" t="str">
        <f t="shared" si="439"/>
        <v>1003D</v>
      </c>
      <c r="CY86" s="169" t="str">
        <f t="shared" si="439"/>
        <v>1003D</v>
      </c>
      <c r="CZ86" s="169" t="str">
        <f t="shared" si="439"/>
        <v>1003D</v>
      </c>
      <c r="DA86" s="169" t="str">
        <f t="shared" si="439"/>
        <v>1003D</v>
      </c>
      <c r="DB86" s="169" t="str">
        <f t="shared" si="439"/>
        <v>1003D</v>
      </c>
      <c r="DC86" s="169" t="str">
        <f t="shared" si="439"/>
        <v>1003D</v>
      </c>
      <c r="DD86" s="169" t="str">
        <f t="shared" si="439"/>
        <v>1003D</v>
      </c>
      <c r="DE86" s="169" t="str">
        <f t="shared" si="439"/>
        <v>1003D</v>
      </c>
      <c r="DF86" s="169" t="str">
        <f t="shared" si="439"/>
        <v>1003D</v>
      </c>
      <c r="DG86" s="169" t="str">
        <f t="shared" si="439"/>
        <v>1003D</v>
      </c>
      <c r="DH86" s="169" t="str">
        <f t="shared" si="439"/>
        <v>1003D</v>
      </c>
      <c r="DI86" s="169" t="str">
        <f t="shared" si="439"/>
        <v>1003D</v>
      </c>
      <c r="DJ86" s="169" t="str">
        <f t="shared" si="439"/>
        <v>1003D</v>
      </c>
      <c r="DK86" s="169" t="str">
        <f t="shared" si="439"/>
        <v>1003D</v>
      </c>
      <c r="DL86" s="169" t="str">
        <f t="shared" si="439"/>
        <v>1003D</v>
      </c>
      <c r="DM86" s="169" t="str">
        <f t="shared" si="439"/>
        <v>1003D</v>
      </c>
      <c r="DN86" s="169" t="str">
        <f t="shared" si="439"/>
        <v>1003D</v>
      </c>
      <c r="DO86" s="169" t="str">
        <f t="shared" si="439"/>
        <v>1003D</v>
      </c>
      <c r="DP86" s="169" t="str">
        <f t="shared" si="439"/>
        <v>1003D</v>
      </c>
      <c r="DQ86" s="169" t="str">
        <f t="shared" si="439"/>
        <v>C02E</v>
      </c>
      <c r="DR86" s="169" t="str">
        <f t="shared" si="439"/>
        <v>C02E</v>
      </c>
      <c r="DS86" s="169" t="str">
        <f t="shared" si="439"/>
        <v>C02E</v>
      </c>
      <c r="DT86" s="169" t="str">
        <f t="shared" si="439"/>
        <v>C02E</v>
      </c>
      <c r="DU86" s="169" t="str">
        <f t="shared" si="439"/>
        <v>C02E</v>
      </c>
      <c r="DV86" s="169" t="str">
        <f t="shared" si="439"/>
        <v>C02E</v>
      </c>
      <c r="DW86" s="169" t="str">
        <f t="shared" si="439"/>
        <v>C02E</v>
      </c>
      <c r="DX86" s="169" t="str">
        <f t="shared" si="439"/>
        <v>C02E</v>
      </c>
      <c r="DY86" s="169" t="str">
        <f t="shared" si="439"/>
        <v>C02E</v>
      </c>
      <c r="DZ86" s="169" t="str">
        <f t="shared" si="439"/>
        <v>C02E</v>
      </c>
      <c r="EA86" s="169" t="str">
        <f t="shared" si="439"/>
        <v>C02E</v>
      </c>
      <c r="EB86" s="169" t="str">
        <f t="shared" si="439"/>
        <v>C02E</v>
      </c>
      <c r="EC86" s="169" t="str">
        <f t="shared" si="439"/>
        <v>C02E</v>
      </c>
      <c r="ED86" s="169" t="str">
        <f t="shared" si="439"/>
        <v>C02E</v>
      </c>
      <c r="EE86" s="169" t="str">
        <f t="shared" si="439"/>
        <v>C02E</v>
      </c>
      <c r="EF86" s="169" t="str">
        <f t="shared" ref="EF86:FC86" si="440">DEC2HEX(EF85)</f>
        <v>C02E</v>
      </c>
      <c r="EG86" s="169" t="str">
        <f t="shared" si="440"/>
        <v>C02E</v>
      </c>
      <c r="EH86" s="169" t="str">
        <f t="shared" si="440"/>
        <v>C02E</v>
      </c>
      <c r="EI86" s="169" t="str">
        <f t="shared" si="440"/>
        <v>C02E</v>
      </c>
      <c r="EJ86" s="169" t="str">
        <f t="shared" si="440"/>
        <v>C02E</v>
      </c>
      <c r="EK86" s="169" t="str">
        <f t="shared" si="440"/>
        <v>C02E</v>
      </c>
      <c r="EL86" s="169" t="str">
        <f t="shared" si="440"/>
        <v>C02E</v>
      </c>
      <c r="EM86" s="169" t="str">
        <f t="shared" si="440"/>
        <v>C02E</v>
      </c>
      <c r="EN86" s="169" t="str">
        <f t="shared" si="440"/>
        <v>C02E</v>
      </c>
      <c r="EO86" s="169" t="str">
        <f t="shared" si="440"/>
        <v>C02E</v>
      </c>
      <c r="EP86" s="169" t="str">
        <f t="shared" si="440"/>
        <v>C02E</v>
      </c>
      <c r="EQ86" s="169" t="str">
        <f t="shared" si="440"/>
        <v>C02E</v>
      </c>
      <c r="ER86" s="169" t="str">
        <f t="shared" si="440"/>
        <v>C02E</v>
      </c>
      <c r="ES86" s="169" t="str">
        <f t="shared" si="440"/>
        <v>C02E</v>
      </c>
      <c r="ET86" s="169" t="str">
        <f t="shared" si="440"/>
        <v>C02E</v>
      </c>
      <c r="EU86" s="169" t="str">
        <f t="shared" si="440"/>
        <v>C02E</v>
      </c>
      <c r="EV86" s="169" t="str">
        <f t="shared" si="440"/>
        <v>C02E</v>
      </c>
      <c r="EW86" s="169" t="str">
        <f t="shared" si="440"/>
        <v>C02E</v>
      </c>
      <c r="EX86" s="169" t="str">
        <f t="shared" si="440"/>
        <v>C02E</v>
      </c>
      <c r="EY86" s="55"/>
      <c r="EZ86" s="55"/>
      <c r="FA86" s="709"/>
      <c r="FB86" s="169" t="str">
        <f t="shared" si="440"/>
        <v>600C9</v>
      </c>
      <c r="FC86" s="169" t="str">
        <f t="shared" si="440"/>
        <v>500A7</v>
      </c>
      <c r="FD86" s="100"/>
    </row>
    <row r="87" spans="2:160" s="31" customFormat="1" x14ac:dyDescent="0.45">
      <c r="B87" s="155" t="s">
        <v>1166</v>
      </c>
      <c r="C87" s="156" t="s">
        <v>5</v>
      </c>
      <c r="D87" s="170">
        <v>0</v>
      </c>
      <c r="E87" s="170">
        <f>D87</f>
        <v>0</v>
      </c>
      <c r="F87" s="170">
        <f>E87</f>
        <v>0</v>
      </c>
      <c r="G87" s="170">
        <f t="shared" ref="G87:U88" si="441">F87</f>
        <v>0</v>
      </c>
      <c r="H87" s="170">
        <f t="shared" si="441"/>
        <v>0</v>
      </c>
      <c r="I87" s="170">
        <f t="shared" si="441"/>
        <v>0</v>
      </c>
      <c r="J87" s="170">
        <f t="shared" si="441"/>
        <v>0</v>
      </c>
      <c r="K87" s="170">
        <f t="shared" si="441"/>
        <v>0</v>
      </c>
      <c r="L87" s="170">
        <f t="shared" si="441"/>
        <v>0</v>
      </c>
      <c r="M87" s="170">
        <f t="shared" si="441"/>
        <v>0</v>
      </c>
      <c r="N87" s="170">
        <f t="shared" si="441"/>
        <v>0</v>
      </c>
      <c r="O87" s="170">
        <f t="shared" si="441"/>
        <v>0</v>
      </c>
      <c r="P87" s="170">
        <f t="shared" si="441"/>
        <v>0</v>
      </c>
      <c r="Q87" s="170">
        <f t="shared" si="441"/>
        <v>0</v>
      </c>
      <c r="R87" s="170">
        <f t="shared" si="441"/>
        <v>0</v>
      </c>
      <c r="S87" s="170">
        <f t="shared" si="441"/>
        <v>0</v>
      </c>
      <c r="T87" s="170">
        <f t="shared" si="441"/>
        <v>0</v>
      </c>
      <c r="U87" s="170">
        <f t="shared" si="441"/>
        <v>0</v>
      </c>
      <c r="V87" s="170">
        <f t="shared" ref="V87:AK88" si="442">U87</f>
        <v>0</v>
      </c>
      <c r="W87" s="170">
        <f t="shared" si="442"/>
        <v>0</v>
      </c>
      <c r="X87" s="170">
        <f t="shared" si="442"/>
        <v>0</v>
      </c>
      <c r="Y87" s="170">
        <f t="shared" si="442"/>
        <v>0</v>
      </c>
      <c r="Z87" s="170">
        <f t="shared" si="442"/>
        <v>0</v>
      </c>
      <c r="AA87" s="170">
        <f t="shared" si="442"/>
        <v>0</v>
      </c>
      <c r="AB87" s="170">
        <f t="shared" si="442"/>
        <v>0</v>
      </c>
      <c r="AC87" s="170">
        <f t="shared" si="442"/>
        <v>0</v>
      </c>
      <c r="AD87" s="170">
        <f t="shared" si="442"/>
        <v>0</v>
      </c>
      <c r="AE87" s="170">
        <f t="shared" si="442"/>
        <v>0</v>
      </c>
      <c r="AF87" s="170">
        <f t="shared" si="442"/>
        <v>0</v>
      </c>
      <c r="AG87" s="170">
        <f t="shared" si="442"/>
        <v>0</v>
      </c>
      <c r="AH87" s="170">
        <f t="shared" si="442"/>
        <v>0</v>
      </c>
      <c r="AI87" s="170">
        <f t="shared" si="442"/>
        <v>0</v>
      </c>
      <c r="AJ87" s="170">
        <f t="shared" si="442"/>
        <v>0</v>
      </c>
      <c r="AK87" s="170">
        <f t="shared" si="442"/>
        <v>0</v>
      </c>
      <c r="AL87" s="170">
        <f t="shared" ref="AL87:BA88" si="443">AK87</f>
        <v>0</v>
      </c>
      <c r="AM87" s="170">
        <f t="shared" si="443"/>
        <v>0</v>
      </c>
      <c r="AN87" s="170">
        <f t="shared" si="443"/>
        <v>0</v>
      </c>
      <c r="AO87" s="170">
        <f t="shared" si="443"/>
        <v>0</v>
      </c>
      <c r="AP87" s="170">
        <f t="shared" si="443"/>
        <v>0</v>
      </c>
      <c r="AQ87" s="170">
        <f t="shared" si="443"/>
        <v>0</v>
      </c>
      <c r="AR87" s="170">
        <f t="shared" si="443"/>
        <v>0</v>
      </c>
      <c r="AS87" s="170">
        <f t="shared" si="443"/>
        <v>0</v>
      </c>
      <c r="AT87" s="170">
        <f t="shared" si="443"/>
        <v>0</v>
      </c>
      <c r="AU87" s="170">
        <f t="shared" si="443"/>
        <v>0</v>
      </c>
      <c r="AV87" s="170">
        <f t="shared" si="443"/>
        <v>0</v>
      </c>
      <c r="AW87" s="170">
        <f>AV87</f>
        <v>0</v>
      </c>
      <c r="AX87" s="170">
        <f t="shared" si="443"/>
        <v>0</v>
      </c>
      <c r="AY87" s="170">
        <f t="shared" si="443"/>
        <v>0</v>
      </c>
      <c r="AZ87" s="170">
        <f t="shared" si="443"/>
        <v>0</v>
      </c>
      <c r="BA87" s="170">
        <f t="shared" si="443"/>
        <v>0</v>
      </c>
      <c r="BB87" s="170">
        <f t="shared" ref="BB87:BQ88" si="444">BA87</f>
        <v>0</v>
      </c>
      <c r="BC87" s="170">
        <f t="shared" si="444"/>
        <v>0</v>
      </c>
      <c r="BD87" s="170">
        <f t="shared" si="444"/>
        <v>0</v>
      </c>
      <c r="BE87" s="170">
        <f t="shared" si="444"/>
        <v>0</v>
      </c>
      <c r="BF87" s="170">
        <f t="shared" si="444"/>
        <v>0</v>
      </c>
      <c r="BG87" s="170">
        <f t="shared" si="444"/>
        <v>0</v>
      </c>
      <c r="BH87" s="170">
        <f t="shared" si="444"/>
        <v>0</v>
      </c>
      <c r="BI87" s="170">
        <f t="shared" si="444"/>
        <v>0</v>
      </c>
      <c r="BJ87" s="170">
        <f t="shared" si="444"/>
        <v>0</v>
      </c>
      <c r="BK87" s="170">
        <f t="shared" si="444"/>
        <v>0</v>
      </c>
      <c r="BL87" s="170">
        <f t="shared" si="444"/>
        <v>0</v>
      </c>
      <c r="BM87" s="170">
        <f t="shared" si="444"/>
        <v>0</v>
      </c>
      <c r="BN87" s="170">
        <f t="shared" si="444"/>
        <v>0</v>
      </c>
      <c r="BO87" s="170">
        <f t="shared" si="444"/>
        <v>0</v>
      </c>
      <c r="BP87" s="170">
        <f t="shared" si="444"/>
        <v>0</v>
      </c>
      <c r="BQ87" s="170">
        <f t="shared" si="444"/>
        <v>0</v>
      </c>
      <c r="BR87" s="170">
        <f t="shared" ref="BR87:CG88" si="445">BQ87</f>
        <v>0</v>
      </c>
      <c r="BS87" s="170">
        <f t="shared" si="445"/>
        <v>0</v>
      </c>
      <c r="BT87" s="170">
        <f t="shared" si="445"/>
        <v>0</v>
      </c>
      <c r="BU87" s="170">
        <f t="shared" si="445"/>
        <v>0</v>
      </c>
      <c r="BV87" s="170">
        <f t="shared" si="445"/>
        <v>0</v>
      </c>
      <c r="BW87" s="170">
        <f t="shared" si="445"/>
        <v>0</v>
      </c>
      <c r="BX87" s="170">
        <f t="shared" si="445"/>
        <v>0</v>
      </c>
      <c r="BY87" s="170">
        <f t="shared" si="445"/>
        <v>0</v>
      </c>
      <c r="BZ87" s="170">
        <f t="shared" si="445"/>
        <v>0</v>
      </c>
      <c r="CA87" s="170">
        <f t="shared" si="445"/>
        <v>0</v>
      </c>
      <c r="CB87" s="170">
        <f t="shared" si="445"/>
        <v>0</v>
      </c>
      <c r="CC87" s="170">
        <f t="shared" si="445"/>
        <v>0</v>
      </c>
      <c r="CD87" s="170">
        <f t="shared" si="445"/>
        <v>0</v>
      </c>
      <c r="CE87" s="170">
        <f t="shared" si="445"/>
        <v>0</v>
      </c>
      <c r="CF87" s="170">
        <f t="shared" si="445"/>
        <v>0</v>
      </c>
      <c r="CG87" s="170">
        <f t="shared" si="445"/>
        <v>0</v>
      </c>
      <c r="CH87" s="170">
        <f t="shared" ref="CH87:CW88" si="446">CG87</f>
        <v>0</v>
      </c>
      <c r="CI87" s="170">
        <f t="shared" si="446"/>
        <v>0</v>
      </c>
      <c r="CJ87" s="170">
        <f t="shared" si="446"/>
        <v>0</v>
      </c>
      <c r="CK87" s="170">
        <f t="shared" si="446"/>
        <v>0</v>
      </c>
      <c r="CL87" s="170">
        <f t="shared" si="446"/>
        <v>0</v>
      </c>
      <c r="CM87" s="170">
        <f t="shared" si="446"/>
        <v>0</v>
      </c>
      <c r="CN87" s="170">
        <f t="shared" si="446"/>
        <v>0</v>
      </c>
      <c r="CO87" s="170">
        <f t="shared" si="446"/>
        <v>0</v>
      </c>
      <c r="CP87" s="170">
        <f t="shared" si="446"/>
        <v>0</v>
      </c>
      <c r="CQ87" s="170">
        <f t="shared" si="446"/>
        <v>0</v>
      </c>
      <c r="CR87" s="170">
        <f t="shared" si="446"/>
        <v>0</v>
      </c>
      <c r="CS87" s="170">
        <f t="shared" si="446"/>
        <v>0</v>
      </c>
      <c r="CT87" s="170">
        <f t="shared" si="446"/>
        <v>0</v>
      </c>
      <c r="CU87" s="170">
        <f t="shared" si="446"/>
        <v>0</v>
      </c>
      <c r="CV87" s="170">
        <f t="shared" si="446"/>
        <v>0</v>
      </c>
      <c r="CW87" s="170">
        <f t="shared" si="446"/>
        <v>0</v>
      </c>
      <c r="CX87" s="170">
        <f t="shared" ref="CX87:DM88" si="447">CW87</f>
        <v>0</v>
      </c>
      <c r="CY87" s="170">
        <f t="shared" si="447"/>
        <v>0</v>
      </c>
      <c r="CZ87" s="170">
        <f t="shared" si="447"/>
        <v>0</v>
      </c>
      <c r="DA87" s="170">
        <f t="shared" si="447"/>
        <v>0</v>
      </c>
      <c r="DB87" s="170">
        <f t="shared" si="447"/>
        <v>0</v>
      </c>
      <c r="DC87" s="170">
        <f t="shared" si="447"/>
        <v>0</v>
      </c>
      <c r="DD87" s="170">
        <f t="shared" si="447"/>
        <v>0</v>
      </c>
      <c r="DE87" s="170">
        <f t="shared" si="447"/>
        <v>0</v>
      </c>
      <c r="DF87" s="170">
        <f t="shared" si="447"/>
        <v>0</v>
      </c>
      <c r="DG87" s="170">
        <f t="shared" si="447"/>
        <v>0</v>
      </c>
      <c r="DH87" s="170">
        <f t="shared" si="447"/>
        <v>0</v>
      </c>
      <c r="DI87" s="170">
        <f t="shared" si="447"/>
        <v>0</v>
      </c>
      <c r="DJ87" s="170">
        <f t="shared" si="447"/>
        <v>0</v>
      </c>
      <c r="DK87" s="170">
        <f t="shared" si="447"/>
        <v>0</v>
      </c>
      <c r="DL87" s="170">
        <f t="shared" si="447"/>
        <v>0</v>
      </c>
      <c r="DM87" s="170">
        <f t="shared" si="447"/>
        <v>0</v>
      </c>
      <c r="DN87" s="170">
        <f t="shared" ref="DN87:EC88" si="448">DM87</f>
        <v>0</v>
      </c>
      <c r="DO87" s="170">
        <f t="shared" si="448"/>
        <v>0</v>
      </c>
      <c r="DP87" s="170">
        <f t="shared" si="448"/>
        <v>0</v>
      </c>
      <c r="DQ87" s="170">
        <f t="shared" si="448"/>
        <v>0</v>
      </c>
      <c r="DR87" s="170">
        <f t="shared" si="448"/>
        <v>0</v>
      </c>
      <c r="DS87" s="170">
        <f t="shared" si="448"/>
        <v>0</v>
      </c>
      <c r="DT87" s="170">
        <f t="shared" si="448"/>
        <v>0</v>
      </c>
      <c r="DU87" s="170">
        <f t="shared" si="448"/>
        <v>0</v>
      </c>
      <c r="DV87" s="170">
        <f t="shared" si="448"/>
        <v>0</v>
      </c>
      <c r="DW87" s="170">
        <f t="shared" si="448"/>
        <v>0</v>
      </c>
      <c r="DX87" s="170">
        <f t="shared" si="448"/>
        <v>0</v>
      </c>
      <c r="DY87" s="170">
        <f t="shared" si="448"/>
        <v>0</v>
      </c>
      <c r="DZ87" s="170">
        <f t="shared" si="448"/>
        <v>0</v>
      </c>
      <c r="EA87" s="170">
        <f t="shared" si="448"/>
        <v>0</v>
      </c>
      <c r="EB87" s="170">
        <f t="shared" si="448"/>
        <v>0</v>
      </c>
      <c r="EC87" s="170">
        <f t="shared" si="448"/>
        <v>0</v>
      </c>
      <c r="ED87" s="170">
        <f t="shared" ref="ED87:ES88" si="449">EC87</f>
        <v>0</v>
      </c>
      <c r="EE87" s="170">
        <f t="shared" si="449"/>
        <v>0</v>
      </c>
      <c r="EF87" s="170">
        <f t="shared" si="449"/>
        <v>0</v>
      </c>
      <c r="EG87" s="170">
        <f t="shared" si="449"/>
        <v>0</v>
      </c>
      <c r="EH87" s="170">
        <f t="shared" si="449"/>
        <v>0</v>
      </c>
      <c r="EI87" s="170">
        <f t="shared" si="449"/>
        <v>0</v>
      </c>
      <c r="EJ87" s="170">
        <f t="shared" si="449"/>
        <v>0</v>
      </c>
      <c r="EK87" s="170">
        <f t="shared" si="449"/>
        <v>0</v>
      </c>
      <c r="EL87" s="170">
        <f t="shared" si="449"/>
        <v>0</v>
      </c>
      <c r="EM87" s="170">
        <f t="shared" si="449"/>
        <v>0</v>
      </c>
      <c r="EN87" s="170">
        <f t="shared" si="449"/>
        <v>0</v>
      </c>
      <c r="EO87" s="170">
        <f t="shared" si="449"/>
        <v>0</v>
      </c>
      <c r="EP87" s="170">
        <f t="shared" si="449"/>
        <v>0</v>
      </c>
      <c r="EQ87" s="170">
        <f t="shared" si="449"/>
        <v>0</v>
      </c>
      <c r="ER87" s="170">
        <f t="shared" si="449"/>
        <v>0</v>
      </c>
      <c r="ES87" s="170">
        <f t="shared" si="449"/>
        <v>0</v>
      </c>
      <c r="ET87" s="170">
        <f t="shared" ref="ET87:EX88" si="450">ES87</f>
        <v>0</v>
      </c>
      <c r="EU87" s="170">
        <f t="shared" si="450"/>
        <v>0</v>
      </c>
      <c r="EV87" s="170">
        <f t="shared" si="450"/>
        <v>0</v>
      </c>
      <c r="EW87" s="170">
        <f t="shared" si="450"/>
        <v>0</v>
      </c>
      <c r="EX87" s="170">
        <f t="shared" si="450"/>
        <v>0</v>
      </c>
      <c r="FA87" s="709"/>
      <c r="FB87" s="170">
        <v>3</v>
      </c>
      <c r="FC87" s="170">
        <f t="shared" ref="FC87:FC88" si="451">FB87</f>
        <v>3</v>
      </c>
      <c r="FD87" s="100"/>
    </row>
    <row r="88" spans="2:160" s="31" customFormat="1" ht="17.5" thickBot="1" x14ac:dyDescent="0.5">
      <c r="B88" s="171" t="s">
        <v>1162</v>
      </c>
      <c r="C88" s="172" t="s">
        <v>5</v>
      </c>
      <c r="D88" s="173">
        <v>1</v>
      </c>
      <c r="E88" s="173">
        <f>D88</f>
        <v>1</v>
      </c>
      <c r="F88" s="173">
        <f>E88</f>
        <v>1</v>
      </c>
      <c r="G88" s="173">
        <f t="shared" si="441"/>
        <v>1</v>
      </c>
      <c r="H88" s="173">
        <f t="shared" si="441"/>
        <v>1</v>
      </c>
      <c r="I88" s="173">
        <f t="shared" si="441"/>
        <v>1</v>
      </c>
      <c r="J88" s="173">
        <f t="shared" si="441"/>
        <v>1</v>
      </c>
      <c r="K88" s="173">
        <f t="shared" si="441"/>
        <v>1</v>
      </c>
      <c r="L88" s="173">
        <f t="shared" si="441"/>
        <v>1</v>
      </c>
      <c r="M88" s="173">
        <f t="shared" si="441"/>
        <v>1</v>
      </c>
      <c r="N88" s="173">
        <f t="shared" si="441"/>
        <v>1</v>
      </c>
      <c r="O88" s="173">
        <f t="shared" si="441"/>
        <v>1</v>
      </c>
      <c r="P88" s="173">
        <f t="shared" si="441"/>
        <v>1</v>
      </c>
      <c r="Q88" s="173">
        <f t="shared" si="441"/>
        <v>1</v>
      </c>
      <c r="R88" s="173">
        <f t="shared" si="441"/>
        <v>1</v>
      </c>
      <c r="S88" s="173">
        <f t="shared" si="441"/>
        <v>1</v>
      </c>
      <c r="T88" s="173">
        <f t="shared" si="441"/>
        <v>1</v>
      </c>
      <c r="U88" s="173">
        <f t="shared" si="441"/>
        <v>1</v>
      </c>
      <c r="V88" s="173">
        <f t="shared" si="442"/>
        <v>1</v>
      </c>
      <c r="W88" s="173">
        <f t="shared" si="442"/>
        <v>1</v>
      </c>
      <c r="X88" s="173">
        <f t="shared" si="442"/>
        <v>1</v>
      </c>
      <c r="Y88" s="173">
        <f t="shared" si="442"/>
        <v>1</v>
      </c>
      <c r="Z88" s="173">
        <f t="shared" si="442"/>
        <v>1</v>
      </c>
      <c r="AA88" s="173">
        <f t="shared" si="442"/>
        <v>1</v>
      </c>
      <c r="AB88" s="173">
        <f t="shared" si="442"/>
        <v>1</v>
      </c>
      <c r="AC88" s="173">
        <f t="shared" si="442"/>
        <v>1</v>
      </c>
      <c r="AD88" s="173">
        <f t="shared" si="442"/>
        <v>1</v>
      </c>
      <c r="AE88" s="173">
        <f t="shared" si="442"/>
        <v>1</v>
      </c>
      <c r="AF88" s="173">
        <f t="shared" si="442"/>
        <v>1</v>
      </c>
      <c r="AG88" s="173">
        <f t="shared" si="442"/>
        <v>1</v>
      </c>
      <c r="AH88" s="173">
        <f t="shared" si="442"/>
        <v>1</v>
      </c>
      <c r="AI88" s="173">
        <f t="shared" si="442"/>
        <v>1</v>
      </c>
      <c r="AJ88" s="173">
        <f t="shared" si="442"/>
        <v>1</v>
      </c>
      <c r="AK88" s="173">
        <f t="shared" si="442"/>
        <v>1</v>
      </c>
      <c r="AL88" s="173">
        <f t="shared" si="443"/>
        <v>1</v>
      </c>
      <c r="AM88" s="173">
        <f t="shared" si="443"/>
        <v>1</v>
      </c>
      <c r="AN88" s="173">
        <f t="shared" si="443"/>
        <v>1</v>
      </c>
      <c r="AO88" s="173">
        <f t="shared" si="443"/>
        <v>1</v>
      </c>
      <c r="AP88" s="173">
        <f t="shared" si="443"/>
        <v>1</v>
      </c>
      <c r="AQ88" s="173">
        <f t="shared" si="443"/>
        <v>1</v>
      </c>
      <c r="AR88" s="173">
        <f t="shared" si="443"/>
        <v>1</v>
      </c>
      <c r="AS88" s="173">
        <f t="shared" si="443"/>
        <v>1</v>
      </c>
      <c r="AT88" s="173">
        <f t="shared" si="443"/>
        <v>1</v>
      </c>
      <c r="AU88" s="173">
        <f t="shared" si="443"/>
        <v>1</v>
      </c>
      <c r="AV88" s="173">
        <f t="shared" si="443"/>
        <v>1</v>
      </c>
      <c r="AW88" s="173">
        <f>AV88</f>
        <v>1</v>
      </c>
      <c r="AX88" s="173">
        <f t="shared" si="443"/>
        <v>1</v>
      </c>
      <c r="AY88" s="173">
        <f t="shared" si="443"/>
        <v>1</v>
      </c>
      <c r="AZ88" s="173">
        <f t="shared" si="443"/>
        <v>1</v>
      </c>
      <c r="BA88" s="173">
        <f t="shared" si="443"/>
        <v>1</v>
      </c>
      <c r="BB88" s="173">
        <f t="shared" si="444"/>
        <v>1</v>
      </c>
      <c r="BC88" s="173">
        <f t="shared" si="444"/>
        <v>1</v>
      </c>
      <c r="BD88" s="173">
        <f t="shared" si="444"/>
        <v>1</v>
      </c>
      <c r="BE88" s="173">
        <f t="shared" si="444"/>
        <v>1</v>
      </c>
      <c r="BF88" s="173">
        <f t="shared" si="444"/>
        <v>1</v>
      </c>
      <c r="BG88" s="173">
        <f t="shared" si="444"/>
        <v>1</v>
      </c>
      <c r="BH88" s="173">
        <f t="shared" si="444"/>
        <v>1</v>
      </c>
      <c r="BI88" s="173">
        <f t="shared" si="444"/>
        <v>1</v>
      </c>
      <c r="BJ88" s="173">
        <f t="shared" si="444"/>
        <v>1</v>
      </c>
      <c r="BK88" s="173">
        <f t="shared" si="444"/>
        <v>1</v>
      </c>
      <c r="BL88" s="173">
        <f t="shared" si="444"/>
        <v>1</v>
      </c>
      <c r="BM88" s="173">
        <f t="shared" si="444"/>
        <v>1</v>
      </c>
      <c r="BN88" s="173">
        <f t="shared" si="444"/>
        <v>1</v>
      </c>
      <c r="BO88" s="173">
        <f t="shared" si="444"/>
        <v>1</v>
      </c>
      <c r="BP88" s="173">
        <f t="shared" si="444"/>
        <v>1</v>
      </c>
      <c r="BQ88" s="173">
        <f t="shared" si="444"/>
        <v>1</v>
      </c>
      <c r="BR88" s="173">
        <f t="shared" si="445"/>
        <v>1</v>
      </c>
      <c r="BS88" s="173">
        <f t="shared" si="445"/>
        <v>1</v>
      </c>
      <c r="BT88" s="173">
        <f t="shared" si="445"/>
        <v>1</v>
      </c>
      <c r="BU88" s="173">
        <f t="shared" si="445"/>
        <v>1</v>
      </c>
      <c r="BV88" s="173">
        <f t="shared" si="445"/>
        <v>1</v>
      </c>
      <c r="BW88" s="173">
        <f t="shared" si="445"/>
        <v>1</v>
      </c>
      <c r="BX88" s="173">
        <f t="shared" si="445"/>
        <v>1</v>
      </c>
      <c r="BY88" s="173">
        <f t="shared" si="445"/>
        <v>1</v>
      </c>
      <c r="BZ88" s="173">
        <f t="shared" si="445"/>
        <v>1</v>
      </c>
      <c r="CA88" s="173">
        <f t="shared" si="445"/>
        <v>1</v>
      </c>
      <c r="CB88" s="173">
        <f t="shared" si="445"/>
        <v>1</v>
      </c>
      <c r="CC88" s="173">
        <f t="shared" si="445"/>
        <v>1</v>
      </c>
      <c r="CD88" s="173">
        <f t="shared" si="445"/>
        <v>1</v>
      </c>
      <c r="CE88" s="173">
        <f t="shared" si="445"/>
        <v>1</v>
      </c>
      <c r="CF88" s="173">
        <f t="shared" si="445"/>
        <v>1</v>
      </c>
      <c r="CG88" s="173">
        <f t="shared" si="445"/>
        <v>1</v>
      </c>
      <c r="CH88" s="173">
        <f t="shared" si="446"/>
        <v>1</v>
      </c>
      <c r="CI88" s="173">
        <f t="shared" si="446"/>
        <v>1</v>
      </c>
      <c r="CJ88" s="173">
        <f t="shared" si="446"/>
        <v>1</v>
      </c>
      <c r="CK88" s="173">
        <f t="shared" si="446"/>
        <v>1</v>
      </c>
      <c r="CL88" s="173">
        <f t="shared" si="446"/>
        <v>1</v>
      </c>
      <c r="CM88" s="173">
        <f t="shared" si="446"/>
        <v>1</v>
      </c>
      <c r="CN88" s="173">
        <f t="shared" si="446"/>
        <v>1</v>
      </c>
      <c r="CO88" s="173">
        <f t="shared" si="446"/>
        <v>1</v>
      </c>
      <c r="CP88" s="173">
        <f t="shared" si="446"/>
        <v>1</v>
      </c>
      <c r="CQ88" s="173">
        <f t="shared" si="446"/>
        <v>1</v>
      </c>
      <c r="CR88" s="173">
        <f t="shared" si="446"/>
        <v>1</v>
      </c>
      <c r="CS88" s="173">
        <f t="shared" si="446"/>
        <v>1</v>
      </c>
      <c r="CT88" s="173">
        <f t="shared" si="446"/>
        <v>1</v>
      </c>
      <c r="CU88" s="173">
        <f t="shared" si="446"/>
        <v>1</v>
      </c>
      <c r="CV88" s="173">
        <f t="shared" si="446"/>
        <v>1</v>
      </c>
      <c r="CW88" s="173">
        <f t="shared" si="446"/>
        <v>1</v>
      </c>
      <c r="CX88" s="173">
        <f t="shared" si="447"/>
        <v>1</v>
      </c>
      <c r="CY88" s="173">
        <f t="shared" si="447"/>
        <v>1</v>
      </c>
      <c r="CZ88" s="173">
        <f t="shared" si="447"/>
        <v>1</v>
      </c>
      <c r="DA88" s="173">
        <f t="shared" si="447"/>
        <v>1</v>
      </c>
      <c r="DB88" s="173">
        <f t="shared" si="447"/>
        <v>1</v>
      </c>
      <c r="DC88" s="173">
        <f t="shared" si="447"/>
        <v>1</v>
      </c>
      <c r="DD88" s="173">
        <f t="shared" si="447"/>
        <v>1</v>
      </c>
      <c r="DE88" s="173">
        <f t="shared" si="447"/>
        <v>1</v>
      </c>
      <c r="DF88" s="173">
        <f t="shared" si="447"/>
        <v>1</v>
      </c>
      <c r="DG88" s="173">
        <f t="shared" si="447"/>
        <v>1</v>
      </c>
      <c r="DH88" s="173">
        <f t="shared" si="447"/>
        <v>1</v>
      </c>
      <c r="DI88" s="173">
        <f t="shared" si="447"/>
        <v>1</v>
      </c>
      <c r="DJ88" s="173">
        <f t="shared" si="447"/>
        <v>1</v>
      </c>
      <c r="DK88" s="173">
        <f t="shared" si="447"/>
        <v>1</v>
      </c>
      <c r="DL88" s="173">
        <f t="shared" si="447"/>
        <v>1</v>
      </c>
      <c r="DM88" s="173">
        <f t="shared" si="447"/>
        <v>1</v>
      </c>
      <c r="DN88" s="173">
        <f t="shared" si="448"/>
        <v>1</v>
      </c>
      <c r="DO88" s="173">
        <f t="shared" si="448"/>
        <v>1</v>
      </c>
      <c r="DP88" s="173">
        <f t="shared" si="448"/>
        <v>1</v>
      </c>
      <c r="DQ88" s="173">
        <f t="shared" si="448"/>
        <v>1</v>
      </c>
      <c r="DR88" s="173">
        <f t="shared" si="448"/>
        <v>1</v>
      </c>
      <c r="DS88" s="173">
        <f t="shared" si="448"/>
        <v>1</v>
      </c>
      <c r="DT88" s="173">
        <f t="shared" si="448"/>
        <v>1</v>
      </c>
      <c r="DU88" s="173">
        <f t="shared" si="448"/>
        <v>1</v>
      </c>
      <c r="DV88" s="173">
        <f t="shared" si="448"/>
        <v>1</v>
      </c>
      <c r="DW88" s="173">
        <f t="shared" si="448"/>
        <v>1</v>
      </c>
      <c r="DX88" s="173">
        <f t="shared" si="448"/>
        <v>1</v>
      </c>
      <c r="DY88" s="173">
        <f t="shared" si="448"/>
        <v>1</v>
      </c>
      <c r="DZ88" s="173">
        <f t="shared" si="448"/>
        <v>1</v>
      </c>
      <c r="EA88" s="173">
        <f t="shared" si="448"/>
        <v>1</v>
      </c>
      <c r="EB88" s="173">
        <f t="shared" si="448"/>
        <v>1</v>
      </c>
      <c r="EC88" s="173">
        <f t="shared" si="448"/>
        <v>1</v>
      </c>
      <c r="ED88" s="173">
        <f t="shared" si="449"/>
        <v>1</v>
      </c>
      <c r="EE88" s="173">
        <f t="shared" si="449"/>
        <v>1</v>
      </c>
      <c r="EF88" s="173">
        <f t="shared" si="449"/>
        <v>1</v>
      </c>
      <c r="EG88" s="173">
        <f t="shared" si="449"/>
        <v>1</v>
      </c>
      <c r="EH88" s="173">
        <f t="shared" si="449"/>
        <v>1</v>
      </c>
      <c r="EI88" s="173">
        <f t="shared" si="449"/>
        <v>1</v>
      </c>
      <c r="EJ88" s="173">
        <f t="shared" si="449"/>
        <v>1</v>
      </c>
      <c r="EK88" s="173">
        <f t="shared" si="449"/>
        <v>1</v>
      </c>
      <c r="EL88" s="173">
        <f t="shared" si="449"/>
        <v>1</v>
      </c>
      <c r="EM88" s="173">
        <f t="shared" si="449"/>
        <v>1</v>
      </c>
      <c r="EN88" s="173">
        <f t="shared" si="449"/>
        <v>1</v>
      </c>
      <c r="EO88" s="173">
        <f t="shared" si="449"/>
        <v>1</v>
      </c>
      <c r="EP88" s="173">
        <f t="shared" si="449"/>
        <v>1</v>
      </c>
      <c r="EQ88" s="173">
        <f t="shared" si="449"/>
        <v>1</v>
      </c>
      <c r="ER88" s="173">
        <f t="shared" si="449"/>
        <v>1</v>
      </c>
      <c r="ES88" s="173">
        <f t="shared" si="449"/>
        <v>1</v>
      </c>
      <c r="ET88" s="173">
        <f t="shared" si="450"/>
        <v>1</v>
      </c>
      <c r="EU88" s="173">
        <f t="shared" si="450"/>
        <v>1</v>
      </c>
      <c r="EV88" s="173">
        <f t="shared" si="450"/>
        <v>1</v>
      </c>
      <c r="EW88" s="173">
        <f t="shared" si="450"/>
        <v>1</v>
      </c>
      <c r="EX88" s="173">
        <f t="shared" si="450"/>
        <v>1</v>
      </c>
      <c r="EY88" s="173"/>
      <c r="EZ88" s="173"/>
      <c r="FA88" s="709"/>
      <c r="FB88" s="173">
        <v>8</v>
      </c>
      <c r="FC88" s="173">
        <f t="shared" si="451"/>
        <v>8</v>
      </c>
      <c r="FD88" s="100"/>
    </row>
    <row r="89" spans="2:160" x14ac:dyDescent="0.45">
      <c r="B89" s="2" t="s">
        <v>1167</v>
      </c>
      <c r="C89" s="109" t="s">
        <v>5</v>
      </c>
      <c r="D89" s="182">
        <f t="shared" ref="D89:AI89" si="452">D85-D35</f>
        <v>0</v>
      </c>
      <c r="E89" s="182">
        <f t="shared" si="452"/>
        <v>-1</v>
      </c>
      <c r="F89" s="182">
        <f t="shared" si="452"/>
        <v>0</v>
      </c>
      <c r="G89" s="182">
        <f t="shared" si="452"/>
        <v>0</v>
      </c>
      <c r="H89" s="182">
        <f t="shared" si="452"/>
        <v>-1</v>
      </c>
      <c r="I89" s="182">
        <f t="shared" si="452"/>
        <v>0</v>
      </c>
      <c r="J89" s="182">
        <f t="shared" si="452"/>
        <v>-1</v>
      </c>
      <c r="K89" s="182">
        <f t="shared" si="452"/>
        <v>-1</v>
      </c>
      <c r="L89" s="182">
        <f t="shared" si="452"/>
        <v>-1</v>
      </c>
      <c r="M89" s="182">
        <f t="shared" si="452"/>
        <v>-1</v>
      </c>
      <c r="N89" s="182">
        <f t="shared" si="452"/>
        <v>0</v>
      </c>
      <c r="O89" s="182">
        <f t="shared" si="452"/>
        <v>-1</v>
      </c>
      <c r="P89" s="182">
        <f t="shared" si="452"/>
        <v>-1</v>
      </c>
      <c r="Q89" s="182">
        <f t="shared" si="452"/>
        <v>-1</v>
      </c>
      <c r="R89" s="182">
        <f t="shared" si="452"/>
        <v>0</v>
      </c>
      <c r="S89" s="182">
        <f t="shared" si="452"/>
        <v>0</v>
      </c>
      <c r="T89" s="182">
        <f t="shared" si="452"/>
        <v>-1</v>
      </c>
      <c r="U89" s="182">
        <f t="shared" si="452"/>
        <v>-1</v>
      </c>
      <c r="V89" s="182">
        <f t="shared" si="452"/>
        <v>-1</v>
      </c>
      <c r="W89" s="182">
        <f t="shared" si="452"/>
        <v>-1</v>
      </c>
      <c r="X89" s="182">
        <f t="shared" si="452"/>
        <v>-1</v>
      </c>
      <c r="Y89" s="182">
        <f t="shared" si="452"/>
        <v>-1</v>
      </c>
      <c r="Z89" s="182">
        <f t="shared" si="452"/>
        <v>0</v>
      </c>
      <c r="AA89" s="182">
        <f t="shared" si="452"/>
        <v>0</v>
      </c>
      <c r="AB89" s="182">
        <f t="shared" si="452"/>
        <v>0</v>
      </c>
      <c r="AC89" s="182">
        <f t="shared" si="452"/>
        <v>0</v>
      </c>
      <c r="AD89" s="182">
        <f t="shared" si="452"/>
        <v>-1</v>
      </c>
      <c r="AE89" s="182">
        <f t="shared" si="452"/>
        <v>-1</v>
      </c>
      <c r="AF89" s="182">
        <f t="shared" si="452"/>
        <v>-1</v>
      </c>
      <c r="AG89" s="182" t="e">
        <f t="shared" si="452"/>
        <v>#DIV/0!</v>
      </c>
      <c r="AH89" s="182" t="e">
        <f t="shared" si="452"/>
        <v>#DIV/0!</v>
      </c>
      <c r="AI89" s="182" t="e">
        <f t="shared" si="452"/>
        <v>#DIV/0!</v>
      </c>
      <c r="AJ89" s="182" t="e">
        <f t="shared" ref="AJ89:BO89" si="453">AJ85-AJ35</f>
        <v>#DIV/0!</v>
      </c>
      <c r="AK89" s="182" t="e">
        <f t="shared" si="453"/>
        <v>#DIV/0!</v>
      </c>
      <c r="AL89" s="182" t="e">
        <f t="shared" si="453"/>
        <v>#DIV/0!</v>
      </c>
      <c r="AM89" s="182" t="e">
        <f t="shared" si="453"/>
        <v>#DIV/0!</v>
      </c>
      <c r="AN89" s="182" t="e">
        <f t="shared" si="453"/>
        <v>#DIV/0!</v>
      </c>
      <c r="AO89" s="182" t="e">
        <f t="shared" si="453"/>
        <v>#DIV/0!</v>
      </c>
      <c r="AP89" s="182" t="e">
        <f t="shared" si="453"/>
        <v>#DIV/0!</v>
      </c>
      <c r="AQ89" s="182" t="e">
        <f t="shared" si="453"/>
        <v>#DIV/0!</v>
      </c>
      <c r="AR89" s="182" t="e">
        <f t="shared" si="453"/>
        <v>#DIV/0!</v>
      </c>
      <c r="AS89" s="182" t="e">
        <f t="shared" si="453"/>
        <v>#DIV/0!</v>
      </c>
      <c r="AT89" s="182" t="e">
        <f t="shared" si="453"/>
        <v>#DIV/0!</v>
      </c>
      <c r="AU89" s="182" t="e">
        <f t="shared" si="453"/>
        <v>#DIV/0!</v>
      </c>
      <c r="AV89" s="182" t="e">
        <f t="shared" si="453"/>
        <v>#DIV/0!</v>
      </c>
      <c r="AW89" s="182" t="e">
        <f t="shared" si="453"/>
        <v>#DIV/0!</v>
      </c>
      <c r="AX89" s="182" t="e">
        <f t="shared" si="453"/>
        <v>#DIV/0!</v>
      </c>
      <c r="AY89" s="182" t="e">
        <f t="shared" si="453"/>
        <v>#DIV/0!</v>
      </c>
      <c r="AZ89" s="182" t="e">
        <f t="shared" si="453"/>
        <v>#DIV/0!</v>
      </c>
      <c r="BA89" s="182" t="e">
        <f t="shared" si="453"/>
        <v>#DIV/0!</v>
      </c>
      <c r="BB89" s="182" t="e">
        <f t="shared" si="453"/>
        <v>#DIV/0!</v>
      </c>
      <c r="BC89" s="182" t="e">
        <f t="shared" si="453"/>
        <v>#DIV/0!</v>
      </c>
      <c r="BD89" s="182" t="e">
        <f t="shared" si="453"/>
        <v>#DIV/0!</v>
      </c>
      <c r="BE89" s="182" t="e">
        <f t="shared" si="453"/>
        <v>#DIV/0!</v>
      </c>
      <c r="BF89" s="182" t="e">
        <f t="shared" si="453"/>
        <v>#DIV/0!</v>
      </c>
      <c r="BG89" s="182" t="e">
        <f t="shared" si="453"/>
        <v>#DIV/0!</v>
      </c>
      <c r="BH89" s="182" t="e">
        <f t="shared" si="453"/>
        <v>#DIV/0!</v>
      </c>
      <c r="BI89" s="182" t="e">
        <f t="shared" si="453"/>
        <v>#DIV/0!</v>
      </c>
      <c r="BJ89" s="182" t="e">
        <f t="shared" si="453"/>
        <v>#DIV/0!</v>
      </c>
      <c r="BK89" s="182" t="e">
        <f t="shared" si="453"/>
        <v>#DIV/0!</v>
      </c>
      <c r="BL89" s="182" t="e">
        <f t="shared" si="453"/>
        <v>#DIV/0!</v>
      </c>
      <c r="BM89" s="182" t="e">
        <f t="shared" si="453"/>
        <v>#DIV/0!</v>
      </c>
      <c r="BN89" s="182" t="e">
        <f t="shared" si="453"/>
        <v>#DIV/0!</v>
      </c>
      <c r="BO89" s="182" t="e">
        <f t="shared" si="453"/>
        <v>#DIV/0!</v>
      </c>
      <c r="BP89" s="182" t="e">
        <f t="shared" ref="BP89:CU89" si="454">BP85-BP35</f>
        <v>#DIV/0!</v>
      </c>
      <c r="BQ89" s="182" t="e">
        <f t="shared" si="454"/>
        <v>#DIV/0!</v>
      </c>
      <c r="BR89" s="182" t="e">
        <f t="shared" si="454"/>
        <v>#DIV/0!</v>
      </c>
      <c r="BS89" s="182" t="e">
        <f t="shared" si="454"/>
        <v>#DIV/0!</v>
      </c>
      <c r="BT89" s="182" t="e">
        <f t="shared" si="454"/>
        <v>#DIV/0!</v>
      </c>
      <c r="BU89" s="182" t="e">
        <f t="shared" si="454"/>
        <v>#DIV/0!</v>
      </c>
      <c r="BV89" s="182" t="e">
        <f t="shared" si="454"/>
        <v>#DIV/0!</v>
      </c>
      <c r="BW89" s="182" t="e">
        <f t="shared" si="454"/>
        <v>#DIV/0!</v>
      </c>
      <c r="BX89" s="182" t="e">
        <f t="shared" si="454"/>
        <v>#DIV/0!</v>
      </c>
      <c r="BY89" s="182" t="e">
        <f t="shared" si="454"/>
        <v>#DIV/0!</v>
      </c>
      <c r="BZ89" s="182" t="e">
        <f t="shared" si="454"/>
        <v>#DIV/0!</v>
      </c>
      <c r="CA89" s="182" t="e">
        <f t="shared" si="454"/>
        <v>#DIV/0!</v>
      </c>
      <c r="CB89" s="182" t="e">
        <f t="shared" si="454"/>
        <v>#DIV/0!</v>
      </c>
      <c r="CC89" s="182" t="e">
        <f t="shared" si="454"/>
        <v>#DIV/0!</v>
      </c>
      <c r="CD89" s="182" t="e">
        <f t="shared" si="454"/>
        <v>#DIV/0!</v>
      </c>
      <c r="CE89" s="182" t="e">
        <f t="shared" si="454"/>
        <v>#DIV/0!</v>
      </c>
      <c r="CF89" s="182" t="e">
        <f t="shared" si="454"/>
        <v>#DIV/0!</v>
      </c>
      <c r="CG89" s="182" t="e">
        <f t="shared" si="454"/>
        <v>#DIV/0!</v>
      </c>
      <c r="CH89" s="182" t="e">
        <f t="shared" si="454"/>
        <v>#DIV/0!</v>
      </c>
      <c r="CI89" s="182" t="e">
        <f t="shared" si="454"/>
        <v>#DIV/0!</v>
      </c>
      <c r="CJ89" s="182" t="e">
        <f t="shared" si="454"/>
        <v>#DIV/0!</v>
      </c>
      <c r="CK89" s="182" t="e">
        <f t="shared" si="454"/>
        <v>#DIV/0!</v>
      </c>
      <c r="CL89" s="182" t="e">
        <f t="shared" si="454"/>
        <v>#DIV/0!</v>
      </c>
      <c r="CM89" s="182" t="e">
        <f t="shared" si="454"/>
        <v>#DIV/0!</v>
      </c>
      <c r="CN89" s="182" t="e">
        <f t="shared" si="454"/>
        <v>#DIV/0!</v>
      </c>
      <c r="CO89" s="182" t="e">
        <f t="shared" si="454"/>
        <v>#DIV/0!</v>
      </c>
      <c r="CP89" s="182" t="e">
        <f t="shared" si="454"/>
        <v>#DIV/0!</v>
      </c>
      <c r="CQ89" s="182" t="e">
        <f t="shared" si="454"/>
        <v>#DIV/0!</v>
      </c>
      <c r="CR89" s="182" t="e">
        <f t="shared" si="454"/>
        <v>#DIV/0!</v>
      </c>
      <c r="CS89" s="182" t="e">
        <f t="shared" si="454"/>
        <v>#DIV/0!</v>
      </c>
      <c r="CT89" s="182" t="e">
        <f t="shared" si="454"/>
        <v>#DIV/0!</v>
      </c>
      <c r="CU89" s="182" t="e">
        <f t="shared" si="454"/>
        <v>#DIV/0!</v>
      </c>
      <c r="CV89" s="182" t="e">
        <f t="shared" ref="CV89:EA89" si="455">CV85-CV35</f>
        <v>#DIV/0!</v>
      </c>
      <c r="CW89" s="182" t="e">
        <f t="shared" si="455"/>
        <v>#DIV/0!</v>
      </c>
      <c r="CX89" s="182" t="e">
        <f t="shared" si="455"/>
        <v>#DIV/0!</v>
      </c>
      <c r="CY89" s="182" t="e">
        <f t="shared" si="455"/>
        <v>#DIV/0!</v>
      </c>
      <c r="CZ89" s="182" t="e">
        <f t="shared" si="455"/>
        <v>#DIV/0!</v>
      </c>
      <c r="DA89" s="182" t="e">
        <f t="shared" si="455"/>
        <v>#DIV/0!</v>
      </c>
      <c r="DB89" s="182" t="e">
        <f t="shared" si="455"/>
        <v>#DIV/0!</v>
      </c>
      <c r="DC89" s="182" t="e">
        <f t="shared" si="455"/>
        <v>#DIV/0!</v>
      </c>
      <c r="DD89" s="182" t="e">
        <f t="shared" si="455"/>
        <v>#DIV/0!</v>
      </c>
      <c r="DE89" s="182" t="e">
        <f t="shared" si="455"/>
        <v>#DIV/0!</v>
      </c>
      <c r="DF89" s="182" t="e">
        <f t="shared" si="455"/>
        <v>#DIV/0!</v>
      </c>
      <c r="DG89" s="182" t="e">
        <f t="shared" si="455"/>
        <v>#DIV/0!</v>
      </c>
      <c r="DH89" s="182" t="e">
        <f t="shared" si="455"/>
        <v>#DIV/0!</v>
      </c>
      <c r="DI89" s="182" t="e">
        <f t="shared" si="455"/>
        <v>#DIV/0!</v>
      </c>
      <c r="DJ89" s="182" t="e">
        <f t="shared" si="455"/>
        <v>#DIV/0!</v>
      </c>
      <c r="DK89" s="182" t="e">
        <f t="shared" si="455"/>
        <v>#DIV/0!</v>
      </c>
      <c r="DL89" s="182" t="e">
        <f t="shared" si="455"/>
        <v>#DIV/0!</v>
      </c>
      <c r="DM89" s="182" t="e">
        <f t="shared" si="455"/>
        <v>#DIV/0!</v>
      </c>
      <c r="DN89" s="182" t="e">
        <f t="shared" si="455"/>
        <v>#DIV/0!</v>
      </c>
      <c r="DO89" s="182" t="e">
        <f t="shared" si="455"/>
        <v>#DIV/0!</v>
      </c>
      <c r="DP89" s="182" t="e">
        <f t="shared" si="455"/>
        <v>#DIV/0!</v>
      </c>
      <c r="DQ89" s="182" t="e">
        <f t="shared" si="455"/>
        <v>#DIV/0!</v>
      </c>
      <c r="DR89" s="182" t="e">
        <f t="shared" si="455"/>
        <v>#DIV/0!</v>
      </c>
      <c r="DS89" s="182" t="e">
        <f t="shared" si="455"/>
        <v>#DIV/0!</v>
      </c>
      <c r="DT89" s="182" t="e">
        <f t="shared" si="455"/>
        <v>#DIV/0!</v>
      </c>
      <c r="DU89" s="182" t="e">
        <f t="shared" si="455"/>
        <v>#DIV/0!</v>
      </c>
      <c r="DV89" s="182" t="e">
        <f t="shared" si="455"/>
        <v>#DIV/0!</v>
      </c>
      <c r="DW89" s="182" t="e">
        <f t="shared" si="455"/>
        <v>#DIV/0!</v>
      </c>
      <c r="DX89" s="182" t="e">
        <f t="shared" si="455"/>
        <v>#DIV/0!</v>
      </c>
      <c r="DY89" s="182" t="e">
        <f t="shared" si="455"/>
        <v>#DIV/0!</v>
      </c>
      <c r="DZ89" s="182" t="e">
        <f t="shared" si="455"/>
        <v>#DIV/0!</v>
      </c>
      <c r="EA89" s="182" t="e">
        <f t="shared" si="455"/>
        <v>#DIV/0!</v>
      </c>
      <c r="EB89" s="182" t="e">
        <f t="shared" ref="EB89:EX89" si="456">EB85-EB35</f>
        <v>#DIV/0!</v>
      </c>
      <c r="EC89" s="182" t="e">
        <f t="shared" si="456"/>
        <v>#DIV/0!</v>
      </c>
      <c r="ED89" s="182" t="e">
        <f t="shared" si="456"/>
        <v>#DIV/0!</v>
      </c>
      <c r="EE89" s="182" t="e">
        <f t="shared" si="456"/>
        <v>#DIV/0!</v>
      </c>
      <c r="EF89" s="182" t="e">
        <f t="shared" si="456"/>
        <v>#DIV/0!</v>
      </c>
      <c r="EG89" s="182" t="e">
        <f t="shared" si="456"/>
        <v>#DIV/0!</v>
      </c>
      <c r="EH89" s="182" t="e">
        <f t="shared" si="456"/>
        <v>#DIV/0!</v>
      </c>
      <c r="EI89" s="182" t="e">
        <f t="shared" si="456"/>
        <v>#DIV/0!</v>
      </c>
      <c r="EJ89" s="182" t="e">
        <f t="shared" si="456"/>
        <v>#DIV/0!</v>
      </c>
      <c r="EK89" s="182" t="e">
        <f t="shared" si="456"/>
        <v>#DIV/0!</v>
      </c>
      <c r="EL89" s="182" t="e">
        <f t="shared" si="456"/>
        <v>#DIV/0!</v>
      </c>
      <c r="EM89" s="182" t="e">
        <f t="shared" si="456"/>
        <v>#DIV/0!</v>
      </c>
      <c r="EN89" s="182" t="e">
        <f t="shared" si="456"/>
        <v>#DIV/0!</v>
      </c>
      <c r="EO89" s="182" t="e">
        <f t="shared" si="456"/>
        <v>#DIV/0!</v>
      </c>
      <c r="EP89" s="182" t="e">
        <f t="shared" si="456"/>
        <v>#DIV/0!</v>
      </c>
      <c r="EQ89" s="182" t="e">
        <f t="shared" si="456"/>
        <v>#DIV/0!</v>
      </c>
      <c r="ER89" s="182" t="e">
        <f t="shared" si="456"/>
        <v>#DIV/0!</v>
      </c>
      <c r="ES89" s="182" t="e">
        <f t="shared" si="456"/>
        <v>#DIV/0!</v>
      </c>
      <c r="ET89" s="182" t="e">
        <f t="shared" si="456"/>
        <v>#DIV/0!</v>
      </c>
      <c r="EU89" s="182" t="e">
        <f t="shared" si="456"/>
        <v>#DIV/0!</v>
      </c>
      <c r="EV89" s="182" t="e">
        <f t="shared" si="456"/>
        <v>#DIV/0!</v>
      </c>
      <c r="EW89" s="182" t="e">
        <f t="shared" si="456"/>
        <v>#DIV/0!</v>
      </c>
      <c r="EX89" s="182" t="e">
        <f t="shared" si="456"/>
        <v>#DIV/0!</v>
      </c>
      <c r="EY89" s="710"/>
      <c r="EZ89" s="710"/>
      <c r="FA89" s="709"/>
      <c r="FB89" s="182">
        <f t="shared" ref="FB89:FC89" si="457">FB85-FB35</f>
        <v>0</v>
      </c>
      <c r="FC89" s="182">
        <f t="shared" si="457"/>
        <v>-1</v>
      </c>
      <c r="FD89" s="100"/>
    </row>
    <row r="90" spans="2:160" x14ac:dyDescent="0.45">
      <c r="B90" s="2" t="s">
        <v>1172</v>
      </c>
      <c r="C90" s="109" t="s">
        <v>1</v>
      </c>
      <c r="D90" s="108">
        <f>(1000000/(D72/D88))/D84</f>
        <v>2.5432867403202507E-2</v>
      </c>
      <c r="E90" s="108">
        <f t="shared" ref="E90:BP90" si="458">(1000000/(E72/E88))/E84</f>
        <v>2.5274899282685719E-2</v>
      </c>
      <c r="F90" s="108">
        <f t="shared" ref="F90" si="459">(1000000/(F72/F88))/F84</f>
        <v>2.5222678416399177E-2</v>
      </c>
      <c r="G90" s="108">
        <f t="shared" si="458"/>
        <v>2.5274899282685722E-2</v>
      </c>
      <c r="H90" s="108">
        <f t="shared" si="458"/>
        <v>2.5432867403202507E-2</v>
      </c>
      <c r="I90" s="108">
        <f t="shared" si="458"/>
        <v>2.5700581796920429E-2</v>
      </c>
      <c r="J90" s="108">
        <f t="shared" si="458"/>
        <v>2.6084992208412826E-2</v>
      </c>
      <c r="K90" s="108">
        <f t="shared" si="458"/>
        <v>2.5118881385879019E-2</v>
      </c>
      <c r="L90" s="108">
        <f t="shared" si="458"/>
        <v>2.5646588978019337E-2</v>
      </c>
      <c r="M90" s="108">
        <f t="shared" si="458"/>
        <v>2.4762223840846254E-2</v>
      </c>
      <c r="N90" s="108">
        <f t="shared" si="458"/>
        <v>2.5432867403202507E-2</v>
      </c>
      <c r="O90" s="108">
        <f t="shared" si="458"/>
        <v>2.6253282480725171E-2</v>
      </c>
      <c r="P90" s="108">
        <f t="shared" si="458"/>
        <v>2.5432867403202507E-2</v>
      </c>
      <c r="Q90" s="108">
        <f t="shared" si="458"/>
        <v>2.4662174451590312E-2</v>
      </c>
      <c r="R90" s="108">
        <f t="shared" si="458"/>
        <v>2.5646588978019334E-2</v>
      </c>
      <c r="S90" s="108">
        <f t="shared" si="458"/>
        <v>2.4913829292933069E-2</v>
      </c>
      <c r="T90" s="108">
        <f t="shared" si="458"/>
        <v>2.6084992208412826E-2</v>
      </c>
      <c r="U90" s="108">
        <f t="shared" si="458"/>
        <v>2.5379992418996262E-2</v>
      </c>
      <c r="V90" s="108">
        <f t="shared" si="458"/>
        <v>2.4712097881654259E-2</v>
      </c>
      <c r="W90" s="108">
        <f t="shared" si="458"/>
        <v>2.6084992208412826E-2</v>
      </c>
      <c r="X90" s="108">
        <f t="shared" si="458"/>
        <v>2.5432867403202507E-2</v>
      </c>
      <c r="Y90" s="108">
        <f t="shared" si="458"/>
        <v>2.4812553564100007E-2</v>
      </c>
      <c r="Z90" s="108">
        <f t="shared" si="458"/>
        <v>2.6423758340989614E-2</v>
      </c>
      <c r="AA90" s="108">
        <f t="shared" si="458"/>
        <v>2.5809252333059626E-2</v>
      </c>
      <c r="AB90" s="108">
        <f t="shared" si="458"/>
        <v>2.5222678416399177E-2</v>
      </c>
      <c r="AC90" s="108">
        <f t="shared" si="458"/>
        <v>2.4662174451590309E-2</v>
      </c>
      <c r="AD90" s="108">
        <f t="shared" si="458"/>
        <v>2.6538644246820009E-2</v>
      </c>
      <c r="AE90" s="108">
        <f t="shared" si="458"/>
        <v>2.5973992241568513E-2</v>
      </c>
      <c r="AF90" s="108">
        <f t="shared" si="458"/>
        <v>2.5432867403202507E-2</v>
      </c>
      <c r="AG90" s="108">
        <f t="shared" si="458"/>
        <v>2.4913829292933069E-2</v>
      </c>
      <c r="AH90" s="108">
        <f t="shared" si="458"/>
        <v>2.4415552707074406E-2</v>
      </c>
      <c r="AI90" s="108">
        <f t="shared" si="458"/>
        <v>2.6596462643871902E-2</v>
      </c>
      <c r="AJ90" s="108">
        <f t="shared" si="458"/>
        <v>2.6084992208412826E-2</v>
      </c>
      <c r="AK90" s="108">
        <f t="shared" si="458"/>
        <v>2.5592822544103153E-2</v>
      </c>
      <c r="AL90" s="108">
        <f t="shared" si="458"/>
        <v>2.5118881385879019E-2</v>
      </c>
      <c r="AM90" s="108">
        <f t="shared" si="458"/>
        <v>2.4662174451590309E-2</v>
      </c>
      <c r="AN90" s="108">
        <f t="shared" si="458"/>
        <v>2.4221778479240483E-2</v>
      </c>
      <c r="AO90" s="108">
        <f t="shared" si="458"/>
        <v>2.6771439371792112E-2</v>
      </c>
      <c r="AP90" s="108">
        <f t="shared" si="458"/>
        <v>2.6309862830899144E-2</v>
      </c>
      <c r="AQ90" s="108">
        <f t="shared" si="458"/>
        <v>2.5863932952409328E-2</v>
      </c>
      <c r="AR90" s="108">
        <f t="shared" si="458"/>
        <v>2.5432867403202507E-2</v>
      </c>
      <c r="AS90" s="108">
        <f t="shared" si="458"/>
        <v>2.501593515069099E-2</v>
      </c>
      <c r="AT90" s="108">
        <f t="shared" si="458"/>
        <v>2.4612452325679848E-2</v>
      </c>
      <c r="AU90" s="108">
        <f t="shared" si="458"/>
        <v>2.422177847924048E-2</v>
      </c>
      <c r="AV90" s="108">
        <f t="shared" si="458"/>
        <v>2.7249500789145543E-2</v>
      </c>
      <c r="AW90" s="108">
        <f t="shared" si="458"/>
        <v>2.6830277700081766E-2</v>
      </c>
      <c r="AX90" s="108">
        <f t="shared" si="458"/>
        <v>2.6423758340989621E-2</v>
      </c>
      <c r="AY90" s="108">
        <f t="shared" si="458"/>
        <v>2.6029373888139026E-2</v>
      </c>
      <c r="AZ90" s="108">
        <f t="shared" si="458"/>
        <v>2.5646588978019334E-2</v>
      </c>
      <c r="BA90" s="108">
        <f t="shared" si="458"/>
        <v>2.5274899282685719E-2</v>
      </c>
      <c r="BB90" s="108">
        <f t="shared" si="458"/>
        <v>2.4913829292933069E-2</v>
      </c>
      <c r="BC90" s="108">
        <f t="shared" si="458"/>
        <v>2.4562930288807253E-2</v>
      </c>
      <c r="BD90" s="108">
        <f t="shared" si="458"/>
        <v>2.4221778479240483E-2</v>
      </c>
      <c r="BE90" s="108">
        <f t="shared" si="458"/>
        <v>2.3889973294593352E-2</v>
      </c>
      <c r="BF90" s="108">
        <f t="shared" si="458"/>
        <v>2.7494991787245952E-2</v>
      </c>
      <c r="BG90" s="108">
        <f t="shared" si="458"/>
        <v>2.712839189674934E-2</v>
      </c>
      <c r="BH90" s="108">
        <f t="shared" si="458"/>
        <v>2.6771439371792115E-2</v>
      </c>
      <c r="BI90" s="108">
        <f t="shared" si="458"/>
        <v>2.6423758340989621E-2</v>
      </c>
      <c r="BJ90" s="108">
        <f t="shared" si="458"/>
        <v>2.6084992208412826E-2</v>
      </c>
      <c r="BK90" s="108">
        <f t="shared" si="458"/>
        <v>2.5754802433622794E-2</v>
      </c>
      <c r="BL90" s="108">
        <f t="shared" si="458"/>
        <v>2.5432867403202507E-2</v>
      </c>
      <c r="BM90" s="108">
        <f t="shared" si="458"/>
        <v>2.5118881385879019E-2</v>
      </c>
      <c r="BN90" s="108">
        <f t="shared" si="458"/>
        <v>2.4812553564100007E-2</v>
      </c>
      <c r="BO90" s="108">
        <f t="shared" si="458"/>
        <v>2.4513607135616872E-2</v>
      </c>
      <c r="BP90" s="108">
        <f t="shared" si="458"/>
        <v>2.422177847924048E-2</v>
      </c>
      <c r="BQ90" s="108">
        <f t="shared" ref="BQ90:EB90" si="460">(1000000/(BQ72/BQ88))/BQ84</f>
        <v>2.3936816379484714E-2</v>
      </c>
      <c r="BR90" s="108">
        <f t="shared" si="460"/>
        <v>2.3658481305304659E-2</v>
      </c>
      <c r="BS90" s="108">
        <f t="shared" si="460"/>
        <v>2.3386544738577018E-2</v>
      </c>
      <c r="BT90" s="108">
        <f t="shared" si="460"/>
        <v>2.7744946258039097E-2</v>
      </c>
      <c r="BU90" s="108">
        <f t="shared" si="460"/>
        <v>2.7433205288847649E-2</v>
      </c>
      <c r="BV90" s="108">
        <f t="shared" si="460"/>
        <v>2.712839189674934E-2</v>
      </c>
      <c r="BW90" s="108">
        <f t="shared" si="460"/>
        <v>2.6830277700081766E-2</v>
      </c>
      <c r="BX90" s="108">
        <f t="shared" si="460"/>
        <v>2.6538644246820009E-2</v>
      </c>
      <c r="BY90" s="108">
        <f t="shared" si="460"/>
        <v>2.6253282480725167E-2</v>
      </c>
      <c r="BZ90" s="108">
        <f t="shared" si="460"/>
        <v>2.5973992241568513E-2</v>
      </c>
      <c r="CA90" s="108">
        <f t="shared" si="460"/>
        <v>2.5700581796920426E-2</v>
      </c>
      <c r="CB90" s="108">
        <f t="shared" si="460"/>
        <v>2.5432867403202507E-2</v>
      </c>
      <c r="CC90" s="108">
        <f t="shared" si="460"/>
        <v>2.5170672893891143E-2</v>
      </c>
      <c r="CD90" s="108">
        <f t="shared" si="460"/>
        <v>2.4913829292933069E-2</v>
      </c>
      <c r="CE90" s="108">
        <f t="shared" si="460"/>
        <v>2.4662174451590309E-2</v>
      </c>
      <c r="CF90" s="108">
        <f t="shared" si="460"/>
        <v>2.4415552707074406E-2</v>
      </c>
      <c r="CG90" s="108">
        <f t="shared" si="460"/>
        <v>2.4173814561459811E-2</v>
      </c>
      <c r="CH90" s="108">
        <f t="shared" si="460"/>
        <v>2.3936816379484711E-2</v>
      </c>
      <c r="CI90" s="108">
        <f t="shared" si="460"/>
        <v>2.3704420103955733E-2</v>
      </c>
      <c r="CJ90" s="108">
        <f t="shared" si="460"/>
        <v>2.3476492987571543E-2</v>
      </c>
      <c r="CK90" s="108">
        <f t="shared" si="460"/>
        <v>2.3252907340070864E-2</v>
      </c>
      <c r="CL90" s="108">
        <f t="shared" si="460"/>
        <v>2.3033540289692837E-2</v>
      </c>
      <c r="CM90" s="108">
        <f t="shared" si="460"/>
        <v>2.8522841947516829E-2</v>
      </c>
      <c r="CN90" s="108">
        <f t="shared" si="460"/>
        <v>2.8258741559113898E-2</v>
      </c>
      <c r="CO90" s="108">
        <f t="shared" si="460"/>
        <v>2.7999487049397254E-2</v>
      </c>
      <c r="CP90" s="108">
        <f t="shared" si="460"/>
        <v>2.77449462580391E-2</v>
      </c>
      <c r="CQ90" s="108">
        <f t="shared" si="460"/>
        <v>2.7494991787245952E-2</v>
      </c>
      <c r="CR90" s="108">
        <f t="shared" si="460"/>
        <v>2.7249500789145543E-2</v>
      </c>
      <c r="CS90" s="108">
        <f t="shared" si="460"/>
        <v>2.7008354764462839E-2</v>
      </c>
      <c r="CT90" s="108">
        <f t="shared" si="460"/>
        <v>2.6771439371792112E-2</v>
      </c>
      <c r="CU90" s="108">
        <f t="shared" si="460"/>
        <v>2.6538644246820009E-2</v>
      </c>
      <c r="CV90" s="108">
        <f t="shared" si="460"/>
        <v>2.6309862830899144E-2</v>
      </c>
      <c r="CW90" s="108">
        <f t="shared" si="460"/>
        <v>2.608499220841283E-2</v>
      </c>
      <c r="CX90" s="108">
        <f t="shared" si="460"/>
        <v>2.5863932952409328E-2</v>
      </c>
      <c r="CY90" s="108">
        <f t="shared" si="460"/>
        <v>2.5646588978019334E-2</v>
      </c>
      <c r="CZ90" s="108">
        <f t="shared" si="460"/>
        <v>2.5432867403202507E-2</v>
      </c>
      <c r="DA90" s="108">
        <f t="shared" si="460"/>
        <v>2.5222678416399181E-2</v>
      </c>
      <c r="DB90" s="108">
        <f t="shared" si="460"/>
        <v>2.501593515069099E-2</v>
      </c>
      <c r="DC90" s="108">
        <f t="shared" si="460"/>
        <v>2.4812553564100007E-2</v>
      </c>
      <c r="DD90" s="108">
        <f t="shared" si="460"/>
        <v>2.4612452325679848E-2</v>
      </c>
      <c r="DE90" s="108">
        <f t="shared" si="460"/>
        <v>2.4415552707074406E-2</v>
      </c>
      <c r="DF90" s="108">
        <f t="shared" si="460"/>
        <v>2.422177847924048E-2</v>
      </c>
      <c r="DG90" s="108">
        <f t="shared" si="460"/>
        <v>2.4031055814049615E-2</v>
      </c>
      <c r="DH90" s="108">
        <f t="shared" si="460"/>
        <v>2.3843313190502351E-2</v>
      </c>
      <c r="DI90" s="108">
        <f t="shared" si="460"/>
        <v>2.3658481305304655E-2</v>
      </c>
      <c r="DJ90" s="108">
        <f t="shared" si="460"/>
        <v>2.3476492987571547E-2</v>
      </c>
      <c r="DK90" s="108">
        <f t="shared" si="460"/>
        <v>2.3297283117437409E-2</v>
      </c>
      <c r="DL90" s="108">
        <f t="shared" si="460"/>
        <v>2.3120788548365915E-2</v>
      </c>
      <c r="DM90" s="108">
        <f t="shared" si="460"/>
        <v>2.2946948032964667E-2</v>
      </c>
      <c r="DN90" s="108">
        <f t="shared" si="460"/>
        <v>2.2775702152121647E-2</v>
      </c>
      <c r="DO90" s="108">
        <f t="shared" si="460"/>
        <v>2.2606993247291117E-2</v>
      </c>
      <c r="DP90" s="108">
        <f t="shared" si="460"/>
        <v>2.2440765355766917E-2</v>
      </c>
      <c r="DQ90" s="108">
        <f t="shared" si="460"/>
        <v>2.9702618865054022E-2</v>
      </c>
      <c r="DR90" s="108">
        <f t="shared" si="460"/>
        <v>2.9487382496466673E-2</v>
      </c>
      <c r="DS90" s="108">
        <f t="shared" si="460"/>
        <v>2.9275243054046052E-2</v>
      </c>
      <c r="DT90" s="108">
        <f t="shared" si="460"/>
        <v>2.9066134175088579E-2</v>
      </c>
      <c r="DU90" s="108">
        <f t="shared" si="460"/>
        <v>2.8859991379520576E-2</v>
      </c>
      <c r="DV90" s="108">
        <f t="shared" si="460"/>
        <v>2.8656752003608461E-2</v>
      </c>
      <c r="DW90" s="108">
        <f t="shared" si="460"/>
        <v>2.8456355136450357E-2</v>
      </c>
      <c r="DX90" s="108">
        <f t="shared" si="460"/>
        <v>2.8258741559113898E-2</v>
      </c>
      <c r="DY90" s="108">
        <f t="shared" si="460"/>
        <v>2.8063853686292422E-2</v>
      </c>
      <c r="DZ90" s="108">
        <f t="shared" si="460"/>
        <v>2.787163551035891E-2</v>
      </c>
      <c r="EA90" s="108">
        <f t="shared" si="460"/>
        <v>2.7682032547703409E-2</v>
      </c>
      <c r="EB90" s="108">
        <f t="shared" si="460"/>
        <v>2.7494991787245952E-2</v>
      </c>
      <c r="EC90" s="108">
        <f t="shared" ref="EC90:FC90" si="461">(1000000/(EC72/EC88))/EC84</f>
        <v>2.7310461641022826E-2</v>
      </c>
      <c r="ED90" s="108">
        <f t="shared" si="461"/>
        <v>2.712839189674934E-2</v>
      </c>
      <c r="EE90" s="108">
        <f t="shared" si="461"/>
        <v>2.694873367226756E-2</v>
      </c>
      <c r="EF90" s="108">
        <f t="shared" si="461"/>
        <v>2.6771439371792115E-2</v>
      </c>
      <c r="EG90" s="108">
        <f t="shared" si="461"/>
        <v>2.6596462643871902E-2</v>
      </c>
      <c r="EH90" s="108">
        <f t="shared" si="461"/>
        <v>2.6423758340989621E-2</v>
      </c>
      <c r="EI90" s="108">
        <f t="shared" si="461"/>
        <v>2.6253282480725167E-2</v>
      </c>
      <c r="EJ90" s="108">
        <f t="shared" si="461"/>
        <v>2.6084992208412826E-2</v>
      </c>
      <c r="EK90" s="108">
        <f t="shared" si="461"/>
        <v>2.5918845761225485E-2</v>
      </c>
      <c r="EL90" s="108">
        <f t="shared" si="461"/>
        <v>2.5754802433622794E-2</v>
      </c>
      <c r="EM90" s="108">
        <f t="shared" si="461"/>
        <v>2.5592822544103153E-2</v>
      </c>
      <c r="EN90" s="108">
        <f t="shared" si="461"/>
        <v>2.5432867403202507E-2</v>
      </c>
      <c r="EO90" s="108">
        <f t="shared" si="461"/>
        <v>2.5274899282685722E-2</v>
      </c>
      <c r="EP90" s="108">
        <f t="shared" si="461"/>
        <v>2.5118881385879019E-2</v>
      </c>
      <c r="EQ90" s="108">
        <f t="shared" si="461"/>
        <v>2.4964777819094487E-2</v>
      </c>
      <c r="ER90" s="108">
        <f t="shared" si="461"/>
        <v>2.4812553564100007E-2</v>
      </c>
      <c r="ES90" s="108">
        <f t="shared" si="461"/>
        <v>2.4662174451590309E-2</v>
      </c>
      <c r="ET90" s="108">
        <f t="shared" si="461"/>
        <v>2.4513607135616872E-2</v>
      </c>
      <c r="EU90" s="108">
        <f t="shared" si="461"/>
        <v>2.4366819068936531E-2</v>
      </c>
      <c r="EV90" s="108">
        <f t="shared" si="461"/>
        <v>2.422177847924048E-2</v>
      </c>
      <c r="EW90" s="108">
        <f t="shared" si="461"/>
        <v>2.4078454346227223E-2</v>
      </c>
      <c r="EX90" s="108">
        <f t="shared" si="461"/>
        <v>2.3936816379484714E-2</v>
      </c>
      <c r="EY90" s="31"/>
      <c r="EZ90" s="31"/>
      <c r="FA90" s="709"/>
      <c r="FB90" s="108">
        <f t="shared" si="461"/>
        <v>2.5443738804754926E-2</v>
      </c>
      <c r="FC90" s="108">
        <f t="shared" si="461"/>
        <v>2.5443738804754926E-2</v>
      </c>
      <c r="FD90" s="100"/>
    </row>
    <row r="91" spans="2:160" x14ac:dyDescent="0.45">
      <c r="B91" s="2"/>
      <c r="C91" s="109" t="s">
        <v>0</v>
      </c>
      <c r="D91" s="108">
        <f>1/D90</f>
        <v>39.319200000000002</v>
      </c>
      <c r="E91" s="108">
        <f t="shared" ref="E91:BP91" si="462">1/E90</f>
        <v>39.564945000000002</v>
      </c>
      <c r="F91" s="108">
        <f t="shared" ref="F91" si="463">1/F90</f>
        <v>39.646860000000004</v>
      </c>
      <c r="G91" s="108">
        <f t="shared" si="462"/>
        <v>39.564945000000002</v>
      </c>
      <c r="H91" s="108">
        <f t="shared" si="462"/>
        <v>39.319200000000002</v>
      </c>
      <c r="I91" s="108">
        <f t="shared" si="462"/>
        <v>38.909624999999998</v>
      </c>
      <c r="J91" s="108">
        <f t="shared" si="462"/>
        <v>38.336220000000004</v>
      </c>
      <c r="K91" s="108">
        <f t="shared" si="462"/>
        <v>39.810690000000001</v>
      </c>
      <c r="L91" s="108">
        <f t="shared" si="462"/>
        <v>38.991539999999993</v>
      </c>
      <c r="M91" s="108">
        <f t="shared" si="462"/>
        <v>40.384095000000002</v>
      </c>
      <c r="N91" s="108">
        <f t="shared" si="462"/>
        <v>39.319200000000002</v>
      </c>
      <c r="O91" s="108">
        <f t="shared" si="462"/>
        <v>38.090474999999998</v>
      </c>
      <c r="P91" s="108">
        <f t="shared" si="462"/>
        <v>39.319200000000002</v>
      </c>
      <c r="Q91" s="108">
        <f t="shared" si="462"/>
        <v>40.547924999999992</v>
      </c>
      <c r="R91" s="108">
        <f t="shared" si="462"/>
        <v>38.991540000000001</v>
      </c>
      <c r="S91" s="108">
        <f t="shared" si="462"/>
        <v>40.138349999999996</v>
      </c>
      <c r="T91" s="108">
        <f t="shared" si="462"/>
        <v>38.336220000000004</v>
      </c>
      <c r="U91" s="108">
        <f t="shared" si="462"/>
        <v>39.401115000000004</v>
      </c>
      <c r="V91" s="108">
        <f t="shared" si="462"/>
        <v>40.466009999999997</v>
      </c>
      <c r="W91" s="108">
        <f t="shared" si="462"/>
        <v>38.336220000000004</v>
      </c>
      <c r="X91" s="108">
        <f t="shared" si="462"/>
        <v>39.319200000000002</v>
      </c>
      <c r="Y91" s="108">
        <f t="shared" si="462"/>
        <v>40.30218</v>
      </c>
      <c r="Z91" s="108">
        <f t="shared" si="462"/>
        <v>37.844730000000006</v>
      </c>
      <c r="AA91" s="108">
        <f t="shared" si="462"/>
        <v>38.745795000000001</v>
      </c>
      <c r="AB91" s="108">
        <f t="shared" si="462"/>
        <v>39.646860000000004</v>
      </c>
      <c r="AC91" s="108">
        <f t="shared" si="462"/>
        <v>40.547924999999999</v>
      </c>
      <c r="AD91" s="108">
        <f t="shared" si="462"/>
        <v>37.680899999999994</v>
      </c>
      <c r="AE91" s="108">
        <f t="shared" si="462"/>
        <v>38.500050000000009</v>
      </c>
      <c r="AF91" s="108">
        <f t="shared" si="462"/>
        <v>39.319200000000002</v>
      </c>
      <c r="AG91" s="108">
        <f t="shared" si="462"/>
        <v>40.138349999999996</v>
      </c>
      <c r="AH91" s="108">
        <f t="shared" si="462"/>
        <v>40.957500000000003</v>
      </c>
      <c r="AI91" s="108">
        <f t="shared" si="462"/>
        <v>37.598984999999999</v>
      </c>
      <c r="AJ91" s="108">
        <f t="shared" si="462"/>
        <v>38.336220000000004</v>
      </c>
      <c r="AK91" s="108">
        <f t="shared" si="462"/>
        <v>39.073454999999996</v>
      </c>
      <c r="AL91" s="108">
        <f t="shared" si="462"/>
        <v>39.810690000000001</v>
      </c>
      <c r="AM91" s="108">
        <f t="shared" si="462"/>
        <v>40.547924999999999</v>
      </c>
      <c r="AN91" s="108">
        <f t="shared" si="462"/>
        <v>41.285159999999998</v>
      </c>
      <c r="AO91" s="108">
        <f t="shared" si="462"/>
        <v>37.35324</v>
      </c>
      <c r="AP91" s="108">
        <f t="shared" si="462"/>
        <v>38.008560000000003</v>
      </c>
      <c r="AQ91" s="108">
        <f t="shared" si="462"/>
        <v>38.663879999999999</v>
      </c>
      <c r="AR91" s="108">
        <f t="shared" si="462"/>
        <v>39.319200000000002</v>
      </c>
      <c r="AS91" s="108">
        <f t="shared" si="462"/>
        <v>39.974519999999998</v>
      </c>
      <c r="AT91" s="108">
        <f t="shared" si="462"/>
        <v>40.629839999999994</v>
      </c>
      <c r="AU91" s="108">
        <f t="shared" si="462"/>
        <v>41.285160000000005</v>
      </c>
      <c r="AV91" s="108">
        <f t="shared" si="462"/>
        <v>36.697919999999996</v>
      </c>
      <c r="AW91" s="108">
        <f t="shared" si="462"/>
        <v>37.271324999999997</v>
      </c>
      <c r="AX91" s="108">
        <f t="shared" si="462"/>
        <v>37.844729999999998</v>
      </c>
      <c r="AY91" s="108">
        <f t="shared" si="462"/>
        <v>38.418134999999999</v>
      </c>
      <c r="AZ91" s="108">
        <f t="shared" si="462"/>
        <v>38.991540000000001</v>
      </c>
      <c r="BA91" s="108">
        <f t="shared" si="462"/>
        <v>39.564945000000002</v>
      </c>
      <c r="BB91" s="108">
        <f t="shared" si="462"/>
        <v>40.138349999999996</v>
      </c>
      <c r="BC91" s="108">
        <f t="shared" si="462"/>
        <v>40.711754999999997</v>
      </c>
      <c r="BD91" s="108">
        <f t="shared" si="462"/>
        <v>41.285159999999998</v>
      </c>
      <c r="BE91" s="108">
        <f t="shared" si="462"/>
        <v>41.858564999999999</v>
      </c>
      <c r="BF91" s="108">
        <f t="shared" si="462"/>
        <v>36.370260000000002</v>
      </c>
      <c r="BG91" s="108">
        <f t="shared" si="462"/>
        <v>36.861750000000001</v>
      </c>
      <c r="BH91" s="108">
        <f t="shared" si="462"/>
        <v>37.353239999999992</v>
      </c>
      <c r="BI91" s="108">
        <f t="shared" si="462"/>
        <v>37.844729999999998</v>
      </c>
      <c r="BJ91" s="108">
        <f t="shared" si="462"/>
        <v>38.336220000000004</v>
      </c>
      <c r="BK91" s="108">
        <f t="shared" si="462"/>
        <v>38.827709999999996</v>
      </c>
      <c r="BL91" s="108">
        <f t="shared" si="462"/>
        <v>39.319200000000002</v>
      </c>
      <c r="BM91" s="108">
        <f t="shared" si="462"/>
        <v>39.810690000000001</v>
      </c>
      <c r="BN91" s="108">
        <f t="shared" si="462"/>
        <v>40.30218</v>
      </c>
      <c r="BO91" s="108">
        <f t="shared" si="462"/>
        <v>40.793670000000006</v>
      </c>
      <c r="BP91" s="108">
        <f t="shared" si="462"/>
        <v>41.285160000000005</v>
      </c>
      <c r="BQ91" s="108">
        <f t="shared" ref="BQ91:EB91" si="464">1/BQ90</f>
        <v>41.776649999999997</v>
      </c>
      <c r="BR91" s="108">
        <f t="shared" si="464"/>
        <v>42.268139999999995</v>
      </c>
      <c r="BS91" s="108">
        <f t="shared" si="464"/>
        <v>42.759630000000001</v>
      </c>
      <c r="BT91" s="108">
        <f t="shared" si="464"/>
        <v>36.0426</v>
      </c>
      <c r="BU91" s="108">
        <f t="shared" si="464"/>
        <v>36.452174999999997</v>
      </c>
      <c r="BV91" s="108">
        <f t="shared" si="464"/>
        <v>36.861750000000001</v>
      </c>
      <c r="BW91" s="108">
        <f t="shared" si="464"/>
        <v>37.271324999999997</v>
      </c>
      <c r="BX91" s="108">
        <f t="shared" si="464"/>
        <v>37.680899999999994</v>
      </c>
      <c r="BY91" s="108">
        <f t="shared" si="464"/>
        <v>38.090474999999998</v>
      </c>
      <c r="BZ91" s="108">
        <f t="shared" si="464"/>
        <v>38.500050000000009</v>
      </c>
      <c r="CA91" s="108">
        <f t="shared" si="464"/>
        <v>38.909625000000005</v>
      </c>
      <c r="CB91" s="108">
        <f t="shared" si="464"/>
        <v>39.319200000000002</v>
      </c>
      <c r="CC91" s="108">
        <f t="shared" si="464"/>
        <v>39.728774999999999</v>
      </c>
      <c r="CD91" s="108">
        <f t="shared" si="464"/>
        <v>40.138349999999996</v>
      </c>
      <c r="CE91" s="108">
        <f t="shared" si="464"/>
        <v>40.547924999999999</v>
      </c>
      <c r="CF91" s="108">
        <f t="shared" si="464"/>
        <v>40.957500000000003</v>
      </c>
      <c r="CG91" s="108">
        <f t="shared" si="464"/>
        <v>41.367074999999993</v>
      </c>
      <c r="CH91" s="108">
        <f t="shared" si="464"/>
        <v>41.776650000000004</v>
      </c>
      <c r="CI91" s="108">
        <f t="shared" si="464"/>
        <v>42.186225</v>
      </c>
      <c r="CJ91" s="108">
        <f t="shared" si="464"/>
        <v>42.595800000000004</v>
      </c>
      <c r="CK91" s="108">
        <f t="shared" si="464"/>
        <v>43.005375000000001</v>
      </c>
      <c r="CL91" s="108">
        <f t="shared" si="464"/>
        <v>43.414949999999997</v>
      </c>
      <c r="CM91" s="108">
        <f t="shared" si="464"/>
        <v>35.059620000000002</v>
      </c>
      <c r="CN91" s="108">
        <f t="shared" si="464"/>
        <v>35.387279999999997</v>
      </c>
      <c r="CO91" s="108">
        <f t="shared" si="464"/>
        <v>35.714939999999999</v>
      </c>
      <c r="CP91" s="108">
        <f t="shared" si="464"/>
        <v>36.0426</v>
      </c>
      <c r="CQ91" s="108">
        <f t="shared" si="464"/>
        <v>36.370260000000002</v>
      </c>
      <c r="CR91" s="108">
        <f t="shared" si="464"/>
        <v>36.697919999999996</v>
      </c>
      <c r="CS91" s="108">
        <f t="shared" si="464"/>
        <v>37.025579999999998</v>
      </c>
      <c r="CT91" s="108">
        <f t="shared" si="464"/>
        <v>37.35324</v>
      </c>
      <c r="CU91" s="108">
        <f t="shared" si="464"/>
        <v>37.680899999999994</v>
      </c>
      <c r="CV91" s="108">
        <f t="shared" si="464"/>
        <v>38.008560000000003</v>
      </c>
      <c r="CW91" s="108">
        <f t="shared" si="464"/>
        <v>38.336219999999997</v>
      </c>
      <c r="CX91" s="108">
        <f t="shared" si="464"/>
        <v>38.663879999999999</v>
      </c>
      <c r="CY91" s="108">
        <f t="shared" si="464"/>
        <v>38.991540000000001</v>
      </c>
      <c r="CZ91" s="108">
        <f t="shared" si="464"/>
        <v>39.319200000000002</v>
      </c>
      <c r="DA91" s="108">
        <f t="shared" si="464"/>
        <v>39.646859999999997</v>
      </c>
      <c r="DB91" s="108">
        <f t="shared" si="464"/>
        <v>39.974519999999998</v>
      </c>
      <c r="DC91" s="108">
        <f t="shared" si="464"/>
        <v>40.30218</v>
      </c>
      <c r="DD91" s="108">
        <f t="shared" si="464"/>
        <v>40.629839999999994</v>
      </c>
      <c r="DE91" s="108">
        <f t="shared" si="464"/>
        <v>40.957500000000003</v>
      </c>
      <c r="DF91" s="108">
        <f t="shared" si="464"/>
        <v>41.285160000000005</v>
      </c>
      <c r="DG91" s="108">
        <f t="shared" si="464"/>
        <v>41.612819999999999</v>
      </c>
      <c r="DH91" s="108">
        <f t="shared" si="464"/>
        <v>41.940480000000001</v>
      </c>
      <c r="DI91" s="108">
        <f t="shared" si="464"/>
        <v>42.268140000000002</v>
      </c>
      <c r="DJ91" s="108">
        <f t="shared" si="464"/>
        <v>42.595799999999997</v>
      </c>
      <c r="DK91" s="108">
        <f t="shared" si="464"/>
        <v>42.923460000000006</v>
      </c>
      <c r="DL91" s="108">
        <f t="shared" si="464"/>
        <v>43.25112</v>
      </c>
      <c r="DM91" s="108">
        <f t="shared" si="464"/>
        <v>43.578780000000002</v>
      </c>
      <c r="DN91" s="108">
        <f t="shared" si="464"/>
        <v>43.906440000000003</v>
      </c>
      <c r="DO91" s="108">
        <f t="shared" si="464"/>
        <v>44.234099999999998</v>
      </c>
      <c r="DP91" s="108">
        <f t="shared" si="464"/>
        <v>44.56176</v>
      </c>
      <c r="DQ91" s="108">
        <f t="shared" si="464"/>
        <v>33.667065000000001</v>
      </c>
      <c r="DR91" s="108">
        <f t="shared" si="464"/>
        <v>33.91281</v>
      </c>
      <c r="DS91" s="108">
        <f t="shared" si="464"/>
        <v>34.158555</v>
      </c>
      <c r="DT91" s="108">
        <f t="shared" si="464"/>
        <v>34.404299999999999</v>
      </c>
      <c r="DU91" s="108">
        <f t="shared" si="464"/>
        <v>34.650044999999999</v>
      </c>
      <c r="DV91" s="108">
        <f t="shared" si="464"/>
        <v>34.895789999999998</v>
      </c>
      <c r="DW91" s="108">
        <f t="shared" si="464"/>
        <v>35.141534999999998</v>
      </c>
      <c r="DX91" s="108">
        <f t="shared" si="464"/>
        <v>35.387279999999997</v>
      </c>
      <c r="DY91" s="108">
        <f t="shared" si="464"/>
        <v>35.633024999999996</v>
      </c>
      <c r="DZ91" s="108">
        <f t="shared" si="464"/>
        <v>35.878770000000003</v>
      </c>
      <c r="EA91" s="108">
        <f t="shared" si="464"/>
        <v>36.124515000000002</v>
      </c>
      <c r="EB91" s="108">
        <f t="shared" si="464"/>
        <v>36.370260000000002</v>
      </c>
      <c r="EC91" s="108">
        <f t="shared" ref="EC91:FC91" si="465">1/EC90</f>
        <v>36.616005000000001</v>
      </c>
      <c r="ED91" s="108">
        <f t="shared" si="465"/>
        <v>36.861750000000001</v>
      </c>
      <c r="EE91" s="108">
        <f t="shared" si="465"/>
        <v>37.107494999999993</v>
      </c>
      <c r="EF91" s="108">
        <f t="shared" si="465"/>
        <v>37.353239999999992</v>
      </c>
      <c r="EG91" s="108">
        <f t="shared" si="465"/>
        <v>37.598984999999999</v>
      </c>
      <c r="EH91" s="108">
        <f t="shared" si="465"/>
        <v>37.844729999999998</v>
      </c>
      <c r="EI91" s="108">
        <f t="shared" si="465"/>
        <v>38.090474999999998</v>
      </c>
      <c r="EJ91" s="108">
        <f t="shared" si="465"/>
        <v>38.336220000000004</v>
      </c>
      <c r="EK91" s="108">
        <f t="shared" si="465"/>
        <v>38.581964999999997</v>
      </c>
      <c r="EL91" s="108">
        <f t="shared" si="465"/>
        <v>38.827709999999996</v>
      </c>
      <c r="EM91" s="108">
        <f t="shared" si="465"/>
        <v>39.073454999999996</v>
      </c>
      <c r="EN91" s="108">
        <f t="shared" si="465"/>
        <v>39.319200000000002</v>
      </c>
      <c r="EO91" s="108">
        <f t="shared" si="465"/>
        <v>39.564945000000002</v>
      </c>
      <c r="EP91" s="108">
        <f t="shared" si="465"/>
        <v>39.810690000000001</v>
      </c>
      <c r="EQ91" s="108">
        <f t="shared" si="465"/>
        <v>40.056434999999993</v>
      </c>
      <c r="ER91" s="108">
        <f t="shared" si="465"/>
        <v>40.30218</v>
      </c>
      <c r="ES91" s="108">
        <f t="shared" si="465"/>
        <v>40.547924999999999</v>
      </c>
      <c r="ET91" s="108">
        <f t="shared" si="465"/>
        <v>40.793670000000006</v>
      </c>
      <c r="EU91" s="108">
        <f t="shared" si="465"/>
        <v>41.039415000000005</v>
      </c>
      <c r="EV91" s="108">
        <f t="shared" si="465"/>
        <v>41.285160000000005</v>
      </c>
      <c r="EW91" s="108">
        <f t="shared" si="465"/>
        <v>41.530905000000004</v>
      </c>
      <c r="EX91" s="108">
        <f t="shared" si="465"/>
        <v>41.776649999999997</v>
      </c>
      <c r="EY91" s="31"/>
      <c r="EZ91" s="31"/>
      <c r="FA91" s="709"/>
      <c r="FB91" s="108">
        <f t="shared" si="465"/>
        <v>39.302399999999999</v>
      </c>
      <c r="FC91" s="108">
        <f t="shared" si="465"/>
        <v>39.302399999999999</v>
      </c>
      <c r="FD91" s="100"/>
    </row>
    <row r="92" spans="2:160" x14ac:dyDescent="0.45">
      <c r="B92" s="2" t="s">
        <v>16</v>
      </c>
      <c r="C92" s="109" t="s">
        <v>5</v>
      </c>
      <c r="D92" s="181">
        <f t="shared" ref="D92:AI92" si="466">D79-D29</f>
        <v>0</v>
      </c>
      <c r="E92" s="181">
        <f t="shared" si="466"/>
        <v>0</v>
      </c>
      <c r="F92" s="181">
        <f t="shared" si="466"/>
        <v>0</v>
      </c>
      <c r="G92" s="181">
        <f t="shared" si="466"/>
        <v>0</v>
      </c>
      <c r="H92" s="181">
        <f t="shared" si="466"/>
        <v>0</v>
      </c>
      <c r="I92" s="181">
        <f t="shared" si="466"/>
        <v>0</v>
      </c>
      <c r="J92" s="181">
        <f t="shared" si="466"/>
        <v>0</v>
      </c>
      <c r="K92" s="181">
        <f t="shared" si="466"/>
        <v>0</v>
      </c>
      <c r="L92" s="181">
        <f t="shared" si="466"/>
        <v>0</v>
      </c>
      <c r="M92" s="181">
        <f t="shared" si="466"/>
        <v>0</v>
      </c>
      <c r="N92" s="181">
        <f t="shared" si="466"/>
        <v>0</v>
      </c>
      <c r="O92" s="181">
        <f t="shared" si="466"/>
        <v>0</v>
      </c>
      <c r="P92" s="181">
        <f t="shared" si="466"/>
        <v>0</v>
      </c>
      <c r="Q92" s="181">
        <f t="shared" si="466"/>
        <v>0</v>
      </c>
      <c r="R92" s="181">
        <f t="shared" si="466"/>
        <v>0</v>
      </c>
      <c r="S92" s="181">
        <f t="shared" si="466"/>
        <v>0</v>
      </c>
      <c r="T92" s="181">
        <f t="shared" si="466"/>
        <v>0</v>
      </c>
      <c r="U92" s="181">
        <f t="shared" si="466"/>
        <v>0</v>
      </c>
      <c r="V92" s="181">
        <f t="shared" si="466"/>
        <v>0</v>
      </c>
      <c r="W92" s="181">
        <f t="shared" si="466"/>
        <v>0</v>
      </c>
      <c r="X92" s="181">
        <f t="shared" si="466"/>
        <v>0</v>
      </c>
      <c r="Y92" s="181">
        <f t="shared" si="466"/>
        <v>0</v>
      </c>
      <c r="Z92" s="181">
        <f t="shared" si="466"/>
        <v>0</v>
      </c>
      <c r="AA92" s="181">
        <f t="shared" si="466"/>
        <v>0</v>
      </c>
      <c r="AB92" s="181">
        <f t="shared" si="466"/>
        <v>0</v>
      </c>
      <c r="AC92" s="181">
        <f t="shared" si="466"/>
        <v>0</v>
      </c>
      <c r="AD92" s="181">
        <f t="shared" si="466"/>
        <v>0</v>
      </c>
      <c r="AE92" s="181">
        <f t="shared" si="466"/>
        <v>0</v>
      </c>
      <c r="AF92" s="181">
        <f t="shared" si="466"/>
        <v>0</v>
      </c>
      <c r="AG92" s="181" t="e">
        <f t="shared" si="466"/>
        <v>#DIV/0!</v>
      </c>
      <c r="AH92" s="181" t="e">
        <f t="shared" si="466"/>
        <v>#DIV/0!</v>
      </c>
      <c r="AI92" s="181" t="e">
        <f t="shared" si="466"/>
        <v>#DIV/0!</v>
      </c>
      <c r="AJ92" s="181" t="e">
        <f t="shared" ref="AJ92:BO92" si="467">AJ79-AJ29</f>
        <v>#DIV/0!</v>
      </c>
      <c r="AK92" s="181" t="e">
        <f t="shared" si="467"/>
        <v>#DIV/0!</v>
      </c>
      <c r="AL92" s="181" t="e">
        <f t="shared" si="467"/>
        <v>#DIV/0!</v>
      </c>
      <c r="AM92" s="181" t="e">
        <f t="shared" si="467"/>
        <v>#DIV/0!</v>
      </c>
      <c r="AN92" s="181" t="e">
        <f t="shared" si="467"/>
        <v>#DIV/0!</v>
      </c>
      <c r="AO92" s="181" t="e">
        <f t="shared" si="467"/>
        <v>#DIV/0!</v>
      </c>
      <c r="AP92" s="181" t="e">
        <f t="shared" si="467"/>
        <v>#DIV/0!</v>
      </c>
      <c r="AQ92" s="181" t="e">
        <f t="shared" si="467"/>
        <v>#DIV/0!</v>
      </c>
      <c r="AR92" s="181" t="e">
        <f t="shared" si="467"/>
        <v>#DIV/0!</v>
      </c>
      <c r="AS92" s="181" t="e">
        <f t="shared" si="467"/>
        <v>#DIV/0!</v>
      </c>
      <c r="AT92" s="181" t="e">
        <f t="shared" si="467"/>
        <v>#DIV/0!</v>
      </c>
      <c r="AU92" s="181" t="e">
        <f t="shared" si="467"/>
        <v>#DIV/0!</v>
      </c>
      <c r="AV92" s="181" t="e">
        <f t="shared" si="467"/>
        <v>#DIV/0!</v>
      </c>
      <c r="AW92" s="181" t="e">
        <f t="shared" si="467"/>
        <v>#DIV/0!</v>
      </c>
      <c r="AX92" s="181" t="e">
        <f t="shared" si="467"/>
        <v>#DIV/0!</v>
      </c>
      <c r="AY92" s="181" t="e">
        <f t="shared" si="467"/>
        <v>#DIV/0!</v>
      </c>
      <c r="AZ92" s="181" t="e">
        <f t="shared" si="467"/>
        <v>#DIV/0!</v>
      </c>
      <c r="BA92" s="181" t="e">
        <f t="shared" si="467"/>
        <v>#DIV/0!</v>
      </c>
      <c r="BB92" s="181" t="e">
        <f t="shared" si="467"/>
        <v>#DIV/0!</v>
      </c>
      <c r="BC92" s="181" t="e">
        <f t="shared" si="467"/>
        <v>#DIV/0!</v>
      </c>
      <c r="BD92" s="181" t="e">
        <f t="shared" si="467"/>
        <v>#DIV/0!</v>
      </c>
      <c r="BE92" s="181" t="e">
        <f t="shared" si="467"/>
        <v>#DIV/0!</v>
      </c>
      <c r="BF92" s="181" t="e">
        <f t="shared" si="467"/>
        <v>#DIV/0!</v>
      </c>
      <c r="BG92" s="181" t="e">
        <f t="shared" si="467"/>
        <v>#DIV/0!</v>
      </c>
      <c r="BH92" s="181" t="e">
        <f t="shared" si="467"/>
        <v>#DIV/0!</v>
      </c>
      <c r="BI92" s="181" t="e">
        <f t="shared" si="467"/>
        <v>#DIV/0!</v>
      </c>
      <c r="BJ92" s="181" t="e">
        <f t="shared" si="467"/>
        <v>#DIV/0!</v>
      </c>
      <c r="BK92" s="181" t="e">
        <f t="shared" si="467"/>
        <v>#DIV/0!</v>
      </c>
      <c r="BL92" s="181" t="e">
        <f t="shared" si="467"/>
        <v>#DIV/0!</v>
      </c>
      <c r="BM92" s="181" t="e">
        <f t="shared" si="467"/>
        <v>#DIV/0!</v>
      </c>
      <c r="BN92" s="181" t="e">
        <f t="shared" si="467"/>
        <v>#DIV/0!</v>
      </c>
      <c r="BO92" s="181" t="e">
        <f t="shared" si="467"/>
        <v>#DIV/0!</v>
      </c>
      <c r="BP92" s="181" t="e">
        <f t="shared" ref="BP92:CU92" si="468">BP79-BP29</f>
        <v>#DIV/0!</v>
      </c>
      <c r="BQ92" s="181" t="e">
        <f t="shared" si="468"/>
        <v>#DIV/0!</v>
      </c>
      <c r="BR92" s="181" t="e">
        <f t="shared" si="468"/>
        <v>#DIV/0!</v>
      </c>
      <c r="BS92" s="181" t="e">
        <f t="shared" si="468"/>
        <v>#DIV/0!</v>
      </c>
      <c r="BT92" s="181" t="e">
        <f t="shared" si="468"/>
        <v>#DIV/0!</v>
      </c>
      <c r="BU92" s="181" t="e">
        <f t="shared" si="468"/>
        <v>#DIV/0!</v>
      </c>
      <c r="BV92" s="181" t="e">
        <f t="shared" si="468"/>
        <v>#DIV/0!</v>
      </c>
      <c r="BW92" s="181" t="e">
        <f t="shared" si="468"/>
        <v>#DIV/0!</v>
      </c>
      <c r="BX92" s="181" t="e">
        <f t="shared" si="468"/>
        <v>#DIV/0!</v>
      </c>
      <c r="BY92" s="181" t="e">
        <f t="shared" si="468"/>
        <v>#DIV/0!</v>
      </c>
      <c r="BZ92" s="181" t="e">
        <f t="shared" si="468"/>
        <v>#DIV/0!</v>
      </c>
      <c r="CA92" s="181" t="e">
        <f t="shared" si="468"/>
        <v>#DIV/0!</v>
      </c>
      <c r="CB92" s="181" t="e">
        <f t="shared" si="468"/>
        <v>#DIV/0!</v>
      </c>
      <c r="CC92" s="181" t="e">
        <f t="shared" si="468"/>
        <v>#DIV/0!</v>
      </c>
      <c r="CD92" s="181" t="e">
        <f t="shared" si="468"/>
        <v>#DIV/0!</v>
      </c>
      <c r="CE92" s="181" t="e">
        <f t="shared" si="468"/>
        <v>#DIV/0!</v>
      </c>
      <c r="CF92" s="181" t="e">
        <f t="shared" si="468"/>
        <v>#DIV/0!</v>
      </c>
      <c r="CG92" s="181" t="e">
        <f t="shared" si="468"/>
        <v>#DIV/0!</v>
      </c>
      <c r="CH92" s="181" t="e">
        <f t="shared" si="468"/>
        <v>#DIV/0!</v>
      </c>
      <c r="CI92" s="181" t="e">
        <f t="shared" si="468"/>
        <v>#DIV/0!</v>
      </c>
      <c r="CJ92" s="181" t="e">
        <f t="shared" si="468"/>
        <v>#DIV/0!</v>
      </c>
      <c r="CK92" s="181" t="e">
        <f t="shared" si="468"/>
        <v>#DIV/0!</v>
      </c>
      <c r="CL92" s="181" t="e">
        <f t="shared" si="468"/>
        <v>#DIV/0!</v>
      </c>
      <c r="CM92" s="181" t="e">
        <f t="shared" si="468"/>
        <v>#DIV/0!</v>
      </c>
      <c r="CN92" s="181" t="e">
        <f t="shared" si="468"/>
        <v>#DIV/0!</v>
      </c>
      <c r="CO92" s="181" t="e">
        <f t="shared" si="468"/>
        <v>#DIV/0!</v>
      </c>
      <c r="CP92" s="181" t="e">
        <f t="shared" si="468"/>
        <v>#DIV/0!</v>
      </c>
      <c r="CQ92" s="181" t="e">
        <f t="shared" si="468"/>
        <v>#DIV/0!</v>
      </c>
      <c r="CR92" s="181" t="e">
        <f t="shared" si="468"/>
        <v>#DIV/0!</v>
      </c>
      <c r="CS92" s="181" t="e">
        <f t="shared" si="468"/>
        <v>#DIV/0!</v>
      </c>
      <c r="CT92" s="181" t="e">
        <f t="shared" si="468"/>
        <v>#DIV/0!</v>
      </c>
      <c r="CU92" s="181" t="e">
        <f t="shared" si="468"/>
        <v>#DIV/0!</v>
      </c>
      <c r="CV92" s="181" t="e">
        <f t="shared" ref="CV92:EA92" si="469">CV79-CV29</f>
        <v>#DIV/0!</v>
      </c>
      <c r="CW92" s="181" t="e">
        <f t="shared" si="469"/>
        <v>#DIV/0!</v>
      </c>
      <c r="CX92" s="181" t="e">
        <f t="shared" si="469"/>
        <v>#DIV/0!</v>
      </c>
      <c r="CY92" s="181" t="e">
        <f t="shared" si="469"/>
        <v>#DIV/0!</v>
      </c>
      <c r="CZ92" s="181" t="e">
        <f t="shared" si="469"/>
        <v>#DIV/0!</v>
      </c>
      <c r="DA92" s="181" t="e">
        <f t="shared" si="469"/>
        <v>#DIV/0!</v>
      </c>
      <c r="DB92" s="181" t="e">
        <f t="shared" si="469"/>
        <v>#DIV/0!</v>
      </c>
      <c r="DC92" s="181" t="e">
        <f t="shared" si="469"/>
        <v>#DIV/0!</v>
      </c>
      <c r="DD92" s="181" t="e">
        <f t="shared" si="469"/>
        <v>#DIV/0!</v>
      </c>
      <c r="DE92" s="181" t="e">
        <f t="shared" si="469"/>
        <v>#DIV/0!</v>
      </c>
      <c r="DF92" s="181" t="e">
        <f t="shared" si="469"/>
        <v>#DIV/0!</v>
      </c>
      <c r="DG92" s="181" t="e">
        <f t="shared" si="469"/>
        <v>#DIV/0!</v>
      </c>
      <c r="DH92" s="181" t="e">
        <f t="shared" si="469"/>
        <v>#DIV/0!</v>
      </c>
      <c r="DI92" s="181" t="e">
        <f t="shared" si="469"/>
        <v>#DIV/0!</v>
      </c>
      <c r="DJ92" s="181" t="e">
        <f t="shared" si="469"/>
        <v>#DIV/0!</v>
      </c>
      <c r="DK92" s="181" t="e">
        <f t="shared" si="469"/>
        <v>#DIV/0!</v>
      </c>
      <c r="DL92" s="181" t="e">
        <f t="shared" si="469"/>
        <v>#DIV/0!</v>
      </c>
      <c r="DM92" s="181" t="e">
        <f t="shared" si="469"/>
        <v>#DIV/0!</v>
      </c>
      <c r="DN92" s="181" t="e">
        <f t="shared" si="469"/>
        <v>#DIV/0!</v>
      </c>
      <c r="DO92" s="181" t="e">
        <f t="shared" si="469"/>
        <v>#DIV/0!</v>
      </c>
      <c r="DP92" s="181" t="e">
        <f t="shared" si="469"/>
        <v>#DIV/0!</v>
      </c>
      <c r="DQ92" s="181" t="e">
        <f t="shared" si="469"/>
        <v>#DIV/0!</v>
      </c>
      <c r="DR92" s="181" t="e">
        <f t="shared" si="469"/>
        <v>#DIV/0!</v>
      </c>
      <c r="DS92" s="181" t="e">
        <f t="shared" si="469"/>
        <v>#DIV/0!</v>
      </c>
      <c r="DT92" s="181" t="e">
        <f t="shared" si="469"/>
        <v>#DIV/0!</v>
      </c>
      <c r="DU92" s="181" t="e">
        <f t="shared" si="469"/>
        <v>#DIV/0!</v>
      </c>
      <c r="DV92" s="181" t="e">
        <f t="shared" si="469"/>
        <v>#DIV/0!</v>
      </c>
      <c r="DW92" s="181" t="e">
        <f t="shared" si="469"/>
        <v>#DIV/0!</v>
      </c>
      <c r="DX92" s="181" t="e">
        <f t="shared" si="469"/>
        <v>#DIV/0!</v>
      </c>
      <c r="DY92" s="181" t="e">
        <f t="shared" si="469"/>
        <v>#DIV/0!</v>
      </c>
      <c r="DZ92" s="181" t="e">
        <f t="shared" si="469"/>
        <v>#DIV/0!</v>
      </c>
      <c r="EA92" s="181" t="e">
        <f t="shared" si="469"/>
        <v>#DIV/0!</v>
      </c>
      <c r="EB92" s="181" t="e">
        <f t="shared" ref="EB92:EX92" si="470">EB79-EB29</f>
        <v>#DIV/0!</v>
      </c>
      <c r="EC92" s="181" t="e">
        <f t="shared" si="470"/>
        <v>#DIV/0!</v>
      </c>
      <c r="ED92" s="181" t="e">
        <f t="shared" si="470"/>
        <v>#DIV/0!</v>
      </c>
      <c r="EE92" s="181" t="e">
        <f t="shared" si="470"/>
        <v>#DIV/0!</v>
      </c>
      <c r="EF92" s="181" t="e">
        <f t="shared" si="470"/>
        <v>#DIV/0!</v>
      </c>
      <c r="EG92" s="181" t="e">
        <f t="shared" si="470"/>
        <v>#DIV/0!</v>
      </c>
      <c r="EH92" s="181" t="e">
        <f t="shared" si="470"/>
        <v>#DIV/0!</v>
      </c>
      <c r="EI92" s="181" t="e">
        <f t="shared" si="470"/>
        <v>#DIV/0!</v>
      </c>
      <c r="EJ92" s="181" t="e">
        <f t="shared" si="470"/>
        <v>#DIV/0!</v>
      </c>
      <c r="EK92" s="181" t="e">
        <f t="shared" si="470"/>
        <v>#DIV/0!</v>
      </c>
      <c r="EL92" s="181" t="e">
        <f t="shared" si="470"/>
        <v>#DIV/0!</v>
      </c>
      <c r="EM92" s="181" t="e">
        <f t="shared" si="470"/>
        <v>#DIV/0!</v>
      </c>
      <c r="EN92" s="181" t="e">
        <f t="shared" si="470"/>
        <v>#DIV/0!</v>
      </c>
      <c r="EO92" s="181" t="e">
        <f t="shared" si="470"/>
        <v>#DIV/0!</v>
      </c>
      <c r="EP92" s="181" t="e">
        <f t="shared" si="470"/>
        <v>#DIV/0!</v>
      </c>
      <c r="EQ92" s="181" t="e">
        <f t="shared" si="470"/>
        <v>#DIV/0!</v>
      </c>
      <c r="ER92" s="181" t="e">
        <f t="shared" si="470"/>
        <v>#DIV/0!</v>
      </c>
      <c r="ES92" s="181" t="e">
        <f t="shared" si="470"/>
        <v>#DIV/0!</v>
      </c>
      <c r="ET92" s="181" t="e">
        <f t="shared" si="470"/>
        <v>#DIV/0!</v>
      </c>
      <c r="EU92" s="181" t="e">
        <f t="shared" si="470"/>
        <v>#DIV/0!</v>
      </c>
      <c r="EV92" s="181" t="e">
        <f t="shared" si="470"/>
        <v>#DIV/0!</v>
      </c>
      <c r="EW92" s="181" t="e">
        <f t="shared" si="470"/>
        <v>#DIV/0!</v>
      </c>
      <c r="EX92" s="181" t="e">
        <f t="shared" si="470"/>
        <v>#DIV/0!</v>
      </c>
      <c r="EY92" s="711"/>
      <c r="EZ92" s="711"/>
      <c r="FA92" s="709"/>
      <c r="FB92" s="181">
        <f t="shared" ref="FB92:FC92" si="471">FB79-FB29</f>
        <v>0</v>
      </c>
      <c r="FC92" s="181">
        <f t="shared" si="471"/>
        <v>0</v>
      </c>
      <c r="FD92" s="100"/>
    </row>
    <row r="93" spans="2:160" x14ac:dyDescent="0.45">
      <c r="B93" s="2" t="s">
        <v>1168</v>
      </c>
      <c r="C93" s="109" t="s">
        <v>1</v>
      </c>
      <c r="D93" s="186">
        <f>$AE$90*D79 - D90*D79</f>
        <v>1.2986996120784133E-2</v>
      </c>
      <c r="E93" s="186">
        <f t="shared" ref="E93:BP93" si="472">$AE$90*E79 - E90*E79</f>
        <v>1.6079138054304276E-2</v>
      </c>
      <c r="F93" s="186">
        <f t="shared" ref="F93" si="473">$AE$90*F79 - F90*F79</f>
        <v>1.6528904153725432E-2</v>
      </c>
      <c r="G93" s="186">
        <f t="shared" si="472"/>
        <v>1.4680952136538639E-2</v>
      </c>
      <c r="H93" s="186">
        <f t="shared" si="472"/>
        <v>1.0822496767320056E-2</v>
      </c>
      <c r="I93" s="186">
        <f t="shared" si="472"/>
        <v>5.1947984483135534E-3</v>
      </c>
      <c r="J93" s="186">
        <f t="shared" si="472"/>
        <v>-1.9979994031976145E-3</v>
      </c>
      <c r="K93" s="186">
        <f t="shared" si="472"/>
        <v>1.5391995402410874E-2</v>
      </c>
      <c r="L93" s="186">
        <f t="shared" si="472"/>
        <v>5.5658554803359461E-3</v>
      </c>
      <c r="M93" s="186">
        <f t="shared" si="472"/>
        <v>2.0600062812278386E-2</v>
      </c>
      <c r="N93" s="186">
        <f t="shared" si="472"/>
        <v>8.6579974138560889E-3</v>
      </c>
      <c r="O93" s="186">
        <f t="shared" si="472"/>
        <v>-4.1893535873498422E-3</v>
      </c>
      <c r="P93" s="186">
        <f t="shared" si="472"/>
        <v>8.1168725754900972E-3</v>
      </c>
      <c r="Q93" s="186">
        <f t="shared" si="472"/>
        <v>1.9677266849673025E-2</v>
      </c>
      <c r="R93" s="186">
        <f t="shared" si="472"/>
        <v>4.5836456896884981E-3</v>
      </c>
      <c r="S93" s="186">
        <f t="shared" si="472"/>
        <v>1.4842281280896208E-2</v>
      </c>
      <c r="T93" s="186">
        <f t="shared" si="472"/>
        <v>-1.4429995689760333E-3</v>
      </c>
      <c r="U93" s="186">
        <f t="shared" si="472"/>
        <v>7.7219976934392864E-3</v>
      </c>
      <c r="V93" s="186">
        <f t="shared" si="472"/>
        <v>1.6404626678885315E-2</v>
      </c>
      <c r="W93" s="186">
        <f t="shared" si="472"/>
        <v>-1.3319996021317615E-3</v>
      </c>
      <c r="X93" s="186">
        <f t="shared" si="472"/>
        <v>6.4934980603920667E-3</v>
      </c>
      <c r="Y93" s="186">
        <f t="shared" si="472"/>
        <v>1.393726412962204E-2</v>
      </c>
      <c r="Z93" s="186">
        <f t="shared" si="472"/>
        <v>-4.9474270936321063E-3</v>
      </c>
      <c r="AA93" s="186">
        <f t="shared" si="472"/>
        <v>1.8121389935977783E-3</v>
      </c>
      <c r="AB93" s="186">
        <f t="shared" si="472"/>
        <v>8.2644520768627161E-3</v>
      </c>
      <c r="AC93" s="186">
        <f t="shared" si="472"/>
        <v>1.4429995689760278E-2</v>
      </c>
      <c r="AD93" s="186">
        <f t="shared" si="472"/>
        <v>-5.6465200525149806E-3</v>
      </c>
      <c r="AE93" s="186">
        <f t="shared" si="472"/>
        <v>0</v>
      </c>
      <c r="AF93" s="186">
        <f t="shared" si="472"/>
        <v>5.4112483836600278E-3</v>
      </c>
      <c r="AG93" s="186">
        <f t="shared" si="472"/>
        <v>1.060162948635443E-2</v>
      </c>
      <c r="AH93" s="186">
        <f t="shared" si="472"/>
        <v>1.5584395344941049E-2</v>
      </c>
      <c r="AI93" s="186">
        <f t="shared" si="472"/>
        <v>-5.602233620730479E-3</v>
      </c>
      <c r="AJ93" s="186">
        <f t="shared" si="472"/>
        <v>-9.9899970159880724E-4</v>
      </c>
      <c r="AK93" s="186">
        <f t="shared" si="472"/>
        <v>3.4305272771882334E-3</v>
      </c>
      <c r="AL93" s="186">
        <f t="shared" si="472"/>
        <v>7.695997701205437E-3</v>
      </c>
      <c r="AM93" s="186">
        <f t="shared" si="472"/>
        <v>1.1806360109803848E-2</v>
      </c>
      <c r="AN93" s="186">
        <f t="shared" si="472"/>
        <v>1.5769923860952273E-2</v>
      </c>
      <c r="AO93" s="186">
        <f t="shared" si="472"/>
        <v>-6.379577041788792E-3</v>
      </c>
      <c r="AP93" s="186">
        <f t="shared" si="472"/>
        <v>-2.6869647146450515E-3</v>
      </c>
      <c r="AQ93" s="186">
        <f t="shared" si="472"/>
        <v>8.8047431327348269E-4</v>
      </c>
      <c r="AR93" s="186">
        <f t="shared" si="472"/>
        <v>4.3289987069280444E-3</v>
      </c>
      <c r="AS93" s="186">
        <f t="shared" si="472"/>
        <v>7.6644567270201802E-3</v>
      </c>
      <c r="AT93" s="186">
        <f t="shared" si="472"/>
        <v>1.0892319327109323E-2</v>
      </c>
      <c r="AU93" s="186">
        <f t="shared" si="472"/>
        <v>1.4017710098624264E-2</v>
      </c>
      <c r="AV93" s="186">
        <f t="shared" si="472"/>
        <v>-8.9285598330392235E-3</v>
      </c>
      <c r="AW93" s="186">
        <f t="shared" si="472"/>
        <v>-5.993998209592788E-3</v>
      </c>
      <c r="AX93" s="186">
        <f t="shared" si="472"/>
        <v>-3.1483626959477595E-3</v>
      </c>
      <c r="AY93" s="186">
        <f t="shared" si="472"/>
        <v>-3.8767152599358812E-4</v>
      </c>
      <c r="AZ93" s="186">
        <f t="shared" si="472"/>
        <v>2.291822844844249E-3</v>
      </c>
      <c r="BA93" s="186">
        <f t="shared" si="472"/>
        <v>4.8936507121795647E-3</v>
      </c>
      <c r="BB93" s="186">
        <f t="shared" si="472"/>
        <v>7.421140640448104E-3</v>
      </c>
      <c r="BC93" s="186">
        <f t="shared" si="472"/>
        <v>9.8774336693288056E-3</v>
      </c>
      <c r="BD93" s="186">
        <f t="shared" si="472"/>
        <v>1.22654963362962E-2</v>
      </c>
      <c r="BE93" s="186">
        <f t="shared" si="472"/>
        <v>1.4588132628826134E-2</v>
      </c>
      <c r="BF93" s="186">
        <f t="shared" si="472"/>
        <v>-9.1259972740646289E-3</v>
      </c>
      <c r="BG93" s="186">
        <f t="shared" si="472"/>
        <v>-6.9263979310849599E-3</v>
      </c>
      <c r="BH93" s="186">
        <f t="shared" si="472"/>
        <v>-4.7846827813416148E-3</v>
      </c>
      <c r="BI93" s="186">
        <f t="shared" si="472"/>
        <v>-2.698596596526659E-3</v>
      </c>
      <c r="BJ93" s="186">
        <f t="shared" si="472"/>
        <v>-6.6599980106588075E-4</v>
      </c>
      <c r="BK93" s="186">
        <f t="shared" si="472"/>
        <v>1.3151388476743131E-3</v>
      </c>
      <c r="BL93" s="186">
        <f t="shared" si="472"/>
        <v>3.2467490301960333E-3</v>
      </c>
      <c r="BM93" s="186">
        <f t="shared" si="472"/>
        <v>5.130665134136958E-3</v>
      </c>
      <c r="BN93" s="186">
        <f t="shared" si="472"/>
        <v>6.96863206481102E-3</v>
      </c>
      <c r="BO93" s="186">
        <f t="shared" si="472"/>
        <v>8.7623106357098413E-3</v>
      </c>
      <c r="BP93" s="186">
        <f t="shared" si="472"/>
        <v>1.0513282573968191E-2</v>
      </c>
      <c r="BQ93" s="186">
        <f t="shared" ref="BQ93:EB93" si="474">$AE$90*BQ79 - BQ90*BQ79</f>
        <v>1.22230551725028E-2</v>
      </c>
      <c r="BR93" s="186">
        <f t="shared" si="474"/>
        <v>1.3893065617583106E-2</v>
      </c>
      <c r="BS93" s="186">
        <f t="shared" si="474"/>
        <v>1.5524685017948958E-2</v>
      </c>
      <c r="BT93" s="186">
        <f t="shared" si="474"/>
        <v>-8.8547700823529141E-3</v>
      </c>
      <c r="BU93" s="186">
        <f t="shared" si="474"/>
        <v>-7.296065236395699E-3</v>
      </c>
      <c r="BV93" s="186">
        <f t="shared" si="474"/>
        <v>-5.7719982759041333E-3</v>
      </c>
      <c r="BW93" s="186">
        <f t="shared" si="474"/>
        <v>-4.2814272925662811E-3</v>
      </c>
      <c r="BX93" s="186">
        <f t="shared" si="474"/>
        <v>-2.8232600262574903E-3</v>
      </c>
      <c r="BY93" s="186">
        <f t="shared" si="474"/>
        <v>-1.3964511957832715E-3</v>
      </c>
      <c r="BZ93" s="186">
        <f t="shared" si="474"/>
        <v>0</v>
      </c>
      <c r="CA93" s="186">
        <f t="shared" si="474"/>
        <v>1.3670522232404336E-3</v>
      </c>
      <c r="CB93" s="186">
        <f t="shared" si="474"/>
        <v>2.7056241918300139E-3</v>
      </c>
      <c r="CC93" s="186">
        <f t="shared" si="474"/>
        <v>4.0165967383868351E-3</v>
      </c>
      <c r="CD93" s="186">
        <f t="shared" si="474"/>
        <v>5.3008147431772151E-3</v>
      </c>
      <c r="CE93" s="186">
        <f t="shared" si="474"/>
        <v>6.5590889498910177E-3</v>
      </c>
      <c r="CF93" s="186">
        <f t="shared" si="474"/>
        <v>7.7921976724705244E-3</v>
      </c>
      <c r="CG93" s="186">
        <f t="shared" si="474"/>
        <v>9.0008884005434997E-3</v>
      </c>
      <c r="CH93" s="186">
        <f t="shared" si="474"/>
        <v>1.0185879310419005E-2</v>
      </c>
      <c r="CI93" s="186">
        <f t="shared" si="474"/>
        <v>1.1347860688063885E-2</v>
      </c>
      <c r="CJ93" s="186">
        <f t="shared" si="474"/>
        <v>1.2487496269984841E-2</v>
      </c>
      <c r="CK93" s="186">
        <f t="shared" si="474"/>
        <v>1.3605424507488237E-2</v>
      </c>
      <c r="CL93" s="186">
        <f t="shared" si="474"/>
        <v>1.4702259759378361E-2</v>
      </c>
      <c r="CM93" s="186">
        <f t="shared" si="474"/>
        <v>-1.0195398823793264E-2</v>
      </c>
      <c r="CN93" s="186">
        <f t="shared" si="474"/>
        <v>-9.1389972701815397E-3</v>
      </c>
      <c r="CO93" s="186">
        <f t="shared" si="474"/>
        <v>-8.1019792313149624E-3</v>
      </c>
      <c r="CP93" s="186">
        <f t="shared" si="474"/>
        <v>-7.0838160658823479E-3</v>
      </c>
      <c r="CQ93" s="186">
        <f t="shared" si="474"/>
        <v>-6.0839981827097572E-3</v>
      </c>
      <c r="CR93" s="186">
        <f t="shared" si="474"/>
        <v>-5.1020341903081218E-3</v>
      </c>
      <c r="CS93" s="186">
        <f t="shared" si="474"/>
        <v>-4.1374500915773021E-3</v>
      </c>
      <c r="CT93" s="186">
        <f t="shared" si="474"/>
        <v>-3.189788520894396E-3</v>
      </c>
      <c r="CU93" s="186">
        <f t="shared" si="474"/>
        <v>-2.2586080210059839E-3</v>
      </c>
      <c r="CV93" s="186">
        <f t="shared" si="474"/>
        <v>-1.3434823573225257E-3</v>
      </c>
      <c r="CW93" s="186">
        <f t="shared" si="474"/>
        <v>-4.4399986737726771E-4</v>
      </c>
      <c r="CX93" s="186">
        <f t="shared" si="474"/>
        <v>4.4023715663674134E-4</v>
      </c>
      <c r="CY93" s="186">
        <f t="shared" si="474"/>
        <v>1.3096130541967177E-3</v>
      </c>
      <c r="CZ93" s="186">
        <f t="shared" si="474"/>
        <v>2.1644993534640222E-3</v>
      </c>
      <c r="DA93" s="186">
        <f t="shared" si="474"/>
        <v>3.0052553006773286E-3</v>
      </c>
      <c r="DB93" s="186">
        <f t="shared" si="474"/>
        <v>3.8322283635100901E-3</v>
      </c>
      <c r="DC93" s="186">
        <f t="shared" si="474"/>
        <v>4.6457547098740226E-3</v>
      </c>
      <c r="DD93" s="186">
        <f t="shared" si="474"/>
        <v>5.4461596635546616E-3</v>
      </c>
      <c r="DE93" s="186">
        <f t="shared" si="474"/>
        <v>6.2337581379764279E-3</v>
      </c>
      <c r="DF93" s="186">
        <f t="shared" si="474"/>
        <v>7.0088550493121321E-3</v>
      </c>
      <c r="DG93" s="186">
        <f t="shared" si="474"/>
        <v>7.7717457100755921E-3</v>
      </c>
      <c r="DH93" s="186">
        <f t="shared" si="474"/>
        <v>8.5227162042646465E-3</v>
      </c>
      <c r="DI93" s="186">
        <f t="shared" si="474"/>
        <v>9.2620437450554316E-3</v>
      </c>
      <c r="DJ93" s="186">
        <f t="shared" si="474"/>
        <v>9.9899970159878643E-3</v>
      </c>
      <c r="DK93" s="186">
        <f t="shared" si="474"/>
        <v>1.0706836496524416E-2</v>
      </c>
      <c r="DL93" s="186">
        <f t="shared" si="474"/>
        <v>1.1412814772810392E-2</v>
      </c>
      <c r="DM93" s="186">
        <f t="shared" si="474"/>
        <v>1.2108176834415382E-2</v>
      </c>
      <c r="DN93" s="186">
        <f t="shared" si="474"/>
        <v>1.2793160357787464E-2</v>
      </c>
      <c r="DO93" s="186">
        <f t="shared" si="474"/>
        <v>1.3467995977109584E-2</v>
      </c>
      <c r="DP93" s="186">
        <f t="shared" si="474"/>
        <v>1.4132907543206383E-2</v>
      </c>
      <c r="DQ93" s="186">
        <f t="shared" si="474"/>
        <v>-1.1185879870456536E-2</v>
      </c>
      <c r="DR93" s="186">
        <f t="shared" si="474"/>
        <v>-1.0540170764694476E-2</v>
      </c>
      <c r="DS93" s="186">
        <f t="shared" si="474"/>
        <v>-9.9037524374326197E-3</v>
      </c>
      <c r="DT93" s="186">
        <f t="shared" si="474"/>
        <v>-9.2764258005602063E-3</v>
      </c>
      <c r="DU93" s="186">
        <f t="shared" si="474"/>
        <v>-8.657997413856186E-3</v>
      </c>
      <c r="DV93" s="186">
        <f t="shared" si="474"/>
        <v>-8.0482792861198554E-3</v>
      </c>
      <c r="DW93" s="186">
        <f t="shared" si="474"/>
        <v>-7.4470886846455392E-3</v>
      </c>
      <c r="DX93" s="186">
        <f t="shared" si="474"/>
        <v>-6.8542479526361583E-3</v>
      </c>
      <c r="DY93" s="186">
        <f t="shared" si="474"/>
        <v>-6.2695843341717267E-3</v>
      </c>
      <c r="DZ93" s="186">
        <f t="shared" si="474"/>
        <v>-5.6929298063711914E-3</v>
      </c>
      <c r="EA93" s="186">
        <f t="shared" si="474"/>
        <v>-5.1241209184046954E-3</v>
      </c>
      <c r="EB93" s="186">
        <f t="shared" si="474"/>
        <v>-4.5629986370323145E-3</v>
      </c>
      <c r="EC93" s="186">
        <f t="shared" ref="EC93:FC93" si="475">$AE$90*EC79 - EC90*EC79</f>
        <v>-4.0094081983629432E-3</v>
      </c>
      <c r="ED93" s="186">
        <f t="shared" si="475"/>
        <v>-3.46319896554248E-3</v>
      </c>
      <c r="EE93" s="186">
        <f t="shared" si="475"/>
        <v>-2.9242242920971412E-3</v>
      </c>
      <c r="EF93" s="186">
        <f t="shared" si="475"/>
        <v>-2.3923413906708074E-3</v>
      </c>
      <c r="EG93" s="186">
        <f t="shared" si="475"/>
        <v>-1.8674112069101689E-3</v>
      </c>
      <c r="EH93" s="186">
        <f t="shared" si="475"/>
        <v>-1.3492982982633295E-3</v>
      </c>
      <c r="EI93" s="186">
        <f t="shared" si="475"/>
        <v>-8.3787071746996289E-4</v>
      </c>
      <c r="EJ93" s="186">
        <f t="shared" si="475"/>
        <v>-3.3299990053294037E-4</v>
      </c>
      <c r="EK93" s="186">
        <f t="shared" si="475"/>
        <v>1.6543944102907771E-4</v>
      </c>
      <c r="EL93" s="186">
        <f t="shared" si="475"/>
        <v>6.5756942383715655E-4</v>
      </c>
      <c r="EM93" s="186">
        <f t="shared" si="475"/>
        <v>1.1435090923960778E-3</v>
      </c>
      <c r="EN93" s="186">
        <f t="shared" si="475"/>
        <v>1.6233745150980167E-3</v>
      </c>
      <c r="EO93" s="186">
        <f t="shared" si="475"/>
        <v>2.097278876648373E-3</v>
      </c>
      <c r="EP93" s="186">
        <f t="shared" si="475"/>
        <v>2.565332567068479E-3</v>
      </c>
      <c r="EQ93" s="186">
        <f t="shared" si="475"/>
        <v>3.0276432674220671E-3</v>
      </c>
      <c r="ER93" s="186">
        <f t="shared" si="475"/>
        <v>3.48431603240551E-3</v>
      </c>
      <c r="ES93" s="186">
        <f t="shared" si="475"/>
        <v>3.9354533699346023E-3</v>
      </c>
      <c r="ET93" s="186">
        <f t="shared" si="475"/>
        <v>4.3811553178549206E-3</v>
      </c>
      <c r="EU93" s="186">
        <f t="shared" si="475"/>
        <v>4.8215195178959447E-3</v>
      </c>
      <c r="EV93" s="186">
        <f t="shared" si="475"/>
        <v>5.2566412869840956E-3</v>
      </c>
      <c r="EW93" s="186">
        <f t="shared" si="475"/>
        <v>5.6866136860238697E-3</v>
      </c>
      <c r="EX93" s="186">
        <f t="shared" si="475"/>
        <v>6.1115275862514001E-3</v>
      </c>
      <c r="EY93" s="712"/>
      <c r="EZ93" s="712"/>
      <c r="FA93" s="709"/>
      <c r="FB93" s="186">
        <f t="shared" si="475"/>
        <v>1.2726082483526024E-2</v>
      </c>
      <c r="FC93" s="186">
        <f t="shared" si="475"/>
        <v>1.060506873627165E-2</v>
      </c>
      <c r="FD93" s="100"/>
    </row>
    <row r="94" spans="2:160" x14ac:dyDescent="0.45">
      <c r="B94" s="2"/>
      <c r="C94" s="109" t="s">
        <v>903</v>
      </c>
      <c r="D94" s="187">
        <f>D93/(D90*D79)</f>
        <v>2.1276595744680646E-2</v>
      </c>
      <c r="E94" s="187">
        <f t="shared" ref="E94:BP94" si="476">E93/(E90*E79)</f>
        <v>2.7659574468085032E-2</v>
      </c>
      <c r="F94" s="187">
        <f t="shared" ref="F94" si="477">F93/(F90*F79)</f>
        <v>2.9787234042553217E-2</v>
      </c>
      <c r="G94" s="187">
        <f t="shared" si="476"/>
        <v>2.7659574468084938E-2</v>
      </c>
      <c r="H94" s="187">
        <f t="shared" si="476"/>
        <v>2.1276595744680535E-2</v>
      </c>
      <c r="I94" s="187">
        <f t="shared" si="476"/>
        <v>1.0638297872340116E-2</v>
      </c>
      <c r="J94" s="187">
        <f t="shared" si="476"/>
        <v>-4.2553191489362475E-3</v>
      </c>
      <c r="K94" s="187">
        <f t="shared" si="476"/>
        <v>3.404255319148914E-2</v>
      </c>
      <c r="L94" s="187">
        <f t="shared" si="476"/>
        <v>1.276595744680813E-2</v>
      </c>
      <c r="M94" s="187">
        <f t="shared" si="476"/>
        <v>4.8936170212765737E-2</v>
      </c>
      <c r="N94" s="187">
        <f t="shared" si="476"/>
        <v>2.1276595744680646E-2</v>
      </c>
      <c r="O94" s="187">
        <f t="shared" si="476"/>
        <v>-1.0638297872340632E-2</v>
      </c>
      <c r="P94" s="187">
        <f t="shared" si="476"/>
        <v>2.1276595744680681E-2</v>
      </c>
      <c r="Q94" s="187">
        <f t="shared" si="476"/>
        <v>5.3191489361701864E-2</v>
      </c>
      <c r="R94" s="187">
        <f t="shared" si="476"/>
        <v>1.2765957446808333E-2</v>
      </c>
      <c r="S94" s="187">
        <f t="shared" si="476"/>
        <v>4.2553191489361451E-2</v>
      </c>
      <c r="T94" s="187">
        <f t="shared" si="476"/>
        <v>-4.2553191489361842E-3</v>
      </c>
      <c r="U94" s="187">
        <f t="shared" si="476"/>
        <v>2.3404255319148932E-2</v>
      </c>
      <c r="V94" s="187">
        <f t="shared" si="476"/>
        <v>5.1063829787233839E-2</v>
      </c>
      <c r="W94" s="187">
        <f t="shared" si="476"/>
        <v>-4.2553191489363065E-3</v>
      </c>
      <c r="X94" s="187">
        <f t="shared" si="476"/>
        <v>2.1276595744680646E-2</v>
      </c>
      <c r="Y94" s="187">
        <f t="shared" si="476"/>
        <v>4.6808510638297565E-2</v>
      </c>
      <c r="Z94" s="187">
        <f t="shared" si="476"/>
        <v>-1.7021276595744709E-2</v>
      </c>
      <c r="AA94" s="187">
        <f t="shared" si="476"/>
        <v>6.3829787234041665E-3</v>
      </c>
      <c r="AB94" s="187">
        <f t="shared" si="476"/>
        <v>2.9787234042553217E-2</v>
      </c>
      <c r="AC94" s="187">
        <f t="shared" si="476"/>
        <v>5.31914893617021E-2</v>
      </c>
      <c r="AD94" s="187">
        <f t="shared" si="476"/>
        <v>-2.1276595744681173E-2</v>
      </c>
      <c r="AE94" s="187">
        <f t="shared" si="476"/>
        <v>0</v>
      </c>
      <c r="AF94" s="187">
        <f t="shared" si="476"/>
        <v>2.1276595744680535E-2</v>
      </c>
      <c r="AG94" s="187">
        <f t="shared" si="476"/>
        <v>4.2553191489361437E-2</v>
      </c>
      <c r="AH94" s="187">
        <f t="shared" si="476"/>
        <v>6.3829787234042298E-2</v>
      </c>
      <c r="AI94" s="187">
        <f t="shared" si="476"/>
        <v>-2.3404255319148998E-2</v>
      </c>
      <c r="AJ94" s="187">
        <f t="shared" si="476"/>
        <v>-4.2553191489362475E-3</v>
      </c>
      <c r="AK94" s="187">
        <f t="shared" si="476"/>
        <v>1.4893617021276328E-2</v>
      </c>
      <c r="AL94" s="187">
        <f t="shared" si="476"/>
        <v>3.404255319148914E-2</v>
      </c>
      <c r="AM94" s="187">
        <f t="shared" si="476"/>
        <v>5.3191489361702024E-2</v>
      </c>
      <c r="AN94" s="187">
        <f t="shared" si="476"/>
        <v>7.2340425531914707E-2</v>
      </c>
      <c r="AO94" s="187">
        <f t="shared" si="476"/>
        <v>-2.9787234042553349E-2</v>
      </c>
      <c r="AP94" s="187">
        <f t="shared" si="476"/>
        <v>-1.2765957446808664E-2</v>
      </c>
      <c r="AQ94" s="187">
        <f t="shared" si="476"/>
        <v>4.2553191489360428E-3</v>
      </c>
      <c r="AR94" s="187">
        <f t="shared" si="476"/>
        <v>2.1276595744680646E-2</v>
      </c>
      <c r="AS94" s="187">
        <f t="shared" si="476"/>
        <v>3.8297872340425344E-2</v>
      </c>
      <c r="AT94" s="187">
        <f t="shared" si="476"/>
        <v>5.5319148936169925E-2</v>
      </c>
      <c r="AU94" s="187">
        <f t="shared" si="476"/>
        <v>7.2340425531914818E-2</v>
      </c>
      <c r="AV94" s="187">
        <f t="shared" si="476"/>
        <v>-4.6808510638298106E-2</v>
      </c>
      <c r="AW94" s="187">
        <f t="shared" si="476"/>
        <v>-3.1914893617021559E-2</v>
      </c>
      <c r="AX94" s="187">
        <f t="shared" si="476"/>
        <v>-1.7021276595745004E-2</v>
      </c>
      <c r="AY94" s="187">
        <f t="shared" si="476"/>
        <v>-2.1276595744682395E-3</v>
      </c>
      <c r="AZ94" s="187">
        <f t="shared" si="476"/>
        <v>1.2765957446808333E-2</v>
      </c>
      <c r="BA94" s="187">
        <f t="shared" si="476"/>
        <v>2.7659574468085049E-2</v>
      </c>
      <c r="BB94" s="187">
        <f t="shared" si="476"/>
        <v>4.2553191489361451E-2</v>
      </c>
      <c r="BC94" s="187">
        <f t="shared" si="476"/>
        <v>5.7446808510637895E-2</v>
      </c>
      <c r="BD94" s="187">
        <f t="shared" si="476"/>
        <v>7.2340425531914623E-2</v>
      </c>
      <c r="BE94" s="187">
        <f t="shared" si="476"/>
        <v>8.7234042553191379E-2</v>
      </c>
      <c r="BF94" s="187">
        <f t="shared" si="476"/>
        <v>-5.5319148936170306E-2</v>
      </c>
      <c r="BG94" s="187">
        <f t="shared" si="476"/>
        <v>-4.255319148936184E-2</v>
      </c>
      <c r="BH94" s="187">
        <f t="shared" si="476"/>
        <v>-2.9787234042553474E-2</v>
      </c>
      <c r="BI94" s="187">
        <f t="shared" si="476"/>
        <v>-1.7021276595745056E-2</v>
      </c>
      <c r="BJ94" s="187">
        <f t="shared" si="476"/>
        <v>-4.2553191489363065E-3</v>
      </c>
      <c r="BK94" s="187">
        <f t="shared" si="476"/>
        <v>8.5106382978720665E-3</v>
      </c>
      <c r="BL94" s="187">
        <f t="shared" si="476"/>
        <v>2.1276595744680646E-2</v>
      </c>
      <c r="BM94" s="187">
        <f t="shared" si="476"/>
        <v>3.404255319148914E-2</v>
      </c>
      <c r="BN94" s="187">
        <f t="shared" si="476"/>
        <v>4.6808510638297565E-2</v>
      </c>
      <c r="BO94" s="187">
        <f t="shared" si="476"/>
        <v>5.9574468085106254E-2</v>
      </c>
      <c r="BP94" s="187">
        <f t="shared" si="476"/>
        <v>7.2340425531914776E-2</v>
      </c>
      <c r="BQ94" s="187">
        <f t="shared" ref="BQ94:EB94" si="478">BQ93/(BQ90*BQ79)</f>
        <v>8.510638297872318E-2</v>
      </c>
      <c r="BR94" s="187">
        <f t="shared" si="478"/>
        <v>9.7872340425531515E-2</v>
      </c>
      <c r="BS94" s="187">
        <f t="shared" si="478"/>
        <v>0.11063829787234013</v>
      </c>
      <c r="BT94" s="187">
        <f t="shared" si="478"/>
        <v>-6.3829787234042631E-2</v>
      </c>
      <c r="BU94" s="187">
        <f t="shared" si="478"/>
        <v>-5.3191489361702475E-2</v>
      </c>
      <c r="BV94" s="187">
        <f t="shared" si="478"/>
        <v>-4.255319148936184E-2</v>
      </c>
      <c r="BW94" s="187">
        <f t="shared" si="478"/>
        <v>-3.1914893617021586E-2</v>
      </c>
      <c r="BX94" s="187">
        <f t="shared" si="478"/>
        <v>-2.1276595744681173E-2</v>
      </c>
      <c r="BY94" s="187">
        <f t="shared" si="478"/>
        <v>-1.0638297872340562E-2</v>
      </c>
      <c r="BZ94" s="187">
        <f t="shared" si="478"/>
        <v>0</v>
      </c>
      <c r="CA94" s="187">
        <f t="shared" si="478"/>
        <v>1.0638297872340313E-2</v>
      </c>
      <c r="CB94" s="187">
        <f t="shared" si="478"/>
        <v>2.1276595744680535E-2</v>
      </c>
      <c r="CC94" s="187">
        <f t="shared" si="478"/>
        <v>3.1914893617020886E-2</v>
      </c>
      <c r="CD94" s="187">
        <f t="shared" si="478"/>
        <v>4.2553191489361437E-2</v>
      </c>
      <c r="CE94" s="187">
        <f t="shared" si="478"/>
        <v>5.3191489361701955E-2</v>
      </c>
      <c r="CF94" s="187">
        <f t="shared" si="478"/>
        <v>6.3829787234042298E-2</v>
      </c>
      <c r="CG94" s="187">
        <f t="shared" si="478"/>
        <v>7.4468085106382587E-2</v>
      </c>
      <c r="CH94" s="187">
        <f t="shared" si="478"/>
        <v>8.5106382978723236E-2</v>
      </c>
      <c r="CI94" s="187">
        <f t="shared" si="478"/>
        <v>9.5744680851063579E-2</v>
      </c>
      <c r="CJ94" s="187">
        <f t="shared" si="478"/>
        <v>0.10638297872340406</v>
      </c>
      <c r="CK94" s="187">
        <f t="shared" si="478"/>
        <v>0.11702127659574439</v>
      </c>
      <c r="CL94" s="187">
        <f t="shared" si="478"/>
        <v>0.12765957446808471</v>
      </c>
      <c r="CM94" s="187">
        <f t="shared" si="478"/>
        <v>-8.9361702127659703E-2</v>
      </c>
      <c r="CN94" s="187">
        <f t="shared" si="478"/>
        <v>-8.0851063829787448E-2</v>
      </c>
      <c r="CO94" s="187">
        <f t="shared" si="478"/>
        <v>-7.2340425531914998E-2</v>
      </c>
      <c r="CP94" s="187">
        <f t="shared" si="478"/>
        <v>-6.382978723404277E-2</v>
      </c>
      <c r="CQ94" s="187">
        <f t="shared" si="478"/>
        <v>-5.5319148936170348E-2</v>
      </c>
      <c r="CR94" s="187">
        <f t="shared" si="478"/>
        <v>-4.6808510638298058E-2</v>
      </c>
      <c r="CS94" s="187">
        <f t="shared" si="478"/>
        <v>-3.8297872340425684E-2</v>
      </c>
      <c r="CT94" s="187">
        <f t="shared" si="478"/>
        <v>-2.9787234042553349E-2</v>
      </c>
      <c r="CU94" s="187">
        <f t="shared" si="478"/>
        <v>-2.1276595744681093E-2</v>
      </c>
      <c r="CV94" s="187">
        <f t="shared" si="478"/>
        <v>-1.2765957446808664E-2</v>
      </c>
      <c r="CW94" s="187">
        <f t="shared" si="478"/>
        <v>-4.2553191489364392E-3</v>
      </c>
      <c r="CX94" s="187">
        <f t="shared" si="478"/>
        <v>4.2553191489360428E-3</v>
      </c>
      <c r="CY94" s="187">
        <f t="shared" si="478"/>
        <v>1.2765957446808371E-2</v>
      </c>
      <c r="CZ94" s="187">
        <f t="shared" si="478"/>
        <v>2.1276595744680646E-2</v>
      </c>
      <c r="DA94" s="187">
        <f t="shared" si="478"/>
        <v>2.9787234042552988E-2</v>
      </c>
      <c r="DB94" s="187">
        <f t="shared" si="478"/>
        <v>3.8297872340425344E-2</v>
      </c>
      <c r="DC94" s="187">
        <f t="shared" si="478"/>
        <v>4.6808510638297655E-2</v>
      </c>
      <c r="DD94" s="187">
        <f t="shared" si="478"/>
        <v>5.5319148936169925E-2</v>
      </c>
      <c r="DE94" s="187">
        <f t="shared" si="478"/>
        <v>6.3829787234042382E-2</v>
      </c>
      <c r="DF94" s="187">
        <f t="shared" si="478"/>
        <v>7.2340425531914818E-2</v>
      </c>
      <c r="DG94" s="187">
        <f t="shared" si="478"/>
        <v>8.0851063829786948E-2</v>
      </c>
      <c r="DH94" s="187">
        <f t="shared" si="478"/>
        <v>8.9361702127659329E-2</v>
      </c>
      <c r="DI94" s="187">
        <f t="shared" si="478"/>
        <v>9.7872340425531834E-2</v>
      </c>
      <c r="DJ94" s="187">
        <f t="shared" si="478"/>
        <v>0.10638297872340395</v>
      </c>
      <c r="DK94" s="187">
        <f t="shared" si="478"/>
        <v>0.11489361702127648</v>
      </c>
      <c r="DL94" s="187">
        <f t="shared" si="478"/>
        <v>0.12340425531914875</v>
      </c>
      <c r="DM94" s="187">
        <f t="shared" si="478"/>
        <v>0.13191489361702111</v>
      </c>
      <c r="DN94" s="187">
        <f t="shared" si="478"/>
        <v>0.14042553191489346</v>
      </c>
      <c r="DO94" s="187">
        <f t="shared" si="478"/>
        <v>0.14893617021276576</v>
      </c>
      <c r="DP94" s="187">
        <f t="shared" si="478"/>
        <v>0.15744680851063811</v>
      </c>
      <c r="DQ94" s="187">
        <f t="shared" si="478"/>
        <v>-0.12553191489361726</v>
      </c>
      <c r="DR94" s="187">
        <f t="shared" si="478"/>
        <v>-0.11914893617021284</v>
      </c>
      <c r="DS94" s="187">
        <f t="shared" si="478"/>
        <v>-0.11276595744680873</v>
      </c>
      <c r="DT94" s="187">
        <f t="shared" si="478"/>
        <v>-0.10638297872340449</v>
      </c>
      <c r="DU94" s="187">
        <f t="shared" si="478"/>
        <v>-0.10000000000000016</v>
      </c>
      <c r="DV94" s="187">
        <f t="shared" si="478"/>
        <v>-9.3617021276596116E-2</v>
      </c>
      <c r="DW94" s="187">
        <f t="shared" si="478"/>
        <v>-8.7234042553191726E-2</v>
      </c>
      <c r="DX94" s="187">
        <f t="shared" si="478"/>
        <v>-8.085106382978749E-2</v>
      </c>
      <c r="DY94" s="187">
        <f t="shared" si="478"/>
        <v>-7.4468085106383169E-2</v>
      </c>
      <c r="DZ94" s="187">
        <f t="shared" si="478"/>
        <v>-6.8085106382978849E-2</v>
      </c>
      <c r="EA94" s="187">
        <f t="shared" si="478"/>
        <v>-6.1702127659574731E-2</v>
      </c>
      <c r="EB94" s="187">
        <f t="shared" si="478"/>
        <v>-5.5319148936170306E-2</v>
      </c>
      <c r="EC94" s="187">
        <f t="shared" ref="EC94:FC94" si="479">EC93/(EC90*EC79)</f>
        <v>-4.8936170212766174E-2</v>
      </c>
      <c r="ED94" s="187">
        <f t="shared" si="479"/>
        <v>-4.255319148936184E-2</v>
      </c>
      <c r="EE94" s="187">
        <f t="shared" si="479"/>
        <v>-3.6170212765957735E-2</v>
      </c>
      <c r="EF94" s="187">
        <f t="shared" si="479"/>
        <v>-2.9787234042553474E-2</v>
      </c>
      <c r="EG94" s="187">
        <f t="shared" si="479"/>
        <v>-2.3404255319149112E-2</v>
      </c>
      <c r="EH94" s="187">
        <f t="shared" si="479"/>
        <v>-1.7021276595745056E-2</v>
      </c>
      <c r="EI94" s="187">
        <f t="shared" si="479"/>
        <v>-1.0638297872340562E-2</v>
      </c>
      <c r="EJ94" s="187">
        <f t="shared" si="479"/>
        <v>-4.2553191489363065E-3</v>
      </c>
      <c r="EK94" s="187">
        <f t="shared" si="479"/>
        <v>2.1276595744678132E-3</v>
      </c>
      <c r="EL94" s="187">
        <f t="shared" si="479"/>
        <v>8.5106382978720665E-3</v>
      </c>
      <c r="EM94" s="187">
        <f t="shared" si="479"/>
        <v>1.4893617021276329E-2</v>
      </c>
      <c r="EN94" s="187">
        <f t="shared" si="479"/>
        <v>2.1276595744680646E-2</v>
      </c>
      <c r="EO94" s="187">
        <f t="shared" si="479"/>
        <v>2.7659574468084886E-2</v>
      </c>
      <c r="EP94" s="187">
        <f t="shared" si="479"/>
        <v>3.404255319148914E-2</v>
      </c>
      <c r="EQ94" s="187">
        <f t="shared" si="479"/>
        <v>4.042553191489321E-2</v>
      </c>
      <c r="ER94" s="187">
        <f t="shared" si="479"/>
        <v>4.6808510638297565E-2</v>
      </c>
      <c r="ES94" s="187">
        <f t="shared" si="479"/>
        <v>5.319148936170183E-2</v>
      </c>
      <c r="ET94" s="187">
        <f t="shared" si="479"/>
        <v>5.9574468085106254E-2</v>
      </c>
      <c r="EU94" s="187">
        <f t="shared" si="479"/>
        <v>6.5957446808510539E-2</v>
      </c>
      <c r="EV94" s="187">
        <f t="shared" si="479"/>
        <v>7.2340425531914776E-2</v>
      </c>
      <c r="EW94" s="187">
        <f t="shared" si="479"/>
        <v>7.8723404255319068E-2</v>
      </c>
      <c r="EX94" s="187">
        <f t="shared" si="479"/>
        <v>8.510638297872318E-2</v>
      </c>
      <c r="EY94" s="713"/>
      <c r="EZ94" s="713"/>
      <c r="FA94" s="709"/>
      <c r="FB94" s="187">
        <f t="shared" si="479"/>
        <v>2.0840232675022215E-2</v>
      </c>
      <c r="FC94" s="187">
        <f t="shared" si="479"/>
        <v>2.0840232675022143E-2</v>
      </c>
      <c r="FD94" s="100"/>
    </row>
    <row r="95" spans="2:160" x14ac:dyDescent="0.45">
      <c r="B95" s="2" t="s">
        <v>1169</v>
      </c>
      <c r="C95" s="109" t="s">
        <v>903</v>
      </c>
      <c r="D95" s="187"/>
      <c r="E95" s="187">
        <f>E94-D94</f>
        <v>6.382978723404386E-3</v>
      </c>
      <c r="F95" s="187">
        <f>F94-E94</f>
        <v>2.1276595744681853E-3</v>
      </c>
      <c r="G95" s="187">
        <f t="shared" ref="G95:BQ95" si="480">G94-F94</f>
        <v>-2.127659574468279E-3</v>
      </c>
      <c r="H95" s="187">
        <f t="shared" si="480"/>
        <v>-6.3829787234044033E-3</v>
      </c>
      <c r="I95" s="187">
        <f t="shared" si="480"/>
        <v>-1.0638297872340418E-2</v>
      </c>
      <c r="J95" s="187">
        <f t="shared" si="480"/>
        <v>-1.4893617021276364E-2</v>
      </c>
      <c r="K95" s="187">
        <f t="shared" si="480"/>
        <v>3.8297872340425386E-2</v>
      </c>
      <c r="L95" s="187">
        <f t="shared" si="480"/>
        <v>-2.127659574468101E-2</v>
      </c>
      <c r="M95" s="187">
        <f t="shared" si="480"/>
        <v>3.617021276595761E-2</v>
      </c>
      <c r="N95" s="187">
        <f t="shared" si="480"/>
        <v>-2.7659574468085091E-2</v>
      </c>
      <c r="O95" s="187">
        <f t="shared" si="480"/>
        <v>-3.1914893617021281E-2</v>
      </c>
      <c r="P95" s="187">
        <f t="shared" si="480"/>
        <v>3.1914893617021309E-2</v>
      </c>
      <c r="Q95" s="187">
        <f t="shared" si="480"/>
        <v>3.1914893617021184E-2</v>
      </c>
      <c r="R95" s="187">
        <f t="shared" si="480"/>
        <v>-4.042553191489353E-2</v>
      </c>
      <c r="S95" s="187">
        <f t="shared" si="480"/>
        <v>2.9787234042553117E-2</v>
      </c>
      <c r="T95" s="187">
        <f t="shared" si="480"/>
        <v>-4.6808510638297635E-2</v>
      </c>
      <c r="U95" s="187">
        <f t="shared" si="480"/>
        <v>2.7659574468085115E-2</v>
      </c>
      <c r="V95" s="187">
        <f t="shared" si="480"/>
        <v>2.7659574468084907E-2</v>
      </c>
      <c r="W95" s="187">
        <f t="shared" si="480"/>
        <v>-5.5319148936170147E-2</v>
      </c>
      <c r="X95" s="187">
        <f t="shared" si="480"/>
        <v>2.5531914893616954E-2</v>
      </c>
      <c r="Y95" s="187">
        <f t="shared" si="480"/>
        <v>2.5531914893616919E-2</v>
      </c>
      <c r="Z95" s="187">
        <f t="shared" si="480"/>
        <v>-6.3829787234042271E-2</v>
      </c>
      <c r="AA95" s="187">
        <f t="shared" si="480"/>
        <v>2.3404255319148876E-2</v>
      </c>
      <c r="AB95" s="187">
        <f t="shared" si="480"/>
        <v>2.340425531914905E-2</v>
      </c>
      <c r="AC95" s="187">
        <f t="shared" si="480"/>
        <v>2.3404255319148883E-2</v>
      </c>
      <c r="AD95" s="187">
        <f t="shared" si="480"/>
        <v>-7.446808510638328E-2</v>
      </c>
      <c r="AE95" s="187">
        <f t="shared" si="480"/>
        <v>2.1276595744681173E-2</v>
      </c>
      <c r="AF95" s="187">
        <f t="shared" si="480"/>
        <v>2.1276595744680535E-2</v>
      </c>
      <c r="AG95" s="187">
        <f t="shared" si="480"/>
        <v>2.1276595744680903E-2</v>
      </c>
      <c r="AH95" s="187">
        <f t="shared" si="480"/>
        <v>2.1276595744680861E-2</v>
      </c>
      <c r="AI95" s="187">
        <f t="shared" si="480"/>
        <v>-8.7234042553191296E-2</v>
      </c>
      <c r="AJ95" s="187">
        <f t="shared" si="480"/>
        <v>1.9148936170212752E-2</v>
      </c>
      <c r="AK95" s="187">
        <f t="shared" si="480"/>
        <v>1.9148936170212575E-2</v>
      </c>
      <c r="AL95" s="187">
        <f t="shared" si="480"/>
        <v>1.9148936170212814E-2</v>
      </c>
      <c r="AM95" s="187">
        <f t="shared" si="480"/>
        <v>1.9148936170212884E-2</v>
      </c>
      <c r="AN95" s="187">
        <f t="shared" si="480"/>
        <v>1.9148936170212683E-2</v>
      </c>
      <c r="AO95" s="187">
        <f t="shared" si="480"/>
        <v>-0.10212765957446805</v>
      </c>
      <c r="AP95" s="187">
        <f t="shared" si="480"/>
        <v>1.7021276595744685E-2</v>
      </c>
      <c r="AQ95" s="187">
        <f t="shared" si="480"/>
        <v>1.7021276595744705E-2</v>
      </c>
      <c r="AR95" s="187">
        <f t="shared" si="480"/>
        <v>1.7021276595744601E-2</v>
      </c>
      <c r="AS95" s="187">
        <f t="shared" si="480"/>
        <v>1.7021276595744698E-2</v>
      </c>
      <c r="AT95" s="187">
        <f t="shared" si="480"/>
        <v>1.7021276595744581E-2</v>
      </c>
      <c r="AU95" s="187">
        <f t="shared" si="480"/>
        <v>1.7021276595744893E-2</v>
      </c>
      <c r="AV95" s="187">
        <f t="shared" si="480"/>
        <v>-0.11914893617021292</v>
      </c>
      <c r="AW95" s="187">
        <f>AW94-AV94</f>
        <v>1.4893617021276548E-2</v>
      </c>
      <c r="AX95" s="187">
        <f t="shared" si="480"/>
        <v>1.4893617021276555E-2</v>
      </c>
      <c r="AY95" s="187">
        <f t="shared" si="480"/>
        <v>1.4893617021276765E-2</v>
      </c>
      <c r="AZ95" s="187">
        <f t="shared" si="480"/>
        <v>1.4893617021276572E-2</v>
      </c>
      <c r="BA95" s="187">
        <f t="shared" si="480"/>
        <v>1.4893617021276716E-2</v>
      </c>
      <c r="BB95" s="187">
        <f t="shared" si="480"/>
        <v>1.4893617021276402E-2</v>
      </c>
      <c r="BC95" s="187">
        <f t="shared" si="480"/>
        <v>1.4893617021276444E-2</v>
      </c>
      <c r="BD95" s="187">
        <f t="shared" si="480"/>
        <v>1.4893617021276728E-2</v>
      </c>
      <c r="BE95" s="187">
        <f t="shared" si="480"/>
        <v>1.4893617021276756E-2</v>
      </c>
      <c r="BF95" s="187">
        <f t="shared" si="480"/>
        <v>-0.14255319148936169</v>
      </c>
      <c r="BG95" s="187">
        <f t="shared" si="480"/>
        <v>1.2765957446808467E-2</v>
      </c>
      <c r="BH95" s="187">
        <f t="shared" si="480"/>
        <v>1.2765957446808366E-2</v>
      </c>
      <c r="BI95" s="187">
        <f t="shared" si="480"/>
        <v>1.2765957446808418E-2</v>
      </c>
      <c r="BJ95" s="187">
        <f t="shared" si="480"/>
        <v>1.2765957446808749E-2</v>
      </c>
      <c r="BK95" s="187">
        <f t="shared" si="480"/>
        <v>1.2765957446808373E-2</v>
      </c>
      <c r="BL95" s="187">
        <f t="shared" si="480"/>
        <v>1.2765957446808579E-2</v>
      </c>
      <c r="BM95" s="187">
        <f t="shared" si="480"/>
        <v>1.2765957446808494E-2</v>
      </c>
      <c r="BN95" s="187">
        <f t="shared" si="480"/>
        <v>1.2765957446808425E-2</v>
      </c>
      <c r="BO95" s="187">
        <f t="shared" si="480"/>
        <v>1.2765957446808689E-2</v>
      </c>
      <c r="BP95" s="187">
        <f t="shared" si="480"/>
        <v>1.2765957446808522E-2</v>
      </c>
      <c r="BQ95" s="187">
        <f t="shared" si="480"/>
        <v>1.2765957446808404E-2</v>
      </c>
      <c r="BR95" s="187">
        <f t="shared" ref="BR95:EC95" si="481">BR94-BQ94</f>
        <v>1.2765957446808335E-2</v>
      </c>
      <c r="BS95" s="187">
        <f t="shared" si="481"/>
        <v>1.2765957446808612E-2</v>
      </c>
      <c r="BT95" s="187">
        <f t="shared" si="481"/>
        <v>-0.17446808510638276</v>
      </c>
      <c r="BU95" s="187">
        <f t="shared" si="481"/>
        <v>1.0638297872340156E-2</v>
      </c>
      <c r="BV95" s="187">
        <f t="shared" si="481"/>
        <v>1.0638297872340635E-2</v>
      </c>
      <c r="BW95" s="187">
        <f t="shared" si="481"/>
        <v>1.0638297872340254E-2</v>
      </c>
      <c r="BX95" s="187">
        <f t="shared" si="481"/>
        <v>1.0638297872340413E-2</v>
      </c>
      <c r="BY95" s="187">
        <f t="shared" si="481"/>
        <v>1.0638297872340611E-2</v>
      </c>
      <c r="BZ95" s="187">
        <f t="shared" si="481"/>
        <v>1.0638297872340562E-2</v>
      </c>
      <c r="CA95" s="187">
        <f t="shared" si="481"/>
        <v>1.0638297872340313E-2</v>
      </c>
      <c r="CB95" s="187">
        <f t="shared" si="481"/>
        <v>1.0638297872340222E-2</v>
      </c>
      <c r="CC95" s="187">
        <f t="shared" si="481"/>
        <v>1.0638297872340351E-2</v>
      </c>
      <c r="CD95" s="187">
        <f t="shared" si="481"/>
        <v>1.0638297872340552E-2</v>
      </c>
      <c r="CE95" s="187">
        <f t="shared" si="481"/>
        <v>1.0638297872340517E-2</v>
      </c>
      <c r="CF95" s="187">
        <f t="shared" si="481"/>
        <v>1.0638297872340344E-2</v>
      </c>
      <c r="CG95" s="187">
        <f t="shared" si="481"/>
        <v>1.0638297872340288E-2</v>
      </c>
      <c r="CH95" s="187">
        <f t="shared" si="481"/>
        <v>1.0638297872340649E-2</v>
      </c>
      <c r="CI95" s="187">
        <f t="shared" si="481"/>
        <v>1.0638297872340344E-2</v>
      </c>
      <c r="CJ95" s="187">
        <f t="shared" si="481"/>
        <v>1.0638297872340483E-2</v>
      </c>
      <c r="CK95" s="187">
        <f t="shared" si="481"/>
        <v>1.063829787234033E-2</v>
      </c>
      <c r="CL95" s="187">
        <f t="shared" si="481"/>
        <v>1.0638297872340316E-2</v>
      </c>
      <c r="CM95" s="187">
        <f t="shared" si="481"/>
        <v>-0.21702127659574441</v>
      </c>
      <c r="CN95" s="187">
        <f t="shared" si="481"/>
        <v>8.5106382978722556E-3</v>
      </c>
      <c r="CO95" s="187">
        <f t="shared" si="481"/>
        <v>8.5106382978724499E-3</v>
      </c>
      <c r="CP95" s="187">
        <f t="shared" si="481"/>
        <v>8.5106382978722278E-3</v>
      </c>
      <c r="CQ95" s="187">
        <f t="shared" si="481"/>
        <v>8.5106382978724221E-3</v>
      </c>
      <c r="CR95" s="187">
        <f t="shared" si="481"/>
        <v>8.5106382978722903E-3</v>
      </c>
      <c r="CS95" s="187">
        <f t="shared" si="481"/>
        <v>8.5106382978723735E-3</v>
      </c>
      <c r="CT95" s="187">
        <f t="shared" si="481"/>
        <v>8.5106382978723354E-3</v>
      </c>
      <c r="CU95" s="187">
        <f t="shared" si="481"/>
        <v>8.5106382978722556E-3</v>
      </c>
      <c r="CV95" s="187">
        <f t="shared" si="481"/>
        <v>8.510638297872429E-3</v>
      </c>
      <c r="CW95" s="187">
        <f t="shared" si="481"/>
        <v>8.5106382978722243E-3</v>
      </c>
      <c r="CX95" s="187">
        <f t="shared" si="481"/>
        <v>8.5106382978724811E-3</v>
      </c>
      <c r="CY95" s="187">
        <f t="shared" si="481"/>
        <v>8.5106382978723284E-3</v>
      </c>
      <c r="CZ95" s="187">
        <f t="shared" si="481"/>
        <v>8.5106382978722746E-3</v>
      </c>
      <c r="DA95" s="187">
        <f t="shared" si="481"/>
        <v>8.5106382978723423E-3</v>
      </c>
      <c r="DB95" s="187">
        <f t="shared" si="481"/>
        <v>8.5106382978723562E-3</v>
      </c>
      <c r="DC95" s="187">
        <f t="shared" si="481"/>
        <v>8.5106382978723111E-3</v>
      </c>
      <c r="DD95" s="187">
        <f t="shared" si="481"/>
        <v>8.5106382978722694E-3</v>
      </c>
      <c r="DE95" s="187">
        <f t="shared" si="481"/>
        <v>8.5106382978724568E-3</v>
      </c>
      <c r="DF95" s="187">
        <f t="shared" si="481"/>
        <v>8.510638297872436E-3</v>
      </c>
      <c r="DG95" s="187">
        <f t="shared" si="481"/>
        <v>8.5106382978721307E-3</v>
      </c>
      <c r="DH95" s="187">
        <f t="shared" si="481"/>
        <v>8.5106382978723805E-3</v>
      </c>
      <c r="DI95" s="187">
        <f t="shared" si="481"/>
        <v>8.5106382978725054E-3</v>
      </c>
      <c r="DJ95" s="187">
        <f t="shared" si="481"/>
        <v>8.5106382978721168E-3</v>
      </c>
      <c r="DK95" s="187">
        <f t="shared" si="481"/>
        <v>8.5106382978725331E-3</v>
      </c>
      <c r="DL95" s="187">
        <f t="shared" si="481"/>
        <v>8.5106382978722694E-3</v>
      </c>
      <c r="DM95" s="187">
        <f t="shared" si="481"/>
        <v>8.5106382978723527E-3</v>
      </c>
      <c r="DN95" s="187">
        <f t="shared" si="481"/>
        <v>8.5106382978723527E-3</v>
      </c>
      <c r="DO95" s="187">
        <f t="shared" si="481"/>
        <v>8.5106382978722972E-3</v>
      </c>
      <c r="DP95" s="187">
        <f t="shared" si="481"/>
        <v>8.5106382978723527E-3</v>
      </c>
      <c r="DQ95" s="187">
        <f t="shared" si="481"/>
        <v>-0.28297872340425534</v>
      </c>
      <c r="DR95" s="187">
        <f t="shared" si="481"/>
        <v>6.3829787234044172E-3</v>
      </c>
      <c r="DS95" s="187">
        <f t="shared" si="481"/>
        <v>6.3829787234041119E-3</v>
      </c>
      <c r="DT95" s="187">
        <f t="shared" si="481"/>
        <v>6.3829787234042368E-3</v>
      </c>
      <c r="DU95" s="187">
        <f t="shared" si="481"/>
        <v>6.3829787234043339E-3</v>
      </c>
      <c r="DV95" s="187">
        <f t="shared" si="481"/>
        <v>6.3829787234040425E-3</v>
      </c>
      <c r="DW95" s="187">
        <f t="shared" si="481"/>
        <v>6.3829787234043894E-3</v>
      </c>
      <c r="DX95" s="187">
        <f t="shared" si="481"/>
        <v>6.3829787234042368E-3</v>
      </c>
      <c r="DY95" s="187">
        <f t="shared" si="481"/>
        <v>6.38297872340432E-3</v>
      </c>
      <c r="DZ95" s="187">
        <f t="shared" si="481"/>
        <v>6.38297872340432E-3</v>
      </c>
      <c r="EA95" s="187">
        <f t="shared" si="481"/>
        <v>6.3829787234041188E-3</v>
      </c>
      <c r="EB95" s="187">
        <f t="shared" si="481"/>
        <v>6.3829787234044241E-3</v>
      </c>
      <c r="EC95" s="187">
        <f t="shared" si="481"/>
        <v>6.3829787234041327E-3</v>
      </c>
      <c r="ED95" s="187">
        <f t="shared" ref="ED95:FC95" si="482">ED94-EC94</f>
        <v>6.3829787234043339E-3</v>
      </c>
      <c r="EE95" s="187">
        <f t="shared" si="482"/>
        <v>6.3829787234041049E-3</v>
      </c>
      <c r="EF95" s="187">
        <f t="shared" si="482"/>
        <v>6.3829787234042611E-3</v>
      </c>
      <c r="EG95" s="187">
        <f t="shared" si="482"/>
        <v>6.3829787234043617E-3</v>
      </c>
      <c r="EH95" s="187">
        <f t="shared" si="482"/>
        <v>6.3829787234040564E-3</v>
      </c>
      <c r="EI95" s="187">
        <f t="shared" si="482"/>
        <v>6.3829787234044935E-3</v>
      </c>
      <c r="EJ95" s="187">
        <f t="shared" si="482"/>
        <v>6.3829787234042559E-3</v>
      </c>
      <c r="EK95" s="187">
        <f t="shared" si="482"/>
        <v>6.3829787234041197E-3</v>
      </c>
      <c r="EL95" s="187">
        <f t="shared" si="482"/>
        <v>6.3829787234042533E-3</v>
      </c>
      <c r="EM95" s="187">
        <f t="shared" si="482"/>
        <v>6.3829787234042628E-3</v>
      </c>
      <c r="EN95" s="187">
        <f t="shared" si="482"/>
        <v>6.3829787234043166E-3</v>
      </c>
      <c r="EO95" s="187">
        <f t="shared" si="482"/>
        <v>6.3829787234042402E-3</v>
      </c>
      <c r="EP95" s="187">
        <f t="shared" si="482"/>
        <v>6.3829787234042541E-3</v>
      </c>
      <c r="EQ95" s="187">
        <f t="shared" si="482"/>
        <v>6.3829787234040702E-3</v>
      </c>
      <c r="ER95" s="187">
        <f t="shared" si="482"/>
        <v>6.3829787234043547E-3</v>
      </c>
      <c r="ES95" s="187">
        <f t="shared" si="482"/>
        <v>6.3829787234042645E-3</v>
      </c>
      <c r="ET95" s="187">
        <f t="shared" si="482"/>
        <v>6.3829787234044241E-3</v>
      </c>
      <c r="EU95" s="187">
        <f t="shared" si="482"/>
        <v>6.3829787234042853E-3</v>
      </c>
      <c r="EV95" s="187">
        <f t="shared" si="482"/>
        <v>6.3829787234042368E-3</v>
      </c>
      <c r="EW95" s="187">
        <f t="shared" si="482"/>
        <v>6.3829787234042923E-3</v>
      </c>
      <c r="EX95" s="187">
        <f t="shared" si="482"/>
        <v>6.3829787234041119E-3</v>
      </c>
      <c r="EY95" s="713"/>
      <c r="EZ95" s="713"/>
      <c r="FA95" s="709"/>
      <c r="FB95" s="187">
        <f t="shared" si="482"/>
        <v>2.0840232675022215E-2</v>
      </c>
      <c r="FC95" s="187">
        <f t="shared" si="482"/>
        <v>-7.2858385991025898E-17</v>
      </c>
      <c r="FD95" s="100"/>
    </row>
    <row r="96" spans="2:160" x14ac:dyDescent="0.45">
      <c r="B96" s="2" t="s">
        <v>1170</v>
      </c>
      <c r="C96" s="109" t="s">
        <v>903</v>
      </c>
      <c r="D96" s="187">
        <f>D94-E94</f>
        <v>-6.382978723404386E-3</v>
      </c>
      <c r="E96" s="187">
        <f>E94-F94</f>
        <v>-2.1276595744681853E-3</v>
      </c>
      <c r="F96" s="187">
        <f>F94-G94</f>
        <v>2.127659574468279E-3</v>
      </c>
      <c r="G96" s="187">
        <f t="shared" ref="G96:BQ96" si="483">G94-H94</f>
        <v>6.3829787234044033E-3</v>
      </c>
      <c r="H96" s="187">
        <f t="shared" si="483"/>
        <v>1.0638297872340418E-2</v>
      </c>
      <c r="I96" s="187">
        <f t="shared" si="483"/>
        <v>1.4893617021276364E-2</v>
      </c>
      <c r="J96" s="187">
        <f t="shared" si="483"/>
        <v>-3.8297872340425386E-2</v>
      </c>
      <c r="K96" s="187">
        <f t="shared" si="483"/>
        <v>2.127659574468101E-2</v>
      </c>
      <c r="L96" s="187">
        <f t="shared" si="483"/>
        <v>-3.617021276595761E-2</v>
      </c>
      <c r="M96" s="187">
        <f t="shared" si="483"/>
        <v>2.7659574468085091E-2</v>
      </c>
      <c r="N96" s="187">
        <f t="shared" si="483"/>
        <v>3.1914893617021281E-2</v>
      </c>
      <c r="O96" s="187">
        <f t="shared" si="483"/>
        <v>-3.1914893617021309E-2</v>
      </c>
      <c r="P96" s="187">
        <f t="shared" si="483"/>
        <v>-3.1914893617021184E-2</v>
      </c>
      <c r="Q96" s="187">
        <f t="shared" si="483"/>
        <v>4.042553191489353E-2</v>
      </c>
      <c r="R96" s="187">
        <f t="shared" si="483"/>
        <v>-2.9787234042553117E-2</v>
      </c>
      <c r="S96" s="187">
        <f t="shared" si="483"/>
        <v>4.6808510638297635E-2</v>
      </c>
      <c r="T96" s="187">
        <f t="shared" si="483"/>
        <v>-2.7659574468085115E-2</v>
      </c>
      <c r="U96" s="187">
        <f t="shared" si="483"/>
        <v>-2.7659574468084907E-2</v>
      </c>
      <c r="V96" s="187">
        <f t="shared" si="483"/>
        <v>5.5319148936170147E-2</v>
      </c>
      <c r="W96" s="187">
        <f t="shared" si="483"/>
        <v>-2.5531914893616954E-2</v>
      </c>
      <c r="X96" s="187">
        <f t="shared" si="483"/>
        <v>-2.5531914893616919E-2</v>
      </c>
      <c r="Y96" s="187">
        <f t="shared" si="483"/>
        <v>6.3829787234042271E-2</v>
      </c>
      <c r="Z96" s="187">
        <f t="shared" si="483"/>
        <v>-2.3404255319148876E-2</v>
      </c>
      <c r="AA96" s="187">
        <f t="shared" si="483"/>
        <v>-2.340425531914905E-2</v>
      </c>
      <c r="AB96" s="187">
        <f t="shared" si="483"/>
        <v>-2.3404255319148883E-2</v>
      </c>
      <c r="AC96" s="187">
        <f t="shared" si="483"/>
        <v>7.446808510638328E-2</v>
      </c>
      <c r="AD96" s="187">
        <f t="shared" si="483"/>
        <v>-2.1276595744681173E-2</v>
      </c>
      <c r="AE96" s="187">
        <f t="shared" si="483"/>
        <v>-2.1276595744680535E-2</v>
      </c>
      <c r="AF96" s="187">
        <f t="shared" si="483"/>
        <v>-2.1276595744680903E-2</v>
      </c>
      <c r="AG96" s="187">
        <f t="shared" si="483"/>
        <v>-2.1276595744680861E-2</v>
      </c>
      <c r="AH96" s="187">
        <f t="shared" si="483"/>
        <v>8.7234042553191296E-2</v>
      </c>
      <c r="AI96" s="187">
        <f t="shared" si="483"/>
        <v>-1.9148936170212752E-2</v>
      </c>
      <c r="AJ96" s="187">
        <f t="shared" si="483"/>
        <v>-1.9148936170212575E-2</v>
      </c>
      <c r="AK96" s="187">
        <f t="shared" si="483"/>
        <v>-1.9148936170212814E-2</v>
      </c>
      <c r="AL96" s="187">
        <f t="shared" si="483"/>
        <v>-1.9148936170212884E-2</v>
      </c>
      <c r="AM96" s="187">
        <f t="shared" si="483"/>
        <v>-1.9148936170212683E-2</v>
      </c>
      <c r="AN96" s="187">
        <f t="shared" si="483"/>
        <v>0.10212765957446805</v>
      </c>
      <c r="AO96" s="187">
        <f t="shared" si="483"/>
        <v>-1.7021276595744685E-2</v>
      </c>
      <c r="AP96" s="187">
        <f t="shared" si="483"/>
        <v>-1.7021276595744705E-2</v>
      </c>
      <c r="AQ96" s="187">
        <f t="shared" si="483"/>
        <v>-1.7021276595744601E-2</v>
      </c>
      <c r="AR96" s="187">
        <f t="shared" si="483"/>
        <v>-1.7021276595744698E-2</v>
      </c>
      <c r="AS96" s="187">
        <f t="shared" si="483"/>
        <v>-1.7021276595744581E-2</v>
      </c>
      <c r="AT96" s="187">
        <f t="shared" si="483"/>
        <v>-1.7021276595744893E-2</v>
      </c>
      <c r="AU96" s="187">
        <f t="shared" si="483"/>
        <v>0.11914893617021292</v>
      </c>
      <c r="AV96" s="187">
        <f>AV94-AW94</f>
        <v>-1.4893617021276548E-2</v>
      </c>
      <c r="AW96" s="187">
        <f t="shared" si="483"/>
        <v>-1.4893617021276555E-2</v>
      </c>
      <c r="AX96" s="187">
        <f t="shared" si="483"/>
        <v>-1.4893617021276765E-2</v>
      </c>
      <c r="AY96" s="187">
        <f t="shared" si="483"/>
        <v>-1.4893617021276572E-2</v>
      </c>
      <c r="AZ96" s="187">
        <f t="shared" si="483"/>
        <v>-1.4893617021276716E-2</v>
      </c>
      <c r="BA96" s="187">
        <f t="shared" si="483"/>
        <v>-1.4893617021276402E-2</v>
      </c>
      <c r="BB96" s="187">
        <f t="shared" si="483"/>
        <v>-1.4893617021276444E-2</v>
      </c>
      <c r="BC96" s="187">
        <f t="shared" si="483"/>
        <v>-1.4893617021276728E-2</v>
      </c>
      <c r="BD96" s="187">
        <f t="shared" si="483"/>
        <v>-1.4893617021276756E-2</v>
      </c>
      <c r="BE96" s="187">
        <f t="shared" si="483"/>
        <v>0.14255319148936169</v>
      </c>
      <c r="BF96" s="187">
        <f t="shared" si="483"/>
        <v>-1.2765957446808467E-2</v>
      </c>
      <c r="BG96" s="187">
        <f t="shared" si="483"/>
        <v>-1.2765957446808366E-2</v>
      </c>
      <c r="BH96" s="187">
        <f t="shared" si="483"/>
        <v>-1.2765957446808418E-2</v>
      </c>
      <c r="BI96" s="187">
        <f t="shared" si="483"/>
        <v>-1.2765957446808749E-2</v>
      </c>
      <c r="BJ96" s="187">
        <f t="shared" si="483"/>
        <v>-1.2765957446808373E-2</v>
      </c>
      <c r="BK96" s="187">
        <f t="shared" si="483"/>
        <v>-1.2765957446808579E-2</v>
      </c>
      <c r="BL96" s="187">
        <f t="shared" si="483"/>
        <v>-1.2765957446808494E-2</v>
      </c>
      <c r="BM96" s="187">
        <f t="shared" si="483"/>
        <v>-1.2765957446808425E-2</v>
      </c>
      <c r="BN96" s="187">
        <f t="shared" si="483"/>
        <v>-1.2765957446808689E-2</v>
      </c>
      <c r="BO96" s="187">
        <f t="shared" si="483"/>
        <v>-1.2765957446808522E-2</v>
      </c>
      <c r="BP96" s="187">
        <f t="shared" si="483"/>
        <v>-1.2765957446808404E-2</v>
      </c>
      <c r="BQ96" s="187">
        <f t="shared" si="483"/>
        <v>-1.2765957446808335E-2</v>
      </c>
      <c r="BR96" s="187">
        <f t="shared" ref="BR96:EC96" si="484">BR94-BS94</f>
        <v>-1.2765957446808612E-2</v>
      </c>
      <c r="BS96" s="187">
        <f t="shared" si="484"/>
        <v>0.17446808510638276</v>
      </c>
      <c r="BT96" s="187">
        <f t="shared" si="484"/>
        <v>-1.0638297872340156E-2</v>
      </c>
      <c r="BU96" s="187">
        <f t="shared" si="484"/>
        <v>-1.0638297872340635E-2</v>
      </c>
      <c r="BV96" s="187">
        <f t="shared" si="484"/>
        <v>-1.0638297872340254E-2</v>
      </c>
      <c r="BW96" s="187">
        <f t="shared" si="484"/>
        <v>-1.0638297872340413E-2</v>
      </c>
      <c r="BX96" s="187">
        <f t="shared" si="484"/>
        <v>-1.0638297872340611E-2</v>
      </c>
      <c r="BY96" s="187">
        <f t="shared" si="484"/>
        <v>-1.0638297872340562E-2</v>
      </c>
      <c r="BZ96" s="187">
        <f t="shared" si="484"/>
        <v>-1.0638297872340313E-2</v>
      </c>
      <c r="CA96" s="187">
        <f t="shared" si="484"/>
        <v>-1.0638297872340222E-2</v>
      </c>
      <c r="CB96" s="187">
        <f t="shared" si="484"/>
        <v>-1.0638297872340351E-2</v>
      </c>
      <c r="CC96" s="187">
        <f t="shared" si="484"/>
        <v>-1.0638297872340552E-2</v>
      </c>
      <c r="CD96" s="187">
        <f t="shared" si="484"/>
        <v>-1.0638297872340517E-2</v>
      </c>
      <c r="CE96" s="187">
        <f t="shared" si="484"/>
        <v>-1.0638297872340344E-2</v>
      </c>
      <c r="CF96" s="187">
        <f t="shared" si="484"/>
        <v>-1.0638297872340288E-2</v>
      </c>
      <c r="CG96" s="187">
        <f t="shared" si="484"/>
        <v>-1.0638297872340649E-2</v>
      </c>
      <c r="CH96" s="187">
        <f t="shared" si="484"/>
        <v>-1.0638297872340344E-2</v>
      </c>
      <c r="CI96" s="187">
        <f t="shared" si="484"/>
        <v>-1.0638297872340483E-2</v>
      </c>
      <c r="CJ96" s="187">
        <f t="shared" si="484"/>
        <v>-1.063829787234033E-2</v>
      </c>
      <c r="CK96" s="187">
        <f t="shared" si="484"/>
        <v>-1.0638297872340316E-2</v>
      </c>
      <c r="CL96" s="187">
        <f t="shared" si="484"/>
        <v>0.21702127659574441</v>
      </c>
      <c r="CM96" s="187">
        <f t="shared" si="484"/>
        <v>-8.5106382978722556E-3</v>
      </c>
      <c r="CN96" s="187">
        <f t="shared" si="484"/>
        <v>-8.5106382978724499E-3</v>
      </c>
      <c r="CO96" s="187">
        <f t="shared" si="484"/>
        <v>-8.5106382978722278E-3</v>
      </c>
      <c r="CP96" s="187">
        <f t="shared" si="484"/>
        <v>-8.5106382978724221E-3</v>
      </c>
      <c r="CQ96" s="187">
        <f t="shared" si="484"/>
        <v>-8.5106382978722903E-3</v>
      </c>
      <c r="CR96" s="187">
        <f t="shared" si="484"/>
        <v>-8.5106382978723735E-3</v>
      </c>
      <c r="CS96" s="187">
        <f t="shared" si="484"/>
        <v>-8.5106382978723354E-3</v>
      </c>
      <c r="CT96" s="187">
        <f t="shared" si="484"/>
        <v>-8.5106382978722556E-3</v>
      </c>
      <c r="CU96" s="187">
        <f t="shared" si="484"/>
        <v>-8.510638297872429E-3</v>
      </c>
      <c r="CV96" s="187">
        <f t="shared" si="484"/>
        <v>-8.5106382978722243E-3</v>
      </c>
      <c r="CW96" s="187">
        <f t="shared" si="484"/>
        <v>-8.5106382978724811E-3</v>
      </c>
      <c r="CX96" s="187">
        <f t="shared" si="484"/>
        <v>-8.5106382978723284E-3</v>
      </c>
      <c r="CY96" s="187">
        <f t="shared" si="484"/>
        <v>-8.5106382978722746E-3</v>
      </c>
      <c r="CZ96" s="187">
        <f t="shared" si="484"/>
        <v>-8.5106382978723423E-3</v>
      </c>
      <c r="DA96" s="187">
        <f t="shared" si="484"/>
        <v>-8.5106382978723562E-3</v>
      </c>
      <c r="DB96" s="187">
        <f t="shared" si="484"/>
        <v>-8.5106382978723111E-3</v>
      </c>
      <c r="DC96" s="187">
        <f t="shared" si="484"/>
        <v>-8.5106382978722694E-3</v>
      </c>
      <c r="DD96" s="187">
        <f t="shared" si="484"/>
        <v>-8.5106382978724568E-3</v>
      </c>
      <c r="DE96" s="187">
        <f t="shared" si="484"/>
        <v>-8.510638297872436E-3</v>
      </c>
      <c r="DF96" s="187">
        <f t="shared" si="484"/>
        <v>-8.5106382978721307E-3</v>
      </c>
      <c r="DG96" s="187">
        <f t="shared" si="484"/>
        <v>-8.5106382978723805E-3</v>
      </c>
      <c r="DH96" s="187">
        <f t="shared" si="484"/>
        <v>-8.5106382978725054E-3</v>
      </c>
      <c r="DI96" s="187">
        <f t="shared" si="484"/>
        <v>-8.5106382978721168E-3</v>
      </c>
      <c r="DJ96" s="187">
        <f t="shared" si="484"/>
        <v>-8.5106382978725331E-3</v>
      </c>
      <c r="DK96" s="187">
        <f t="shared" si="484"/>
        <v>-8.5106382978722694E-3</v>
      </c>
      <c r="DL96" s="187">
        <f t="shared" si="484"/>
        <v>-8.5106382978723527E-3</v>
      </c>
      <c r="DM96" s="187">
        <f t="shared" si="484"/>
        <v>-8.5106382978723527E-3</v>
      </c>
      <c r="DN96" s="187">
        <f t="shared" si="484"/>
        <v>-8.5106382978722972E-3</v>
      </c>
      <c r="DO96" s="187">
        <f t="shared" si="484"/>
        <v>-8.5106382978723527E-3</v>
      </c>
      <c r="DP96" s="187">
        <f t="shared" si="484"/>
        <v>0.28297872340425534</v>
      </c>
      <c r="DQ96" s="187">
        <f t="shared" si="484"/>
        <v>-6.3829787234044172E-3</v>
      </c>
      <c r="DR96" s="187">
        <f t="shared" si="484"/>
        <v>-6.3829787234041119E-3</v>
      </c>
      <c r="DS96" s="187">
        <f t="shared" si="484"/>
        <v>-6.3829787234042368E-3</v>
      </c>
      <c r="DT96" s="187">
        <f t="shared" si="484"/>
        <v>-6.3829787234043339E-3</v>
      </c>
      <c r="DU96" s="187">
        <f t="shared" si="484"/>
        <v>-6.3829787234040425E-3</v>
      </c>
      <c r="DV96" s="187">
        <f t="shared" si="484"/>
        <v>-6.3829787234043894E-3</v>
      </c>
      <c r="DW96" s="187">
        <f t="shared" si="484"/>
        <v>-6.3829787234042368E-3</v>
      </c>
      <c r="DX96" s="187">
        <f t="shared" si="484"/>
        <v>-6.38297872340432E-3</v>
      </c>
      <c r="DY96" s="187">
        <f t="shared" si="484"/>
        <v>-6.38297872340432E-3</v>
      </c>
      <c r="DZ96" s="187">
        <f t="shared" si="484"/>
        <v>-6.3829787234041188E-3</v>
      </c>
      <c r="EA96" s="187">
        <f t="shared" si="484"/>
        <v>-6.3829787234044241E-3</v>
      </c>
      <c r="EB96" s="187">
        <f t="shared" si="484"/>
        <v>-6.3829787234041327E-3</v>
      </c>
      <c r="EC96" s="187">
        <f t="shared" si="484"/>
        <v>-6.3829787234043339E-3</v>
      </c>
      <c r="ED96" s="187">
        <f t="shared" ref="ED96:FB96" si="485">ED94-EE94</f>
        <v>-6.3829787234041049E-3</v>
      </c>
      <c r="EE96" s="187">
        <f t="shared" si="485"/>
        <v>-6.3829787234042611E-3</v>
      </c>
      <c r="EF96" s="187">
        <f t="shared" si="485"/>
        <v>-6.3829787234043617E-3</v>
      </c>
      <c r="EG96" s="187">
        <f t="shared" si="485"/>
        <v>-6.3829787234040564E-3</v>
      </c>
      <c r="EH96" s="187">
        <f t="shared" si="485"/>
        <v>-6.3829787234044935E-3</v>
      </c>
      <c r="EI96" s="187">
        <f t="shared" si="485"/>
        <v>-6.3829787234042559E-3</v>
      </c>
      <c r="EJ96" s="187">
        <f t="shared" si="485"/>
        <v>-6.3829787234041197E-3</v>
      </c>
      <c r="EK96" s="187">
        <f t="shared" si="485"/>
        <v>-6.3829787234042533E-3</v>
      </c>
      <c r="EL96" s="187">
        <f t="shared" si="485"/>
        <v>-6.3829787234042628E-3</v>
      </c>
      <c r="EM96" s="187">
        <f t="shared" si="485"/>
        <v>-6.3829787234043166E-3</v>
      </c>
      <c r="EN96" s="187">
        <f t="shared" si="485"/>
        <v>-6.3829787234042402E-3</v>
      </c>
      <c r="EO96" s="187">
        <f t="shared" si="485"/>
        <v>-6.3829787234042541E-3</v>
      </c>
      <c r="EP96" s="187">
        <f t="shared" si="485"/>
        <v>-6.3829787234040702E-3</v>
      </c>
      <c r="EQ96" s="187">
        <f t="shared" si="485"/>
        <v>-6.3829787234043547E-3</v>
      </c>
      <c r="ER96" s="187">
        <f t="shared" si="485"/>
        <v>-6.3829787234042645E-3</v>
      </c>
      <c r="ES96" s="187">
        <f t="shared" si="485"/>
        <v>-6.3829787234044241E-3</v>
      </c>
      <c r="ET96" s="187">
        <f t="shared" si="485"/>
        <v>-6.3829787234042853E-3</v>
      </c>
      <c r="EU96" s="187">
        <f t="shared" si="485"/>
        <v>-6.3829787234042368E-3</v>
      </c>
      <c r="EV96" s="187">
        <f t="shared" si="485"/>
        <v>-6.3829787234042923E-3</v>
      </c>
      <c r="EW96" s="187">
        <f t="shared" si="485"/>
        <v>-6.3829787234041119E-3</v>
      </c>
      <c r="EX96" s="187">
        <f t="shared" si="485"/>
        <v>8.510638297872318E-2</v>
      </c>
      <c r="EY96" s="713"/>
      <c r="EZ96" s="713"/>
      <c r="FA96" s="709"/>
      <c r="FB96" s="187">
        <f t="shared" si="485"/>
        <v>7.2858385991025898E-17</v>
      </c>
      <c r="FC96" s="187" t="e">
        <f>FC94-#REF!</f>
        <v>#REF!</v>
      </c>
      <c r="FD96" s="100"/>
    </row>
    <row r="97" spans="2:160" x14ac:dyDescent="0.45">
      <c r="C97" s="129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709"/>
      <c r="FB97" s="31"/>
      <c r="FC97" s="31"/>
    </row>
    <row r="98" spans="2:160" x14ac:dyDescent="0.45">
      <c r="B98"/>
      <c r="C98" s="1"/>
      <c r="D98" s="31"/>
      <c r="E98" s="31"/>
      <c r="F98" s="5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FA98" s="709"/>
      <c r="FB98" s="31"/>
      <c r="FC98" s="31"/>
      <c r="FD98" s="31"/>
    </row>
    <row r="99" spans="2:160" x14ac:dyDescent="0.45">
      <c r="C99" s="1"/>
      <c r="D99" s="31"/>
      <c r="E99" s="31"/>
      <c r="F99" s="5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FA99" s="709"/>
      <c r="FB99" s="31"/>
      <c r="FC99" s="31"/>
      <c r="FD99" s="31"/>
    </row>
    <row r="100" spans="2:160" x14ac:dyDescent="0.45">
      <c r="B100" s="2" t="s">
        <v>17</v>
      </c>
      <c r="C100" s="2" t="s">
        <v>0</v>
      </c>
      <c r="D100" s="31">
        <v>39.311999999999998</v>
      </c>
      <c r="F100" s="5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709"/>
      <c r="FB100" s="31"/>
      <c r="FC100" s="31"/>
      <c r="FD100" s="31"/>
    </row>
    <row r="101" spans="2:160" x14ac:dyDescent="0.45">
      <c r="B101" s="2"/>
      <c r="C101" s="2" t="s">
        <v>1</v>
      </c>
      <c r="D101" s="31">
        <f>1/D100</f>
        <v>2.5437525437525439E-2</v>
      </c>
      <c r="F101" s="5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709"/>
      <c r="FB101" s="31"/>
      <c r="FC101" s="31"/>
      <c r="FD101" s="31"/>
    </row>
    <row r="102" spans="2:160" x14ac:dyDescent="0.45">
      <c r="B102" s="2"/>
      <c r="C102" s="2"/>
      <c r="D102" s="31"/>
      <c r="F102" s="5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709"/>
      <c r="FB102" s="31"/>
      <c r="FC102" s="31"/>
      <c r="FD102" s="31"/>
    </row>
    <row r="103" spans="2:160" x14ac:dyDescent="0.45">
      <c r="B103" s="109" t="s">
        <v>1355</v>
      </c>
      <c r="C103" s="2" t="s">
        <v>0</v>
      </c>
      <c r="D103" s="31">
        <v>150</v>
      </c>
      <c r="F103" s="5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709"/>
      <c r="FB103" s="31"/>
      <c r="FC103" s="31"/>
    </row>
    <row r="104" spans="2:160" x14ac:dyDescent="0.45">
      <c r="B104" s="2"/>
      <c r="C104" s="109" t="s">
        <v>1</v>
      </c>
      <c r="D104" s="31">
        <f>1/D103</f>
        <v>6.6666666666666671E-3</v>
      </c>
      <c r="F104" s="5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709"/>
      <c r="FB104" s="31"/>
      <c r="FC104" s="31"/>
    </row>
    <row r="105" spans="2:160" x14ac:dyDescent="0.45">
      <c r="B105" s="2"/>
      <c r="C105" s="109"/>
      <c r="D105" s="31"/>
      <c r="E105" s="31"/>
      <c r="F105" s="5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709"/>
      <c r="FB105" s="31"/>
      <c r="FC105" s="31"/>
    </row>
    <row r="106" spans="2:160" x14ac:dyDescent="0.45">
      <c r="B106" s="2" t="s">
        <v>1351</v>
      </c>
      <c r="C106" s="2" t="s">
        <v>1356</v>
      </c>
      <c r="D106" s="411">
        <v>26207.999999999996</v>
      </c>
      <c r="F106" s="5"/>
      <c r="FA106" s="709"/>
    </row>
    <row r="107" spans="2:160" x14ac:dyDescent="0.45">
      <c r="B107" s="2" t="s">
        <v>1352</v>
      </c>
      <c r="C107" s="2" t="s">
        <v>1356</v>
      </c>
      <c r="D107" s="411">
        <v>50000</v>
      </c>
      <c r="F107" s="5"/>
      <c r="FA107" s="709"/>
    </row>
    <row r="108" spans="2:160" x14ac:dyDescent="0.45">
      <c r="B108" s="2" t="s">
        <v>1353</v>
      </c>
      <c r="C108" s="2" t="s">
        <v>1356</v>
      </c>
      <c r="D108" s="411">
        <v>100000</v>
      </c>
      <c r="E108" s="1"/>
      <c r="F108" s="1"/>
      <c r="FA108" s="709"/>
    </row>
    <row r="109" spans="2:160" x14ac:dyDescent="0.45">
      <c r="B109" s="2" t="s">
        <v>1354</v>
      </c>
      <c r="C109" s="2" t="s">
        <v>1357</v>
      </c>
      <c r="D109" s="411">
        <v>1000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709"/>
      <c r="FB109" s="1"/>
      <c r="FC109" s="1"/>
      <c r="FD109" s="1"/>
    </row>
    <row r="110" spans="2:160" x14ac:dyDescent="0.45"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709"/>
      <c r="FB110" s="1"/>
      <c r="FC110" s="1"/>
      <c r="FD110" s="1"/>
    </row>
    <row r="111" spans="2:160" x14ac:dyDescent="0.45">
      <c r="B111" s="2" t="s">
        <v>3</v>
      </c>
      <c r="C111" s="2" t="s">
        <v>4</v>
      </c>
      <c r="D111" s="3">
        <v>100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709"/>
      <c r="FB111" s="1"/>
      <c r="FC111" s="1"/>
      <c r="FD111" s="1"/>
    </row>
    <row r="112" spans="2:160" x14ac:dyDescent="0.45">
      <c r="B112" s="2"/>
      <c r="C112" s="2" t="s">
        <v>1</v>
      </c>
      <c r="D112">
        <f>1000000/D111</f>
        <v>10000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709"/>
      <c r="FB112" s="1"/>
      <c r="FC112" s="1"/>
      <c r="FD112" s="1"/>
    </row>
    <row r="113" spans="2:160" x14ac:dyDescent="0.45">
      <c r="B113" s="2" t="s">
        <v>1358</v>
      </c>
      <c r="C113" s="2" t="s">
        <v>5</v>
      </c>
      <c r="D113">
        <f>ROUNDDOWN(D112/$D$104,0)</f>
        <v>1500000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709"/>
      <c r="FB113" s="1"/>
      <c r="FC113" s="1"/>
      <c r="FD113" s="1"/>
    </row>
    <row r="114" spans="2:160" x14ac:dyDescent="0.45">
      <c r="B114" s="2"/>
      <c r="C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709"/>
      <c r="FB114" s="1"/>
      <c r="FC114" s="1"/>
      <c r="FD114" s="1"/>
    </row>
    <row r="115" spans="2:160" x14ac:dyDescent="0.45">
      <c r="B115" s="2" t="s">
        <v>1359</v>
      </c>
      <c r="C115" s="2" t="s">
        <v>1356</v>
      </c>
      <c r="D115" s="1">
        <f>ROUNDDOWN( ((D113*$D$106)/4095 - $D$107), 0)</f>
        <v>9550000</v>
      </c>
      <c r="E115" s="1"/>
      <c r="F115" s="4" t="s">
        <v>1394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709"/>
      <c r="FB115" s="1"/>
      <c r="FC115" s="1"/>
      <c r="FD115" s="1"/>
    </row>
    <row r="116" spans="2:160" x14ac:dyDescent="0.45">
      <c r="B116" s="2" t="s">
        <v>1360</v>
      </c>
      <c r="C116" s="2" t="s">
        <v>1356</v>
      </c>
      <c r="D116" s="59">
        <f>D115/$D$108</f>
        <v>95.5</v>
      </c>
      <c r="E116" s="1"/>
      <c r="F116" s="4" t="s">
        <v>1395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709"/>
      <c r="FB116" s="1"/>
      <c r="FC116" s="1"/>
      <c r="FD116" s="1"/>
    </row>
    <row r="117" spans="2:160" x14ac:dyDescent="0.45">
      <c r="B117" s="2" t="s">
        <v>1363</v>
      </c>
      <c r="C117" s="2" t="s">
        <v>1356</v>
      </c>
      <c r="D117" s="412">
        <f>ROUNDDOWN(D116,0)</f>
        <v>95</v>
      </c>
      <c r="E117" s="1"/>
      <c r="F117" s="4" t="s">
        <v>1396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709"/>
      <c r="FB117" s="1"/>
      <c r="FC117" s="1"/>
      <c r="FD117" s="1"/>
    </row>
    <row r="118" spans="2:160" x14ac:dyDescent="0.45">
      <c r="B118" s="2"/>
      <c r="C118" s="2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FA118" s="709"/>
      <c r="FB118" s="1"/>
      <c r="FC118" s="1"/>
      <c r="FD118" s="1"/>
    </row>
    <row r="119" spans="2:160" x14ac:dyDescent="0.45">
      <c r="B119" s="2" t="s">
        <v>1361</v>
      </c>
      <c r="C119" s="2" t="s">
        <v>1356</v>
      </c>
      <c r="D119" s="1">
        <f>4095*(D117+1)</f>
        <v>393120</v>
      </c>
      <c r="E119" s="1"/>
      <c r="F119" s="4" t="s">
        <v>1397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709"/>
      <c r="FB119" s="1"/>
      <c r="FC119" s="1"/>
      <c r="FD119" s="1"/>
    </row>
    <row r="120" spans="2:160" x14ac:dyDescent="0.45">
      <c r="B120" s="2" t="s">
        <v>1362</v>
      </c>
      <c r="C120" s="2" t="s">
        <v>1356</v>
      </c>
      <c r="D120" s="446">
        <f>ROUNDDOWN( (D119+D119/$D$109),0)</f>
        <v>393513</v>
      </c>
      <c r="E120" s="1"/>
      <c r="F120" s="4" t="s">
        <v>1398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709"/>
      <c r="FB120" s="1"/>
      <c r="FC120" s="1"/>
      <c r="FD120" s="1"/>
    </row>
    <row r="121" spans="2:160" x14ac:dyDescent="0.45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709"/>
      <c r="FB121" s="1"/>
      <c r="FC121" s="1"/>
      <c r="FD121" s="1"/>
    </row>
    <row r="122" spans="2:160" x14ac:dyDescent="0.45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709"/>
      <c r="FB122" s="1"/>
      <c r="FC122" s="1"/>
      <c r="FD122" s="1"/>
    </row>
    <row r="123" spans="2:160" x14ac:dyDescent="0.45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709"/>
      <c r="FB123" s="1"/>
      <c r="FC123" s="1"/>
      <c r="FD123" s="1"/>
    </row>
    <row r="124" spans="2:160" x14ac:dyDescent="0.45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709"/>
      <c r="FB124" s="1"/>
      <c r="FC124" s="1"/>
      <c r="FD124" s="1"/>
    </row>
    <row r="125" spans="2:160" x14ac:dyDescent="0.4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709"/>
      <c r="FB125" s="1"/>
      <c r="FC125" s="1"/>
      <c r="FD125" s="1"/>
    </row>
    <row r="126" spans="2:160" x14ac:dyDescent="0.45">
      <c r="D126" s="40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709"/>
      <c r="FB126" s="1"/>
      <c r="FC126" s="1"/>
      <c r="FD126" s="1"/>
    </row>
    <row r="127" spans="2:160" x14ac:dyDescent="0.45">
      <c r="FA127" s="709"/>
    </row>
    <row r="128" spans="2:160" x14ac:dyDescent="0.45">
      <c r="FA128" s="709"/>
    </row>
    <row r="129" spans="4:157" x14ac:dyDescent="0.4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FA129" s="709"/>
    </row>
    <row r="130" spans="4:157" x14ac:dyDescent="0.45">
      <c r="FA130" s="709"/>
    </row>
    <row r="131" spans="4:157" x14ac:dyDescent="0.45">
      <c r="FA131" s="709"/>
    </row>
    <row r="132" spans="4:157" x14ac:dyDescent="0.45">
      <c r="F132" s="1"/>
      <c r="G132" s="1"/>
      <c r="H132" s="1"/>
      <c r="FA132" s="709"/>
    </row>
    <row r="133" spans="4:157" x14ac:dyDescent="0.45">
      <c r="G133" s="1"/>
      <c r="H133" s="1"/>
      <c r="FA133" s="709"/>
    </row>
    <row r="134" spans="4:157" x14ac:dyDescent="0.45">
      <c r="G134" s="1"/>
      <c r="H134" s="1"/>
      <c r="FA134" s="709"/>
    </row>
    <row r="135" spans="4:157" x14ac:dyDescent="0.45">
      <c r="E135" s="1"/>
      <c r="FA135" s="709"/>
    </row>
    <row r="136" spans="4:157" x14ac:dyDescent="0.45">
      <c r="E136" s="1"/>
      <c r="FA136" s="709"/>
    </row>
    <row r="137" spans="4:157" x14ac:dyDescent="0.45">
      <c r="E137" s="1"/>
      <c r="FA137" s="709"/>
    </row>
    <row r="138" spans="4:157" x14ac:dyDescent="0.45">
      <c r="E138" s="1"/>
      <c r="FA138" s="709"/>
    </row>
    <row r="139" spans="4:157" x14ac:dyDescent="0.45">
      <c r="E139" s="1"/>
      <c r="FA139" s="709"/>
    </row>
    <row r="140" spans="4:157" x14ac:dyDescent="0.45">
      <c r="E140" s="1"/>
      <c r="FA140" s="709"/>
    </row>
    <row r="141" spans="4:157" x14ac:dyDescent="0.45">
      <c r="E141" s="1"/>
      <c r="FA141" s="709"/>
    </row>
    <row r="142" spans="4:157" x14ac:dyDescent="0.45">
      <c r="E142" s="1"/>
      <c r="FA142" s="709"/>
    </row>
    <row r="143" spans="4:157" x14ac:dyDescent="0.45">
      <c r="E143" s="1"/>
      <c r="FA143" s="709"/>
    </row>
    <row r="144" spans="4:157" x14ac:dyDescent="0.45">
      <c r="E144" s="1"/>
      <c r="FA144" s="709"/>
    </row>
    <row r="145" spans="5:157" x14ac:dyDescent="0.45">
      <c r="E145" s="1"/>
      <c r="FA145" s="709"/>
    </row>
    <row r="146" spans="5:157" x14ac:dyDescent="0.45">
      <c r="E146" s="1"/>
      <c r="FA146" s="709"/>
    </row>
    <row r="147" spans="5:157" x14ac:dyDescent="0.45">
      <c r="E147" s="1"/>
      <c r="FA147" s="709"/>
    </row>
    <row r="148" spans="5:157" x14ac:dyDescent="0.45">
      <c r="E148" s="1"/>
      <c r="FA148" s="709"/>
    </row>
    <row r="149" spans="5:157" x14ac:dyDescent="0.45">
      <c r="E149" s="1"/>
      <c r="FA149" s="709"/>
    </row>
    <row r="150" spans="5:157" x14ac:dyDescent="0.45">
      <c r="E150" s="1"/>
      <c r="FA150" s="709"/>
    </row>
    <row r="151" spans="5:157" x14ac:dyDescent="0.45">
      <c r="E151" s="1"/>
      <c r="FA151" s="709"/>
    </row>
    <row r="152" spans="5:157" x14ac:dyDescent="0.45">
      <c r="E152" s="1"/>
      <c r="FA152" s="709"/>
    </row>
    <row r="153" spans="5:157" x14ac:dyDescent="0.45">
      <c r="E153" s="1"/>
      <c r="FA153" s="709"/>
    </row>
    <row r="154" spans="5:157" x14ac:dyDescent="0.45">
      <c r="E154" s="1"/>
      <c r="FA154" s="709"/>
    </row>
    <row r="155" spans="5:157" x14ac:dyDescent="0.45">
      <c r="E155" s="1"/>
      <c r="FA155" s="709"/>
    </row>
    <row r="156" spans="5:157" x14ac:dyDescent="0.45">
      <c r="E156" s="1"/>
      <c r="FA156" s="709"/>
    </row>
    <row r="157" spans="5:157" x14ac:dyDescent="0.45">
      <c r="E157" s="1"/>
      <c r="FA157" s="709"/>
    </row>
    <row r="158" spans="5:157" x14ac:dyDescent="0.45">
      <c r="E158" s="1"/>
      <c r="FA158" s="709"/>
    </row>
    <row r="159" spans="5:157" x14ac:dyDescent="0.45">
      <c r="E159" s="1"/>
      <c r="FA159" s="709"/>
    </row>
    <row r="160" spans="5:157" x14ac:dyDescent="0.45">
      <c r="E160" s="1"/>
      <c r="FA160" s="709"/>
    </row>
    <row r="161" spans="5:5" x14ac:dyDescent="0.45">
      <c r="E161" s="1"/>
    </row>
    <row r="162" spans="5:5" x14ac:dyDescent="0.45">
      <c r="E162" s="1"/>
    </row>
    <row r="163" spans="5:5" x14ac:dyDescent="0.45">
      <c r="E163" s="1"/>
    </row>
    <row r="164" spans="5:5" x14ac:dyDescent="0.45">
      <c r="E164" s="1"/>
    </row>
    <row r="165" spans="5:5" x14ac:dyDescent="0.45">
      <c r="E165" s="1"/>
    </row>
    <row r="166" spans="5:5" x14ac:dyDescent="0.45">
      <c r="E166" s="1"/>
    </row>
    <row r="167" spans="5:5" x14ac:dyDescent="0.45">
      <c r="E167" s="1"/>
    </row>
    <row r="168" spans="5:5" x14ac:dyDescent="0.45">
      <c r="E168" s="1"/>
    </row>
    <row r="169" spans="5:5" x14ac:dyDescent="0.45">
      <c r="E169" s="1"/>
    </row>
    <row r="170" spans="5:5" x14ac:dyDescent="0.45">
      <c r="E170" s="1"/>
    </row>
    <row r="171" spans="5:5" x14ac:dyDescent="0.45">
      <c r="E171" s="1"/>
    </row>
    <row r="172" spans="5:5" x14ac:dyDescent="0.45">
      <c r="E172" s="1"/>
    </row>
    <row r="173" spans="5:5" x14ac:dyDescent="0.45">
      <c r="E173" s="1"/>
    </row>
  </sheetData>
  <phoneticPr fontId="2" type="noConversion"/>
  <conditionalFormatting sqref="D49:EZ49 FB49:FC49 D77:EZ77">
    <cfRule type="cellIs" dxfId="3" priority="2" operator="greaterThan">
      <formula>4294967295</formula>
    </cfRule>
  </conditionalFormatting>
  <conditionalFormatting sqref="FB77:FC77">
    <cfRule type="cellIs" dxfId="2" priority="1" operator="greaterThan">
      <formula>4294967295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F236-FCBB-47C8-B974-58A8C1D6AC86}">
  <dimension ref="B1:CF66"/>
  <sheetViews>
    <sheetView showGridLines="0" zoomScaleNormal="100" workbookViewId="0">
      <selection activeCell="V77" sqref="V77"/>
    </sheetView>
  </sheetViews>
  <sheetFormatPr defaultRowHeight="17" x14ac:dyDescent="0.45"/>
  <cols>
    <col min="2" max="2" width="15.83203125" style="1" bestFit="1" customWidth="1"/>
    <col min="3" max="3" width="7.33203125" style="1" bestFit="1" customWidth="1"/>
    <col min="4" max="5" width="1.75" style="1" customWidth="1"/>
    <col min="6" max="6" width="1.75" style="8" customWidth="1"/>
    <col min="7" max="82" width="1.75" style="1" customWidth="1"/>
  </cols>
  <sheetData>
    <row r="1" spans="2:84" x14ac:dyDescent="0.45">
      <c r="B1" s="8"/>
      <c r="Q1" s="179"/>
      <c r="R1" s="179"/>
      <c r="S1" s="179"/>
      <c r="T1" s="179"/>
      <c r="U1" s="179"/>
      <c r="V1" s="179"/>
      <c r="W1" s="179"/>
    </row>
    <row r="2" spans="2:84" x14ac:dyDescent="0.45">
      <c r="B2" s="8"/>
      <c r="Q2" s="179"/>
      <c r="R2" s="179"/>
      <c r="S2" s="179"/>
      <c r="T2" s="179"/>
      <c r="U2" s="179"/>
      <c r="V2" s="179"/>
      <c r="W2" s="179"/>
    </row>
    <row r="3" spans="2:84" x14ac:dyDescent="0.45">
      <c r="B3" s="8"/>
      <c r="Q3" s="179"/>
      <c r="R3" s="179"/>
      <c r="S3" s="179"/>
      <c r="T3" s="179"/>
      <c r="U3" s="179"/>
      <c r="V3" s="179"/>
      <c r="W3" s="179"/>
    </row>
    <row r="4" spans="2:84" x14ac:dyDescent="0.45">
      <c r="B4" s="8"/>
      <c r="Q4" s="179"/>
      <c r="R4" s="179"/>
      <c r="S4" s="179"/>
      <c r="T4" s="179"/>
      <c r="U4" s="179"/>
      <c r="V4" s="179"/>
      <c r="W4" s="179"/>
    </row>
    <row r="5" spans="2:84" x14ac:dyDescent="0.45">
      <c r="B5" s="8"/>
      <c r="Q5" s="179"/>
      <c r="R5" s="179"/>
      <c r="S5" s="179"/>
      <c r="T5" s="179"/>
      <c r="U5" s="179"/>
      <c r="V5" s="179"/>
      <c r="W5" s="179"/>
    </row>
    <row r="6" spans="2:84" x14ac:dyDescent="0.45">
      <c r="B6" s="8"/>
      <c r="Q6" s="179"/>
      <c r="R6" s="179"/>
      <c r="S6" s="179"/>
      <c r="T6" s="179"/>
      <c r="U6" s="179"/>
      <c r="V6" s="179"/>
      <c r="W6" s="179"/>
    </row>
    <row r="7" spans="2:84" x14ac:dyDescent="0.45">
      <c r="B7" s="8"/>
      <c r="Q7" s="179"/>
      <c r="R7" s="179"/>
      <c r="S7" s="179"/>
      <c r="T7" s="179"/>
      <c r="U7" s="179"/>
      <c r="V7" s="179"/>
      <c r="W7" s="179"/>
    </row>
    <row r="8" spans="2:84" x14ac:dyDescent="0.45">
      <c r="B8" s="8"/>
      <c r="Q8" s="179"/>
      <c r="R8" s="179"/>
      <c r="S8" s="179"/>
      <c r="T8" s="179"/>
      <c r="U8" s="179"/>
      <c r="V8" s="179"/>
      <c r="W8" s="179"/>
    </row>
    <row r="9" spans="2:84" x14ac:dyDescent="0.45">
      <c r="B9" s="190" t="s">
        <v>1159</v>
      </c>
      <c r="C9" s="190" t="s">
        <v>0</v>
      </c>
      <c r="D9" s="192"/>
      <c r="E9" s="1441">
        <v>393120</v>
      </c>
      <c r="F9" s="1441"/>
      <c r="G9" s="1441"/>
      <c r="H9" s="1441"/>
      <c r="I9" s="1441"/>
      <c r="J9" s="1441"/>
      <c r="K9" s="192"/>
      <c r="L9" s="1441">
        <f>E9/10</f>
        <v>39312</v>
      </c>
      <c r="M9" s="1441"/>
      <c r="N9" s="1441"/>
      <c r="O9" s="1441"/>
      <c r="P9" s="1441"/>
      <c r="Q9" s="179"/>
      <c r="R9" s="179"/>
      <c r="S9" s="179"/>
      <c r="T9" s="179"/>
      <c r="U9" s="179"/>
      <c r="V9" s="179"/>
      <c r="W9" s="179"/>
    </row>
    <row r="10" spans="2:84" x14ac:dyDescent="0.45">
      <c r="B10" s="190" t="s">
        <v>1161</v>
      </c>
      <c r="C10" s="190" t="s">
        <v>18</v>
      </c>
      <c r="D10" s="192"/>
      <c r="E10" s="1440">
        <v>12</v>
      </c>
      <c r="F10" s="1440"/>
      <c r="G10" s="1440"/>
      <c r="H10" s="1440"/>
      <c r="I10" s="1440"/>
      <c r="J10" s="1440"/>
      <c r="K10" s="192"/>
      <c r="L10" s="1441"/>
      <c r="M10" s="1441"/>
      <c r="N10" s="1441"/>
      <c r="O10" s="1441"/>
      <c r="P10" s="1441"/>
      <c r="Q10" s="179"/>
      <c r="R10" s="179"/>
      <c r="S10" s="179"/>
      <c r="T10" s="179"/>
      <c r="U10" s="179"/>
      <c r="V10" s="179"/>
      <c r="W10" s="179"/>
    </row>
    <row r="11" spans="2:84" x14ac:dyDescent="0.45">
      <c r="B11" s="190" t="s">
        <v>1174</v>
      </c>
      <c r="C11" s="190" t="s">
        <v>1185</v>
      </c>
      <c r="D11" s="192"/>
      <c r="E11" s="1442">
        <v>0</v>
      </c>
      <c r="F11" s="1442"/>
      <c r="G11" s="1442"/>
      <c r="H11" s="1442"/>
      <c r="I11" s="1442"/>
      <c r="J11" s="1442"/>
      <c r="K11" s="192"/>
      <c r="L11" s="1442">
        <v>1</v>
      </c>
      <c r="M11" s="1442"/>
      <c r="N11" s="1442"/>
      <c r="O11" s="1442"/>
      <c r="P11" s="1442"/>
      <c r="Q11" s="179"/>
      <c r="R11" s="179"/>
      <c r="S11" s="179"/>
      <c r="T11" s="179"/>
      <c r="U11" s="179"/>
      <c r="V11" s="179"/>
      <c r="W11" s="179"/>
    </row>
    <row r="12" spans="2:84" x14ac:dyDescent="0.45">
      <c r="B12" s="190" t="s">
        <v>1176</v>
      </c>
      <c r="C12" s="190" t="s">
        <v>903</v>
      </c>
      <c r="D12" s="192"/>
      <c r="E12" s="1443">
        <v>1E-3</v>
      </c>
      <c r="F12" s="1443"/>
      <c r="G12" s="1443"/>
      <c r="H12" s="1443"/>
      <c r="I12" s="1443"/>
      <c r="J12" s="1443"/>
      <c r="K12" s="192"/>
      <c r="L12" s="1440">
        <f>E12*10000</f>
        <v>10</v>
      </c>
      <c r="M12" s="1440"/>
      <c r="N12" s="1440"/>
      <c r="O12" s="1440"/>
      <c r="P12" s="1440"/>
      <c r="Q12" s="179"/>
      <c r="R12" s="179"/>
      <c r="S12" s="179"/>
      <c r="T12" s="179"/>
      <c r="U12" s="179"/>
      <c r="V12" s="179"/>
      <c r="W12" s="179"/>
    </row>
    <row r="13" spans="2:84" x14ac:dyDescent="0.45">
      <c r="E13" s="191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2:84" x14ac:dyDescent="0.45">
      <c r="B14" s="57" t="s">
        <v>1173</v>
      </c>
      <c r="C14" s="2"/>
      <c r="D14" s="179"/>
      <c r="E14" s="1431" t="s">
        <v>933</v>
      </c>
      <c r="F14" s="1431"/>
      <c r="G14" s="1431"/>
      <c r="H14" s="1431"/>
      <c r="I14" s="1431"/>
      <c r="J14" s="1431"/>
      <c r="K14" s="1432" t="s">
        <v>1189</v>
      </c>
      <c r="L14" s="1432"/>
      <c r="M14" s="1432"/>
      <c r="N14" s="1432"/>
      <c r="O14" s="1432"/>
      <c r="P14" s="1432"/>
      <c r="Q14" s="1432"/>
      <c r="R14" s="1432"/>
      <c r="S14" s="1432"/>
      <c r="T14" s="1432"/>
      <c r="U14" s="1432"/>
      <c r="V14" s="1432"/>
      <c r="W14" s="1432"/>
      <c r="X14" s="1432"/>
      <c r="Y14" s="1432"/>
      <c r="Z14" s="1432"/>
      <c r="AA14" s="1432"/>
      <c r="AB14" s="1432"/>
      <c r="AC14" s="1432"/>
      <c r="AD14" s="1432"/>
      <c r="AE14" s="1432"/>
      <c r="AF14" s="1432"/>
      <c r="AG14" s="1432"/>
      <c r="AH14" s="1432"/>
      <c r="AI14" s="1433" t="s">
        <v>1188</v>
      </c>
      <c r="AJ14" s="1434"/>
      <c r="AK14" s="1434"/>
      <c r="AL14" s="1434"/>
      <c r="AM14" s="1434"/>
      <c r="AN14" s="1434"/>
      <c r="AO14" s="1434"/>
      <c r="AP14" s="1434"/>
      <c r="AQ14" s="1434"/>
      <c r="AR14" s="1434"/>
      <c r="AS14" s="1434"/>
      <c r="AT14" s="1434"/>
      <c r="AU14" s="1434"/>
      <c r="AV14" s="1434"/>
      <c r="AW14" s="1434"/>
      <c r="AX14" s="1434"/>
      <c r="AY14" s="1434"/>
      <c r="AZ14" s="1434"/>
      <c r="BA14" s="1434"/>
      <c r="BB14" s="1434"/>
      <c r="BC14" s="1434"/>
      <c r="BD14" s="1434"/>
      <c r="BE14" s="1434"/>
      <c r="BF14" s="1434"/>
      <c r="BG14" s="1434"/>
      <c r="BH14" s="1434"/>
      <c r="BI14" s="1434"/>
      <c r="BJ14" s="1434"/>
      <c r="BK14" s="1434"/>
      <c r="BL14" s="1434"/>
      <c r="BM14" s="1434"/>
      <c r="BN14" s="1434"/>
      <c r="BO14" s="1434"/>
      <c r="BP14" s="1434"/>
      <c r="BQ14" s="1434"/>
      <c r="BR14" s="1435"/>
      <c r="BS14" s="1436" t="s">
        <v>1201</v>
      </c>
      <c r="BT14" s="1437"/>
      <c r="BU14" s="1437"/>
      <c r="BV14" s="1437"/>
      <c r="BW14" s="1437"/>
      <c r="BX14" s="1438"/>
      <c r="BY14" s="1431" t="s">
        <v>933</v>
      </c>
      <c r="BZ14" s="1431"/>
      <c r="CA14" s="1431"/>
      <c r="CB14" s="1431"/>
      <c r="CC14" s="1431"/>
      <c r="CD14" s="1431"/>
    </row>
    <row r="15" spans="2:84" x14ac:dyDescent="0.45">
      <c r="B15" s="57" t="s">
        <v>35</v>
      </c>
      <c r="C15" s="2"/>
      <c r="D15" s="179"/>
      <c r="E15" s="1439"/>
      <c r="F15" s="1439"/>
      <c r="G15" s="1439"/>
      <c r="H15" s="1439"/>
      <c r="I15" s="1439"/>
      <c r="J15" s="1439"/>
      <c r="K15" s="1456" t="s">
        <v>1202</v>
      </c>
      <c r="L15" s="1456"/>
      <c r="M15" s="1456"/>
      <c r="N15" s="1456"/>
      <c r="O15" s="1456"/>
      <c r="P15" s="1456"/>
      <c r="Q15" s="1432" t="s">
        <v>1203</v>
      </c>
      <c r="R15" s="1432"/>
      <c r="S15" s="1432"/>
      <c r="T15" s="1432"/>
      <c r="U15" s="1432"/>
      <c r="V15" s="1432"/>
      <c r="W15" s="1432"/>
      <c r="X15" s="1432"/>
      <c r="Y15" s="1432"/>
      <c r="Z15" s="1432"/>
      <c r="AA15" s="1432"/>
      <c r="AB15" s="1432"/>
      <c r="AC15" s="1432" t="s">
        <v>1191</v>
      </c>
      <c r="AD15" s="1432"/>
      <c r="AE15" s="1432"/>
      <c r="AF15" s="1432"/>
      <c r="AG15" s="1432"/>
      <c r="AH15" s="1432"/>
      <c r="AI15" s="1433" t="s">
        <v>1200</v>
      </c>
      <c r="AJ15" s="1434"/>
      <c r="AK15" s="1434"/>
      <c r="AL15" s="1434"/>
      <c r="AM15" s="1434"/>
      <c r="AN15" s="1434"/>
      <c r="AO15" s="1434"/>
      <c r="AP15" s="1434"/>
      <c r="AQ15" s="1434"/>
      <c r="AR15" s="1434"/>
      <c r="AS15" s="1434"/>
      <c r="AT15" s="1434"/>
      <c r="AU15" s="1434"/>
      <c r="AV15" s="1434"/>
      <c r="AW15" s="1434"/>
      <c r="AX15" s="1434"/>
      <c r="AY15" s="1434"/>
      <c r="AZ15" s="1434"/>
      <c r="BA15" s="1434"/>
      <c r="BB15" s="1434"/>
      <c r="BC15" s="1434"/>
      <c r="BD15" s="1434"/>
      <c r="BE15" s="1434"/>
      <c r="BF15" s="1434"/>
      <c r="BG15" s="1434"/>
      <c r="BH15" s="1434"/>
      <c r="BI15" s="1434"/>
      <c r="BJ15" s="1434"/>
      <c r="BK15" s="1434"/>
      <c r="BL15" s="1434"/>
      <c r="BM15" s="1434"/>
      <c r="BN15" s="1434"/>
      <c r="BO15" s="1434"/>
      <c r="BP15" s="1434"/>
      <c r="BQ15" s="1434"/>
      <c r="BR15" s="1435"/>
      <c r="BS15" s="1436" t="s">
        <v>1190</v>
      </c>
      <c r="BT15" s="1437"/>
      <c r="BU15" s="1437"/>
      <c r="BV15" s="1437"/>
      <c r="BW15" s="1437"/>
      <c r="BX15" s="1438"/>
      <c r="BY15" s="1439"/>
      <c r="BZ15" s="1439"/>
      <c r="CA15" s="1439"/>
      <c r="CB15" s="1439"/>
      <c r="CC15" s="1439"/>
      <c r="CD15" s="1439"/>
    </row>
    <row r="16" spans="2:84" ht="5.15" customHeight="1" x14ac:dyDescent="0.45"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J16" s="193"/>
      <c r="BK16" s="193"/>
      <c r="BL16" s="193"/>
      <c r="BM16" s="193"/>
      <c r="BN16" s="193"/>
      <c r="BO16" s="193"/>
      <c r="BP16" s="193"/>
      <c r="BQ16" s="193"/>
      <c r="BR16" s="193"/>
      <c r="BS16" s="193"/>
      <c r="BT16" s="193"/>
      <c r="BU16" s="193"/>
      <c r="BV16" s="193"/>
      <c r="BW16" s="193"/>
      <c r="BX16" s="193"/>
      <c r="BY16" s="193"/>
      <c r="BZ16" s="193"/>
      <c r="CA16" s="193"/>
      <c r="CB16" s="193"/>
      <c r="CC16" s="193"/>
      <c r="CD16" s="193"/>
      <c r="CE16" s="193"/>
      <c r="CF16" s="193"/>
    </row>
    <row r="17" spans="2:84" ht="17.5" customHeight="1" x14ac:dyDescent="0.45">
      <c r="B17" s="58" t="s">
        <v>9</v>
      </c>
      <c r="C17" s="108"/>
      <c r="D17" s="45"/>
      <c r="E17" s="197"/>
      <c r="F17" s="198"/>
      <c r="G17" s="198"/>
      <c r="H17" s="198"/>
      <c r="I17" s="198"/>
      <c r="J17" s="198"/>
      <c r="K17" s="194"/>
      <c r="L17" s="195"/>
      <c r="M17" s="195"/>
      <c r="N17" s="195"/>
      <c r="O17" s="195"/>
      <c r="P17" s="195"/>
      <c r="Q17" s="194"/>
      <c r="R17" s="195"/>
      <c r="S17" s="195"/>
      <c r="T17" s="196"/>
      <c r="U17" s="195"/>
      <c r="V17" s="195"/>
      <c r="W17" s="194"/>
      <c r="X17" s="195"/>
      <c r="Y17" s="195"/>
      <c r="Z17" s="195"/>
      <c r="AA17" s="195"/>
      <c r="AB17" s="195"/>
      <c r="AC17" s="194"/>
      <c r="AD17" s="195"/>
      <c r="AE17" s="195"/>
      <c r="AF17" s="195"/>
      <c r="AG17" s="195"/>
      <c r="AH17" s="195"/>
      <c r="AI17" s="199"/>
      <c r="AJ17" s="200"/>
      <c r="AK17" s="200"/>
      <c r="AL17" s="200"/>
      <c r="AM17" s="200"/>
      <c r="AN17" s="200"/>
      <c r="AO17" s="199"/>
      <c r="AP17" s="200"/>
      <c r="AQ17" s="200"/>
      <c r="AR17" s="200"/>
      <c r="AS17" s="200"/>
      <c r="AT17" s="200"/>
      <c r="AU17" s="199"/>
      <c r="AV17" s="200"/>
      <c r="AW17" s="200"/>
      <c r="AX17" s="200"/>
      <c r="AY17" s="200"/>
      <c r="AZ17" s="200"/>
      <c r="BA17" s="199"/>
      <c r="BB17" s="200"/>
      <c r="BC17" s="200"/>
      <c r="BD17" s="201"/>
      <c r="BE17" s="200"/>
      <c r="BF17" s="200"/>
      <c r="BG17" s="199"/>
      <c r="BH17" s="200"/>
      <c r="BI17" s="200"/>
      <c r="BJ17" s="200"/>
      <c r="BK17" s="200"/>
      <c r="BL17" s="200"/>
      <c r="BM17" s="199"/>
      <c r="BN17" s="200"/>
      <c r="BO17" s="200"/>
      <c r="BP17" s="200"/>
      <c r="BQ17" s="200"/>
      <c r="BR17" s="200"/>
      <c r="BS17" s="202"/>
      <c r="BT17" s="203"/>
      <c r="BU17" s="203"/>
      <c r="BV17" s="203"/>
      <c r="BW17" s="203"/>
      <c r="BX17" s="203"/>
      <c r="BY17" s="197"/>
      <c r="BZ17" s="198"/>
      <c r="CA17" s="198"/>
      <c r="CB17" s="198"/>
      <c r="CC17" s="198"/>
      <c r="CD17" s="204"/>
    </row>
    <row r="18" spans="2:84" ht="17.5" customHeight="1" x14ac:dyDescent="0.45">
      <c r="B18" s="109"/>
      <c r="C18" s="109" t="s">
        <v>4</v>
      </c>
      <c r="E18" s="1427">
        <f>K18</f>
        <v>100</v>
      </c>
      <c r="F18" s="1427"/>
      <c r="G18" s="1427"/>
      <c r="H18" s="1427"/>
      <c r="I18" s="1427"/>
      <c r="J18" s="1427"/>
      <c r="K18" s="1428">
        <f>E22</f>
        <v>100</v>
      </c>
      <c r="L18" s="1428"/>
      <c r="M18" s="1428"/>
      <c r="N18" s="1428"/>
      <c r="O18" s="1428"/>
      <c r="P18" s="1428"/>
      <c r="Q18" s="1428"/>
      <c r="R18" s="1428"/>
      <c r="S18" s="1428"/>
      <c r="T18" s="1428"/>
      <c r="U18" s="1428"/>
      <c r="V18" s="1428"/>
      <c r="W18" s="1428"/>
      <c r="X18" s="1428"/>
      <c r="Y18" s="1428"/>
      <c r="Z18" s="1428"/>
      <c r="AA18" s="1428"/>
      <c r="AB18" s="1428"/>
      <c r="AC18" s="1428">
        <f>K18</f>
        <v>100</v>
      </c>
      <c r="AD18" s="1428"/>
      <c r="AE18" s="1428"/>
      <c r="AF18" s="1428"/>
      <c r="AG18" s="1428"/>
      <c r="AH18" s="1428"/>
      <c r="AI18" s="1429">
        <f>AC22</f>
        <v>100</v>
      </c>
      <c r="AJ18" s="1429"/>
      <c r="AK18" s="1429"/>
      <c r="AL18" s="1429"/>
      <c r="AM18" s="1429"/>
      <c r="AN18" s="1429"/>
      <c r="AO18" s="1429">
        <f>AI22</f>
        <v>101</v>
      </c>
      <c r="AP18" s="1429"/>
      <c r="AQ18" s="1429"/>
      <c r="AR18" s="1429"/>
      <c r="AS18" s="1429"/>
      <c r="AT18" s="1429"/>
      <c r="AU18" s="1429">
        <f t="shared" ref="AU18" si="0">AO22</f>
        <v>102</v>
      </c>
      <c r="AV18" s="1429"/>
      <c r="AW18" s="1429"/>
      <c r="AX18" s="1429"/>
      <c r="AY18" s="1429"/>
      <c r="AZ18" s="1430"/>
      <c r="BA18" s="1429"/>
      <c r="BB18" s="1429"/>
      <c r="BC18" s="1429"/>
      <c r="BD18" s="1429"/>
      <c r="BE18" s="1429"/>
      <c r="BF18" s="1430"/>
      <c r="BG18" s="1429">
        <v>118</v>
      </c>
      <c r="BH18" s="1429"/>
      <c r="BI18" s="1429"/>
      <c r="BJ18" s="1429"/>
      <c r="BK18" s="1429"/>
      <c r="BL18" s="1430"/>
      <c r="BM18" s="1429">
        <f>BG22</f>
        <v>119</v>
      </c>
      <c r="BN18" s="1429"/>
      <c r="BO18" s="1429"/>
      <c r="BP18" s="1429"/>
      <c r="BQ18" s="1429"/>
      <c r="BR18" s="1430"/>
      <c r="BS18" s="1425">
        <f t="shared" ref="BS18" si="1">BM22</f>
        <v>120</v>
      </c>
      <c r="BT18" s="1425"/>
      <c r="BU18" s="1425"/>
      <c r="BV18" s="1425"/>
      <c r="BW18" s="1425"/>
      <c r="BX18" s="1426"/>
      <c r="BY18" s="1427">
        <f>BS18</f>
        <v>120</v>
      </c>
      <c r="BZ18" s="1427"/>
      <c r="CA18" s="1427"/>
      <c r="CB18" s="1427"/>
      <c r="CC18" s="1427"/>
      <c r="CD18" s="1427"/>
    </row>
    <row r="19" spans="2:84" hidden="1" x14ac:dyDescent="0.45">
      <c r="B19" s="109"/>
      <c r="C19" s="109" t="s">
        <v>1</v>
      </c>
      <c r="E19" s="1422">
        <f>ROUNDDOWN(1000000 / (E18/($L$11)), 0)</f>
        <v>10000</v>
      </c>
      <c r="F19" s="1422"/>
      <c r="G19" s="1422"/>
      <c r="H19" s="1422"/>
      <c r="I19" s="1422"/>
      <c r="J19" s="1422"/>
      <c r="K19" s="1407">
        <f>ROUNDDOWN(1000000 / (K18/($L$11)), 0)</f>
        <v>10000</v>
      </c>
      <c r="L19" s="1407"/>
      <c r="M19" s="1407"/>
      <c r="N19" s="1407"/>
      <c r="O19" s="1407"/>
      <c r="P19" s="1407"/>
      <c r="Q19" s="1407"/>
      <c r="R19" s="1407"/>
      <c r="S19" s="1407"/>
      <c r="T19" s="1407"/>
      <c r="U19" s="1407"/>
      <c r="V19" s="1407"/>
      <c r="W19" s="1407"/>
      <c r="X19" s="1407"/>
      <c r="Y19" s="1407"/>
      <c r="Z19" s="1407"/>
      <c r="AA19" s="1407"/>
      <c r="AB19" s="1407"/>
      <c r="AC19" s="1407">
        <f>ROUNDDOWN(1000000 / (AC18/($L$11)), 0)</f>
        <v>10000</v>
      </c>
      <c r="AD19" s="1407"/>
      <c r="AE19" s="1407"/>
      <c r="AF19" s="1407"/>
      <c r="AG19" s="1407"/>
      <c r="AH19" s="1407"/>
      <c r="AI19" s="1404">
        <f t="shared" ref="AI19" si="2">ROUNDDOWN(1000000 / (AI18/($L$11)), 0)</f>
        <v>10000</v>
      </c>
      <c r="AJ19" s="1404"/>
      <c r="AK19" s="1404"/>
      <c r="AL19" s="1404"/>
      <c r="AM19" s="1404"/>
      <c r="AN19" s="1404"/>
      <c r="AO19" s="1404">
        <f t="shared" ref="AO19" si="3">ROUNDDOWN(1000000 / (AO18/($L$11)), 0)</f>
        <v>9900</v>
      </c>
      <c r="AP19" s="1404"/>
      <c r="AQ19" s="1404"/>
      <c r="AR19" s="1404"/>
      <c r="AS19" s="1404"/>
      <c r="AT19" s="1404"/>
      <c r="AU19" s="1404">
        <f t="shared" ref="AU19" si="4">ROUNDDOWN(1000000 / (AU18/($L$11)), 0)</f>
        <v>9803</v>
      </c>
      <c r="AV19" s="1404"/>
      <c r="AW19" s="1404"/>
      <c r="AX19" s="1404"/>
      <c r="AY19" s="1404"/>
      <c r="AZ19" s="1420"/>
      <c r="BA19" s="1404"/>
      <c r="BB19" s="1404"/>
      <c r="BC19" s="1404"/>
      <c r="BD19" s="1404"/>
      <c r="BE19" s="1404"/>
      <c r="BF19" s="1420"/>
      <c r="BG19" s="1404">
        <f t="shared" ref="BG19" si="5">ROUNDDOWN(1000000 / (BG18/($L$11)), 0)</f>
        <v>8474</v>
      </c>
      <c r="BH19" s="1404"/>
      <c r="BI19" s="1404"/>
      <c r="BJ19" s="1404"/>
      <c r="BK19" s="1404"/>
      <c r="BL19" s="1420"/>
      <c r="BM19" s="1404">
        <f t="shared" ref="BM19" si="6">ROUNDDOWN(1000000 / (BM18/($L$11)), 0)</f>
        <v>8403</v>
      </c>
      <c r="BN19" s="1404"/>
      <c r="BO19" s="1404"/>
      <c r="BP19" s="1404"/>
      <c r="BQ19" s="1404"/>
      <c r="BR19" s="1420"/>
      <c r="BS19" s="1405">
        <f t="shared" ref="BS19" si="7">ROUNDDOWN(1000000 / (BS18/($L$11)), 0)</f>
        <v>8333</v>
      </c>
      <c r="BT19" s="1405"/>
      <c r="BU19" s="1405"/>
      <c r="BV19" s="1405"/>
      <c r="BW19" s="1405"/>
      <c r="BX19" s="1421"/>
      <c r="BY19" s="1422">
        <f t="shared" ref="BY19" si="8">ROUNDDOWN(1000000 / (BY18/($L$11)), 0)</f>
        <v>8333</v>
      </c>
      <c r="BZ19" s="1422"/>
      <c r="CA19" s="1422"/>
      <c r="CB19" s="1422"/>
      <c r="CC19" s="1422"/>
      <c r="CD19" s="1422"/>
    </row>
    <row r="20" spans="2:84" ht="5.15" customHeight="1" x14ac:dyDescent="0.45"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193"/>
      <c r="BU20" s="193"/>
      <c r="BV20" s="193"/>
      <c r="BW20" s="193"/>
      <c r="BX20" s="193"/>
      <c r="BY20" s="193"/>
      <c r="BZ20" s="193"/>
      <c r="CA20" s="193"/>
      <c r="CB20" s="193"/>
      <c r="CC20" s="193"/>
      <c r="CD20" s="193"/>
      <c r="CE20" s="193"/>
      <c r="CF20" s="193"/>
    </row>
    <row r="21" spans="2:84" hidden="1" x14ac:dyDescent="0.45">
      <c r="B21" s="57" t="s">
        <v>1192</v>
      </c>
      <c r="C21" s="109"/>
      <c r="D21" s="2"/>
      <c r="E21" s="1419"/>
      <c r="F21" s="1419"/>
      <c r="G21" s="1419"/>
      <c r="H21" s="1419"/>
      <c r="I21" s="1419"/>
      <c r="J21" s="1419"/>
      <c r="K21" s="1423"/>
      <c r="L21" s="1423"/>
      <c r="M21" s="1423"/>
      <c r="N21" s="1423"/>
      <c r="O21" s="1423"/>
      <c r="P21" s="1423"/>
      <c r="Q21" s="1423"/>
      <c r="R21" s="1423"/>
      <c r="S21" s="1423"/>
      <c r="T21" s="1423"/>
      <c r="U21" s="1423"/>
      <c r="V21" s="1423"/>
      <c r="W21" s="1423"/>
      <c r="X21" s="1423"/>
      <c r="Y21" s="1423"/>
      <c r="Z21" s="1423"/>
      <c r="AA21" s="1423"/>
      <c r="AB21" s="1423"/>
      <c r="AC21" s="1423"/>
      <c r="AD21" s="1423"/>
      <c r="AE21" s="1423"/>
      <c r="AF21" s="1423"/>
      <c r="AG21" s="1423"/>
      <c r="AH21" s="1423"/>
      <c r="AI21" s="1424"/>
      <c r="AJ21" s="1424"/>
      <c r="AK21" s="1424"/>
      <c r="AL21" s="1424"/>
      <c r="AM21" s="1424"/>
      <c r="AN21" s="1424"/>
      <c r="AO21" s="1424"/>
      <c r="AP21" s="1424"/>
      <c r="AQ21" s="1424"/>
      <c r="AR21" s="1424"/>
      <c r="AS21" s="1424"/>
      <c r="AT21" s="1424"/>
      <c r="AU21" s="1424"/>
      <c r="AV21" s="1424"/>
      <c r="AW21" s="1424"/>
      <c r="AX21" s="1424"/>
      <c r="AY21" s="1424"/>
      <c r="AZ21" s="1424"/>
      <c r="BA21" s="1424"/>
      <c r="BB21" s="1424"/>
      <c r="BC21" s="1424"/>
      <c r="BD21" s="1424"/>
      <c r="BE21" s="1424"/>
      <c r="BF21" s="1424"/>
      <c r="BG21" s="1424"/>
      <c r="BH21" s="1424"/>
      <c r="BI21" s="1424"/>
      <c r="BJ21" s="1424"/>
      <c r="BK21" s="1424"/>
      <c r="BL21" s="1424"/>
      <c r="BM21" s="1424"/>
      <c r="BN21" s="1424"/>
      <c r="BO21" s="1424"/>
      <c r="BP21" s="1424"/>
      <c r="BQ21" s="1424"/>
      <c r="BR21" s="1424"/>
      <c r="BS21" s="1418"/>
      <c r="BT21" s="1418"/>
      <c r="BU21" s="1418"/>
      <c r="BV21" s="1418"/>
      <c r="BW21" s="1418"/>
      <c r="BX21" s="1418"/>
      <c r="BY21" s="1419"/>
      <c r="BZ21" s="1419"/>
      <c r="CA21" s="1419"/>
      <c r="CB21" s="1419"/>
      <c r="CC21" s="1419"/>
      <c r="CD21" s="1419"/>
    </row>
    <row r="22" spans="2:84" s="31" customFormat="1" ht="17.5" thickBot="1" x14ac:dyDescent="0.5">
      <c r="B22" s="109" t="s">
        <v>3</v>
      </c>
      <c r="C22" s="109" t="s">
        <v>4</v>
      </c>
      <c r="E22" s="1386">
        <v>100</v>
      </c>
      <c r="F22" s="1386"/>
      <c r="G22" s="1386"/>
      <c r="H22" s="1386"/>
      <c r="I22" s="1386"/>
      <c r="J22" s="1386"/>
      <c r="K22" s="1393">
        <v>100</v>
      </c>
      <c r="L22" s="1393"/>
      <c r="M22" s="1393"/>
      <c r="N22" s="1393"/>
      <c r="O22" s="1393"/>
      <c r="P22" s="1393"/>
      <c r="Q22" s="1393"/>
      <c r="R22" s="1393"/>
      <c r="S22" s="1393"/>
      <c r="T22" s="1393"/>
      <c r="U22" s="1393"/>
      <c r="V22" s="1393"/>
      <c r="W22" s="1393"/>
      <c r="X22" s="1393"/>
      <c r="Y22" s="1393"/>
      <c r="Z22" s="1393"/>
      <c r="AA22" s="1393"/>
      <c r="AB22" s="1393"/>
      <c r="AC22" s="1393">
        <f>K22</f>
        <v>100</v>
      </c>
      <c r="AD22" s="1393"/>
      <c r="AE22" s="1393"/>
      <c r="AF22" s="1393"/>
      <c r="AG22" s="1393"/>
      <c r="AH22" s="1393"/>
      <c r="AI22" s="1394">
        <f>AC22+1</f>
        <v>101</v>
      </c>
      <c r="AJ22" s="1394"/>
      <c r="AK22" s="1394"/>
      <c r="AL22" s="1394"/>
      <c r="AM22" s="1394"/>
      <c r="AN22" s="1394"/>
      <c r="AO22" s="1394">
        <f t="shared" ref="AO22" si="9">AI22+1</f>
        <v>102</v>
      </c>
      <c r="AP22" s="1394"/>
      <c r="AQ22" s="1394"/>
      <c r="AR22" s="1394"/>
      <c r="AS22" s="1394"/>
      <c r="AT22" s="1394"/>
      <c r="AU22" s="1394">
        <f t="shared" ref="AU22" si="10">AO22+1</f>
        <v>103</v>
      </c>
      <c r="AV22" s="1394"/>
      <c r="AW22" s="1394"/>
      <c r="AX22" s="1394"/>
      <c r="AY22" s="1394"/>
      <c r="AZ22" s="1394"/>
      <c r="BA22" s="1394"/>
      <c r="BB22" s="1394"/>
      <c r="BC22" s="1394"/>
      <c r="BD22" s="1394"/>
      <c r="BE22" s="1394"/>
      <c r="BF22" s="1394"/>
      <c r="BG22" s="1394">
        <v>119</v>
      </c>
      <c r="BH22" s="1394"/>
      <c r="BI22" s="1394"/>
      <c r="BJ22" s="1394"/>
      <c r="BK22" s="1394"/>
      <c r="BL22" s="1394"/>
      <c r="BM22" s="1394">
        <f>BG22+1</f>
        <v>120</v>
      </c>
      <c r="BN22" s="1394"/>
      <c r="BO22" s="1394"/>
      <c r="BP22" s="1394"/>
      <c r="BQ22" s="1394"/>
      <c r="BR22" s="1394"/>
      <c r="BS22" s="1396">
        <f>BM22</f>
        <v>120</v>
      </c>
      <c r="BT22" s="1396"/>
      <c r="BU22" s="1396"/>
      <c r="BV22" s="1396"/>
      <c r="BW22" s="1396"/>
      <c r="BX22" s="1396"/>
      <c r="BY22" s="1386">
        <f>BS22</f>
        <v>120</v>
      </c>
      <c r="BZ22" s="1386"/>
      <c r="CA22" s="1386"/>
      <c r="CB22" s="1386"/>
      <c r="CC22" s="1386"/>
      <c r="CD22" s="1386"/>
    </row>
    <row r="23" spans="2:84" s="31" customFormat="1" hidden="1" x14ac:dyDescent="0.45">
      <c r="B23" s="109"/>
      <c r="C23" s="109" t="s">
        <v>1</v>
      </c>
      <c r="E23" s="1406">
        <f>ROUNDDOWN(1000000 / (E22/($L$11)), 0)</f>
        <v>10000</v>
      </c>
      <c r="F23" s="1406"/>
      <c r="G23" s="1406"/>
      <c r="H23" s="1406"/>
      <c r="I23" s="1406"/>
      <c r="J23" s="1406"/>
      <c r="K23" s="1407">
        <f>ROUNDDOWN(1000000 / (K22/($L$11)), 0)</f>
        <v>10000</v>
      </c>
      <c r="L23" s="1407"/>
      <c r="M23" s="1407"/>
      <c r="N23" s="1407"/>
      <c r="O23" s="1407"/>
      <c r="P23" s="1407"/>
      <c r="Q23" s="1407"/>
      <c r="R23" s="1407"/>
      <c r="S23" s="1407"/>
      <c r="T23" s="1407"/>
      <c r="U23" s="1407"/>
      <c r="V23" s="1407"/>
      <c r="W23" s="1407"/>
      <c r="X23" s="1407"/>
      <c r="Y23" s="1407"/>
      <c r="Z23" s="1407"/>
      <c r="AA23" s="1407"/>
      <c r="AB23" s="1407"/>
      <c r="AC23" s="1407">
        <f t="shared" ref="AC23" si="11">ROUNDDOWN(1000000 / (AC22/($L$11)), 0)</f>
        <v>10000</v>
      </c>
      <c r="AD23" s="1407"/>
      <c r="AE23" s="1407"/>
      <c r="AF23" s="1407"/>
      <c r="AG23" s="1407"/>
      <c r="AH23" s="1407"/>
      <c r="AI23" s="1404">
        <f t="shared" ref="AI23" si="12">ROUNDDOWN(1000000 / (AI22/($L$11)), 0)</f>
        <v>9900</v>
      </c>
      <c r="AJ23" s="1404"/>
      <c r="AK23" s="1404"/>
      <c r="AL23" s="1404"/>
      <c r="AM23" s="1404"/>
      <c r="AN23" s="1404"/>
      <c r="AO23" s="1404">
        <f t="shared" ref="AO23" si="13">ROUNDDOWN(1000000 / (AO22/($L$11)), 0)</f>
        <v>9803</v>
      </c>
      <c r="AP23" s="1404"/>
      <c r="AQ23" s="1404"/>
      <c r="AR23" s="1404"/>
      <c r="AS23" s="1404"/>
      <c r="AT23" s="1404"/>
      <c r="AU23" s="1404">
        <f t="shared" ref="AU23" si="14">ROUNDDOWN(1000000 / (AU22/($L$11)), 0)</f>
        <v>9708</v>
      </c>
      <c r="AV23" s="1404"/>
      <c r="AW23" s="1404"/>
      <c r="AX23" s="1404"/>
      <c r="AY23" s="1404"/>
      <c r="AZ23" s="1420"/>
      <c r="BA23" s="1404"/>
      <c r="BB23" s="1404"/>
      <c r="BC23" s="1404"/>
      <c r="BD23" s="1404"/>
      <c r="BE23" s="1404"/>
      <c r="BF23" s="1420"/>
      <c r="BG23" s="1404">
        <f t="shared" ref="BG23" si="15">ROUNDDOWN(1000000 / (BG22/($L$11)), 0)</f>
        <v>8403</v>
      </c>
      <c r="BH23" s="1404"/>
      <c r="BI23" s="1404"/>
      <c r="BJ23" s="1404"/>
      <c r="BK23" s="1404"/>
      <c r="BL23" s="1420"/>
      <c r="BM23" s="1404">
        <f t="shared" ref="BM23" si="16">ROUNDDOWN(1000000 / (BM22/($L$11)), 0)</f>
        <v>8333</v>
      </c>
      <c r="BN23" s="1404"/>
      <c r="BO23" s="1404"/>
      <c r="BP23" s="1404"/>
      <c r="BQ23" s="1404"/>
      <c r="BR23" s="1420"/>
      <c r="BS23" s="1405">
        <f t="shared" ref="BS23" si="17">ROUNDDOWN(1000000 / (BS22/($L$11)), 0)</f>
        <v>8333</v>
      </c>
      <c r="BT23" s="1405"/>
      <c r="BU23" s="1405"/>
      <c r="BV23" s="1405"/>
      <c r="BW23" s="1405"/>
      <c r="BX23" s="1421"/>
      <c r="BY23" s="1406">
        <f t="shared" ref="BY23" si="18">ROUNDDOWN(1000000 / (BY22/($L$11)), 0)</f>
        <v>8333</v>
      </c>
      <c r="BZ23" s="1406"/>
      <c r="CA23" s="1406"/>
      <c r="CB23" s="1406"/>
      <c r="CC23" s="1406"/>
      <c r="CD23" s="1406"/>
    </row>
    <row r="24" spans="2:84" s="31" customFormat="1" hidden="1" x14ac:dyDescent="0.45">
      <c r="B24" s="109"/>
      <c r="C24" s="176" t="s">
        <v>1157</v>
      </c>
      <c r="E24" s="1406">
        <f>ROUNDDOWN((E23 * 10000)/((2^$E$10-1)*$L$11), 0)</f>
        <v>24420</v>
      </c>
      <c r="F24" s="1406"/>
      <c r="G24" s="1406"/>
      <c r="H24" s="1406"/>
      <c r="I24" s="1406"/>
      <c r="J24" s="1406"/>
      <c r="K24" s="1407">
        <f>ROUNDDOWN((K23 * 10000)/((2^$E$10-1)*$L$11), 0)</f>
        <v>24420</v>
      </c>
      <c r="L24" s="1407"/>
      <c r="M24" s="1407"/>
      <c r="N24" s="1407"/>
      <c r="O24" s="1407"/>
      <c r="P24" s="1407"/>
      <c r="Q24" s="1407"/>
      <c r="R24" s="1407"/>
      <c r="S24" s="1407"/>
      <c r="T24" s="1407"/>
      <c r="U24" s="1407"/>
      <c r="V24" s="1407"/>
      <c r="W24" s="1407"/>
      <c r="X24" s="1407"/>
      <c r="Y24" s="1407"/>
      <c r="Z24" s="1407"/>
      <c r="AA24" s="1407"/>
      <c r="AB24" s="1407"/>
      <c r="AC24" s="1407">
        <f>ROUNDDOWN((AC23 * 10000)/((2^$E$10-1)*$L$11), 0)</f>
        <v>24420</v>
      </c>
      <c r="AD24" s="1407"/>
      <c r="AE24" s="1407"/>
      <c r="AF24" s="1407"/>
      <c r="AG24" s="1407"/>
      <c r="AH24" s="1407"/>
      <c r="AI24" s="1404">
        <f t="shared" ref="AI24" si="19">ROUNDDOWN((AI23 * 10000)/((2^$E$10-1)*$L$11), 0)</f>
        <v>24175</v>
      </c>
      <c r="AJ24" s="1404"/>
      <c r="AK24" s="1404"/>
      <c r="AL24" s="1404"/>
      <c r="AM24" s="1404"/>
      <c r="AN24" s="1404"/>
      <c r="AO24" s="1404">
        <f t="shared" ref="AO24" si="20">ROUNDDOWN((AO23 * 10000)/((2^$E$10-1)*$L$11), 0)</f>
        <v>23938</v>
      </c>
      <c r="AP24" s="1404"/>
      <c r="AQ24" s="1404"/>
      <c r="AR24" s="1404"/>
      <c r="AS24" s="1404"/>
      <c r="AT24" s="1404"/>
      <c r="AU24" s="1404">
        <f t="shared" ref="AU24" si="21">ROUNDDOWN((AU23 * 10000)/((2^$E$10-1)*$L$11), 0)</f>
        <v>23706</v>
      </c>
      <c r="AV24" s="1404"/>
      <c r="AW24" s="1404"/>
      <c r="AX24" s="1404"/>
      <c r="AY24" s="1404"/>
      <c r="AZ24" s="1420"/>
      <c r="BA24" s="1404"/>
      <c r="BB24" s="1404"/>
      <c r="BC24" s="1404"/>
      <c r="BD24" s="1404"/>
      <c r="BE24" s="1404"/>
      <c r="BF24" s="1420"/>
      <c r="BG24" s="1404">
        <f t="shared" ref="BG24" si="22">ROUNDDOWN((BG23 * 10000)/((2^$E$10-1)*$L$11), 0)</f>
        <v>20520</v>
      </c>
      <c r="BH24" s="1404"/>
      <c r="BI24" s="1404"/>
      <c r="BJ24" s="1404"/>
      <c r="BK24" s="1404"/>
      <c r="BL24" s="1420"/>
      <c r="BM24" s="1404">
        <f t="shared" ref="BM24" si="23">ROUNDDOWN((BM23 * 10000)/((2^$E$10-1)*$L$11), 0)</f>
        <v>20349</v>
      </c>
      <c r="BN24" s="1404"/>
      <c r="BO24" s="1404"/>
      <c r="BP24" s="1404"/>
      <c r="BQ24" s="1404"/>
      <c r="BR24" s="1420"/>
      <c r="BS24" s="1405">
        <f t="shared" ref="BS24" si="24">ROUNDDOWN((BS23 * 10000)/((2^$E$10-1)*$L$11), 0)</f>
        <v>20349</v>
      </c>
      <c r="BT24" s="1405"/>
      <c r="BU24" s="1405"/>
      <c r="BV24" s="1405"/>
      <c r="BW24" s="1405"/>
      <c r="BX24" s="1421"/>
      <c r="BY24" s="1406">
        <f t="shared" ref="BY24" si="25">ROUNDDOWN((BY23 * 10000)/((2^$E$10-1)*$L$11), 0)</f>
        <v>20349</v>
      </c>
      <c r="BZ24" s="1406"/>
      <c r="CA24" s="1406"/>
      <c r="CB24" s="1406"/>
      <c r="CC24" s="1406"/>
      <c r="CD24" s="1406"/>
    </row>
    <row r="25" spans="2:84" s="31" customFormat="1" ht="17.5" hidden="1" thickBot="1" x14ac:dyDescent="0.5">
      <c r="B25" s="109" t="s">
        <v>1163</v>
      </c>
      <c r="C25" s="109" t="s">
        <v>1164</v>
      </c>
      <c r="E25" s="1415">
        <f>E24 * $L$9</f>
        <v>959999040</v>
      </c>
      <c r="F25" s="1415"/>
      <c r="G25" s="1415"/>
      <c r="H25" s="1415"/>
      <c r="I25" s="1415"/>
      <c r="J25" s="1415"/>
      <c r="K25" s="1417">
        <f>K24 * $L$9</f>
        <v>959999040</v>
      </c>
      <c r="L25" s="1417"/>
      <c r="M25" s="1417"/>
      <c r="N25" s="1417"/>
      <c r="O25" s="1417"/>
      <c r="P25" s="1417"/>
      <c r="Q25" s="1417"/>
      <c r="R25" s="1417"/>
      <c r="S25" s="1417"/>
      <c r="T25" s="1417"/>
      <c r="U25" s="1417"/>
      <c r="V25" s="1417"/>
      <c r="W25" s="1417"/>
      <c r="X25" s="1417"/>
      <c r="Y25" s="1417"/>
      <c r="Z25" s="1417"/>
      <c r="AA25" s="1417"/>
      <c r="AB25" s="1417"/>
      <c r="AC25" s="1417">
        <f t="shared" ref="AC25" si="26">AC24 * $L$9</f>
        <v>959999040</v>
      </c>
      <c r="AD25" s="1417"/>
      <c r="AE25" s="1417"/>
      <c r="AF25" s="1417"/>
      <c r="AG25" s="1417"/>
      <c r="AH25" s="1417"/>
      <c r="AI25" s="1413">
        <f t="shared" ref="AI25" si="27">AI24 * $L$9</f>
        <v>950367600</v>
      </c>
      <c r="AJ25" s="1413"/>
      <c r="AK25" s="1413"/>
      <c r="AL25" s="1413"/>
      <c r="AM25" s="1413"/>
      <c r="AN25" s="1413"/>
      <c r="AO25" s="1413">
        <f t="shared" ref="AO25" si="28">AO24 * $L$9</f>
        <v>941050656</v>
      </c>
      <c r="AP25" s="1413"/>
      <c r="AQ25" s="1413"/>
      <c r="AR25" s="1413"/>
      <c r="AS25" s="1413"/>
      <c r="AT25" s="1413"/>
      <c r="AU25" s="1413">
        <f t="shared" ref="AU25" si="29">AU24 * $L$9</f>
        <v>931930272</v>
      </c>
      <c r="AV25" s="1413"/>
      <c r="AW25" s="1413"/>
      <c r="AX25" s="1413"/>
      <c r="AY25" s="1413"/>
      <c r="AZ25" s="1454"/>
      <c r="BA25" s="1413"/>
      <c r="BB25" s="1413"/>
      <c r="BC25" s="1413"/>
      <c r="BD25" s="1413"/>
      <c r="BE25" s="1413"/>
      <c r="BF25" s="1454"/>
      <c r="BG25" s="1413">
        <f t="shared" ref="BG25" si="30">BG24 * $L$9</f>
        <v>806682240</v>
      </c>
      <c r="BH25" s="1413"/>
      <c r="BI25" s="1413"/>
      <c r="BJ25" s="1413"/>
      <c r="BK25" s="1413"/>
      <c r="BL25" s="1454"/>
      <c r="BM25" s="1413">
        <f t="shared" ref="BM25" si="31">BM24 * $L$9</f>
        <v>799959888</v>
      </c>
      <c r="BN25" s="1413"/>
      <c r="BO25" s="1413"/>
      <c r="BP25" s="1413"/>
      <c r="BQ25" s="1413"/>
      <c r="BR25" s="1454"/>
      <c r="BS25" s="1414">
        <f t="shared" ref="BS25" si="32">BS24 * $L$9</f>
        <v>799959888</v>
      </c>
      <c r="BT25" s="1414"/>
      <c r="BU25" s="1414"/>
      <c r="BV25" s="1414"/>
      <c r="BW25" s="1414"/>
      <c r="BX25" s="1455"/>
      <c r="BY25" s="1415">
        <f t="shared" ref="BY25" si="33">BY24 * $L$9</f>
        <v>799959888</v>
      </c>
      <c r="BZ25" s="1415"/>
      <c r="CA25" s="1415"/>
      <c r="CB25" s="1415"/>
      <c r="CC25" s="1415"/>
      <c r="CD25" s="1415"/>
    </row>
    <row r="26" spans="2:84" s="31" customFormat="1" ht="17.5" thickBot="1" x14ac:dyDescent="0.5">
      <c r="B26" s="177" t="s">
        <v>16</v>
      </c>
      <c r="C26" s="178" t="s">
        <v>5</v>
      </c>
      <c r="E26" s="1412">
        <f>ROUND(E25/10000000, 0) - 1</f>
        <v>95</v>
      </c>
      <c r="F26" s="1412"/>
      <c r="G26" s="1412"/>
      <c r="H26" s="1412"/>
      <c r="I26" s="1412"/>
      <c r="J26" s="1412"/>
      <c r="K26" s="1416">
        <f>ROUND(K25/10000000, 0) - 1</f>
        <v>95</v>
      </c>
      <c r="L26" s="1416"/>
      <c r="M26" s="1416"/>
      <c r="N26" s="1416"/>
      <c r="O26" s="1416"/>
      <c r="P26" s="1416"/>
      <c r="Q26" s="1453"/>
      <c r="R26" s="1453"/>
      <c r="S26" s="1453"/>
      <c r="T26" s="1453"/>
      <c r="U26" s="1453"/>
      <c r="V26" s="1453"/>
      <c r="W26" s="1453"/>
      <c r="X26" s="1453"/>
      <c r="Y26" s="1453"/>
      <c r="Z26" s="1453"/>
      <c r="AA26" s="1453"/>
      <c r="AB26" s="1453"/>
      <c r="AC26" s="1416">
        <f>ROUND(AC25/10000000, 0) - 1</f>
        <v>95</v>
      </c>
      <c r="AD26" s="1416"/>
      <c r="AE26" s="1416"/>
      <c r="AF26" s="1416"/>
      <c r="AG26" s="1416"/>
      <c r="AH26" s="1416"/>
      <c r="AI26" s="1408">
        <f>ROUND(AI25/10000000, 0) - 1</f>
        <v>94</v>
      </c>
      <c r="AJ26" s="1408"/>
      <c r="AK26" s="1408"/>
      <c r="AL26" s="1408"/>
      <c r="AM26" s="1408"/>
      <c r="AN26" s="1408"/>
      <c r="AO26" s="1408">
        <f t="shared" ref="AO26" si="34">ROUND(AO25/10000000, 0) - 1</f>
        <v>93</v>
      </c>
      <c r="AP26" s="1408"/>
      <c r="AQ26" s="1408"/>
      <c r="AR26" s="1408"/>
      <c r="AS26" s="1408"/>
      <c r="AT26" s="1408"/>
      <c r="AU26" s="1408">
        <f t="shared" ref="AU26" si="35">ROUND(AU25/10000000, 0) - 1</f>
        <v>92</v>
      </c>
      <c r="AV26" s="1408"/>
      <c r="AW26" s="1408"/>
      <c r="AX26" s="1408"/>
      <c r="AY26" s="1408"/>
      <c r="AZ26" s="1408"/>
      <c r="BA26" s="1408"/>
      <c r="BB26" s="1408"/>
      <c r="BC26" s="1408"/>
      <c r="BD26" s="1408"/>
      <c r="BE26" s="1408"/>
      <c r="BF26" s="1409"/>
      <c r="BG26" s="1408">
        <f t="shared" ref="BG26" si="36">ROUND(BG25/10000000, 0) - 1</f>
        <v>80</v>
      </c>
      <c r="BH26" s="1408"/>
      <c r="BI26" s="1408"/>
      <c r="BJ26" s="1408"/>
      <c r="BK26" s="1408"/>
      <c r="BL26" s="1409"/>
      <c r="BM26" s="1408">
        <f t="shared" ref="BM26" si="37">ROUND(BM25/10000000, 0) - 1</f>
        <v>79</v>
      </c>
      <c r="BN26" s="1408"/>
      <c r="BO26" s="1408"/>
      <c r="BP26" s="1408"/>
      <c r="BQ26" s="1408"/>
      <c r="BR26" s="1409"/>
      <c r="BS26" s="1410">
        <f t="shared" ref="BS26" si="38">ROUND(BS25/10000000, 0) - 1</f>
        <v>79</v>
      </c>
      <c r="BT26" s="1410"/>
      <c r="BU26" s="1410"/>
      <c r="BV26" s="1410"/>
      <c r="BW26" s="1410"/>
      <c r="BX26" s="1411"/>
      <c r="BY26" s="1412">
        <f t="shared" ref="BY26" si="39">ROUND(BY25/10000000, 0) - 1</f>
        <v>79</v>
      </c>
      <c r="BZ26" s="1412"/>
      <c r="CA26" s="1412"/>
      <c r="CB26" s="1412"/>
      <c r="CC26" s="1412"/>
      <c r="CD26" s="1412"/>
    </row>
    <row r="27" spans="2:84" s="31" customFormat="1" x14ac:dyDescent="0.45">
      <c r="B27" s="109" t="s">
        <v>1175</v>
      </c>
      <c r="C27" s="109" t="s">
        <v>5</v>
      </c>
      <c r="E27" s="1406">
        <f>ROUNDDOWN((2^$E$10-1)*$L$11*(E26+1), 0)</f>
        <v>393120</v>
      </c>
      <c r="F27" s="1406"/>
      <c r="G27" s="1406"/>
      <c r="H27" s="1406"/>
      <c r="I27" s="1406"/>
      <c r="J27" s="1406"/>
      <c r="K27" s="1407">
        <f>ROUNDDOWN((2^$E$10-1)*$L$11*(K26+1), 0)</f>
        <v>393120</v>
      </c>
      <c r="L27" s="1407"/>
      <c r="M27" s="1407"/>
      <c r="N27" s="1407"/>
      <c r="O27" s="1407"/>
      <c r="P27" s="1407"/>
      <c r="Q27" s="1407"/>
      <c r="R27" s="1407"/>
      <c r="S27" s="1407"/>
      <c r="T27" s="1407"/>
      <c r="U27" s="1407"/>
      <c r="V27" s="1407"/>
      <c r="W27" s="1407"/>
      <c r="X27" s="1407"/>
      <c r="Y27" s="1407"/>
      <c r="Z27" s="1407"/>
      <c r="AA27" s="1407"/>
      <c r="AB27" s="1407"/>
      <c r="AC27" s="1407">
        <f t="shared" ref="AC27" si="40">ROUNDDOWN((2^$E$10-1)*$L$11*(AC26+1), 0)</f>
        <v>393120</v>
      </c>
      <c r="AD27" s="1407"/>
      <c r="AE27" s="1407"/>
      <c r="AF27" s="1407"/>
      <c r="AG27" s="1407"/>
      <c r="AH27" s="1407"/>
      <c r="AI27" s="1404"/>
      <c r="AJ27" s="1404"/>
      <c r="AK27" s="1404"/>
      <c r="AL27" s="1404"/>
      <c r="AM27" s="1404"/>
      <c r="AN27" s="1404"/>
      <c r="AO27" s="1404"/>
      <c r="AP27" s="1404"/>
      <c r="AQ27" s="1404"/>
      <c r="AR27" s="1404"/>
      <c r="AS27" s="1404"/>
      <c r="AT27" s="1404"/>
      <c r="AU27" s="1404"/>
      <c r="AV27" s="1404"/>
      <c r="AW27" s="1404"/>
      <c r="AX27" s="1404"/>
      <c r="AY27" s="1404"/>
      <c r="AZ27" s="1420"/>
      <c r="BA27" s="1404"/>
      <c r="BB27" s="1404"/>
      <c r="BC27" s="1404"/>
      <c r="BD27" s="1404"/>
      <c r="BE27" s="1404"/>
      <c r="BF27" s="1420"/>
      <c r="BG27" s="1420"/>
      <c r="BH27" s="1451"/>
      <c r="BI27" s="1451"/>
      <c r="BJ27" s="1451"/>
      <c r="BK27" s="1451"/>
      <c r="BL27" s="1452"/>
      <c r="BM27" s="1404"/>
      <c r="BN27" s="1404"/>
      <c r="BO27" s="1404"/>
      <c r="BP27" s="1404"/>
      <c r="BQ27" s="1404"/>
      <c r="BR27" s="1420"/>
      <c r="BS27" s="1405">
        <f t="shared" ref="BS27" si="41">ROUNDDOWN((2^$E$10-1)*$L$11*(BS26+1), 0)</f>
        <v>327600</v>
      </c>
      <c r="BT27" s="1405"/>
      <c r="BU27" s="1405"/>
      <c r="BV27" s="1405"/>
      <c r="BW27" s="1405"/>
      <c r="BX27" s="1421"/>
      <c r="BY27" s="1406">
        <f t="shared" ref="BY27" si="42">ROUNDDOWN((2^$E$10-1)*$L$11*(BY26+1), 0)</f>
        <v>327600</v>
      </c>
      <c r="BZ27" s="1406"/>
      <c r="CA27" s="1406"/>
      <c r="CB27" s="1406"/>
      <c r="CC27" s="1406"/>
      <c r="CD27" s="1406"/>
    </row>
    <row r="28" spans="2:84" s="31" customFormat="1" hidden="1" x14ac:dyDescent="0.45">
      <c r="B28" s="109"/>
      <c r="C28" s="109" t="s">
        <v>903</v>
      </c>
      <c r="E28" s="1386">
        <f>$L$12</f>
        <v>10</v>
      </c>
      <c r="F28" s="1386"/>
      <c r="G28" s="1386"/>
      <c r="H28" s="1386"/>
      <c r="I28" s="1386"/>
      <c r="J28" s="1386"/>
      <c r="K28" s="1393">
        <v>140</v>
      </c>
      <c r="L28" s="1393"/>
      <c r="M28" s="1393"/>
      <c r="N28" s="1393"/>
      <c r="O28" s="1393"/>
      <c r="P28" s="1393"/>
      <c r="Q28" s="1393"/>
      <c r="R28" s="1393"/>
      <c r="S28" s="1393"/>
      <c r="T28" s="1393"/>
      <c r="U28" s="1393"/>
      <c r="V28" s="1393"/>
      <c r="W28" s="1393"/>
      <c r="X28" s="1393"/>
      <c r="Y28" s="1393"/>
      <c r="Z28" s="1393"/>
      <c r="AA28" s="1393"/>
      <c r="AB28" s="1393"/>
      <c r="AC28" s="1393">
        <f>K28</f>
        <v>140</v>
      </c>
      <c r="AD28" s="1393"/>
      <c r="AE28" s="1393"/>
      <c r="AF28" s="1393"/>
      <c r="AG28" s="1393"/>
      <c r="AH28" s="1393"/>
      <c r="AI28" s="1394"/>
      <c r="AJ28" s="1394"/>
      <c r="AK28" s="1394"/>
      <c r="AL28" s="1394"/>
      <c r="AM28" s="1394"/>
      <c r="AN28" s="1394"/>
      <c r="AO28" s="1394"/>
      <c r="AP28" s="1394"/>
      <c r="AQ28" s="1394"/>
      <c r="AR28" s="1394"/>
      <c r="AS28" s="1394"/>
      <c r="AT28" s="1394"/>
      <c r="AU28" s="1394"/>
      <c r="AV28" s="1394"/>
      <c r="AW28" s="1394"/>
      <c r="AX28" s="1394"/>
      <c r="AY28" s="1394"/>
      <c r="AZ28" s="1394"/>
      <c r="BA28" s="1394"/>
      <c r="BB28" s="1394"/>
      <c r="BC28" s="1394"/>
      <c r="BD28" s="1394"/>
      <c r="BE28" s="1394"/>
      <c r="BF28" s="1394"/>
      <c r="BG28" s="1395"/>
      <c r="BH28" s="1444"/>
      <c r="BI28" s="1444"/>
      <c r="BJ28" s="1444"/>
      <c r="BK28" s="1444"/>
      <c r="BL28" s="1445"/>
      <c r="BM28" s="1394"/>
      <c r="BN28" s="1394"/>
      <c r="BO28" s="1394"/>
      <c r="BP28" s="1394"/>
      <c r="BQ28" s="1394"/>
      <c r="BR28" s="1394"/>
      <c r="BS28" s="1396">
        <f t="shared" ref="BS28" si="43">$L$12</f>
        <v>10</v>
      </c>
      <c r="BT28" s="1396"/>
      <c r="BU28" s="1396"/>
      <c r="BV28" s="1396"/>
      <c r="BW28" s="1396"/>
      <c r="BX28" s="1397"/>
      <c r="BY28" s="1386">
        <f t="shared" ref="BY28" si="44">$L$12</f>
        <v>10</v>
      </c>
      <c r="BZ28" s="1386"/>
      <c r="CA28" s="1386"/>
      <c r="CB28" s="1386"/>
      <c r="CC28" s="1386"/>
      <c r="CD28" s="1386"/>
    </row>
    <row r="29" spans="2:84" s="31" customFormat="1" x14ac:dyDescent="0.45">
      <c r="B29" s="109" t="s">
        <v>1177</v>
      </c>
      <c r="C29" s="109" t="s">
        <v>5</v>
      </c>
      <c r="E29" s="1402">
        <f>E27 + ROUNDDOWN( (E27*E28) / 10000, 0)</f>
        <v>393513</v>
      </c>
      <c r="F29" s="1402"/>
      <c r="G29" s="1402"/>
      <c r="H29" s="1402"/>
      <c r="I29" s="1402"/>
      <c r="J29" s="1402"/>
      <c r="K29" s="1403">
        <f>K27 + ROUNDDOWN( (K27*K28) / 10000, 0)</f>
        <v>398623</v>
      </c>
      <c r="L29" s="1403"/>
      <c r="M29" s="1403"/>
      <c r="N29" s="1403"/>
      <c r="O29" s="1403"/>
      <c r="P29" s="1403"/>
      <c r="Q29" s="1403"/>
      <c r="R29" s="1403"/>
      <c r="S29" s="1403"/>
      <c r="T29" s="1403"/>
      <c r="U29" s="1403"/>
      <c r="V29" s="1403"/>
      <c r="W29" s="1403"/>
      <c r="X29" s="1403"/>
      <c r="Y29" s="1403"/>
      <c r="Z29" s="1403"/>
      <c r="AA29" s="1403"/>
      <c r="AB29" s="1403"/>
      <c r="AC29" s="1403">
        <f t="shared" ref="AC29" si="45">AC27 + ROUNDDOWN( (AC27*AC28) / 10000, 0)</f>
        <v>398623</v>
      </c>
      <c r="AD29" s="1403"/>
      <c r="AE29" s="1403"/>
      <c r="AF29" s="1403"/>
      <c r="AG29" s="1403"/>
      <c r="AH29" s="1403"/>
      <c r="AI29" s="1398"/>
      <c r="AJ29" s="1398"/>
      <c r="AK29" s="1398"/>
      <c r="AL29" s="1398"/>
      <c r="AM29" s="1398"/>
      <c r="AN29" s="1398"/>
      <c r="AO29" s="1398"/>
      <c r="AP29" s="1398"/>
      <c r="AQ29" s="1398"/>
      <c r="AR29" s="1398"/>
      <c r="AS29" s="1398"/>
      <c r="AT29" s="1398"/>
      <c r="AU29" s="1398"/>
      <c r="AV29" s="1398"/>
      <c r="AW29" s="1398"/>
      <c r="AX29" s="1398"/>
      <c r="AY29" s="1398"/>
      <c r="AZ29" s="1399"/>
      <c r="BA29" s="1398"/>
      <c r="BB29" s="1398"/>
      <c r="BC29" s="1398"/>
      <c r="BD29" s="1398"/>
      <c r="BE29" s="1398"/>
      <c r="BF29" s="1399"/>
      <c r="BG29" s="1399"/>
      <c r="BH29" s="1449"/>
      <c r="BI29" s="1449"/>
      <c r="BJ29" s="1449"/>
      <c r="BK29" s="1449"/>
      <c r="BL29" s="1450"/>
      <c r="BM29" s="1398"/>
      <c r="BN29" s="1398"/>
      <c r="BO29" s="1398"/>
      <c r="BP29" s="1398"/>
      <c r="BQ29" s="1398"/>
      <c r="BR29" s="1399"/>
      <c r="BS29" s="1400">
        <f t="shared" ref="BS29" si="46">BS27 + ROUNDDOWN( (BS27*BS28) / 10000, 0)</f>
        <v>327927</v>
      </c>
      <c r="BT29" s="1400"/>
      <c r="BU29" s="1400"/>
      <c r="BV29" s="1400"/>
      <c r="BW29" s="1400"/>
      <c r="BX29" s="1401"/>
      <c r="BY29" s="1402">
        <f t="shared" ref="BY29" si="47">BY27 + ROUNDDOWN( (BY27*BY28) / 10000, 0)</f>
        <v>327927</v>
      </c>
      <c r="BZ29" s="1402"/>
      <c r="CA29" s="1402"/>
      <c r="CB29" s="1402"/>
      <c r="CC29" s="1402"/>
      <c r="CD29" s="1402"/>
    </row>
    <row r="30" spans="2:84" s="31" customFormat="1" x14ac:dyDescent="0.45">
      <c r="B30" s="109"/>
      <c r="C30" s="109" t="s">
        <v>8</v>
      </c>
      <c r="E30" s="1386" t="str">
        <f>DEC2HEX(E29)</f>
        <v>60129</v>
      </c>
      <c r="F30" s="1386"/>
      <c r="G30" s="1386"/>
      <c r="H30" s="1386"/>
      <c r="I30" s="1386"/>
      <c r="J30" s="1386"/>
      <c r="K30" s="1393" t="str">
        <f>DEC2HEX(K29)</f>
        <v>6151F</v>
      </c>
      <c r="L30" s="1393"/>
      <c r="M30" s="1393"/>
      <c r="N30" s="1393"/>
      <c r="O30" s="1393"/>
      <c r="P30" s="1393"/>
      <c r="Q30" s="1393"/>
      <c r="R30" s="1393"/>
      <c r="S30" s="1393"/>
      <c r="T30" s="1393"/>
      <c r="U30" s="1393"/>
      <c r="V30" s="1393"/>
      <c r="W30" s="1393"/>
      <c r="X30" s="1393"/>
      <c r="Y30" s="1393"/>
      <c r="Z30" s="1393"/>
      <c r="AA30" s="1393"/>
      <c r="AB30" s="1393"/>
      <c r="AC30" s="1393" t="str">
        <f t="shared" ref="AC30" si="48">DEC2HEX(AC29)</f>
        <v>6151F</v>
      </c>
      <c r="AD30" s="1393"/>
      <c r="AE30" s="1393"/>
      <c r="AF30" s="1393"/>
      <c r="AG30" s="1393"/>
      <c r="AH30" s="1393"/>
      <c r="AI30" s="1394"/>
      <c r="AJ30" s="1394"/>
      <c r="AK30" s="1394"/>
      <c r="AL30" s="1394"/>
      <c r="AM30" s="1394"/>
      <c r="AN30" s="1394"/>
      <c r="AO30" s="1394"/>
      <c r="AP30" s="1394"/>
      <c r="AQ30" s="1394"/>
      <c r="AR30" s="1394"/>
      <c r="AS30" s="1394"/>
      <c r="AT30" s="1394"/>
      <c r="AU30" s="1394"/>
      <c r="AV30" s="1394"/>
      <c r="AW30" s="1394"/>
      <c r="AX30" s="1394"/>
      <c r="AY30" s="1394"/>
      <c r="AZ30" s="1395"/>
      <c r="BA30" s="1394"/>
      <c r="BB30" s="1394"/>
      <c r="BC30" s="1394"/>
      <c r="BD30" s="1394"/>
      <c r="BE30" s="1394"/>
      <c r="BF30" s="1395"/>
      <c r="BG30" s="1395"/>
      <c r="BH30" s="1444"/>
      <c r="BI30" s="1444"/>
      <c r="BJ30" s="1444"/>
      <c r="BK30" s="1444"/>
      <c r="BL30" s="1445"/>
      <c r="BM30" s="1394"/>
      <c r="BN30" s="1394"/>
      <c r="BO30" s="1394"/>
      <c r="BP30" s="1394"/>
      <c r="BQ30" s="1394"/>
      <c r="BR30" s="1395"/>
      <c r="BS30" s="1396" t="str">
        <f t="shared" ref="BS30" si="49">DEC2HEX(BS29)</f>
        <v>500F7</v>
      </c>
      <c r="BT30" s="1396"/>
      <c r="BU30" s="1396"/>
      <c r="BV30" s="1396"/>
      <c r="BW30" s="1396"/>
      <c r="BX30" s="1397"/>
      <c r="BY30" s="1386" t="str">
        <f t="shared" ref="BY30" si="50">DEC2HEX(BY29)</f>
        <v>500F7</v>
      </c>
      <c r="BZ30" s="1386"/>
      <c r="CA30" s="1386"/>
      <c r="CB30" s="1386"/>
      <c r="CC30" s="1386"/>
      <c r="CD30" s="1386"/>
    </row>
    <row r="31" spans="2:84" ht="17.5" thickBot="1" x14ac:dyDescent="0.5">
      <c r="B31" s="109" t="s">
        <v>1178</v>
      </c>
      <c r="C31" s="109" t="s">
        <v>18</v>
      </c>
      <c r="E31" s="1386">
        <v>0</v>
      </c>
      <c r="F31" s="1386"/>
      <c r="G31" s="1386"/>
      <c r="H31" s="1386"/>
      <c r="I31" s="1386"/>
      <c r="J31" s="1386"/>
      <c r="K31" s="1392">
        <f>E31</f>
        <v>0</v>
      </c>
      <c r="L31" s="1392"/>
      <c r="M31" s="1392"/>
      <c r="N31" s="1392"/>
      <c r="O31" s="1392"/>
      <c r="P31" s="1392"/>
      <c r="Q31" s="1392"/>
      <c r="R31" s="1392"/>
      <c r="S31" s="1392"/>
      <c r="T31" s="1392"/>
      <c r="U31" s="1392"/>
      <c r="V31" s="1392"/>
      <c r="W31" s="1392"/>
      <c r="X31" s="1392"/>
      <c r="Y31" s="1392"/>
      <c r="Z31" s="1392"/>
      <c r="AA31" s="1392"/>
      <c r="AB31" s="1392"/>
      <c r="AC31" s="1393">
        <v>1</v>
      </c>
      <c r="AD31" s="1393"/>
      <c r="AE31" s="1393"/>
      <c r="AF31" s="1393"/>
      <c r="AG31" s="1393"/>
      <c r="AH31" s="1393"/>
      <c r="AI31" s="1387"/>
      <c r="AJ31" s="1387"/>
      <c r="AK31" s="1387"/>
      <c r="AL31" s="1387"/>
      <c r="AM31" s="1387"/>
      <c r="AN31" s="1387"/>
      <c r="AO31" s="1387"/>
      <c r="AP31" s="1387"/>
      <c r="AQ31" s="1387"/>
      <c r="AR31" s="1387"/>
      <c r="AS31" s="1387"/>
      <c r="AT31" s="1387"/>
      <c r="AU31" s="1387"/>
      <c r="AV31" s="1387"/>
      <c r="AW31" s="1387"/>
      <c r="AX31" s="1387"/>
      <c r="AY31" s="1387"/>
      <c r="AZ31" s="1387"/>
      <c r="BA31" s="1387"/>
      <c r="BB31" s="1387"/>
      <c r="BC31" s="1387"/>
      <c r="BD31" s="1387"/>
      <c r="BE31" s="1387"/>
      <c r="BF31" s="1387"/>
      <c r="BG31" s="1446"/>
      <c r="BH31" s="1447"/>
      <c r="BI31" s="1447"/>
      <c r="BJ31" s="1447"/>
      <c r="BK31" s="1447"/>
      <c r="BL31" s="1448"/>
      <c r="BM31" s="1387"/>
      <c r="BN31" s="1387"/>
      <c r="BO31" s="1387"/>
      <c r="BP31" s="1387"/>
      <c r="BQ31" s="1387"/>
      <c r="BR31" s="1387"/>
      <c r="BS31" s="1388">
        <v>0</v>
      </c>
      <c r="BT31" s="1388"/>
      <c r="BU31" s="1388"/>
      <c r="BV31" s="1388"/>
      <c r="BW31" s="1388"/>
      <c r="BX31" s="1389"/>
      <c r="BY31" s="1386">
        <v>0</v>
      </c>
      <c r="BZ31" s="1386"/>
      <c r="CA31" s="1386"/>
      <c r="CB31" s="1386"/>
      <c r="CC31" s="1386"/>
      <c r="CD31" s="1386"/>
    </row>
    <row r="32" spans="2:84" ht="17.5" thickBot="1" x14ac:dyDescent="0.5">
      <c r="B32" s="177" t="s">
        <v>1179</v>
      </c>
      <c r="C32" s="178" t="s">
        <v>8</v>
      </c>
      <c r="E32" s="1386" t="s">
        <v>1180</v>
      </c>
      <c r="F32" s="1386"/>
      <c r="G32" s="1386"/>
      <c r="H32" s="1386"/>
      <c r="I32" s="1386"/>
      <c r="J32" s="1386"/>
      <c r="K32" s="1390" t="s">
        <v>1186</v>
      </c>
      <c r="L32" s="1390"/>
      <c r="M32" s="1390"/>
      <c r="N32" s="1390"/>
      <c r="O32" s="1390"/>
      <c r="P32" s="1390"/>
      <c r="Q32" s="1393"/>
      <c r="R32" s="1393"/>
      <c r="S32" s="1393"/>
      <c r="T32" s="1393"/>
      <c r="U32" s="1393"/>
      <c r="V32" s="1393"/>
      <c r="W32" s="1393"/>
      <c r="X32" s="1393"/>
      <c r="Y32" s="1393"/>
      <c r="Z32" s="1393"/>
      <c r="AA32" s="1393"/>
      <c r="AB32" s="1393"/>
      <c r="AC32" s="1390" t="s">
        <v>1187</v>
      </c>
      <c r="AD32" s="1390"/>
      <c r="AE32" s="1390"/>
      <c r="AF32" s="1390"/>
      <c r="AG32" s="1390"/>
      <c r="AH32" s="1390"/>
      <c r="AI32" s="1394"/>
      <c r="AJ32" s="1394"/>
      <c r="AK32" s="1394"/>
      <c r="AL32" s="1394"/>
      <c r="AM32" s="1394"/>
      <c r="AN32" s="1394"/>
      <c r="AO32" s="1394"/>
      <c r="AP32" s="1394"/>
      <c r="AQ32" s="1394"/>
      <c r="AR32" s="1394"/>
      <c r="AS32" s="1394"/>
      <c r="AT32" s="1394"/>
      <c r="AU32" s="1394"/>
      <c r="AV32" s="1394"/>
      <c r="AW32" s="1394"/>
      <c r="AX32" s="1394"/>
      <c r="AY32" s="1394"/>
      <c r="AZ32" s="1395"/>
      <c r="BA32" s="1394"/>
      <c r="BB32" s="1394"/>
      <c r="BC32" s="1394"/>
      <c r="BD32" s="1394"/>
      <c r="BE32" s="1394"/>
      <c r="BF32" s="1395"/>
      <c r="BG32" s="1395"/>
      <c r="BH32" s="1444"/>
      <c r="BI32" s="1444"/>
      <c r="BJ32" s="1444"/>
      <c r="BK32" s="1444"/>
      <c r="BL32" s="1445"/>
      <c r="BM32" s="1394"/>
      <c r="BN32" s="1394"/>
      <c r="BO32" s="1394"/>
      <c r="BP32" s="1394"/>
      <c r="BQ32" s="1394"/>
      <c r="BR32" s="1395"/>
      <c r="BS32" s="1384" t="s">
        <v>1198</v>
      </c>
      <c r="BT32" s="1384"/>
      <c r="BU32" s="1384"/>
      <c r="BV32" s="1384"/>
      <c r="BW32" s="1384"/>
      <c r="BX32" s="1385"/>
      <c r="BY32" s="1386" t="s">
        <v>1198</v>
      </c>
      <c r="BZ32" s="1386"/>
      <c r="CA32" s="1386"/>
      <c r="CB32" s="1386"/>
      <c r="CC32" s="1386"/>
      <c r="CD32" s="1386"/>
    </row>
    <row r="43" spans="2:70" x14ac:dyDescent="0.45">
      <c r="B43" s="190" t="s">
        <v>1159</v>
      </c>
      <c r="C43" s="190" t="s">
        <v>0</v>
      </c>
      <c r="D43" s="192"/>
      <c r="E43" s="1441">
        <v>393192</v>
      </c>
      <c r="F43" s="1441"/>
      <c r="G43" s="1441"/>
      <c r="H43" s="1441"/>
      <c r="I43" s="1441"/>
      <c r="J43" s="1441"/>
      <c r="K43" s="192"/>
      <c r="L43" s="1441">
        <f>E43/10</f>
        <v>39319.199999999997</v>
      </c>
      <c r="M43" s="1441"/>
      <c r="N43" s="1441"/>
      <c r="O43" s="1441"/>
      <c r="P43" s="1441"/>
      <c r="Q43" s="179"/>
      <c r="R43" s="179"/>
      <c r="S43" s="179"/>
      <c r="T43" s="179"/>
      <c r="U43" s="179"/>
      <c r="V43" s="179"/>
      <c r="W43" s="179"/>
    </row>
    <row r="44" spans="2:70" x14ac:dyDescent="0.45">
      <c r="B44" s="190" t="s">
        <v>1161</v>
      </c>
      <c r="C44" s="190" t="s">
        <v>18</v>
      </c>
      <c r="D44" s="192"/>
      <c r="E44" s="1440">
        <v>14</v>
      </c>
      <c r="F44" s="1440"/>
      <c r="G44" s="1440"/>
      <c r="H44" s="1440"/>
      <c r="I44" s="1440"/>
      <c r="J44" s="1440"/>
      <c r="K44" s="192"/>
      <c r="L44" s="1441"/>
      <c r="M44" s="1441"/>
      <c r="N44" s="1441"/>
      <c r="O44" s="1441"/>
      <c r="P44" s="1441"/>
      <c r="Q44" s="179"/>
      <c r="R44" s="179"/>
      <c r="S44" s="179"/>
      <c r="T44" s="179"/>
      <c r="U44" s="179"/>
      <c r="V44" s="179"/>
      <c r="W44" s="179"/>
    </row>
    <row r="45" spans="2:70" x14ac:dyDescent="0.45">
      <c r="B45" s="190" t="s">
        <v>1174</v>
      </c>
      <c r="C45" s="190" t="s">
        <v>1185</v>
      </c>
      <c r="D45" s="192"/>
      <c r="E45" s="1442">
        <v>0</v>
      </c>
      <c r="F45" s="1442"/>
      <c r="G45" s="1442"/>
      <c r="H45" s="1442"/>
      <c r="I45" s="1442"/>
      <c r="J45" s="1442"/>
      <c r="K45" s="192"/>
      <c r="L45" s="1442">
        <v>1</v>
      </c>
      <c r="M45" s="1442"/>
      <c r="N45" s="1442"/>
      <c r="O45" s="1442"/>
      <c r="P45" s="1442"/>
      <c r="Q45" s="179"/>
      <c r="R45" s="179"/>
      <c r="S45" s="179"/>
      <c r="T45" s="179"/>
      <c r="U45" s="179"/>
      <c r="V45" s="179"/>
      <c r="W45" s="179"/>
    </row>
    <row r="46" spans="2:70" x14ac:dyDescent="0.45">
      <c r="B46" s="190" t="s">
        <v>1176</v>
      </c>
      <c r="C46" s="190" t="s">
        <v>903</v>
      </c>
      <c r="D46" s="192"/>
      <c r="E46" s="1443">
        <v>1E-3</v>
      </c>
      <c r="F46" s="1443"/>
      <c r="G46" s="1443"/>
      <c r="H46" s="1443"/>
      <c r="I46" s="1443"/>
      <c r="J46" s="1443"/>
      <c r="K46" s="192"/>
      <c r="L46" s="1440">
        <f>E46*10000</f>
        <v>10</v>
      </c>
      <c r="M46" s="1440"/>
      <c r="N46" s="1440"/>
      <c r="O46" s="1440"/>
      <c r="P46" s="1440"/>
      <c r="Q46" s="179"/>
      <c r="R46" s="179"/>
      <c r="S46" s="179"/>
      <c r="T46" s="179"/>
      <c r="U46" s="179"/>
      <c r="V46" s="179"/>
      <c r="W46" s="179"/>
    </row>
    <row r="47" spans="2:70" x14ac:dyDescent="0.45">
      <c r="E47" s="191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2:70" x14ac:dyDescent="0.45">
      <c r="B48" s="57" t="s">
        <v>1173</v>
      </c>
      <c r="C48" s="2"/>
      <c r="D48" s="179"/>
      <c r="E48" s="1431" t="s">
        <v>933</v>
      </c>
      <c r="F48" s="1431"/>
      <c r="G48" s="1431"/>
      <c r="H48" s="1431"/>
      <c r="I48" s="1431"/>
      <c r="J48" s="1431"/>
      <c r="K48" s="1432" t="s">
        <v>1189</v>
      </c>
      <c r="L48" s="1432"/>
      <c r="M48" s="1432"/>
      <c r="N48" s="1432"/>
      <c r="O48" s="1432"/>
      <c r="P48" s="1432"/>
      <c r="Q48" s="1432"/>
      <c r="R48" s="1432"/>
      <c r="S48" s="1432"/>
      <c r="T48" s="1432"/>
      <c r="U48" s="1432"/>
      <c r="V48" s="1432"/>
      <c r="W48" s="1432"/>
      <c r="X48" s="1432"/>
      <c r="Y48" s="1432"/>
      <c r="Z48" s="1432"/>
      <c r="AA48" s="1432"/>
      <c r="AB48" s="1432"/>
      <c r="AC48" s="1432"/>
      <c r="AD48" s="1432"/>
      <c r="AE48" s="1432"/>
      <c r="AF48" s="1432"/>
      <c r="AG48" s="1432"/>
      <c r="AH48" s="1432"/>
      <c r="AI48" s="1433" t="s">
        <v>1188</v>
      </c>
      <c r="AJ48" s="1434"/>
      <c r="AK48" s="1434"/>
      <c r="AL48" s="1434"/>
      <c r="AM48" s="1434"/>
      <c r="AN48" s="1434"/>
      <c r="AO48" s="1434"/>
      <c r="AP48" s="1434"/>
      <c r="AQ48" s="1434"/>
      <c r="AR48" s="1434"/>
      <c r="AS48" s="1434"/>
      <c r="AT48" s="1434"/>
      <c r="AU48" s="1434"/>
      <c r="AV48" s="1434"/>
      <c r="AW48" s="1434"/>
      <c r="AX48" s="1434"/>
      <c r="AY48" s="1434"/>
      <c r="AZ48" s="1434"/>
      <c r="BA48" s="1434"/>
      <c r="BB48" s="1434"/>
      <c r="BC48" s="1434"/>
      <c r="BD48" s="1434"/>
      <c r="BE48" s="1434"/>
      <c r="BF48" s="1435"/>
      <c r="BG48" s="1436" t="s">
        <v>1201</v>
      </c>
      <c r="BH48" s="1437"/>
      <c r="BI48" s="1437"/>
      <c r="BJ48" s="1437"/>
      <c r="BK48" s="1437"/>
      <c r="BL48" s="1438"/>
      <c r="BM48" s="1431" t="s">
        <v>933</v>
      </c>
      <c r="BN48" s="1431"/>
      <c r="BO48" s="1431"/>
      <c r="BP48" s="1431"/>
      <c r="BQ48" s="1431"/>
      <c r="BR48" s="1431"/>
    </row>
    <row r="49" spans="2:84" x14ac:dyDescent="0.45">
      <c r="B49" s="57" t="s">
        <v>35</v>
      </c>
      <c r="C49" s="2"/>
      <c r="D49" s="179"/>
      <c r="E49" s="1439"/>
      <c r="F49" s="1439"/>
      <c r="G49" s="1439"/>
      <c r="H49" s="1439"/>
      <c r="I49" s="1439"/>
      <c r="J49" s="1439"/>
      <c r="K49" s="1432" t="s">
        <v>1199</v>
      </c>
      <c r="L49" s="1432"/>
      <c r="M49" s="1432"/>
      <c r="N49" s="1432"/>
      <c r="O49" s="1432"/>
      <c r="P49" s="1432"/>
      <c r="Q49" s="1432" t="s">
        <v>1204</v>
      </c>
      <c r="R49" s="1432"/>
      <c r="S49" s="1432"/>
      <c r="T49" s="1432"/>
      <c r="U49" s="1432"/>
      <c r="V49" s="1432"/>
      <c r="W49" s="1432"/>
      <c r="X49" s="1432"/>
      <c r="Y49" s="1432"/>
      <c r="Z49" s="1432"/>
      <c r="AA49" s="1432"/>
      <c r="AB49" s="1432"/>
      <c r="AC49" s="1432" t="s">
        <v>1191</v>
      </c>
      <c r="AD49" s="1432"/>
      <c r="AE49" s="1432"/>
      <c r="AF49" s="1432"/>
      <c r="AG49" s="1432"/>
      <c r="AH49" s="1432"/>
      <c r="AI49" s="1433" t="s">
        <v>1200</v>
      </c>
      <c r="AJ49" s="1434"/>
      <c r="AK49" s="1434"/>
      <c r="AL49" s="1434"/>
      <c r="AM49" s="1434"/>
      <c r="AN49" s="1434"/>
      <c r="AO49" s="1434"/>
      <c r="AP49" s="1434"/>
      <c r="AQ49" s="1434"/>
      <c r="AR49" s="1434"/>
      <c r="AS49" s="1434"/>
      <c r="AT49" s="1434"/>
      <c r="AU49" s="1434"/>
      <c r="AV49" s="1434"/>
      <c r="AW49" s="1434"/>
      <c r="AX49" s="1434"/>
      <c r="AY49" s="1434"/>
      <c r="AZ49" s="1434"/>
      <c r="BA49" s="1434"/>
      <c r="BB49" s="1434"/>
      <c r="BC49" s="1434"/>
      <c r="BD49" s="1434"/>
      <c r="BE49" s="1434"/>
      <c r="BF49" s="1435"/>
      <c r="BG49" s="1436" t="s">
        <v>1190</v>
      </c>
      <c r="BH49" s="1437"/>
      <c r="BI49" s="1437"/>
      <c r="BJ49" s="1437"/>
      <c r="BK49" s="1437"/>
      <c r="BL49" s="1438"/>
      <c r="BM49" s="1439"/>
      <c r="BN49" s="1439"/>
      <c r="BO49" s="1439"/>
      <c r="BP49" s="1439"/>
      <c r="BQ49" s="1439"/>
      <c r="BR49" s="1439"/>
    </row>
    <row r="50" spans="2:84" ht="5.15" customHeight="1" x14ac:dyDescent="0.45"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3"/>
      <c r="BH50" s="193"/>
      <c r="BI50" s="193"/>
      <c r="BJ50" s="193"/>
      <c r="BK50" s="193"/>
      <c r="BL50" s="193"/>
      <c r="BM50" s="193"/>
      <c r="BN50" s="193"/>
      <c r="BO50" s="193"/>
      <c r="BP50" s="193"/>
      <c r="BQ50" s="193"/>
      <c r="BR50" s="193"/>
      <c r="BS50" s="193"/>
      <c r="BT50" s="193"/>
      <c r="BU50" s="193"/>
      <c r="BV50" s="193"/>
      <c r="BW50" s="193"/>
      <c r="BX50" s="193"/>
      <c r="BY50" s="193"/>
      <c r="BZ50" s="193"/>
      <c r="CA50" s="193"/>
      <c r="CB50" s="193"/>
      <c r="CC50" s="193"/>
      <c r="CD50" s="193"/>
      <c r="CE50" s="193"/>
      <c r="CF50" s="193"/>
    </row>
    <row r="51" spans="2:84" ht="17.5" customHeight="1" x14ac:dyDescent="0.45">
      <c r="B51" s="58" t="s">
        <v>9</v>
      </c>
      <c r="C51" s="108"/>
      <c r="D51" s="45"/>
      <c r="E51" s="197"/>
      <c r="F51" s="198"/>
      <c r="G51" s="198"/>
      <c r="H51" s="198"/>
      <c r="I51" s="198"/>
      <c r="J51" s="198"/>
      <c r="K51" s="194"/>
      <c r="L51" s="195"/>
      <c r="M51" s="195"/>
      <c r="N51" s="195"/>
      <c r="O51" s="195"/>
      <c r="P51" s="195"/>
      <c r="Q51" s="194"/>
      <c r="R51" s="195"/>
      <c r="S51" s="195"/>
      <c r="T51" s="196"/>
      <c r="U51" s="195"/>
      <c r="V51" s="195"/>
      <c r="W51" s="194"/>
      <c r="X51" s="195"/>
      <c r="Y51" s="195"/>
      <c r="Z51" s="195"/>
      <c r="AA51" s="195"/>
      <c r="AB51" s="195"/>
      <c r="AC51" s="194"/>
      <c r="AD51" s="195"/>
      <c r="AE51" s="195"/>
      <c r="AF51" s="195"/>
      <c r="AG51" s="195"/>
      <c r="AH51" s="195"/>
      <c r="AI51" s="199"/>
      <c r="AJ51" s="200"/>
      <c r="AK51" s="200"/>
      <c r="AL51" s="200"/>
      <c r="AM51" s="200"/>
      <c r="AN51" s="200"/>
      <c r="AO51" s="199"/>
      <c r="AP51" s="200"/>
      <c r="AQ51" s="200"/>
      <c r="AR51" s="200"/>
      <c r="AS51" s="200"/>
      <c r="AT51" s="200"/>
      <c r="AU51" s="199"/>
      <c r="AV51" s="200"/>
      <c r="AW51" s="200"/>
      <c r="AX51" s="200"/>
      <c r="AY51" s="200"/>
      <c r="AZ51" s="200"/>
      <c r="BA51" s="199"/>
      <c r="BB51" s="200"/>
      <c r="BC51" s="200"/>
      <c r="BD51" s="200"/>
      <c r="BE51" s="200"/>
      <c r="BF51" s="200"/>
      <c r="BG51" s="202"/>
      <c r="BH51" s="203"/>
      <c r="BI51" s="203"/>
      <c r="BJ51" s="203"/>
      <c r="BK51" s="203"/>
      <c r="BL51" s="203"/>
      <c r="BM51" s="197"/>
      <c r="BN51" s="198"/>
      <c r="BO51" s="198"/>
      <c r="BP51" s="198"/>
      <c r="BQ51" s="198"/>
      <c r="BR51" s="204"/>
    </row>
    <row r="52" spans="2:84" ht="17.5" customHeight="1" x14ac:dyDescent="0.45">
      <c r="B52" s="109"/>
      <c r="C52" s="109" t="s">
        <v>4</v>
      </c>
      <c r="E52" s="1427">
        <f>K52</f>
        <v>100</v>
      </c>
      <c r="F52" s="1427"/>
      <c r="G52" s="1427"/>
      <c r="H52" s="1427"/>
      <c r="I52" s="1427"/>
      <c r="J52" s="1427"/>
      <c r="K52" s="1428">
        <f>E56</f>
        <v>100</v>
      </c>
      <c r="L52" s="1428"/>
      <c r="M52" s="1428"/>
      <c r="N52" s="1428"/>
      <c r="O52" s="1428"/>
      <c r="P52" s="1428"/>
      <c r="Q52" s="1428"/>
      <c r="R52" s="1428"/>
      <c r="S52" s="1428"/>
      <c r="T52" s="1428"/>
      <c r="U52" s="1428"/>
      <c r="V52" s="1428"/>
      <c r="W52" s="1428"/>
      <c r="X52" s="1428"/>
      <c r="Y52" s="1428"/>
      <c r="Z52" s="1428"/>
      <c r="AA52" s="1428"/>
      <c r="AB52" s="1428"/>
      <c r="AC52" s="1428">
        <f>K52</f>
        <v>100</v>
      </c>
      <c r="AD52" s="1428"/>
      <c r="AE52" s="1428"/>
      <c r="AF52" s="1428"/>
      <c r="AG52" s="1428"/>
      <c r="AH52" s="1428"/>
      <c r="AI52" s="1429">
        <f>AC56</f>
        <v>100</v>
      </c>
      <c r="AJ52" s="1429"/>
      <c r="AK52" s="1429"/>
      <c r="AL52" s="1429"/>
      <c r="AM52" s="1429"/>
      <c r="AN52" s="1429"/>
      <c r="AO52" s="1429">
        <f>AI56</f>
        <v>105</v>
      </c>
      <c r="AP52" s="1429"/>
      <c r="AQ52" s="1429"/>
      <c r="AR52" s="1429"/>
      <c r="AS52" s="1429"/>
      <c r="AT52" s="1429"/>
      <c r="AU52" s="1429">
        <f t="shared" ref="AU52" si="51">AO56</f>
        <v>110</v>
      </c>
      <c r="AV52" s="1429"/>
      <c r="AW52" s="1429"/>
      <c r="AX52" s="1429"/>
      <c r="AY52" s="1429"/>
      <c r="AZ52" s="1430"/>
      <c r="BA52" s="1429">
        <f t="shared" ref="BA52" si="52">AU56</f>
        <v>115</v>
      </c>
      <c r="BB52" s="1429"/>
      <c r="BC52" s="1429"/>
      <c r="BD52" s="1429"/>
      <c r="BE52" s="1429"/>
      <c r="BF52" s="1430"/>
      <c r="BG52" s="1425">
        <f>BA56</f>
        <v>120</v>
      </c>
      <c r="BH52" s="1425"/>
      <c r="BI52" s="1425"/>
      <c r="BJ52" s="1425"/>
      <c r="BK52" s="1425"/>
      <c r="BL52" s="1426"/>
      <c r="BM52" s="1427">
        <f t="shared" ref="BM52" si="53">BG56</f>
        <v>120</v>
      </c>
      <c r="BN52" s="1427"/>
      <c r="BO52" s="1427"/>
      <c r="BP52" s="1427"/>
      <c r="BQ52" s="1427"/>
      <c r="BR52" s="1427"/>
    </row>
    <row r="53" spans="2:84" hidden="1" x14ac:dyDescent="0.45">
      <c r="B53" s="109"/>
      <c r="C53" s="109" t="s">
        <v>1</v>
      </c>
      <c r="E53" s="1422">
        <f>ROUNDDOWN(1000000 / (E52/($L$45)), 0)</f>
        <v>10000</v>
      </c>
      <c r="F53" s="1422"/>
      <c r="G53" s="1422"/>
      <c r="H53" s="1422"/>
      <c r="I53" s="1422"/>
      <c r="J53" s="1422"/>
      <c r="K53" s="1407">
        <f t="shared" ref="K53" si="54">ROUNDDOWN(1000000 / (K52/($L$45)), 0)</f>
        <v>10000</v>
      </c>
      <c r="L53" s="1407"/>
      <c r="M53" s="1407"/>
      <c r="N53" s="1407"/>
      <c r="O53" s="1407"/>
      <c r="P53" s="1407"/>
      <c r="Q53" s="1407"/>
      <c r="R53" s="1407"/>
      <c r="S53" s="1407"/>
      <c r="T53" s="1407"/>
      <c r="U53" s="1407"/>
      <c r="V53" s="1407"/>
      <c r="W53" s="1407"/>
      <c r="X53" s="1407"/>
      <c r="Y53" s="1407"/>
      <c r="Z53" s="1407"/>
      <c r="AA53" s="1407"/>
      <c r="AB53" s="1407"/>
      <c r="AC53" s="1407">
        <f t="shared" ref="AC53" si="55">ROUNDDOWN(1000000 / (AC52/($L$45)), 0)</f>
        <v>10000</v>
      </c>
      <c r="AD53" s="1407"/>
      <c r="AE53" s="1407"/>
      <c r="AF53" s="1407"/>
      <c r="AG53" s="1407"/>
      <c r="AH53" s="1407"/>
      <c r="AI53" s="1404">
        <f t="shared" ref="AI53" si="56">ROUNDDOWN(1000000 / (AI52/($L$45)), 0)</f>
        <v>10000</v>
      </c>
      <c r="AJ53" s="1404"/>
      <c r="AK53" s="1404"/>
      <c r="AL53" s="1404"/>
      <c r="AM53" s="1404"/>
      <c r="AN53" s="1404"/>
      <c r="AO53" s="1404">
        <f t="shared" ref="AO53" si="57">ROUNDDOWN(1000000 / (AO52/($L$45)), 0)</f>
        <v>9523</v>
      </c>
      <c r="AP53" s="1404"/>
      <c r="AQ53" s="1404"/>
      <c r="AR53" s="1404"/>
      <c r="AS53" s="1404"/>
      <c r="AT53" s="1404"/>
      <c r="AU53" s="1404">
        <f t="shared" ref="AU53" si="58">ROUNDDOWN(1000000 / (AU52/($L$45)), 0)</f>
        <v>9090</v>
      </c>
      <c r="AV53" s="1404"/>
      <c r="AW53" s="1404"/>
      <c r="AX53" s="1404"/>
      <c r="AY53" s="1404"/>
      <c r="AZ53" s="1404"/>
      <c r="BA53" s="1404">
        <f t="shared" ref="BA53" si="59">ROUNDDOWN(1000000 / (BA52/($L$45)), 0)</f>
        <v>8695</v>
      </c>
      <c r="BB53" s="1404"/>
      <c r="BC53" s="1404"/>
      <c r="BD53" s="1404"/>
      <c r="BE53" s="1404"/>
      <c r="BF53" s="1404"/>
      <c r="BG53" s="1405">
        <f t="shared" ref="BG53" si="60">ROUNDDOWN(1000000 / (BG52/($L$45)), 0)</f>
        <v>8333</v>
      </c>
      <c r="BH53" s="1405"/>
      <c r="BI53" s="1405"/>
      <c r="BJ53" s="1405"/>
      <c r="BK53" s="1405"/>
      <c r="BL53" s="1421"/>
      <c r="BM53" s="1422">
        <f t="shared" ref="BM53" si="61">ROUNDDOWN(1000000 / (BM52/($L$45)), 0)</f>
        <v>8333</v>
      </c>
      <c r="BN53" s="1422"/>
      <c r="BO53" s="1422"/>
      <c r="BP53" s="1422"/>
      <c r="BQ53" s="1422"/>
      <c r="BR53" s="1422"/>
    </row>
    <row r="54" spans="2:84" ht="5.15" customHeight="1" x14ac:dyDescent="0.45"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193"/>
      <c r="AY54" s="193"/>
      <c r="AZ54" s="193"/>
      <c r="BA54" s="193"/>
      <c r="BB54" s="193"/>
      <c r="BC54" s="193"/>
      <c r="BD54" s="193"/>
      <c r="BE54" s="193"/>
      <c r="BF54" s="193"/>
      <c r="BG54" s="193"/>
      <c r="BH54" s="193"/>
      <c r="BI54" s="193"/>
      <c r="BJ54" s="193"/>
      <c r="BK54" s="193"/>
      <c r="BL54" s="193"/>
      <c r="BM54" s="193"/>
      <c r="BN54" s="193"/>
      <c r="BO54" s="193"/>
      <c r="BP54" s="193"/>
      <c r="BQ54" s="193"/>
      <c r="BR54" s="193"/>
      <c r="BS54" s="193"/>
      <c r="BT54" s="193"/>
      <c r="BU54" s="193"/>
      <c r="BV54" s="193"/>
      <c r="BW54" s="193"/>
      <c r="BX54" s="193"/>
      <c r="BY54" s="193"/>
      <c r="BZ54" s="193"/>
      <c r="CA54" s="193"/>
      <c r="CB54" s="193"/>
      <c r="CC54" s="193"/>
      <c r="CD54" s="193"/>
      <c r="CE54" s="193"/>
      <c r="CF54" s="193"/>
    </row>
    <row r="55" spans="2:84" hidden="1" x14ac:dyDescent="0.45">
      <c r="B55" s="57" t="s">
        <v>1192</v>
      </c>
      <c r="C55" s="109"/>
      <c r="E55" s="1419"/>
      <c r="F55" s="1419"/>
      <c r="G55" s="1419"/>
      <c r="H55" s="1419"/>
      <c r="I55" s="1419"/>
      <c r="J55" s="1419"/>
      <c r="K55" s="1423"/>
      <c r="L55" s="1423"/>
      <c r="M55" s="1423"/>
      <c r="N55" s="1423"/>
      <c r="O55" s="1423"/>
      <c r="P55" s="1423"/>
      <c r="Q55" s="1423"/>
      <c r="R55" s="1423"/>
      <c r="S55" s="1423"/>
      <c r="T55" s="1423"/>
      <c r="U55" s="1423"/>
      <c r="V55" s="1423"/>
      <c r="W55" s="1423"/>
      <c r="X55" s="1423"/>
      <c r="Y55" s="1423"/>
      <c r="Z55" s="1423"/>
      <c r="AA55" s="1423"/>
      <c r="AB55" s="1423"/>
      <c r="AC55" s="1423"/>
      <c r="AD55" s="1423"/>
      <c r="AE55" s="1423"/>
      <c r="AF55" s="1423"/>
      <c r="AG55" s="1423"/>
      <c r="AH55" s="1423"/>
      <c r="AI55" s="1424"/>
      <c r="AJ55" s="1424"/>
      <c r="AK55" s="1424"/>
      <c r="AL55" s="1424"/>
      <c r="AM55" s="1424"/>
      <c r="AN55" s="1424"/>
      <c r="AO55" s="1424"/>
      <c r="AP55" s="1424"/>
      <c r="AQ55" s="1424"/>
      <c r="AR55" s="1424"/>
      <c r="AS55" s="1424"/>
      <c r="AT55" s="1424"/>
      <c r="AU55" s="1424"/>
      <c r="AV55" s="1424"/>
      <c r="AW55" s="1424"/>
      <c r="AX55" s="1424"/>
      <c r="AY55" s="1424"/>
      <c r="AZ55" s="1424"/>
      <c r="BA55" s="1424"/>
      <c r="BB55" s="1424"/>
      <c r="BC55" s="1424"/>
      <c r="BD55" s="1424"/>
      <c r="BE55" s="1424"/>
      <c r="BF55" s="1424"/>
      <c r="BG55" s="1418"/>
      <c r="BH55" s="1418"/>
      <c r="BI55" s="1418"/>
      <c r="BJ55" s="1418"/>
      <c r="BK55" s="1418"/>
      <c r="BL55" s="1418"/>
      <c r="BM55" s="1419"/>
      <c r="BN55" s="1419"/>
      <c r="BO55" s="1419"/>
      <c r="BP55" s="1419"/>
      <c r="BQ55" s="1419"/>
      <c r="BR55" s="1419"/>
      <c r="CA55"/>
      <c r="CB55"/>
      <c r="CC55"/>
      <c r="CD55"/>
    </row>
    <row r="56" spans="2:84" s="31" customFormat="1" x14ac:dyDescent="0.45">
      <c r="B56" s="109" t="s">
        <v>3</v>
      </c>
      <c r="C56" s="109" t="s">
        <v>4</v>
      </c>
      <c r="D56" s="1"/>
      <c r="E56" s="1386">
        <v>100</v>
      </c>
      <c r="F56" s="1386"/>
      <c r="G56" s="1386"/>
      <c r="H56" s="1386"/>
      <c r="I56" s="1386"/>
      <c r="J56" s="1386"/>
      <c r="K56" s="1393">
        <v>100</v>
      </c>
      <c r="L56" s="1393"/>
      <c r="M56" s="1393"/>
      <c r="N56" s="1393"/>
      <c r="O56" s="1393"/>
      <c r="P56" s="1393"/>
      <c r="Q56" s="1393"/>
      <c r="R56" s="1393"/>
      <c r="S56" s="1393"/>
      <c r="T56" s="1393"/>
      <c r="U56" s="1393"/>
      <c r="V56" s="1393"/>
      <c r="W56" s="1393"/>
      <c r="X56" s="1393"/>
      <c r="Y56" s="1393"/>
      <c r="Z56" s="1393"/>
      <c r="AA56" s="1393"/>
      <c r="AB56" s="1393"/>
      <c r="AC56" s="1393">
        <f>K56</f>
        <v>100</v>
      </c>
      <c r="AD56" s="1393"/>
      <c r="AE56" s="1393"/>
      <c r="AF56" s="1393"/>
      <c r="AG56" s="1393"/>
      <c r="AH56" s="1393"/>
      <c r="AI56" s="1394">
        <f>AC56+5</f>
        <v>105</v>
      </c>
      <c r="AJ56" s="1394"/>
      <c r="AK56" s="1394"/>
      <c r="AL56" s="1394"/>
      <c r="AM56" s="1394"/>
      <c r="AN56" s="1394"/>
      <c r="AO56" s="1394">
        <f t="shared" ref="AO56" si="62">AI56+5</f>
        <v>110</v>
      </c>
      <c r="AP56" s="1394"/>
      <c r="AQ56" s="1394"/>
      <c r="AR56" s="1394"/>
      <c r="AS56" s="1394"/>
      <c r="AT56" s="1394"/>
      <c r="AU56" s="1394">
        <f t="shared" ref="AU56" si="63">AO56+5</f>
        <v>115</v>
      </c>
      <c r="AV56" s="1394"/>
      <c r="AW56" s="1394"/>
      <c r="AX56" s="1394"/>
      <c r="AY56" s="1394"/>
      <c r="AZ56" s="1394"/>
      <c r="BA56" s="1394">
        <f t="shared" ref="BA56" si="64">AU56+5</f>
        <v>120</v>
      </c>
      <c r="BB56" s="1394"/>
      <c r="BC56" s="1394"/>
      <c r="BD56" s="1394"/>
      <c r="BE56" s="1394"/>
      <c r="BF56" s="1394"/>
      <c r="BG56" s="1396">
        <f>BA56</f>
        <v>120</v>
      </c>
      <c r="BH56" s="1396"/>
      <c r="BI56" s="1396"/>
      <c r="BJ56" s="1396"/>
      <c r="BK56" s="1396"/>
      <c r="BL56" s="1397"/>
      <c r="BM56" s="1386">
        <f t="shared" ref="BM56" si="65">BG56</f>
        <v>120</v>
      </c>
      <c r="BN56" s="1386"/>
      <c r="BO56" s="1386"/>
      <c r="BP56" s="1386"/>
      <c r="BQ56" s="1386"/>
      <c r="BR56" s="1386"/>
      <c r="BS56" s="1"/>
      <c r="BT56" s="1"/>
      <c r="BU56" s="1"/>
      <c r="BV56" s="1"/>
      <c r="BW56" s="1"/>
      <c r="BX56" s="1"/>
      <c r="BY56" s="1"/>
      <c r="BZ56" s="1"/>
    </row>
    <row r="57" spans="2:84" s="31" customFormat="1" hidden="1" x14ac:dyDescent="0.45">
      <c r="B57" s="109"/>
      <c r="C57" s="109" t="s">
        <v>1</v>
      </c>
      <c r="D57" s="1"/>
      <c r="E57" s="1406">
        <f>ROUNDDOWN(1000000 / (E56/($L$45)), 0)</f>
        <v>10000</v>
      </c>
      <c r="F57" s="1406"/>
      <c r="G57" s="1406"/>
      <c r="H57" s="1406"/>
      <c r="I57" s="1406"/>
      <c r="J57" s="1406"/>
      <c r="K57" s="1407">
        <f>ROUNDDOWN(1000000 / (K56/($L$11)), 0)</f>
        <v>10000</v>
      </c>
      <c r="L57" s="1407"/>
      <c r="M57" s="1407"/>
      <c r="N57" s="1407"/>
      <c r="O57" s="1407"/>
      <c r="P57" s="1407"/>
      <c r="Q57" s="1407"/>
      <c r="R57" s="1407"/>
      <c r="S57" s="1407"/>
      <c r="T57" s="1407"/>
      <c r="U57" s="1407"/>
      <c r="V57" s="1407"/>
      <c r="W57" s="1407"/>
      <c r="X57" s="1407"/>
      <c r="Y57" s="1407"/>
      <c r="Z57" s="1407"/>
      <c r="AA57" s="1407"/>
      <c r="AB57" s="1407"/>
      <c r="AC57" s="1407">
        <f t="shared" ref="AC57" si="66">ROUNDDOWN(1000000 / (AC56/($L$11)), 0)</f>
        <v>10000</v>
      </c>
      <c r="AD57" s="1407"/>
      <c r="AE57" s="1407"/>
      <c r="AF57" s="1407"/>
      <c r="AG57" s="1407"/>
      <c r="AH57" s="1407"/>
      <c r="AI57" s="1404">
        <f t="shared" ref="AI57" si="67">ROUNDDOWN(1000000 / (AI56/($L$11)), 0)</f>
        <v>9523</v>
      </c>
      <c r="AJ57" s="1404"/>
      <c r="AK57" s="1404"/>
      <c r="AL57" s="1404"/>
      <c r="AM57" s="1404"/>
      <c r="AN57" s="1404"/>
      <c r="AO57" s="1404">
        <f t="shared" ref="AO57" si="68">ROUNDDOWN(1000000 / (AO56/($L$11)), 0)</f>
        <v>9090</v>
      </c>
      <c r="AP57" s="1404"/>
      <c r="AQ57" s="1404"/>
      <c r="AR57" s="1404"/>
      <c r="AS57" s="1404"/>
      <c r="AT57" s="1404"/>
      <c r="AU57" s="1404">
        <f t="shared" ref="AU57" si="69">ROUNDDOWN(1000000 / (AU56/($L$11)), 0)</f>
        <v>8695</v>
      </c>
      <c r="AV57" s="1404"/>
      <c r="AW57" s="1404"/>
      <c r="AX57" s="1404"/>
      <c r="AY57" s="1404"/>
      <c r="AZ57" s="1420"/>
      <c r="BA57" s="1404">
        <f t="shared" ref="BA57" si="70">ROUNDDOWN(1000000 / (BA56/($L$11)), 0)</f>
        <v>8333</v>
      </c>
      <c r="BB57" s="1404"/>
      <c r="BC57" s="1404"/>
      <c r="BD57" s="1404"/>
      <c r="BE57" s="1404"/>
      <c r="BF57" s="1420"/>
      <c r="BG57" s="1405">
        <f>ROUNDDOWN(1000000 / (BG56/($L$11)), 0)</f>
        <v>8333</v>
      </c>
      <c r="BH57" s="1405"/>
      <c r="BI57" s="1405"/>
      <c r="BJ57" s="1405"/>
      <c r="BK57" s="1405"/>
      <c r="BL57" s="1421"/>
      <c r="BM57" s="1406">
        <f>ROUNDDOWN(1000000 / (BM56/($L$11)), 0)</f>
        <v>8333</v>
      </c>
      <c r="BN57" s="1406"/>
      <c r="BO57" s="1406"/>
      <c r="BP57" s="1406"/>
      <c r="BQ57" s="1406"/>
      <c r="BR57" s="1406"/>
      <c r="BS57" s="1"/>
      <c r="BT57" s="1"/>
      <c r="BU57" s="1"/>
      <c r="BV57" s="1"/>
      <c r="BW57" s="1"/>
      <c r="BX57" s="1"/>
      <c r="BY57" s="1"/>
      <c r="BZ57" s="1"/>
    </row>
    <row r="58" spans="2:84" s="31" customFormat="1" hidden="1" x14ac:dyDescent="0.45">
      <c r="B58" s="109"/>
      <c r="C58" s="176" t="s">
        <v>1157</v>
      </c>
      <c r="D58" s="1"/>
      <c r="E58" s="1406">
        <f>ROUNDDOWN((E57 * 10000)/((2^$E$44-1)*$L$45), 0)</f>
        <v>6103</v>
      </c>
      <c r="F58" s="1406"/>
      <c r="G58" s="1406"/>
      <c r="H58" s="1406"/>
      <c r="I58" s="1406"/>
      <c r="J58" s="1406"/>
      <c r="K58" s="1407">
        <f t="shared" ref="K58" si="71">ROUNDDOWN((K57 * 10000)/((2^$E$44-1)*$L$45), 0)</f>
        <v>6103</v>
      </c>
      <c r="L58" s="1407"/>
      <c r="M58" s="1407"/>
      <c r="N58" s="1407"/>
      <c r="O58" s="1407"/>
      <c r="P58" s="1407"/>
      <c r="Q58" s="1407"/>
      <c r="R58" s="1407"/>
      <c r="S58" s="1407"/>
      <c r="T58" s="1407"/>
      <c r="U58" s="1407"/>
      <c r="V58" s="1407"/>
      <c r="W58" s="1407"/>
      <c r="X58" s="1407"/>
      <c r="Y58" s="1407"/>
      <c r="Z58" s="1407"/>
      <c r="AA58" s="1407"/>
      <c r="AB58" s="1407"/>
      <c r="AC58" s="1407">
        <f t="shared" ref="AC58" si="72">ROUNDDOWN((AC57 * 10000)/((2^$E$44-1)*$L$45), 0)</f>
        <v>6103</v>
      </c>
      <c r="AD58" s="1407"/>
      <c r="AE58" s="1407"/>
      <c r="AF58" s="1407"/>
      <c r="AG58" s="1407"/>
      <c r="AH58" s="1407"/>
      <c r="AI58" s="1404">
        <f t="shared" ref="AI58" si="73">ROUNDDOWN((AI57 * 10000)/((2^$E$44-1)*$L$45), 0)</f>
        <v>5812</v>
      </c>
      <c r="AJ58" s="1404"/>
      <c r="AK58" s="1404"/>
      <c r="AL58" s="1404"/>
      <c r="AM58" s="1404"/>
      <c r="AN58" s="1404"/>
      <c r="AO58" s="1404">
        <f t="shared" ref="AO58" si="74">ROUNDDOWN((AO57 * 10000)/((2^$E$44-1)*$L$45), 0)</f>
        <v>5548</v>
      </c>
      <c r="AP58" s="1404"/>
      <c r="AQ58" s="1404"/>
      <c r="AR58" s="1404"/>
      <c r="AS58" s="1404"/>
      <c r="AT58" s="1404"/>
      <c r="AU58" s="1404">
        <f t="shared" ref="AU58" si="75">ROUNDDOWN((AU57 * 10000)/((2^$E$44-1)*$L$45), 0)</f>
        <v>5307</v>
      </c>
      <c r="AV58" s="1404"/>
      <c r="AW58" s="1404"/>
      <c r="AX58" s="1404"/>
      <c r="AY58" s="1404"/>
      <c r="AZ58" s="1404"/>
      <c r="BA58" s="1404">
        <f t="shared" ref="BA58" si="76">ROUNDDOWN((BA57 * 10000)/((2^$E$44-1)*$L$45), 0)</f>
        <v>5086</v>
      </c>
      <c r="BB58" s="1404"/>
      <c r="BC58" s="1404"/>
      <c r="BD58" s="1404"/>
      <c r="BE58" s="1404"/>
      <c r="BF58" s="1404"/>
      <c r="BG58" s="1405">
        <f t="shared" ref="BG58" si="77">ROUNDDOWN((BG57 * 10000)/((2^$E$44-1)*$L$45), 0)</f>
        <v>5086</v>
      </c>
      <c r="BH58" s="1405"/>
      <c r="BI58" s="1405"/>
      <c r="BJ58" s="1405"/>
      <c r="BK58" s="1405"/>
      <c r="BL58" s="1405"/>
      <c r="BM58" s="1406">
        <f>ROUNDDOWN((BM57 * 10000)/((2^$E$44-1)*$L$45), 0)</f>
        <v>5086</v>
      </c>
      <c r="BN58" s="1406"/>
      <c r="BO58" s="1406"/>
      <c r="BP58" s="1406"/>
      <c r="BQ58" s="1406"/>
      <c r="BR58" s="1406"/>
      <c r="BS58" s="1"/>
      <c r="BT58" s="1"/>
      <c r="BU58" s="1"/>
      <c r="BV58" s="1"/>
      <c r="BW58" s="1"/>
      <c r="BX58" s="1"/>
      <c r="BY58" s="1"/>
      <c r="BZ58" s="1"/>
    </row>
    <row r="59" spans="2:84" s="31" customFormat="1" ht="17.5" thickBot="1" x14ac:dyDescent="0.5">
      <c r="B59" s="109" t="s">
        <v>1163</v>
      </c>
      <c r="C59" s="109" t="s">
        <v>1164</v>
      </c>
      <c r="D59" s="1"/>
      <c r="E59" s="1415">
        <f>E58 * $L$43</f>
        <v>239965077.59999999</v>
      </c>
      <c r="F59" s="1415"/>
      <c r="G59" s="1415"/>
      <c r="H59" s="1415"/>
      <c r="I59" s="1415"/>
      <c r="J59" s="1415"/>
      <c r="K59" s="1417">
        <f t="shared" ref="K59" si="78">K58 * $L$43</f>
        <v>239965077.59999999</v>
      </c>
      <c r="L59" s="1417"/>
      <c r="M59" s="1417"/>
      <c r="N59" s="1417"/>
      <c r="O59" s="1417"/>
      <c r="P59" s="1417"/>
      <c r="Q59" s="1417"/>
      <c r="R59" s="1417"/>
      <c r="S59" s="1417"/>
      <c r="T59" s="1417"/>
      <c r="U59" s="1417"/>
      <c r="V59" s="1417"/>
      <c r="W59" s="1417"/>
      <c r="X59" s="1417"/>
      <c r="Y59" s="1417"/>
      <c r="Z59" s="1417"/>
      <c r="AA59" s="1417"/>
      <c r="AB59" s="1417"/>
      <c r="AC59" s="1417">
        <f t="shared" ref="AC59" si="79">AC58 * $L$43</f>
        <v>239965077.59999999</v>
      </c>
      <c r="AD59" s="1417"/>
      <c r="AE59" s="1417"/>
      <c r="AF59" s="1417"/>
      <c r="AG59" s="1417"/>
      <c r="AH59" s="1417"/>
      <c r="AI59" s="1413">
        <f t="shared" ref="AI59" si="80">AI58 * $L$43</f>
        <v>228523190.39999998</v>
      </c>
      <c r="AJ59" s="1413"/>
      <c r="AK59" s="1413"/>
      <c r="AL59" s="1413"/>
      <c r="AM59" s="1413"/>
      <c r="AN59" s="1413"/>
      <c r="AO59" s="1413">
        <f t="shared" ref="AO59" si="81">AO58 * $L$43</f>
        <v>218142921.59999999</v>
      </c>
      <c r="AP59" s="1413"/>
      <c r="AQ59" s="1413"/>
      <c r="AR59" s="1413"/>
      <c r="AS59" s="1413"/>
      <c r="AT59" s="1413"/>
      <c r="AU59" s="1413">
        <f t="shared" ref="AU59" si="82">AU58 * $L$43</f>
        <v>208666994.39999998</v>
      </c>
      <c r="AV59" s="1413"/>
      <c r="AW59" s="1413"/>
      <c r="AX59" s="1413"/>
      <c r="AY59" s="1413"/>
      <c r="AZ59" s="1413"/>
      <c r="BA59" s="1413">
        <f t="shared" ref="BA59" si="83">BA58 * $L$43</f>
        <v>199977451.19999999</v>
      </c>
      <c r="BB59" s="1413"/>
      <c r="BC59" s="1413"/>
      <c r="BD59" s="1413"/>
      <c r="BE59" s="1413"/>
      <c r="BF59" s="1413"/>
      <c r="BG59" s="1414">
        <f t="shared" ref="BG59" si="84">BG58 * $L$43</f>
        <v>199977451.19999999</v>
      </c>
      <c r="BH59" s="1414"/>
      <c r="BI59" s="1414"/>
      <c r="BJ59" s="1414"/>
      <c r="BK59" s="1414"/>
      <c r="BL59" s="1414"/>
      <c r="BM59" s="1415">
        <f t="shared" ref="BM59" si="85">BM58 * $L$43</f>
        <v>199977451.19999999</v>
      </c>
      <c r="BN59" s="1415"/>
      <c r="BO59" s="1415"/>
      <c r="BP59" s="1415"/>
      <c r="BQ59" s="1415"/>
      <c r="BR59" s="1415"/>
      <c r="BS59" s="1"/>
      <c r="BT59" s="1"/>
      <c r="BU59" s="1"/>
      <c r="BV59" s="1"/>
      <c r="BW59" s="1"/>
      <c r="BX59" s="1"/>
      <c r="BY59" s="1"/>
      <c r="BZ59" s="1"/>
    </row>
    <row r="60" spans="2:84" s="31" customFormat="1" ht="17.5" thickBot="1" x14ac:dyDescent="0.5">
      <c r="B60" s="177" t="s">
        <v>16</v>
      </c>
      <c r="C60" s="178" t="s">
        <v>5</v>
      </c>
      <c r="D60" s="1"/>
      <c r="E60" s="1412">
        <f>ROUND(E59/10000000, 0) - 1</f>
        <v>23</v>
      </c>
      <c r="F60" s="1412"/>
      <c r="G60" s="1412"/>
      <c r="H60" s="1412"/>
      <c r="I60" s="1412"/>
      <c r="J60" s="1412"/>
      <c r="K60" s="1416">
        <f>ROUND(K59/10000000, 0) - 1</f>
        <v>23</v>
      </c>
      <c r="L60" s="1416"/>
      <c r="M60" s="1416"/>
      <c r="N60" s="1416"/>
      <c r="O60" s="1416"/>
      <c r="P60" s="1416"/>
      <c r="Q60" s="1416"/>
      <c r="R60" s="1416"/>
      <c r="S60" s="1416"/>
      <c r="T60" s="1416"/>
      <c r="U60" s="1416"/>
      <c r="V60" s="1416"/>
      <c r="W60" s="1416"/>
      <c r="X60" s="1416"/>
      <c r="Y60" s="1416"/>
      <c r="Z60" s="1416"/>
      <c r="AA60" s="1416"/>
      <c r="AB60" s="1416"/>
      <c r="AC60" s="1416">
        <f>ROUND(AC59/10000000, 0) - 1</f>
        <v>23</v>
      </c>
      <c r="AD60" s="1416"/>
      <c r="AE60" s="1416"/>
      <c r="AF60" s="1416"/>
      <c r="AG60" s="1416"/>
      <c r="AH60" s="1416"/>
      <c r="AI60" s="1408">
        <f>ROUND(AI59/10000000, 0) - 1</f>
        <v>22</v>
      </c>
      <c r="AJ60" s="1408"/>
      <c r="AK60" s="1408"/>
      <c r="AL60" s="1408"/>
      <c r="AM60" s="1408"/>
      <c r="AN60" s="1408"/>
      <c r="AO60" s="1408">
        <f t="shared" ref="AO60" si="86">ROUND(AO59/10000000, 0) - 1</f>
        <v>21</v>
      </c>
      <c r="AP60" s="1408"/>
      <c r="AQ60" s="1408"/>
      <c r="AR60" s="1408"/>
      <c r="AS60" s="1408"/>
      <c r="AT60" s="1408"/>
      <c r="AU60" s="1408">
        <f t="shared" ref="AU60" si="87">ROUND(AU59/10000000, 0) - 1</f>
        <v>20</v>
      </c>
      <c r="AV60" s="1408"/>
      <c r="AW60" s="1408"/>
      <c r="AX60" s="1408"/>
      <c r="AY60" s="1408"/>
      <c r="AZ60" s="1408"/>
      <c r="BA60" s="1408">
        <f t="shared" ref="BA60" si="88">ROUND(BA59/10000000, 0) - 1</f>
        <v>19</v>
      </c>
      <c r="BB60" s="1408"/>
      <c r="BC60" s="1408"/>
      <c r="BD60" s="1408"/>
      <c r="BE60" s="1408"/>
      <c r="BF60" s="1409"/>
      <c r="BG60" s="1410">
        <f t="shared" ref="BG60" si="89">ROUND(BG59/10000000, 0) - 1</f>
        <v>19</v>
      </c>
      <c r="BH60" s="1410"/>
      <c r="BI60" s="1410"/>
      <c r="BJ60" s="1410"/>
      <c r="BK60" s="1410"/>
      <c r="BL60" s="1411"/>
      <c r="BM60" s="1412">
        <f t="shared" ref="BM60" si="90">ROUND(BM59/10000000, 0) - 1</f>
        <v>19</v>
      </c>
      <c r="BN60" s="1412"/>
      <c r="BO60" s="1412"/>
      <c r="BP60" s="1412"/>
      <c r="BQ60" s="1412"/>
      <c r="BR60" s="1412"/>
      <c r="BS60" s="1"/>
      <c r="BT60" s="1"/>
      <c r="BU60" s="1"/>
      <c r="BV60" s="1"/>
      <c r="BW60" s="1"/>
      <c r="BX60" s="1"/>
      <c r="BY60" s="1"/>
      <c r="BZ60" s="1"/>
    </row>
    <row r="61" spans="2:84" s="31" customFormat="1" x14ac:dyDescent="0.45">
      <c r="B61" s="109" t="s">
        <v>1175</v>
      </c>
      <c r="C61" s="109" t="s">
        <v>5</v>
      </c>
      <c r="D61" s="1"/>
      <c r="E61" s="1406">
        <f>ROUNDDOWN((2^$E$44-1)*$L$45*(E60+1), 0)</f>
        <v>393192</v>
      </c>
      <c r="F61" s="1406"/>
      <c r="G61" s="1406"/>
      <c r="H61" s="1406"/>
      <c r="I61" s="1406"/>
      <c r="J61" s="1406"/>
      <c r="K61" s="1407">
        <f t="shared" ref="K61" si="91">ROUNDDOWN((2^$E$44-1)*$L$45*(K60+1), 0)</f>
        <v>393192</v>
      </c>
      <c r="L61" s="1407"/>
      <c r="M61" s="1407"/>
      <c r="N61" s="1407"/>
      <c r="O61" s="1407"/>
      <c r="P61" s="1407"/>
      <c r="Q61" s="1407"/>
      <c r="R61" s="1407"/>
      <c r="S61" s="1407"/>
      <c r="T61" s="1407"/>
      <c r="U61" s="1407"/>
      <c r="V61" s="1407"/>
      <c r="W61" s="1407"/>
      <c r="X61" s="1407"/>
      <c r="Y61" s="1407"/>
      <c r="Z61" s="1407"/>
      <c r="AA61" s="1407"/>
      <c r="AB61" s="1407"/>
      <c r="AC61" s="1407">
        <f t="shared" ref="AC61" si="92">ROUNDDOWN((2^$E$44-1)*$L$45*(AC60+1), 0)</f>
        <v>393192</v>
      </c>
      <c r="AD61" s="1407"/>
      <c r="AE61" s="1407"/>
      <c r="AF61" s="1407"/>
      <c r="AG61" s="1407"/>
      <c r="AH61" s="1407"/>
      <c r="AI61" s="1404">
        <f t="shared" ref="AI61" si="93">ROUNDDOWN((2^$E$44-1)*$L$45*(AI60+1), 0)</f>
        <v>376809</v>
      </c>
      <c r="AJ61" s="1404"/>
      <c r="AK61" s="1404"/>
      <c r="AL61" s="1404"/>
      <c r="AM61" s="1404"/>
      <c r="AN61" s="1404"/>
      <c r="AO61" s="1404">
        <f t="shared" ref="AO61" si="94">ROUNDDOWN((2^$E$44-1)*$L$45*(AO60+1), 0)</f>
        <v>360426</v>
      </c>
      <c r="AP61" s="1404"/>
      <c r="AQ61" s="1404"/>
      <c r="AR61" s="1404"/>
      <c r="AS61" s="1404"/>
      <c r="AT61" s="1404"/>
      <c r="AU61" s="1404">
        <f t="shared" ref="AU61" si="95">ROUNDDOWN((2^$E$44-1)*$L$45*(AU60+1), 0)</f>
        <v>344043</v>
      </c>
      <c r="AV61" s="1404"/>
      <c r="AW61" s="1404"/>
      <c r="AX61" s="1404"/>
      <c r="AY61" s="1404"/>
      <c r="AZ61" s="1404"/>
      <c r="BA61" s="1404">
        <f t="shared" ref="BA61" si="96">ROUNDDOWN((2^$E$44-1)*$L$45*(BA60+1), 0)</f>
        <v>327660</v>
      </c>
      <c r="BB61" s="1404"/>
      <c r="BC61" s="1404"/>
      <c r="BD61" s="1404"/>
      <c r="BE61" s="1404"/>
      <c r="BF61" s="1404"/>
      <c r="BG61" s="1405">
        <f t="shared" ref="BG61" si="97">ROUNDDOWN((2^$E$44-1)*$L$45*(BG60+1), 0)</f>
        <v>327660</v>
      </c>
      <c r="BH61" s="1405"/>
      <c r="BI61" s="1405"/>
      <c r="BJ61" s="1405"/>
      <c r="BK61" s="1405"/>
      <c r="BL61" s="1405"/>
      <c r="BM61" s="1406">
        <f t="shared" ref="BM61" si="98">ROUNDDOWN((2^$E$44-1)*$L$45*(BM60+1), 0)</f>
        <v>327660</v>
      </c>
      <c r="BN61" s="1406"/>
      <c r="BO61" s="1406"/>
      <c r="BP61" s="1406"/>
      <c r="BQ61" s="1406"/>
      <c r="BR61" s="1406"/>
      <c r="BS61" s="1"/>
      <c r="BT61" s="1"/>
      <c r="BU61" s="1"/>
      <c r="BV61" s="1"/>
      <c r="BW61" s="1"/>
      <c r="BX61" s="1"/>
      <c r="BY61" s="1"/>
      <c r="BZ61" s="1"/>
    </row>
    <row r="62" spans="2:84" s="31" customFormat="1" hidden="1" x14ac:dyDescent="0.45">
      <c r="B62" s="109"/>
      <c r="C62" s="109" t="s">
        <v>903</v>
      </c>
      <c r="D62" s="1"/>
      <c r="E62" s="1386">
        <f>$L$46</f>
        <v>10</v>
      </c>
      <c r="F62" s="1386"/>
      <c r="G62" s="1386"/>
      <c r="H62" s="1386"/>
      <c r="I62" s="1386"/>
      <c r="J62" s="1386"/>
      <c r="K62" s="1393">
        <v>340</v>
      </c>
      <c r="L62" s="1393"/>
      <c r="M62" s="1393"/>
      <c r="N62" s="1393"/>
      <c r="O62" s="1393"/>
      <c r="P62" s="1393"/>
      <c r="Q62" s="1393"/>
      <c r="R62" s="1393"/>
      <c r="S62" s="1393"/>
      <c r="T62" s="1393"/>
      <c r="U62" s="1393"/>
      <c r="V62" s="1393"/>
      <c r="W62" s="1393"/>
      <c r="X62" s="1393"/>
      <c r="Y62" s="1393"/>
      <c r="Z62" s="1393"/>
      <c r="AA62" s="1393"/>
      <c r="AB62" s="1393"/>
      <c r="AC62" s="1393">
        <f>K62</f>
        <v>340</v>
      </c>
      <c r="AD62" s="1393"/>
      <c r="AE62" s="1393"/>
      <c r="AF62" s="1393"/>
      <c r="AG62" s="1393"/>
      <c r="AH62" s="1393"/>
      <c r="AI62" s="1394"/>
      <c r="AJ62" s="1394"/>
      <c r="AK62" s="1394"/>
      <c r="AL62" s="1394"/>
      <c r="AM62" s="1394"/>
      <c r="AN62" s="1394"/>
      <c r="AO62" s="1394"/>
      <c r="AP62" s="1394"/>
      <c r="AQ62" s="1394"/>
      <c r="AR62" s="1394"/>
      <c r="AS62" s="1394"/>
      <c r="AT62" s="1394"/>
      <c r="AU62" s="1394"/>
      <c r="AV62" s="1394"/>
      <c r="AW62" s="1394"/>
      <c r="AX62" s="1394"/>
      <c r="AY62" s="1394"/>
      <c r="AZ62" s="1394"/>
      <c r="BA62" s="1394"/>
      <c r="BB62" s="1394"/>
      <c r="BC62" s="1394"/>
      <c r="BD62" s="1394"/>
      <c r="BE62" s="1394"/>
      <c r="BF62" s="1394"/>
      <c r="BG62" s="1396">
        <f t="shared" ref="BG62:BM62" si="99">$L$12</f>
        <v>10</v>
      </c>
      <c r="BH62" s="1396"/>
      <c r="BI62" s="1396"/>
      <c r="BJ62" s="1396"/>
      <c r="BK62" s="1396"/>
      <c r="BL62" s="1397"/>
      <c r="BM62" s="1386">
        <f t="shared" si="99"/>
        <v>10</v>
      </c>
      <c r="BN62" s="1386"/>
      <c r="BO62" s="1386"/>
      <c r="BP62" s="1386"/>
      <c r="BQ62" s="1386"/>
      <c r="BR62" s="1386"/>
      <c r="BS62" s="1"/>
      <c r="BT62" s="1"/>
      <c r="BU62" s="1"/>
      <c r="BV62" s="1"/>
      <c r="BW62" s="1"/>
      <c r="BX62" s="1"/>
      <c r="BY62" s="1"/>
      <c r="BZ62" s="1"/>
    </row>
    <row r="63" spans="2:84" s="31" customFormat="1" x14ac:dyDescent="0.45">
      <c r="B63" s="109" t="s">
        <v>1177</v>
      </c>
      <c r="C63" s="109" t="s">
        <v>5</v>
      </c>
      <c r="D63" s="1"/>
      <c r="E63" s="1402">
        <f>E61 + ROUNDDOWN( (E61*E62) / 10000, 0)</f>
        <v>393585</v>
      </c>
      <c r="F63" s="1402"/>
      <c r="G63" s="1402"/>
      <c r="H63" s="1402"/>
      <c r="I63" s="1402"/>
      <c r="J63" s="1402"/>
      <c r="K63" s="1403">
        <f>K61 + ROUNDDOWN( (K61*K62) / 10000, 0)</f>
        <v>406560</v>
      </c>
      <c r="L63" s="1403"/>
      <c r="M63" s="1403"/>
      <c r="N63" s="1403"/>
      <c r="O63" s="1403"/>
      <c r="P63" s="1403"/>
      <c r="Q63" s="1403"/>
      <c r="R63" s="1403"/>
      <c r="S63" s="1403"/>
      <c r="T63" s="1403"/>
      <c r="U63" s="1403"/>
      <c r="V63" s="1403"/>
      <c r="W63" s="1403"/>
      <c r="X63" s="1403"/>
      <c r="Y63" s="1403"/>
      <c r="Z63" s="1403"/>
      <c r="AA63" s="1403"/>
      <c r="AB63" s="1403"/>
      <c r="AC63" s="1403">
        <f t="shared" ref="AC63" si="100">AC61 + ROUNDDOWN( (AC61*AC62) / 10000, 0)</f>
        <v>406560</v>
      </c>
      <c r="AD63" s="1403"/>
      <c r="AE63" s="1403"/>
      <c r="AF63" s="1403"/>
      <c r="AG63" s="1403"/>
      <c r="AH63" s="1403"/>
      <c r="AI63" s="1398"/>
      <c r="AJ63" s="1398"/>
      <c r="AK63" s="1398"/>
      <c r="AL63" s="1398"/>
      <c r="AM63" s="1398"/>
      <c r="AN63" s="1398"/>
      <c r="AO63" s="1398"/>
      <c r="AP63" s="1398"/>
      <c r="AQ63" s="1398"/>
      <c r="AR63" s="1398"/>
      <c r="AS63" s="1398"/>
      <c r="AT63" s="1398"/>
      <c r="AU63" s="1398"/>
      <c r="AV63" s="1398"/>
      <c r="AW63" s="1398"/>
      <c r="AX63" s="1398"/>
      <c r="AY63" s="1398"/>
      <c r="AZ63" s="1399"/>
      <c r="BA63" s="1398"/>
      <c r="BB63" s="1398"/>
      <c r="BC63" s="1398"/>
      <c r="BD63" s="1398"/>
      <c r="BE63" s="1398"/>
      <c r="BF63" s="1399"/>
      <c r="BG63" s="1400">
        <f t="shared" ref="BG63" si="101">BG61 + ROUNDDOWN( (BG61*BG62) / 10000, 0)</f>
        <v>327987</v>
      </c>
      <c r="BH63" s="1400"/>
      <c r="BI63" s="1400"/>
      <c r="BJ63" s="1400"/>
      <c r="BK63" s="1400"/>
      <c r="BL63" s="1401"/>
      <c r="BM63" s="1402">
        <f t="shared" ref="BM63" si="102">BM61 + ROUNDDOWN( (BM61*BM62) / 10000, 0)</f>
        <v>327987</v>
      </c>
      <c r="BN63" s="1402"/>
      <c r="BO63" s="1402"/>
      <c r="BP63" s="1402"/>
      <c r="BQ63" s="1402"/>
      <c r="BR63" s="1402"/>
      <c r="BS63" s="1"/>
      <c r="BT63" s="1"/>
      <c r="BU63" s="1"/>
      <c r="BV63" s="1"/>
      <c r="BW63" s="1"/>
      <c r="BX63" s="1"/>
      <c r="BY63" s="1"/>
      <c r="BZ63" s="1"/>
    </row>
    <row r="64" spans="2:84" s="31" customFormat="1" x14ac:dyDescent="0.45">
      <c r="B64" s="109"/>
      <c r="C64" s="109" t="s">
        <v>8</v>
      </c>
      <c r="D64" s="1"/>
      <c r="E64" s="1386" t="str">
        <f>DEC2HEX(E63)</f>
        <v>60171</v>
      </c>
      <c r="F64" s="1386"/>
      <c r="G64" s="1386"/>
      <c r="H64" s="1386"/>
      <c r="I64" s="1386"/>
      <c r="J64" s="1386"/>
      <c r="K64" s="1393" t="str">
        <f>DEC2HEX(K63)</f>
        <v>63420</v>
      </c>
      <c r="L64" s="1393"/>
      <c r="M64" s="1393"/>
      <c r="N64" s="1393"/>
      <c r="O64" s="1393"/>
      <c r="P64" s="1393"/>
      <c r="Q64" s="1393"/>
      <c r="R64" s="1393"/>
      <c r="S64" s="1393"/>
      <c r="T64" s="1393"/>
      <c r="U64" s="1393"/>
      <c r="V64" s="1393"/>
      <c r="W64" s="1393"/>
      <c r="X64" s="1393"/>
      <c r="Y64" s="1393"/>
      <c r="Z64" s="1393"/>
      <c r="AA64" s="1393"/>
      <c r="AB64" s="1393"/>
      <c r="AC64" s="1393" t="str">
        <f t="shared" ref="AC64" si="103">DEC2HEX(AC63)</f>
        <v>63420</v>
      </c>
      <c r="AD64" s="1393"/>
      <c r="AE64" s="1393"/>
      <c r="AF64" s="1393"/>
      <c r="AG64" s="1393"/>
      <c r="AH64" s="1393"/>
      <c r="AI64" s="1394"/>
      <c r="AJ64" s="1394"/>
      <c r="AK64" s="1394"/>
      <c r="AL64" s="1394"/>
      <c r="AM64" s="1394"/>
      <c r="AN64" s="1394"/>
      <c r="AO64" s="1394"/>
      <c r="AP64" s="1394"/>
      <c r="AQ64" s="1394"/>
      <c r="AR64" s="1394"/>
      <c r="AS64" s="1394"/>
      <c r="AT64" s="1394"/>
      <c r="AU64" s="1394"/>
      <c r="AV64" s="1394"/>
      <c r="AW64" s="1394"/>
      <c r="AX64" s="1394"/>
      <c r="AY64" s="1394"/>
      <c r="AZ64" s="1395"/>
      <c r="BA64" s="1394"/>
      <c r="BB64" s="1394"/>
      <c r="BC64" s="1394"/>
      <c r="BD64" s="1394"/>
      <c r="BE64" s="1394"/>
      <c r="BF64" s="1395"/>
      <c r="BG64" s="1396" t="str">
        <f t="shared" ref="BG64" si="104">DEC2HEX(BG63)</f>
        <v>50133</v>
      </c>
      <c r="BH64" s="1396"/>
      <c r="BI64" s="1396"/>
      <c r="BJ64" s="1396"/>
      <c r="BK64" s="1396"/>
      <c r="BL64" s="1397"/>
      <c r="BM64" s="1386" t="str">
        <f t="shared" ref="BM64" si="105">DEC2HEX(BM63)</f>
        <v>50133</v>
      </c>
      <c r="BN64" s="1386"/>
      <c r="BO64" s="1386"/>
      <c r="BP64" s="1386"/>
      <c r="BQ64" s="1386"/>
      <c r="BR64" s="1386"/>
      <c r="BS64" s="1"/>
      <c r="BT64" s="1"/>
      <c r="BU64" s="1"/>
      <c r="BV64" s="1"/>
      <c r="BW64" s="1"/>
      <c r="BX64" s="1"/>
      <c r="BY64" s="1"/>
      <c r="BZ64" s="1"/>
    </row>
    <row r="65" spans="2:70" ht="17.5" thickBot="1" x14ac:dyDescent="0.5">
      <c r="B65" s="109" t="s">
        <v>1178</v>
      </c>
      <c r="C65" s="109" t="s">
        <v>18</v>
      </c>
      <c r="E65" s="1386">
        <v>0</v>
      </c>
      <c r="F65" s="1386"/>
      <c r="G65" s="1386"/>
      <c r="H65" s="1386"/>
      <c r="I65" s="1386"/>
      <c r="J65" s="1386"/>
      <c r="K65" s="1392">
        <f>E65</f>
        <v>0</v>
      </c>
      <c r="L65" s="1392"/>
      <c r="M65" s="1392"/>
      <c r="N65" s="1392"/>
      <c r="O65" s="1392"/>
      <c r="P65" s="1392"/>
      <c r="Q65" s="1392"/>
      <c r="R65" s="1392"/>
      <c r="S65" s="1392"/>
      <c r="T65" s="1392"/>
      <c r="U65" s="1392"/>
      <c r="V65" s="1392"/>
      <c r="W65" s="1392"/>
      <c r="X65" s="1392"/>
      <c r="Y65" s="1392"/>
      <c r="Z65" s="1392"/>
      <c r="AA65" s="1392"/>
      <c r="AB65" s="1392"/>
      <c r="AC65" s="1393">
        <v>1</v>
      </c>
      <c r="AD65" s="1393"/>
      <c r="AE65" s="1393"/>
      <c r="AF65" s="1393"/>
      <c r="AG65" s="1393"/>
      <c r="AH65" s="1393"/>
      <c r="AI65" s="1387"/>
      <c r="AJ65" s="1387"/>
      <c r="AK65" s="1387"/>
      <c r="AL65" s="1387"/>
      <c r="AM65" s="1387"/>
      <c r="AN65" s="1387"/>
      <c r="AO65" s="1387"/>
      <c r="AP65" s="1387"/>
      <c r="AQ65" s="1387"/>
      <c r="AR65" s="1387"/>
      <c r="AS65" s="1387"/>
      <c r="AT65" s="1387"/>
      <c r="AU65" s="1387"/>
      <c r="AV65" s="1387"/>
      <c r="AW65" s="1387"/>
      <c r="AX65" s="1387"/>
      <c r="AY65" s="1387"/>
      <c r="AZ65" s="1387"/>
      <c r="BA65" s="1387"/>
      <c r="BB65" s="1387"/>
      <c r="BC65" s="1387"/>
      <c r="BD65" s="1387"/>
      <c r="BE65" s="1387"/>
      <c r="BF65" s="1387"/>
      <c r="BG65" s="1388">
        <v>0</v>
      </c>
      <c r="BH65" s="1388"/>
      <c r="BI65" s="1388"/>
      <c r="BJ65" s="1388"/>
      <c r="BK65" s="1388"/>
      <c r="BL65" s="1389"/>
      <c r="BM65" s="1386">
        <f>BG65</f>
        <v>0</v>
      </c>
      <c r="BN65" s="1386"/>
      <c r="BO65" s="1386"/>
      <c r="BP65" s="1386"/>
      <c r="BQ65" s="1386"/>
      <c r="BR65" s="1386"/>
    </row>
    <row r="66" spans="2:70" ht="17.5" thickBot="1" x14ac:dyDescent="0.5">
      <c r="B66" s="177" t="s">
        <v>1179</v>
      </c>
      <c r="C66" s="178" t="s">
        <v>8</v>
      </c>
      <c r="E66" s="1386" t="s">
        <v>1193</v>
      </c>
      <c r="F66" s="1386"/>
      <c r="G66" s="1386"/>
      <c r="H66" s="1386"/>
      <c r="I66" s="1386"/>
      <c r="J66" s="1386"/>
      <c r="K66" s="1390" t="s">
        <v>1194</v>
      </c>
      <c r="L66" s="1390"/>
      <c r="M66" s="1390"/>
      <c r="N66" s="1390"/>
      <c r="O66" s="1390"/>
      <c r="P66" s="1390"/>
      <c r="Q66" s="1391"/>
      <c r="R66" s="1391"/>
      <c r="S66" s="1391"/>
      <c r="T66" s="1391"/>
      <c r="U66" s="1391"/>
      <c r="V66" s="1391"/>
      <c r="W66" s="1391"/>
      <c r="X66" s="1391"/>
      <c r="Y66" s="1391"/>
      <c r="Z66" s="1391"/>
      <c r="AA66" s="1391"/>
      <c r="AB66" s="1391"/>
      <c r="AC66" s="1390" t="s">
        <v>1195</v>
      </c>
      <c r="AD66" s="1390"/>
      <c r="AE66" s="1390"/>
      <c r="AF66" s="1390"/>
      <c r="AG66" s="1390"/>
      <c r="AH66" s="1390"/>
      <c r="AI66" s="1382"/>
      <c r="AJ66" s="1382"/>
      <c r="AK66" s="1382"/>
      <c r="AL66" s="1382"/>
      <c r="AM66" s="1382"/>
      <c r="AN66" s="1382"/>
      <c r="AO66" s="1382"/>
      <c r="AP66" s="1382"/>
      <c r="AQ66" s="1382"/>
      <c r="AR66" s="1382"/>
      <c r="AS66" s="1382"/>
      <c r="AT66" s="1382"/>
      <c r="AU66" s="1382"/>
      <c r="AV66" s="1382"/>
      <c r="AW66" s="1382"/>
      <c r="AX66" s="1382"/>
      <c r="AY66" s="1382"/>
      <c r="AZ66" s="1383"/>
      <c r="BA66" s="1382"/>
      <c r="BB66" s="1382"/>
      <c r="BC66" s="1382"/>
      <c r="BD66" s="1382"/>
      <c r="BE66" s="1382"/>
      <c r="BF66" s="1383"/>
      <c r="BG66" s="1384" t="s">
        <v>1196</v>
      </c>
      <c r="BH66" s="1384"/>
      <c r="BI66" s="1384"/>
      <c r="BJ66" s="1384"/>
      <c r="BK66" s="1384"/>
      <c r="BL66" s="1385"/>
      <c r="BM66" s="1386" t="s">
        <v>1197</v>
      </c>
      <c r="BN66" s="1386"/>
      <c r="BO66" s="1386"/>
      <c r="BP66" s="1386"/>
      <c r="BQ66" s="1386"/>
      <c r="BR66" s="1386"/>
    </row>
  </sheetData>
  <mergeCells count="376">
    <mergeCell ref="E9:J9"/>
    <mergeCell ref="L9:P9"/>
    <mergeCell ref="E10:J10"/>
    <mergeCell ref="L10:P10"/>
    <mergeCell ref="E11:J11"/>
    <mergeCell ref="L11:P11"/>
    <mergeCell ref="BY14:CD14"/>
    <mergeCell ref="E15:J15"/>
    <mergeCell ref="K15:P15"/>
    <mergeCell ref="Q15:AB15"/>
    <mergeCell ref="AC15:AH15"/>
    <mergeCell ref="AI15:BR15"/>
    <mergeCell ref="BS15:BX15"/>
    <mergeCell ref="BY15:CD15"/>
    <mergeCell ref="E12:J12"/>
    <mergeCell ref="L12:P12"/>
    <mergeCell ref="E14:J14"/>
    <mergeCell ref="K14:AH14"/>
    <mergeCell ref="AI14:BR14"/>
    <mergeCell ref="BS14:BX14"/>
    <mergeCell ref="BY18:CD18"/>
    <mergeCell ref="E19:J19"/>
    <mergeCell ref="K19:P19"/>
    <mergeCell ref="Q19:V19"/>
    <mergeCell ref="W19:AB19"/>
    <mergeCell ref="AC19:AH19"/>
    <mergeCell ref="AI19:AN19"/>
    <mergeCell ref="AO19:AT19"/>
    <mergeCell ref="AU19:AZ19"/>
    <mergeCell ref="BA19:BF19"/>
    <mergeCell ref="AO18:AT18"/>
    <mergeCell ref="AU18:AZ18"/>
    <mergeCell ref="BA18:BF18"/>
    <mergeCell ref="BG18:BL18"/>
    <mergeCell ref="BM18:BR18"/>
    <mergeCell ref="BS18:BX18"/>
    <mergeCell ref="E18:J18"/>
    <mergeCell ref="K18:P18"/>
    <mergeCell ref="Q18:V18"/>
    <mergeCell ref="W18:AB18"/>
    <mergeCell ref="AC18:AH18"/>
    <mergeCell ref="AI18:AN18"/>
    <mergeCell ref="BG19:BL19"/>
    <mergeCell ref="BM19:BR19"/>
    <mergeCell ref="BS19:BX19"/>
    <mergeCell ref="BY19:CD19"/>
    <mergeCell ref="E21:J21"/>
    <mergeCell ref="K21:P21"/>
    <mergeCell ref="Q21:V21"/>
    <mergeCell ref="W21:AB21"/>
    <mergeCell ref="AC21:AH21"/>
    <mergeCell ref="AI21:AN21"/>
    <mergeCell ref="BY21:CD21"/>
    <mergeCell ref="AO21:AT21"/>
    <mergeCell ref="AU21:AZ21"/>
    <mergeCell ref="BA21:BF21"/>
    <mergeCell ref="BG21:BL21"/>
    <mergeCell ref="BM21:BR21"/>
    <mergeCell ref="BS21:BX21"/>
    <mergeCell ref="BY22:CD22"/>
    <mergeCell ref="E23:J23"/>
    <mergeCell ref="K23:P23"/>
    <mergeCell ref="Q23:V23"/>
    <mergeCell ref="W23:AB23"/>
    <mergeCell ref="AC23:AH23"/>
    <mergeCell ref="AI23:AN23"/>
    <mergeCell ref="BY23:CD23"/>
    <mergeCell ref="AO23:AT23"/>
    <mergeCell ref="AU23:AZ23"/>
    <mergeCell ref="BA23:BF23"/>
    <mergeCell ref="BG23:BL23"/>
    <mergeCell ref="BM23:BR23"/>
    <mergeCell ref="BS23:BX23"/>
    <mergeCell ref="E22:J22"/>
    <mergeCell ref="K22:P22"/>
    <mergeCell ref="Q22:V22"/>
    <mergeCell ref="W22:AB22"/>
    <mergeCell ref="AC22:AH22"/>
    <mergeCell ref="AI22:AN22"/>
    <mergeCell ref="AO22:AT22"/>
    <mergeCell ref="AU22:AZ22"/>
    <mergeCell ref="BA22:BF22"/>
    <mergeCell ref="W24:AB24"/>
    <mergeCell ref="AC24:AH24"/>
    <mergeCell ref="AI24:AN24"/>
    <mergeCell ref="AO24:AT24"/>
    <mergeCell ref="AU24:AZ24"/>
    <mergeCell ref="BA24:BF24"/>
    <mergeCell ref="BG22:BL22"/>
    <mergeCell ref="BM22:BR22"/>
    <mergeCell ref="BS22:BX22"/>
    <mergeCell ref="AI26:AN26"/>
    <mergeCell ref="AO26:AT26"/>
    <mergeCell ref="AU26:AZ26"/>
    <mergeCell ref="BA26:BF26"/>
    <mergeCell ref="BG24:BL24"/>
    <mergeCell ref="BM24:BR24"/>
    <mergeCell ref="BS24:BX24"/>
    <mergeCell ref="BY24:CD24"/>
    <mergeCell ref="E25:J25"/>
    <mergeCell ref="K25:P25"/>
    <mergeCell ref="Q25:V25"/>
    <mergeCell ref="W25:AB25"/>
    <mergeCell ref="AC25:AH25"/>
    <mergeCell ref="AI25:AN25"/>
    <mergeCell ref="BY25:CD25"/>
    <mergeCell ref="AO25:AT25"/>
    <mergeCell ref="AU25:AZ25"/>
    <mergeCell ref="BA25:BF25"/>
    <mergeCell ref="BG25:BL25"/>
    <mergeCell ref="BM25:BR25"/>
    <mergeCell ref="BS25:BX25"/>
    <mergeCell ref="E24:J24"/>
    <mergeCell ref="K24:P24"/>
    <mergeCell ref="Q24:V24"/>
    <mergeCell ref="AU28:AZ28"/>
    <mergeCell ref="BA28:BF28"/>
    <mergeCell ref="BG26:BL26"/>
    <mergeCell ref="BM26:BR26"/>
    <mergeCell ref="BS26:BX26"/>
    <mergeCell ref="BY26:CD26"/>
    <mergeCell ref="E27:J27"/>
    <mergeCell ref="K27:P27"/>
    <mergeCell ref="Q27:V27"/>
    <mergeCell ref="W27:AB27"/>
    <mergeCell ref="AC27:AH27"/>
    <mergeCell ref="AI27:AN27"/>
    <mergeCell ref="BY27:CD27"/>
    <mergeCell ref="AO27:AT27"/>
    <mergeCell ref="AU27:AZ27"/>
    <mergeCell ref="BA27:BF27"/>
    <mergeCell ref="BG27:BL27"/>
    <mergeCell ref="BM27:BR27"/>
    <mergeCell ref="BS27:BX27"/>
    <mergeCell ref="E26:J26"/>
    <mergeCell ref="K26:P26"/>
    <mergeCell ref="Q26:V26"/>
    <mergeCell ref="W26:AB26"/>
    <mergeCell ref="AC26:AH26"/>
    <mergeCell ref="BG28:BL28"/>
    <mergeCell ref="BM28:BR28"/>
    <mergeCell ref="BS28:BX28"/>
    <mergeCell ref="BY28:CD28"/>
    <mergeCell ref="E29:J29"/>
    <mergeCell ref="K29:P29"/>
    <mergeCell ref="Q29:V29"/>
    <mergeCell ref="W29:AB29"/>
    <mergeCell ref="AC29:AH29"/>
    <mergeCell ref="AI29:AN29"/>
    <mergeCell ref="BY29:CD29"/>
    <mergeCell ref="AO29:AT29"/>
    <mergeCell ref="AU29:AZ29"/>
    <mergeCell ref="BA29:BF29"/>
    <mergeCell ref="BG29:BL29"/>
    <mergeCell ref="BM29:BR29"/>
    <mergeCell ref="BS29:BX29"/>
    <mergeCell ref="E28:J28"/>
    <mergeCell ref="K28:P28"/>
    <mergeCell ref="Q28:V28"/>
    <mergeCell ref="W28:AB28"/>
    <mergeCell ref="AC28:AH28"/>
    <mergeCell ref="AI28:AN28"/>
    <mergeCell ref="AO28:AT28"/>
    <mergeCell ref="BG30:BL30"/>
    <mergeCell ref="BM30:BR30"/>
    <mergeCell ref="BS30:BX30"/>
    <mergeCell ref="BY30:CD30"/>
    <mergeCell ref="E31:J31"/>
    <mergeCell ref="K31:P31"/>
    <mergeCell ref="Q31:V31"/>
    <mergeCell ref="W31:AB31"/>
    <mergeCell ref="AC31:AH31"/>
    <mergeCell ref="AI31:AN31"/>
    <mergeCell ref="E30:J30"/>
    <mergeCell ref="K30:P30"/>
    <mergeCell ref="Q30:V30"/>
    <mergeCell ref="W30:AB30"/>
    <mergeCell ref="AC30:AH30"/>
    <mergeCell ref="AI30:AN30"/>
    <mergeCell ref="AO30:AT30"/>
    <mergeCell ref="AU30:AZ30"/>
    <mergeCell ref="BA30:BF30"/>
    <mergeCell ref="BY32:CD32"/>
    <mergeCell ref="E43:J43"/>
    <mergeCell ref="L43:P43"/>
    <mergeCell ref="BY31:CD31"/>
    <mergeCell ref="E32:J32"/>
    <mergeCell ref="K32:P32"/>
    <mergeCell ref="Q32:V32"/>
    <mergeCell ref="W32:AB32"/>
    <mergeCell ref="AC32:AH32"/>
    <mergeCell ref="AI32:AN32"/>
    <mergeCell ref="AO32:AT32"/>
    <mergeCell ref="AU32:AZ32"/>
    <mergeCell ref="BA32:BF32"/>
    <mergeCell ref="AO31:AT31"/>
    <mergeCell ref="AU31:AZ31"/>
    <mergeCell ref="BA31:BF31"/>
    <mergeCell ref="BG31:BL31"/>
    <mergeCell ref="BM31:BR31"/>
    <mergeCell ref="BS31:BX31"/>
    <mergeCell ref="E44:J44"/>
    <mergeCell ref="L44:P44"/>
    <mergeCell ref="E45:J45"/>
    <mergeCell ref="L45:P45"/>
    <mergeCell ref="E46:J46"/>
    <mergeCell ref="L46:P46"/>
    <mergeCell ref="BG32:BL32"/>
    <mergeCell ref="BM32:BR32"/>
    <mergeCell ref="BS32:BX32"/>
    <mergeCell ref="E48:J48"/>
    <mergeCell ref="K48:AH48"/>
    <mergeCell ref="AI48:BF48"/>
    <mergeCell ref="BG48:BL48"/>
    <mergeCell ref="BM48:BR48"/>
    <mergeCell ref="E49:J49"/>
    <mergeCell ref="K49:P49"/>
    <mergeCell ref="Q49:AB49"/>
    <mergeCell ref="AC49:AH49"/>
    <mergeCell ref="AI49:BF49"/>
    <mergeCell ref="BG49:BL49"/>
    <mergeCell ref="BM49:BR49"/>
    <mergeCell ref="BG52:BL52"/>
    <mergeCell ref="BM52:BR52"/>
    <mergeCell ref="E53:J53"/>
    <mergeCell ref="K53:P53"/>
    <mergeCell ref="Q53:V53"/>
    <mergeCell ref="W53:AB53"/>
    <mergeCell ref="AC53:AH53"/>
    <mergeCell ref="AI53:AN53"/>
    <mergeCell ref="AO53:AT53"/>
    <mergeCell ref="E52:J52"/>
    <mergeCell ref="K52:P52"/>
    <mergeCell ref="Q52:V52"/>
    <mergeCell ref="W52:AB52"/>
    <mergeCell ref="AC52:AH52"/>
    <mergeCell ref="AI52:AN52"/>
    <mergeCell ref="AO52:AT52"/>
    <mergeCell ref="AU52:AZ52"/>
    <mergeCell ref="BA52:BF52"/>
    <mergeCell ref="E56:J56"/>
    <mergeCell ref="K56:P56"/>
    <mergeCell ref="Q56:V56"/>
    <mergeCell ref="W56:AB56"/>
    <mergeCell ref="AC56:AH56"/>
    <mergeCell ref="AU53:AZ53"/>
    <mergeCell ref="BA53:BF53"/>
    <mergeCell ref="BG53:BL53"/>
    <mergeCell ref="BM53:BR53"/>
    <mergeCell ref="E55:J55"/>
    <mergeCell ref="K55:P55"/>
    <mergeCell ref="Q55:V55"/>
    <mergeCell ref="W55:AB55"/>
    <mergeCell ref="AC55:AH55"/>
    <mergeCell ref="AI55:AN55"/>
    <mergeCell ref="AI56:AN56"/>
    <mergeCell ref="AO56:AT56"/>
    <mergeCell ref="AU56:AZ56"/>
    <mergeCell ref="BA56:BF56"/>
    <mergeCell ref="BG56:BL56"/>
    <mergeCell ref="BM56:BR56"/>
    <mergeCell ref="AO55:AT55"/>
    <mergeCell ref="AU55:AZ55"/>
    <mergeCell ref="BA55:BF55"/>
    <mergeCell ref="BG55:BL55"/>
    <mergeCell ref="BM55:BR55"/>
    <mergeCell ref="E58:J58"/>
    <mergeCell ref="K58:P58"/>
    <mergeCell ref="Q58:V58"/>
    <mergeCell ref="W58:AB58"/>
    <mergeCell ref="AC58:AH58"/>
    <mergeCell ref="E57:J57"/>
    <mergeCell ref="K57:P57"/>
    <mergeCell ref="Q57:V57"/>
    <mergeCell ref="W57:AB57"/>
    <mergeCell ref="AC57:AH57"/>
    <mergeCell ref="AI58:AN58"/>
    <mergeCell ref="AO58:AT58"/>
    <mergeCell ref="AU58:AZ58"/>
    <mergeCell ref="BA58:BF58"/>
    <mergeCell ref="BG58:BL58"/>
    <mergeCell ref="BM58:BR58"/>
    <mergeCell ref="AO57:AT57"/>
    <mergeCell ref="AU57:AZ57"/>
    <mergeCell ref="BA57:BF57"/>
    <mergeCell ref="BG57:BL57"/>
    <mergeCell ref="BM57:BR57"/>
    <mergeCell ref="AI57:AN57"/>
    <mergeCell ref="E60:J60"/>
    <mergeCell ref="K60:P60"/>
    <mergeCell ref="Q60:V60"/>
    <mergeCell ref="W60:AB60"/>
    <mergeCell ref="AC60:AH60"/>
    <mergeCell ref="E59:J59"/>
    <mergeCell ref="K59:P59"/>
    <mergeCell ref="Q59:V59"/>
    <mergeCell ref="W59:AB59"/>
    <mergeCell ref="AC59:AH59"/>
    <mergeCell ref="AI60:AN60"/>
    <mergeCell ref="AO60:AT60"/>
    <mergeCell ref="AU60:AZ60"/>
    <mergeCell ref="BA60:BF60"/>
    <mergeCell ref="BG60:BL60"/>
    <mergeCell ref="BM60:BR60"/>
    <mergeCell ref="AO59:AT59"/>
    <mergeCell ref="AU59:AZ59"/>
    <mergeCell ref="BA59:BF59"/>
    <mergeCell ref="BG59:BL59"/>
    <mergeCell ref="BM59:BR59"/>
    <mergeCell ref="AI59:AN59"/>
    <mergeCell ref="E62:J62"/>
    <mergeCell ref="K62:P62"/>
    <mergeCell ref="Q62:V62"/>
    <mergeCell ref="W62:AB62"/>
    <mergeCell ref="AC62:AH62"/>
    <mergeCell ref="E61:J61"/>
    <mergeCell ref="K61:P61"/>
    <mergeCell ref="Q61:V61"/>
    <mergeCell ref="W61:AB61"/>
    <mergeCell ref="AC61:AH61"/>
    <mergeCell ref="AI62:AN62"/>
    <mergeCell ref="AO62:AT62"/>
    <mergeCell ref="AU62:AZ62"/>
    <mergeCell ref="BA62:BF62"/>
    <mergeCell ref="BG62:BL62"/>
    <mergeCell ref="BM62:BR62"/>
    <mergeCell ref="AO61:AT61"/>
    <mergeCell ref="AU61:AZ61"/>
    <mergeCell ref="BA61:BF61"/>
    <mergeCell ref="BG61:BL61"/>
    <mergeCell ref="BM61:BR61"/>
    <mergeCell ref="AI61:AN61"/>
    <mergeCell ref="E64:J64"/>
    <mergeCell ref="K64:P64"/>
    <mergeCell ref="Q64:V64"/>
    <mergeCell ref="W64:AB64"/>
    <mergeCell ref="AC64:AH64"/>
    <mergeCell ref="E63:J63"/>
    <mergeCell ref="K63:P63"/>
    <mergeCell ref="Q63:V63"/>
    <mergeCell ref="W63:AB63"/>
    <mergeCell ref="AC63:AH63"/>
    <mergeCell ref="AI64:AN64"/>
    <mergeCell ref="AO64:AT64"/>
    <mergeCell ref="AU64:AZ64"/>
    <mergeCell ref="BA64:BF64"/>
    <mergeCell ref="BG64:BL64"/>
    <mergeCell ref="BM64:BR64"/>
    <mergeCell ref="AO63:AT63"/>
    <mergeCell ref="AU63:AZ63"/>
    <mergeCell ref="BA63:BF63"/>
    <mergeCell ref="BG63:BL63"/>
    <mergeCell ref="BM63:BR63"/>
    <mergeCell ref="AI63:AN63"/>
    <mergeCell ref="E66:J66"/>
    <mergeCell ref="K66:P66"/>
    <mergeCell ref="Q66:V66"/>
    <mergeCell ref="W66:AB66"/>
    <mergeCell ref="AC66:AH66"/>
    <mergeCell ref="E65:J65"/>
    <mergeCell ref="K65:P65"/>
    <mergeCell ref="Q65:V65"/>
    <mergeCell ref="W65:AB65"/>
    <mergeCell ref="AC65:AH65"/>
    <mergeCell ref="AI66:AN66"/>
    <mergeCell ref="AO66:AT66"/>
    <mergeCell ref="AU66:AZ66"/>
    <mergeCell ref="BA66:BF66"/>
    <mergeCell ref="BG66:BL66"/>
    <mergeCell ref="BM66:BR66"/>
    <mergeCell ref="AO65:AT65"/>
    <mergeCell ref="AU65:AZ65"/>
    <mergeCell ref="BA65:BF65"/>
    <mergeCell ref="BG65:BL65"/>
    <mergeCell ref="BM65:BR65"/>
    <mergeCell ref="AI65:AN65"/>
  </mergeCells>
  <phoneticPr fontId="2" type="noConversion"/>
  <conditionalFormatting sqref="E25 K25 Q25 W25 AC25 AI25 AO25 AU25 BA25 BG25 BM25 BS25 BY25">
    <cfRule type="cellIs" dxfId="1" priority="2" operator="greaterThan">
      <formula>4294967295</formula>
    </cfRule>
  </conditionalFormatting>
  <conditionalFormatting sqref="E59 K59 Q59 W59 AC59 AI59 AO59 AU59 BA59 BG59 BM59">
    <cfRule type="cellIs" dxfId="0" priority="1" operator="greaterThan">
      <formula>4294967295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20FB-0A0D-4565-9DAC-502C42E92E10}">
  <dimension ref="B2:E26"/>
  <sheetViews>
    <sheetView workbookViewId="0"/>
  </sheetViews>
  <sheetFormatPr defaultRowHeight="17" x14ac:dyDescent="0.45"/>
  <cols>
    <col min="2" max="2" width="8.5" style="1" bestFit="1" customWidth="1"/>
    <col min="3" max="3" width="5.83203125" style="1" bestFit="1" customWidth="1"/>
    <col min="4" max="4" width="73.83203125" bestFit="1" customWidth="1"/>
    <col min="5" max="5" width="72.08203125" bestFit="1" customWidth="1"/>
  </cols>
  <sheetData>
    <row r="2" spans="2:5" x14ac:dyDescent="0.45">
      <c r="B2" s="2"/>
      <c r="C2" s="2"/>
      <c r="D2" s="61" t="s">
        <v>1041</v>
      </c>
      <c r="E2" s="61" t="s">
        <v>1040</v>
      </c>
    </row>
    <row r="3" spans="2:5" x14ac:dyDescent="0.45">
      <c r="B3" s="86" t="s">
        <v>1039</v>
      </c>
      <c r="C3" s="86" t="s">
        <v>233</v>
      </c>
      <c r="D3" s="87" t="s">
        <v>1044</v>
      </c>
      <c r="E3" s="87"/>
    </row>
    <row r="4" spans="2:5" x14ac:dyDescent="0.45">
      <c r="B4" s="92"/>
      <c r="C4" s="88"/>
      <c r="D4" s="89" t="s">
        <v>1043</v>
      </c>
      <c r="E4" s="89" t="s">
        <v>1043</v>
      </c>
    </row>
    <row r="5" spans="2:5" x14ac:dyDescent="0.45">
      <c r="B5" s="92"/>
      <c r="C5" s="86" t="s">
        <v>234</v>
      </c>
      <c r="D5" s="87" t="s">
        <v>1046</v>
      </c>
      <c r="E5" s="87" t="s">
        <v>1045</v>
      </c>
    </row>
    <row r="6" spans="2:5" x14ac:dyDescent="0.45">
      <c r="B6" s="92"/>
      <c r="C6" s="88"/>
      <c r="D6" s="90"/>
      <c r="E6" s="89" t="s">
        <v>1051</v>
      </c>
    </row>
    <row r="7" spans="2:5" x14ac:dyDescent="0.45">
      <c r="B7" s="92"/>
      <c r="C7" s="86"/>
      <c r="D7" s="91"/>
      <c r="E7" s="91"/>
    </row>
    <row r="8" spans="2:5" x14ac:dyDescent="0.45">
      <c r="B8" s="92"/>
      <c r="C8" s="92" t="s">
        <v>989</v>
      </c>
      <c r="D8" s="93" t="s">
        <v>1047</v>
      </c>
      <c r="E8" s="93" t="s">
        <v>1053</v>
      </c>
    </row>
    <row r="9" spans="2:5" x14ac:dyDescent="0.45">
      <c r="B9" s="92"/>
      <c r="C9" s="92"/>
      <c r="D9" s="93" t="s">
        <v>1052</v>
      </c>
      <c r="E9" s="93" t="s">
        <v>1052</v>
      </c>
    </row>
    <row r="10" spans="2:5" x14ac:dyDescent="0.45">
      <c r="B10" s="92"/>
      <c r="C10" s="92"/>
      <c r="D10" s="93" t="s">
        <v>1058</v>
      </c>
      <c r="E10" s="95" t="s">
        <v>1057</v>
      </c>
    </row>
    <row r="11" spans="2:5" x14ac:dyDescent="0.45">
      <c r="B11" s="86" t="s">
        <v>1042</v>
      </c>
      <c r="C11" s="86" t="s">
        <v>233</v>
      </c>
      <c r="D11" s="87" t="s">
        <v>1044</v>
      </c>
      <c r="E11" s="87"/>
    </row>
    <row r="12" spans="2:5" x14ac:dyDescent="0.45">
      <c r="B12" s="92"/>
      <c r="C12" s="88"/>
      <c r="D12" s="89" t="s">
        <v>1045</v>
      </c>
      <c r="E12" s="89" t="s">
        <v>1043</v>
      </c>
    </row>
    <row r="13" spans="2:5" x14ac:dyDescent="0.45">
      <c r="B13" s="92"/>
      <c r="C13" s="86" t="s">
        <v>234</v>
      </c>
      <c r="D13" s="87" t="s">
        <v>1048</v>
      </c>
      <c r="E13" s="91" t="s">
        <v>1045</v>
      </c>
    </row>
    <row r="14" spans="2:5" x14ac:dyDescent="0.45">
      <c r="B14" s="92"/>
      <c r="C14" s="92"/>
      <c r="D14" s="94" t="s">
        <v>1049</v>
      </c>
      <c r="E14" s="94"/>
    </row>
    <row r="15" spans="2:5" x14ac:dyDescent="0.45">
      <c r="B15" s="92"/>
      <c r="C15" s="88"/>
      <c r="D15" s="89" t="s">
        <v>1050</v>
      </c>
      <c r="E15" s="89"/>
    </row>
    <row r="16" spans="2:5" x14ac:dyDescent="0.45">
      <c r="B16" s="92"/>
      <c r="C16" s="86"/>
      <c r="D16" s="91"/>
      <c r="E16" s="91"/>
    </row>
    <row r="17" spans="2:5" x14ac:dyDescent="0.45">
      <c r="B17" s="92"/>
      <c r="C17" s="92" t="s">
        <v>989</v>
      </c>
      <c r="D17" s="93" t="s">
        <v>1054</v>
      </c>
      <c r="E17" s="93" t="s">
        <v>1053</v>
      </c>
    </row>
    <row r="18" spans="2:5" x14ac:dyDescent="0.45">
      <c r="B18" s="92"/>
      <c r="C18" s="92"/>
      <c r="D18" s="93" t="s">
        <v>1052</v>
      </c>
      <c r="E18" s="93" t="s">
        <v>1052</v>
      </c>
    </row>
    <row r="19" spans="2:5" x14ac:dyDescent="0.45">
      <c r="B19" s="88"/>
      <c r="C19" s="88"/>
      <c r="D19" s="95" t="s">
        <v>1055</v>
      </c>
      <c r="E19" s="95" t="s">
        <v>1056</v>
      </c>
    </row>
    <row r="20" spans="2:5" x14ac:dyDescent="0.45">
      <c r="B20" s="86" t="s">
        <v>1060</v>
      </c>
      <c r="C20" s="86"/>
      <c r="D20" s="10"/>
      <c r="E20" s="11"/>
    </row>
    <row r="21" spans="2:5" x14ac:dyDescent="0.45">
      <c r="B21" s="92"/>
      <c r="C21" s="92" t="s">
        <v>233</v>
      </c>
      <c r="D21" s="96" t="s">
        <v>1059</v>
      </c>
      <c r="E21" s="97"/>
    </row>
    <row r="22" spans="2:5" x14ac:dyDescent="0.45">
      <c r="B22" s="92"/>
      <c r="C22" s="92"/>
      <c r="D22" s="98"/>
      <c r="E22" s="97"/>
    </row>
    <row r="23" spans="2:5" x14ac:dyDescent="0.45">
      <c r="B23" s="92"/>
      <c r="C23" s="92" t="s">
        <v>234</v>
      </c>
      <c r="D23" s="99" t="s">
        <v>1061</v>
      </c>
      <c r="E23" s="97"/>
    </row>
    <row r="24" spans="2:5" x14ac:dyDescent="0.45">
      <c r="B24" s="92"/>
      <c r="C24" s="92"/>
      <c r="D24" s="99" t="s">
        <v>1062</v>
      </c>
      <c r="E24" s="97"/>
    </row>
    <row r="25" spans="2:5" x14ac:dyDescent="0.45">
      <c r="B25" s="92"/>
      <c r="C25" s="92"/>
      <c r="D25" s="98"/>
      <c r="E25" s="97"/>
    </row>
    <row r="26" spans="2:5" x14ac:dyDescent="0.45">
      <c r="B26" s="88"/>
      <c r="C26" s="88"/>
      <c r="D26" s="9"/>
      <c r="E26" s="7"/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997-C479-4CFB-B727-D632615F6498}">
  <sheetPr>
    <tabColor theme="7" tint="0.79998168889431442"/>
  </sheetPr>
  <dimension ref="A2:AI239"/>
  <sheetViews>
    <sheetView showGridLines="0" zoomScaleNormal="100" workbookViewId="0">
      <pane ySplit="2" topLeftCell="A42" activePane="bottomLeft" state="frozen"/>
      <selection activeCell="I60" sqref="I60:M60"/>
      <selection pane="bottomLeft"/>
    </sheetView>
  </sheetViews>
  <sheetFormatPr defaultColWidth="8.58203125" defaultRowHeight="17" x14ac:dyDescent="0.45"/>
  <cols>
    <col min="1" max="1" width="8.58203125" style="31"/>
    <col min="2" max="2" width="4.58203125" style="23" bestFit="1" customWidth="1"/>
    <col min="3" max="3" width="32.5" style="25" bestFit="1" customWidth="1"/>
    <col min="4" max="4" width="3.83203125" style="25" bestFit="1" customWidth="1"/>
    <col min="5" max="5" width="7.58203125" style="25" bestFit="1" customWidth="1"/>
    <col min="6" max="6" width="8.75" style="25" bestFit="1" customWidth="1"/>
    <col min="7" max="7" width="1.58203125" style="25" customWidth="1"/>
    <col min="8" max="8" width="12.08203125" style="25" bestFit="1" customWidth="1"/>
    <col min="9" max="9" width="20.25" style="25" bestFit="1" customWidth="1"/>
    <col min="10" max="10" width="18.83203125" style="25" bestFit="1" customWidth="1"/>
    <col min="11" max="11" width="15.33203125" style="25" bestFit="1" customWidth="1"/>
    <col min="12" max="12" width="14.33203125" style="25" bestFit="1" customWidth="1"/>
    <col min="13" max="13" width="20.83203125" style="25" bestFit="1" customWidth="1"/>
    <col min="14" max="14" width="15" style="25" bestFit="1" customWidth="1"/>
    <col min="15" max="15" width="23" style="25" bestFit="1" customWidth="1"/>
    <col min="16" max="16" width="18.25" style="25" bestFit="1" customWidth="1"/>
    <col min="17" max="17" width="23.25" style="25" bestFit="1" customWidth="1"/>
    <col min="18" max="18" width="17.83203125" style="25" bestFit="1" customWidth="1"/>
    <col min="19" max="20" width="19.08203125" style="25" bestFit="1" customWidth="1"/>
    <col min="21" max="21" width="20" style="25" bestFit="1" customWidth="1"/>
    <col min="22" max="22" width="20.58203125" style="25" bestFit="1" customWidth="1"/>
    <col min="23" max="23" width="24.08203125" style="25" bestFit="1" customWidth="1"/>
    <col min="24" max="24" width="8.58203125" style="79"/>
    <col min="25" max="16384" width="8.58203125" style="23"/>
  </cols>
  <sheetData>
    <row r="2" spans="2:23" x14ac:dyDescent="0.45">
      <c r="B2" s="26"/>
      <c r="C2" s="27"/>
      <c r="D2" s="27" t="s">
        <v>329</v>
      </c>
      <c r="E2" s="27" t="s">
        <v>21</v>
      </c>
      <c r="F2" s="27" t="s">
        <v>22</v>
      </c>
      <c r="G2" s="27"/>
      <c r="H2" s="27" t="s">
        <v>252</v>
      </c>
      <c r="I2" s="27" t="s">
        <v>253</v>
      </c>
      <c r="J2" s="27" t="s">
        <v>282</v>
      </c>
      <c r="K2" s="27" t="s">
        <v>283</v>
      </c>
      <c r="L2" s="27" t="s">
        <v>256</v>
      </c>
      <c r="M2" s="27" t="s">
        <v>257</v>
      </c>
      <c r="N2" s="27" t="s">
        <v>25</v>
      </c>
      <c r="O2" s="27" t="s">
        <v>26</v>
      </c>
      <c r="P2" s="27" t="s">
        <v>27</v>
      </c>
      <c r="Q2" s="27" t="s">
        <v>28</v>
      </c>
      <c r="R2" s="27" t="s">
        <v>29</v>
      </c>
      <c r="S2" s="27" t="s">
        <v>30</v>
      </c>
      <c r="T2" s="27" t="s">
        <v>31</v>
      </c>
      <c r="U2" s="27" t="s">
        <v>32</v>
      </c>
      <c r="V2" s="27" t="s">
        <v>33</v>
      </c>
      <c r="W2" s="27" t="s">
        <v>34</v>
      </c>
    </row>
    <row r="3" spans="2:23" x14ac:dyDescent="0.45">
      <c r="B3" s="26">
        <v>1</v>
      </c>
      <c r="C3" s="25" t="s">
        <v>330</v>
      </c>
      <c r="D3" s="25" t="s">
        <v>37</v>
      </c>
      <c r="E3" s="25" t="s">
        <v>38</v>
      </c>
      <c r="F3" s="25" t="s">
        <v>331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8" t="s">
        <v>332</v>
      </c>
      <c r="S3" s="28" t="s">
        <v>333</v>
      </c>
      <c r="T3" s="29"/>
      <c r="U3" s="28" t="s">
        <v>334</v>
      </c>
      <c r="V3" s="28" t="s">
        <v>335</v>
      </c>
      <c r="W3" s="28" t="s">
        <v>336</v>
      </c>
    </row>
    <row r="4" spans="2:23" x14ac:dyDescent="0.45">
      <c r="B4" s="26">
        <f>B3+1</f>
        <v>2</v>
      </c>
      <c r="C4" s="25" t="s">
        <v>337</v>
      </c>
      <c r="D4" s="25" t="s">
        <v>37</v>
      </c>
      <c r="E4" s="25" t="s">
        <v>130</v>
      </c>
      <c r="F4" s="25" t="s">
        <v>331</v>
      </c>
      <c r="H4" s="28" t="s">
        <v>338</v>
      </c>
      <c r="I4" s="29"/>
      <c r="J4" s="29"/>
      <c r="K4" s="29"/>
      <c r="L4" s="29"/>
      <c r="M4" s="29"/>
      <c r="N4" s="49"/>
      <c r="O4" s="29"/>
      <c r="P4" s="29"/>
      <c r="Q4" s="29"/>
      <c r="R4" s="1460" t="s">
        <v>261</v>
      </c>
      <c r="S4" s="1460"/>
      <c r="T4" s="1460"/>
      <c r="U4" s="1460"/>
      <c r="V4" s="1460"/>
      <c r="W4" s="1460"/>
    </row>
    <row r="5" spans="2:23" x14ac:dyDescent="0.45">
      <c r="B5" s="26">
        <f t="shared" ref="B5:B65" si="0">B4+1</f>
        <v>3</v>
      </c>
      <c r="C5" s="25" t="s">
        <v>339</v>
      </c>
      <c r="D5" s="25" t="s">
        <v>37</v>
      </c>
      <c r="E5" s="25" t="s">
        <v>133</v>
      </c>
      <c r="F5" s="25" t="s">
        <v>331</v>
      </c>
      <c r="H5" s="28" t="s">
        <v>338</v>
      </c>
      <c r="I5" s="29"/>
      <c r="J5" s="29"/>
      <c r="K5" s="29"/>
      <c r="L5" s="29"/>
      <c r="M5" s="29"/>
      <c r="N5" s="1322" t="s">
        <v>340</v>
      </c>
      <c r="O5" s="1323"/>
      <c r="P5" s="29"/>
      <c r="Q5" s="29"/>
      <c r="R5" s="1460" t="s">
        <v>261</v>
      </c>
      <c r="S5" s="1460"/>
      <c r="T5" s="1460"/>
      <c r="U5" s="1460"/>
      <c r="V5" s="1460"/>
      <c r="W5" s="1460"/>
    </row>
    <row r="6" spans="2:23" x14ac:dyDescent="0.45">
      <c r="B6" s="26">
        <f t="shared" si="0"/>
        <v>4</v>
      </c>
      <c r="C6" s="25" t="s">
        <v>341</v>
      </c>
      <c r="D6" s="25" t="s">
        <v>37</v>
      </c>
      <c r="E6" s="25" t="s">
        <v>43</v>
      </c>
      <c r="F6" s="25" t="s">
        <v>331</v>
      </c>
      <c r="H6" s="28" t="s">
        <v>338</v>
      </c>
      <c r="I6" s="29"/>
      <c r="J6" s="29"/>
      <c r="K6" s="29"/>
      <c r="L6" s="29"/>
      <c r="M6" s="29"/>
      <c r="N6" s="1322" t="s">
        <v>340</v>
      </c>
      <c r="O6" s="1323"/>
      <c r="P6" s="29"/>
      <c r="Q6" s="29"/>
      <c r="R6" s="1460" t="s">
        <v>261</v>
      </c>
      <c r="S6" s="1460"/>
      <c r="T6" s="1460"/>
      <c r="U6" s="1460"/>
      <c r="V6" s="1460"/>
      <c r="W6" s="1460"/>
    </row>
    <row r="7" spans="2:23" x14ac:dyDescent="0.45">
      <c r="B7" s="26">
        <f t="shared" si="0"/>
        <v>5</v>
      </c>
      <c r="C7" s="25" t="s">
        <v>342</v>
      </c>
      <c r="D7" s="25" t="s">
        <v>37</v>
      </c>
      <c r="E7" s="25" t="s">
        <v>343</v>
      </c>
      <c r="F7" s="25" t="s">
        <v>344</v>
      </c>
      <c r="H7" s="28" t="s">
        <v>338</v>
      </c>
      <c r="I7" s="29"/>
      <c r="J7" s="29"/>
      <c r="K7" s="29"/>
      <c r="L7" s="29"/>
      <c r="M7" s="29"/>
      <c r="N7" s="49"/>
      <c r="O7" s="29"/>
      <c r="P7" s="29"/>
      <c r="Q7" s="29"/>
      <c r="R7" s="29"/>
      <c r="S7" s="29"/>
      <c r="T7" s="29"/>
      <c r="U7" s="29"/>
      <c r="V7" s="29"/>
      <c r="W7" s="29"/>
    </row>
    <row r="8" spans="2:23" x14ac:dyDescent="0.45">
      <c r="B8" s="26">
        <f t="shared" si="0"/>
        <v>6</v>
      </c>
      <c r="C8" s="25" t="s">
        <v>345</v>
      </c>
      <c r="D8" s="25" t="s">
        <v>37</v>
      </c>
      <c r="E8" s="25" t="s">
        <v>137</v>
      </c>
      <c r="F8" s="25" t="s">
        <v>331</v>
      </c>
      <c r="H8" s="28" t="s">
        <v>338</v>
      </c>
      <c r="I8" s="29"/>
      <c r="J8" s="29"/>
      <c r="K8" s="29"/>
      <c r="L8" s="29"/>
      <c r="M8" s="29"/>
      <c r="N8" s="49"/>
      <c r="O8" s="29"/>
      <c r="P8" s="29"/>
      <c r="Q8" s="29"/>
      <c r="R8" s="29"/>
      <c r="S8" s="29"/>
      <c r="T8" s="29"/>
      <c r="U8" s="29"/>
      <c r="V8" s="29"/>
      <c r="W8" s="29"/>
    </row>
    <row r="9" spans="2:23" x14ac:dyDescent="0.45">
      <c r="B9" s="26">
        <f t="shared" si="0"/>
        <v>7</v>
      </c>
      <c r="C9" s="25" t="s">
        <v>346</v>
      </c>
      <c r="D9" s="25" t="s">
        <v>37</v>
      </c>
      <c r="E9" s="25" t="s">
        <v>46</v>
      </c>
      <c r="F9" s="25" t="s">
        <v>344</v>
      </c>
      <c r="H9" s="28" t="s">
        <v>338</v>
      </c>
      <c r="I9" s="29"/>
      <c r="J9" s="29"/>
      <c r="K9" s="29"/>
      <c r="L9" s="29"/>
      <c r="M9" s="29"/>
      <c r="N9" s="49"/>
      <c r="O9" s="29"/>
      <c r="P9" s="29"/>
      <c r="Q9" s="29"/>
      <c r="R9" s="29"/>
      <c r="S9" s="29"/>
      <c r="T9" s="29"/>
      <c r="U9" s="29"/>
      <c r="V9" s="29"/>
      <c r="W9" s="29"/>
    </row>
    <row r="10" spans="2:23" x14ac:dyDescent="0.45">
      <c r="B10" s="26">
        <f t="shared" si="0"/>
        <v>8</v>
      </c>
      <c r="C10" s="25" t="s">
        <v>347</v>
      </c>
      <c r="D10" s="25" t="s">
        <v>37</v>
      </c>
      <c r="E10" s="25" t="s">
        <v>140</v>
      </c>
      <c r="F10" s="25" t="s">
        <v>331</v>
      </c>
      <c r="H10" s="28" t="s">
        <v>338</v>
      </c>
      <c r="I10" s="29"/>
      <c r="J10" s="29"/>
      <c r="K10" s="29"/>
      <c r="L10" s="29"/>
      <c r="M10" s="29"/>
      <c r="N10" s="49"/>
      <c r="O10" s="29"/>
      <c r="P10" s="29"/>
      <c r="Q10" s="29"/>
      <c r="R10" s="29"/>
      <c r="S10" s="29"/>
      <c r="T10" s="29"/>
      <c r="U10" s="29"/>
      <c r="V10" s="29"/>
      <c r="W10" s="29"/>
    </row>
    <row r="11" spans="2:23" x14ac:dyDescent="0.45">
      <c r="B11" s="26">
        <f t="shared" si="0"/>
        <v>9</v>
      </c>
      <c r="C11" s="25" t="s">
        <v>348</v>
      </c>
      <c r="D11" s="25" t="s">
        <v>37</v>
      </c>
      <c r="E11" s="25" t="s">
        <v>49</v>
      </c>
      <c r="F11" s="25" t="s">
        <v>349</v>
      </c>
      <c r="H11" s="29"/>
      <c r="I11" s="29"/>
      <c r="J11" s="29"/>
      <c r="K11" s="29"/>
      <c r="L11" s="29"/>
      <c r="M11" s="29"/>
      <c r="N11" s="49"/>
      <c r="O11" s="205" t="s">
        <v>350</v>
      </c>
      <c r="P11" s="29"/>
      <c r="Q11" s="29"/>
      <c r="R11" s="29"/>
      <c r="S11" s="28" t="s">
        <v>351</v>
      </c>
      <c r="T11" s="29"/>
      <c r="U11" s="29"/>
      <c r="V11" s="29"/>
      <c r="W11" s="28" t="s">
        <v>352</v>
      </c>
    </row>
    <row r="12" spans="2:23" x14ac:dyDescent="0.45">
      <c r="B12" s="26">
        <f t="shared" si="0"/>
        <v>10</v>
      </c>
      <c r="C12" s="25" t="s">
        <v>353</v>
      </c>
      <c r="D12" s="25" t="s">
        <v>66</v>
      </c>
      <c r="E12" s="25" t="s">
        <v>144</v>
      </c>
      <c r="F12" s="25" t="s">
        <v>344</v>
      </c>
      <c r="H12" s="29"/>
      <c r="I12" s="29"/>
      <c r="J12" s="29"/>
      <c r="K12" s="29"/>
      <c r="L12" s="29"/>
      <c r="M12" s="29"/>
      <c r="N12" s="29"/>
      <c r="O12" s="1322" t="s">
        <v>354</v>
      </c>
      <c r="P12" s="1324"/>
      <c r="Q12" s="1324"/>
      <c r="R12" s="1324"/>
      <c r="S12" s="1324"/>
      <c r="T12" s="1324"/>
      <c r="U12" s="1324"/>
      <c r="V12" s="1324"/>
      <c r="W12" s="1323"/>
    </row>
    <row r="13" spans="2:23" x14ac:dyDescent="0.45">
      <c r="B13" s="26">
        <f t="shared" si="0"/>
        <v>11</v>
      </c>
      <c r="C13" s="25" t="s">
        <v>355</v>
      </c>
      <c r="D13" s="25" t="s">
        <v>66</v>
      </c>
      <c r="E13" s="25" t="s">
        <v>67</v>
      </c>
      <c r="F13" s="25" t="s">
        <v>344</v>
      </c>
      <c r="H13" s="29"/>
      <c r="I13" s="29"/>
      <c r="J13" s="29"/>
      <c r="K13" s="29"/>
      <c r="L13" s="29"/>
      <c r="M13" s="29"/>
      <c r="N13" s="29"/>
      <c r="O13" s="1322" t="s">
        <v>356</v>
      </c>
      <c r="P13" s="1324"/>
      <c r="Q13" s="1324"/>
      <c r="R13" s="1324"/>
      <c r="S13" s="1324"/>
      <c r="T13" s="1324"/>
      <c r="U13" s="1324"/>
      <c r="V13" s="1324"/>
      <c r="W13" s="1323"/>
    </row>
    <row r="14" spans="2:23" x14ac:dyDescent="0.45">
      <c r="B14" s="26">
        <f t="shared" si="0"/>
        <v>12</v>
      </c>
      <c r="C14" s="25" t="s">
        <v>357</v>
      </c>
      <c r="D14" s="25" t="s">
        <v>66</v>
      </c>
      <c r="E14" s="25" t="s">
        <v>72</v>
      </c>
      <c r="F14" s="25" t="s">
        <v>344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1322" t="s">
        <v>358</v>
      </c>
      <c r="S14" s="1324"/>
      <c r="T14" s="1324"/>
      <c r="U14" s="1324"/>
      <c r="V14" s="1324"/>
      <c r="W14" s="1323"/>
    </row>
    <row r="15" spans="2:23" x14ac:dyDescent="0.45">
      <c r="B15" s="26">
        <f t="shared" si="0"/>
        <v>13</v>
      </c>
      <c r="C15" s="25" t="s">
        <v>359</v>
      </c>
      <c r="D15" s="25" t="s">
        <v>37</v>
      </c>
      <c r="E15" s="25" t="s">
        <v>76</v>
      </c>
      <c r="F15" s="25" t="s">
        <v>344</v>
      </c>
      <c r="H15" s="29"/>
      <c r="I15" s="29"/>
      <c r="J15" s="1322" t="s">
        <v>360</v>
      </c>
      <c r="K15" s="1324"/>
      <c r="L15" s="1324"/>
      <c r="M15" s="1324"/>
      <c r="N15" s="1324"/>
      <c r="O15" s="1323"/>
      <c r="P15" s="28" t="s">
        <v>361</v>
      </c>
      <c r="Q15" s="29"/>
      <c r="R15" s="1324" t="s">
        <v>362</v>
      </c>
      <c r="S15" s="1324"/>
      <c r="T15" s="1324"/>
      <c r="U15" s="1324"/>
      <c r="V15" s="1324"/>
      <c r="W15" s="1323"/>
    </row>
    <row r="16" spans="2:23" x14ac:dyDescent="0.45">
      <c r="B16" s="26">
        <f t="shared" si="0"/>
        <v>14</v>
      </c>
      <c r="C16" s="25" t="s">
        <v>363</v>
      </c>
      <c r="D16" s="25" t="s">
        <v>66</v>
      </c>
      <c r="E16" s="25" t="s">
        <v>79</v>
      </c>
      <c r="F16" s="25" t="s">
        <v>344</v>
      </c>
      <c r="H16" s="29"/>
      <c r="I16" s="29"/>
      <c r="J16" s="1322" t="s">
        <v>364</v>
      </c>
      <c r="K16" s="1324"/>
      <c r="L16" s="1324"/>
      <c r="M16" s="1324"/>
      <c r="N16" s="1324"/>
      <c r="O16" s="1323"/>
      <c r="P16" s="29"/>
      <c r="Q16" s="29"/>
      <c r="R16" s="1322" t="s">
        <v>365</v>
      </c>
      <c r="S16" s="1324"/>
      <c r="T16" s="1324"/>
      <c r="U16" s="1324"/>
      <c r="V16" s="1324"/>
      <c r="W16" s="1323"/>
    </row>
    <row r="17" spans="1:24" x14ac:dyDescent="0.45">
      <c r="B17" s="26">
        <f t="shared" si="0"/>
        <v>15</v>
      </c>
      <c r="C17" s="25" t="s">
        <v>366</v>
      </c>
      <c r="D17" s="25" t="s">
        <v>66</v>
      </c>
      <c r="E17" s="25" t="s">
        <v>81</v>
      </c>
      <c r="F17" s="25" t="s">
        <v>344</v>
      </c>
      <c r="H17" s="29"/>
      <c r="I17" s="29"/>
      <c r="J17" s="1322" t="s">
        <v>367</v>
      </c>
      <c r="K17" s="1324"/>
      <c r="L17" s="1324"/>
      <c r="M17" s="1324"/>
      <c r="N17" s="1324"/>
      <c r="O17" s="1323"/>
      <c r="P17" s="29"/>
      <c r="Q17" s="29"/>
      <c r="R17" s="1322" t="s">
        <v>368</v>
      </c>
      <c r="S17" s="1324"/>
      <c r="T17" s="1324"/>
      <c r="U17" s="1324"/>
      <c r="V17" s="1324"/>
      <c r="W17" s="1323"/>
    </row>
    <row r="18" spans="1:24" x14ac:dyDescent="0.45">
      <c r="B18" s="26">
        <f t="shared" si="0"/>
        <v>16</v>
      </c>
      <c r="C18" s="25" t="s">
        <v>369</v>
      </c>
      <c r="D18" s="25" t="s">
        <v>66</v>
      </c>
      <c r="E18" s="25" t="s">
        <v>83</v>
      </c>
      <c r="F18" s="25" t="s">
        <v>344</v>
      </c>
      <c r="H18" s="29"/>
      <c r="I18" s="29"/>
      <c r="J18" s="1322" t="s">
        <v>370</v>
      </c>
      <c r="K18" s="1324"/>
      <c r="L18" s="1324"/>
      <c r="M18" s="1324"/>
      <c r="N18" s="1324"/>
      <c r="O18" s="1323"/>
      <c r="P18" s="29"/>
      <c r="Q18" s="29"/>
      <c r="R18" s="1322" t="s">
        <v>371</v>
      </c>
      <c r="S18" s="1324"/>
      <c r="T18" s="1324"/>
      <c r="U18" s="1324"/>
      <c r="V18" s="1324"/>
      <c r="W18" s="1323"/>
    </row>
    <row r="19" spans="1:24" x14ac:dyDescent="0.45">
      <c r="B19" s="26">
        <f t="shared" si="0"/>
        <v>17</v>
      </c>
      <c r="C19" s="25" t="s">
        <v>372</v>
      </c>
      <c r="D19" s="25" t="s">
        <v>373</v>
      </c>
      <c r="E19" s="25" t="s">
        <v>374</v>
      </c>
      <c r="F19" s="25" t="s">
        <v>344</v>
      </c>
      <c r="H19" s="29"/>
      <c r="I19" s="29"/>
      <c r="J19" s="29"/>
      <c r="K19" s="29"/>
      <c r="L19" s="29"/>
      <c r="M19" s="29"/>
      <c r="N19" s="29"/>
      <c r="O19" s="28" t="s">
        <v>375</v>
      </c>
      <c r="P19" s="29"/>
      <c r="Q19" s="29"/>
      <c r="R19" s="29"/>
      <c r="S19" s="29"/>
      <c r="T19" s="29"/>
      <c r="U19" s="29"/>
      <c r="V19" s="29"/>
      <c r="W19" s="28" t="s">
        <v>376</v>
      </c>
    </row>
    <row r="20" spans="1:24" x14ac:dyDescent="0.45">
      <c r="A20" s="126"/>
      <c r="B20" s="26">
        <f t="shared" si="0"/>
        <v>18</v>
      </c>
      <c r="C20" s="25" t="s">
        <v>377</v>
      </c>
      <c r="D20" s="25" t="s">
        <v>37</v>
      </c>
      <c r="E20" s="25" t="s">
        <v>86</v>
      </c>
      <c r="F20" s="25" t="s">
        <v>344</v>
      </c>
      <c r="H20" s="1322" t="s">
        <v>378</v>
      </c>
      <c r="I20" s="1324"/>
      <c r="J20" s="1324"/>
      <c r="K20" s="1324"/>
      <c r="L20" s="1324"/>
      <c r="M20" s="1324"/>
      <c r="N20" s="1324"/>
      <c r="O20" s="1324"/>
      <c r="P20" s="1324"/>
      <c r="Q20" s="1324"/>
      <c r="R20" s="1324"/>
      <c r="S20" s="1324"/>
      <c r="T20" s="1324"/>
      <c r="U20" s="1324"/>
      <c r="V20" s="1324"/>
      <c r="W20" s="1323"/>
    </row>
    <row r="21" spans="1:24" x14ac:dyDescent="0.45">
      <c r="A21" s="126"/>
      <c r="B21" s="26">
        <f t="shared" si="0"/>
        <v>19</v>
      </c>
      <c r="C21" s="25" t="s">
        <v>379</v>
      </c>
      <c r="D21" s="25" t="s">
        <v>37</v>
      </c>
      <c r="E21" s="25" t="s">
        <v>88</v>
      </c>
      <c r="F21" s="25" t="s">
        <v>344</v>
      </c>
      <c r="H21" s="1322" t="s">
        <v>380</v>
      </c>
      <c r="I21" s="1324"/>
      <c r="J21" s="1324"/>
      <c r="K21" s="1324"/>
      <c r="L21" s="1324"/>
      <c r="M21" s="1324"/>
      <c r="N21" s="1324"/>
      <c r="O21" s="1323"/>
      <c r="P21" s="29"/>
      <c r="Q21" s="29"/>
      <c r="R21" s="29"/>
      <c r="S21" s="29"/>
      <c r="T21" s="29"/>
      <c r="U21" s="29"/>
      <c r="V21" s="29"/>
      <c r="W21" s="28" t="s">
        <v>381</v>
      </c>
    </row>
    <row r="22" spans="1:24" s="78" customFormat="1" x14ac:dyDescent="0.45">
      <c r="A22" s="126"/>
      <c r="B22" s="26">
        <f t="shared" si="0"/>
        <v>20</v>
      </c>
      <c r="C22" s="126" t="s">
        <v>382</v>
      </c>
      <c r="D22" s="126" t="s">
        <v>37</v>
      </c>
      <c r="E22" s="126" t="s">
        <v>90</v>
      </c>
      <c r="F22" s="126" t="s">
        <v>965</v>
      </c>
      <c r="G22" s="63"/>
      <c r="H22" s="127"/>
      <c r="I22" s="1305" t="s">
        <v>964</v>
      </c>
      <c r="J22" s="1306"/>
      <c r="K22" s="1306"/>
      <c r="L22" s="1306"/>
      <c r="M22" s="1306"/>
      <c r="N22" s="1306"/>
      <c r="O22" s="1307"/>
      <c r="P22" s="127"/>
      <c r="Q22" s="1305" t="s">
        <v>963</v>
      </c>
      <c r="R22" s="1306"/>
      <c r="S22" s="1306"/>
      <c r="T22" s="1306"/>
      <c r="U22" s="1306"/>
      <c r="V22" s="1306"/>
      <c r="W22" s="1307"/>
      <c r="X22" s="79"/>
    </row>
    <row r="23" spans="1:24" x14ac:dyDescent="0.45">
      <c r="A23" s="126"/>
      <c r="B23" s="26">
        <f t="shared" si="0"/>
        <v>21</v>
      </c>
      <c r="C23" s="126" t="s">
        <v>383</v>
      </c>
      <c r="D23" s="126" t="s">
        <v>37</v>
      </c>
      <c r="E23" s="126" t="s">
        <v>92</v>
      </c>
      <c r="F23" s="126" t="s">
        <v>344</v>
      </c>
      <c r="H23" s="64" t="s">
        <v>1085</v>
      </c>
      <c r="I23" s="64" t="s">
        <v>1086</v>
      </c>
      <c r="J23" s="64" t="s">
        <v>1087</v>
      </c>
      <c r="K23" s="64" t="s">
        <v>1088</v>
      </c>
      <c r="L23" s="29"/>
      <c r="M23" s="64" t="s">
        <v>1080</v>
      </c>
      <c r="N23" s="64" t="s">
        <v>1079</v>
      </c>
      <c r="O23" s="28" t="s">
        <v>384</v>
      </c>
      <c r="P23" s="28" t="s">
        <v>385</v>
      </c>
      <c r="Q23" s="28" t="s">
        <v>386</v>
      </c>
      <c r="R23" s="28" t="s">
        <v>387</v>
      </c>
      <c r="S23" s="28" t="s">
        <v>388</v>
      </c>
      <c r="T23" s="50" t="s">
        <v>389</v>
      </c>
      <c r="U23" s="50" t="s">
        <v>390</v>
      </c>
      <c r="V23" s="50" t="s">
        <v>391</v>
      </c>
      <c r="W23" s="50" t="s">
        <v>392</v>
      </c>
    </row>
    <row r="24" spans="1:24" x14ac:dyDescent="0.45">
      <c r="A24" s="126"/>
      <c r="B24" s="26">
        <f t="shared" si="0"/>
        <v>22</v>
      </c>
      <c r="C24" s="51" t="s">
        <v>393</v>
      </c>
      <c r="D24" s="25" t="s">
        <v>66</v>
      </c>
      <c r="E24" s="25" t="s">
        <v>94</v>
      </c>
      <c r="F24" s="25" t="s">
        <v>331</v>
      </c>
      <c r="G24" s="51"/>
      <c r="H24" s="28" t="s">
        <v>394</v>
      </c>
      <c r="I24" s="28" t="s">
        <v>395</v>
      </c>
      <c r="J24" s="28" t="s">
        <v>396</v>
      </c>
      <c r="K24" s="28" t="s">
        <v>397</v>
      </c>
      <c r="L24" s="28" t="s">
        <v>398</v>
      </c>
      <c r="M24" s="28" t="s">
        <v>399</v>
      </c>
      <c r="N24" s="28" t="s">
        <v>400</v>
      </c>
      <c r="O24" s="28" t="s">
        <v>401</v>
      </c>
      <c r="P24" s="28" t="s">
        <v>402</v>
      </c>
      <c r="Q24" s="28" t="s">
        <v>403</v>
      </c>
      <c r="R24" s="28" t="s">
        <v>404</v>
      </c>
      <c r="S24" s="28" t="s">
        <v>405</v>
      </c>
      <c r="T24" s="28" t="s">
        <v>406</v>
      </c>
      <c r="U24" s="28" t="s">
        <v>407</v>
      </c>
      <c r="V24" s="28" t="s">
        <v>408</v>
      </c>
      <c r="W24" s="28" t="s">
        <v>409</v>
      </c>
    </row>
    <row r="25" spans="1:24" x14ac:dyDescent="0.45">
      <c r="A25" s="126"/>
      <c r="B25" s="26">
        <f t="shared" si="0"/>
        <v>23</v>
      </c>
      <c r="C25" s="51" t="s">
        <v>410</v>
      </c>
      <c r="D25" s="25" t="s">
        <v>66</v>
      </c>
      <c r="E25" s="25" t="s">
        <v>411</v>
      </c>
      <c r="F25" s="25" t="s">
        <v>331</v>
      </c>
      <c r="G25" s="51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8" t="s">
        <v>412</v>
      </c>
      <c r="W25" s="28" t="s">
        <v>413</v>
      </c>
    </row>
    <row r="26" spans="1:24" x14ac:dyDescent="0.45">
      <c r="A26" s="126"/>
      <c r="B26" s="26">
        <f t="shared" si="0"/>
        <v>24</v>
      </c>
      <c r="C26" s="51" t="s">
        <v>414</v>
      </c>
      <c r="D26" s="25" t="s">
        <v>66</v>
      </c>
      <c r="E26" s="25" t="s">
        <v>415</v>
      </c>
      <c r="F26" s="25" t="s">
        <v>331</v>
      </c>
      <c r="G26" s="51"/>
      <c r="H26" s="29"/>
      <c r="I26" s="28" t="s">
        <v>416</v>
      </c>
      <c r="J26" s="28" t="s">
        <v>417</v>
      </c>
      <c r="K26" s="28" t="s">
        <v>418</v>
      </c>
      <c r="L26" s="29"/>
      <c r="M26" s="29"/>
      <c r="N26" s="29"/>
      <c r="O26" s="28" t="s">
        <v>419</v>
      </c>
      <c r="P26" s="29"/>
      <c r="Q26" s="29"/>
      <c r="R26" s="28" t="s">
        <v>420</v>
      </c>
      <c r="S26" s="28" t="s">
        <v>421</v>
      </c>
      <c r="T26" s="28" t="s">
        <v>422</v>
      </c>
      <c r="U26" s="28" t="s">
        <v>423</v>
      </c>
      <c r="V26" s="28" t="s">
        <v>424</v>
      </c>
      <c r="W26" s="28" t="s">
        <v>425</v>
      </c>
    </row>
    <row r="27" spans="1:24" ht="34" x14ac:dyDescent="0.45">
      <c r="B27" s="26">
        <f t="shared" si="0"/>
        <v>25</v>
      </c>
      <c r="C27" s="126" t="s">
        <v>426</v>
      </c>
      <c r="D27" s="25" t="s">
        <v>66</v>
      </c>
      <c r="E27" s="25" t="s">
        <v>427</v>
      </c>
      <c r="F27" s="25" t="s">
        <v>344</v>
      </c>
      <c r="H27" s="80" t="s">
        <v>1089</v>
      </c>
      <c r="I27" s="80" t="s">
        <v>1090</v>
      </c>
      <c r="J27" s="80" t="s">
        <v>1091</v>
      </c>
      <c r="K27" s="50" t="s">
        <v>428</v>
      </c>
      <c r="L27" s="50" t="s">
        <v>429</v>
      </c>
      <c r="M27" s="50" t="s">
        <v>430</v>
      </c>
      <c r="N27" s="50" t="s">
        <v>431</v>
      </c>
      <c r="O27" s="50" t="s">
        <v>432</v>
      </c>
      <c r="P27" s="50" t="s">
        <v>433</v>
      </c>
      <c r="Q27" s="50" t="s">
        <v>434</v>
      </c>
      <c r="R27" s="50" t="s">
        <v>435</v>
      </c>
      <c r="S27" s="50" t="s">
        <v>436</v>
      </c>
      <c r="T27" s="29"/>
      <c r="U27" s="29"/>
      <c r="V27" s="50" t="s">
        <v>1115</v>
      </c>
      <c r="W27" s="50" t="s">
        <v>1116</v>
      </c>
      <c r="X27" s="78"/>
    </row>
    <row r="28" spans="1:24" x14ac:dyDescent="0.45">
      <c r="B28" s="26"/>
      <c r="X28" s="78"/>
    </row>
    <row r="29" spans="1:24" s="78" customFormat="1" ht="34" x14ac:dyDescent="0.45">
      <c r="A29" s="31"/>
      <c r="B29" s="26">
        <f>B27+1</f>
        <v>26</v>
      </c>
      <c r="C29" s="63" t="s">
        <v>1094</v>
      </c>
      <c r="D29" s="126" t="s">
        <v>37</v>
      </c>
      <c r="E29" s="63" t="s">
        <v>437</v>
      </c>
      <c r="F29" s="126" t="s">
        <v>344</v>
      </c>
      <c r="G29" s="63"/>
      <c r="H29" s="1457" t="s">
        <v>1093</v>
      </c>
      <c r="I29" s="1458"/>
      <c r="J29" s="1458"/>
      <c r="K29" s="1458"/>
      <c r="L29" s="1458"/>
      <c r="M29" s="1458"/>
      <c r="N29" s="1458"/>
      <c r="O29" s="1459"/>
      <c r="P29" s="1470" t="s">
        <v>1092</v>
      </c>
      <c r="Q29" s="1471"/>
      <c r="R29" s="64" t="s">
        <v>1084</v>
      </c>
      <c r="S29" s="64" t="s">
        <v>1083</v>
      </c>
      <c r="T29" s="76"/>
      <c r="U29" s="76"/>
      <c r="V29" s="80" t="s">
        <v>1082</v>
      </c>
      <c r="W29" s="80" t="s">
        <v>1081</v>
      </c>
    </row>
    <row r="30" spans="1:24" s="83" customFormat="1" ht="51" x14ac:dyDescent="0.45">
      <c r="A30" s="211"/>
      <c r="B30" s="85">
        <f>B29+1</f>
        <v>27</v>
      </c>
      <c r="C30" s="63" t="s">
        <v>981</v>
      </c>
      <c r="D30" s="126" t="s">
        <v>37</v>
      </c>
      <c r="E30" s="63" t="s">
        <v>150</v>
      </c>
      <c r="F30" s="126" t="s">
        <v>1206</v>
      </c>
      <c r="G30" s="81"/>
      <c r="H30" s="82"/>
      <c r="I30" s="1467" t="s">
        <v>1117</v>
      </c>
      <c r="J30" s="1468"/>
      <c r="K30" s="1469"/>
      <c r="L30" s="84" t="s">
        <v>1205</v>
      </c>
      <c r="M30" s="84" t="s">
        <v>1207</v>
      </c>
      <c r="N30" s="1467" t="s">
        <v>1118</v>
      </c>
      <c r="O30" s="1472"/>
      <c r="P30" s="1467" t="s">
        <v>1119</v>
      </c>
      <c r="Q30" s="1472"/>
      <c r="R30" s="1467" t="s">
        <v>1120</v>
      </c>
      <c r="S30" s="1472"/>
      <c r="T30" s="84" t="s">
        <v>1123</v>
      </c>
      <c r="U30" s="84" t="s">
        <v>1122</v>
      </c>
      <c r="V30" s="84" t="s">
        <v>1121</v>
      </c>
      <c r="W30" s="84" t="s">
        <v>1124</v>
      </c>
    </row>
    <row r="31" spans="1:24" s="78" customFormat="1" x14ac:dyDescent="0.45">
      <c r="A31" s="211"/>
      <c r="B31" s="85">
        <f t="shared" ref="B31:B33" si="1">B30+1</f>
        <v>28</v>
      </c>
      <c r="C31" s="63" t="s">
        <v>982</v>
      </c>
      <c r="D31" s="126" t="s">
        <v>37</v>
      </c>
      <c r="E31" s="63" t="s">
        <v>153</v>
      </c>
      <c r="F31" s="126" t="s">
        <v>1208</v>
      </c>
      <c r="G31" s="63"/>
      <c r="H31" s="76"/>
      <c r="I31" s="1457" t="s">
        <v>1097</v>
      </c>
      <c r="J31" s="1458"/>
      <c r="K31" s="1458"/>
      <c r="L31" s="1458"/>
      <c r="M31" s="1458"/>
      <c r="N31" s="1458"/>
      <c r="O31" s="1459"/>
      <c r="P31" s="76"/>
      <c r="Q31" s="1457" t="s">
        <v>207</v>
      </c>
      <c r="R31" s="1458"/>
      <c r="S31" s="1458"/>
      <c r="T31" s="1458"/>
      <c r="U31" s="1458"/>
      <c r="V31" s="1458"/>
      <c r="W31" s="1459"/>
    </row>
    <row r="32" spans="1:24" s="78" customFormat="1" x14ac:dyDescent="0.45">
      <c r="A32" s="211"/>
      <c r="B32" s="85">
        <f t="shared" si="1"/>
        <v>29</v>
      </c>
      <c r="C32" s="63" t="s">
        <v>987</v>
      </c>
      <c r="D32" s="126" t="s">
        <v>66</v>
      </c>
      <c r="E32" s="63" t="s">
        <v>155</v>
      </c>
      <c r="F32" s="126" t="s">
        <v>344</v>
      </c>
      <c r="G32" s="63"/>
      <c r="H32" s="76"/>
      <c r="I32" s="76"/>
      <c r="J32" s="76"/>
      <c r="K32" s="64" t="s">
        <v>986</v>
      </c>
      <c r="L32" s="76"/>
      <c r="M32" s="76"/>
      <c r="N32" s="76"/>
      <c r="O32" s="64" t="s">
        <v>985</v>
      </c>
      <c r="P32" s="76"/>
      <c r="Q32" s="76"/>
      <c r="R32" s="76"/>
      <c r="S32" s="64" t="s">
        <v>984</v>
      </c>
      <c r="T32" s="76"/>
      <c r="U32" s="76"/>
      <c r="V32" s="76"/>
      <c r="W32" s="64" t="s">
        <v>983</v>
      </c>
    </row>
    <row r="33" spans="1:24" s="78" customFormat="1" x14ac:dyDescent="0.45">
      <c r="A33" s="211"/>
      <c r="B33" s="85">
        <f t="shared" si="1"/>
        <v>30</v>
      </c>
      <c r="C33" s="63" t="s">
        <v>994</v>
      </c>
      <c r="D33" s="126" t="s">
        <v>37</v>
      </c>
      <c r="E33" s="63" t="s">
        <v>157</v>
      </c>
      <c r="F33" s="126" t="s">
        <v>1095</v>
      </c>
      <c r="G33" s="63"/>
      <c r="H33" s="76"/>
      <c r="I33" s="1457" t="s">
        <v>998</v>
      </c>
      <c r="J33" s="1458"/>
      <c r="K33" s="1459"/>
      <c r="L33" s="76"/>
      <c r="M33" s="1457" t="s">
        <v>997</v>
      </c>
      <c r="N33" s="1458"/>
      <c r="O33" s="1459"/>
      <c r="P33" s="76"/>
      <c r="Q33" s="1457" t="s">
        <v>996</v>
      </c>
      <c r="R33" s="1458"/>
      <c r="S33" s="1459"/>
      <c r="T33" s="76"/>
      <c r="U33" s="1457" t="s">
        <v>995</v>
      </c>
      <c r="V33" s="1458"/>
      <c r="W33" s="1459"/>
    </row>
    <row r="34" spans="1:24" x14ac:dyDescent="0.45">
      <c r="A34" s="211"/>
      <c r="B34" s="26"/>
      <c r="D34" s="126"/>
      <c r="F34" s="126"/>
      <c r="X34" s="23"/>
    </row>
    <row r="35" spans="1:24" s="78" customFormat="1" x14ac:dyDescent="0.45">
      <c r="A35" s="211"/>
      <c r="B35" s="26">
        <f>B33+1</f>
        <v>31</v>
      </c>
      <c r="C35" s="126" t="s">
        <v>1101</v>
      </c>
      <c r="D35" s="126" t="s">
        <v>37</v>
      </c>
      <c r="E35" s="126" t="s">
        <v>159</v>
      </c>
      <c r="F35" s="126" t="s">
        <v>1209</v>
      </c>
      <c r="G35" s="63"/>
      <c r="H35" s="1457" t="s">
        <v>1102</v>
      </c>
      <c r="I35" s="1458"/>
      <c r="J35" s="1458"/>
      <c r="K35" s="1458"/>
      <c r="L35" s="1458"/>
      <c r="M35" s="1458"/>
      <c r="N35" s="1458"/>
      <c r="O35" s="1459"/>
      <c r="P35" s="1305" t="s">
        <v>438</v>
      </c>
      <c r="Q35" s="1306"/>
      <c r="R35" s="1306"/>
      <c r="S35" s="1306"/>
      <c r="T35" s="1306"/>
      <c r="U35" s="1306"/>
      <c r="V35" s="1306"/>
      <c r="W35" s="1307"/>
      <c r="X35" s="79"/>
    </row>
    <row r="36" spans="1:24" x14ac:dyDescent="0.45">
      <c r="A36" s="211"/>
      <c r="B36" s="26"/>
    </row>
    <row r="37" spans="1:24" ht="17.149999999999999" customHeight="1" x14ac:dyDescent="0.45">
      <c r="A37" s="211"/>
      <c r="B37" s="26">
        <f>B35+1</f>
        <v>32</v>
      </c>
      <c r="C37" s="25" t="s">
        <v>439</v>
      </c>
      <c r="D37" s="25" t="s">
        <v>37</v>
      </c>
      <c r="E37" s="25" t="s">
        <v>440</v>
      </c>
      <c r="F37" s="25" t="s">
        <v>344</v>
      </c>
      <c r="H37" s="29"/>
      <c r="I37" s="1461" t="s">
        <v>441</v>
      </c>
      <c r="J37" s="1462"/>
      <c r="K37" s="1462"/>
      <c r="L37" s="1462"/>
      <c r="M37" s="1463"/>
      <c r="N37" s="1461" t="s">
        <v>442</v>
      </c>
      <c r="O37" s="1462"/>
      <c r="P37" s="1462"/>
      <c r="Q37" s="1462"/>
      <c r="R37" s="1463"/>
      <c r="S37" s="1464" t="s">
        <v>443</v>
      </c>
      <c r="T37" s="1465"/>
      <c r="U37" s="1465"/>
      <c r="V37" s="1465"/>
      <c r="W37" s="1466"/>
    </row>
    <row r="38" spans="1:24" s="100" customFormat="1" x14ac:dyDescent="0.45">
      <c r="A38" s="211"/>
      <c r="B38" s="26">
        <f t="shared" si="0"/>
        <v>33</v>
      </c>
      <c r="C38" s="101" t="s">
        <v>444</v>
      </c>
      <c r="D38" s="101" t="s">
        <v>37</v>
      </c>
      <c r="E38" s="101" t="s">
        <v>164</v>
      </c>
      <c r="F38" s="101" t="s">
        <v>344</v>
      </c>
      <c r="G38" s="101"/>
      <c r="H38" s="102"/>
      <c r="I38" s="1461" t="s">
        <v>445</v>
      </c>
      <c r="J38" s="1462"/>
      <c r="K38" s="1462"/>
      <c r="L38" s="1462"/>
      <c r="M38" s="1463"/>
      <c r="N38" s="1461" t="s">
        <v>446</v>
      </c>
      <c r="O38" s="1462"/>
      <c r="P38" s="1462"/>
      <c r="Q38" s="1462"/>
      <c r="R38" s="1463"/>
      <c r="S38" s="1461" t="s">
        <v>447</v>
      </c>
      <c r="T38" s="1462"/>
      <c r="U38" s="1462"/>
      <c r="V38" s="1462"/>
      <c r="W38" s="1463"/>
      <c r="X38" s="103"/>
    </row>
    <row r="39" spans="1:24" s="100" customFormat="1" x14ac:dyDescent="0.45">
      <c r="A39" s="211"/>
      <c r="B39" s="26">
        <f t="shared" si="0"/>
        <v>34</v>
      </c>
      <c r="C39" s="101" t="s">
        <v>448</v>
      </c>
      <c r="D39" s="101" t="s">
        <v>37</v>
      </c>
      <c r="E39" s="101" t="s">
        <v>166</v>
      </c>
      <c r="F39" s="101" t="s">
        <v>344</v>
      </c>
      <c r="G39" s="101"/>
      <c r="H39" s="102"/>
      <c r="I39" s="1461" t="s">
        <v>449</v>
      </c>
      <c r="J39" s="1462"/>
      <c r="K39" s="1462"/>
      <c r="L39" s="1462"/>
      <c r="M39" s="1463"/>
      <c r="N39" s="1461" t="s">
        <v>450</v>
      </c>
      <c r="O39" s="1462"/>
      <c r="P39" s="1462"/>
      <c r="Q39" s="1462"/>
      <c r="R39" s="1463"/>
      <c r="S39" s="1461" t="s">
        <v>451</v>
      </c>
      <c r="T39" s="1462"/>
      <c r="U39" s="1462"/>
      <c r="V39" s="1462"/>
      <c r="W39" s="1463"/>
      <c r="X39" s="103"/>
    </row>
    <row r="40" spans="1:24" s="100" customFormat="1" x14ac:dyDescent="0.45">
      <c r="A40" s="211"/>
      <c r="B40" s="26">
        <f t="shared" si="0"/>
        <v>35</v>
      </c>
      <c r="C40" s="101" t="s">
        <v>452</v>
      </c>
      <c r="D40" s="101" t="s">
        <v>37</v>
      </c>
      <c r="E40" s="101" t="s">
        <v>168</v>
      </c>
      <c r="F40" s="101" t="s">
        <v>344</v>
      </c>
      <c r="G40" s="101"/>
      <c r="H40" s="102"/>
      <c r="I40" s="1461" t="s">
        <v>453</v>
      </c>
      <c r="J40" s="1462"/>
      <c r="K40" s="1462"/>
      <c r="L40" s="1462"/>
      <c r="M40" s="1463"/>
      <c r="N40" s="1461" t="s">
        <v>454</v>
      </c>
      <c r="O40" s="1462"/>
      <c r="P40" s="1462"/>
      <c r="Q40" s="1462"/>
      <c r="R40" s="1463"/>
      <c r="S40" s="1461" t="s">
        <v>455</v>
      </c>
      <c r="T40" s="1462"/>
      <c r="U40" s="1462"/>
      <c r="V40" s="1462"/>
      <c r="W40" s="1463"/>
      <c r="X40" s="103"/>
    </row>
    <row r="41" spans="1:24" s="100" customFormat="1" x14ac:dyDescent="0.45">
      <c r="A41" s="211"/>
      <c r="B41" s="26">
        <f t="shared" si="0"/>
        <v>36</v>
      </c>
      <c r="C41" s="101" t="s">
        <v>456</v>
      </c>
      <c r="D41" s="101" t="s">
        <v>37</v>
      </c>
      <c r="E41" s="101" t="s">
        <v>170</v>
      </c>
      <c r="F41" s="101" t="s">
        <v>344</v>
      </c>
      <c r="G41" s="101"/>
      <c r="H41" s="102"/>
      <c r="I41" s="1461" t="s">
        <v>457</v>
      </c>
      <c r="J41" s="1462"/>
      <c r="K41" s="1462"/>
      <c r="L41" s="1462"/>
      <c r="M41" s="1463"/>
      <c r="N41" s="1461" t="s">
        <v>458</v>
      </c>
      <c r="O41" s="1462"/>
      <c r="P41" s="1462"/>
      <c r="Q41" s="1462"/>
      <c r="R41" s="1463"/>
      <c r="S41" s="1461" t="s">
        <v>459</v>
      </c>
      <c r="T41" s="1462"/>
      <c r="U41" s="1462"/>
      <c r="V41" s="1462"/>
      <c r="W41" s="1463"/>
      <c r="X41" s="103"/>
    </row>
    <row r="42" spans="1:24" s="100" customFormat="1" x14ac:dyDescent="0.45">
      <c r="A42" s="211"/>
      <c r="B42" s="26">
        <f t="shared" si="0"/>
        <v>37</v>
      </c>
      <c r="C42" s="101" t="s">
        <v>460</v>
      </c>
      <c r="D42" s="101" t="s">
        <v>37</v>
      </c>
      <c r="E42" s="101" t="s">
        <v>172</v>
      </c>
      <c r="F42" s="101" t="s">
        <v>344</v>
      </c>
      <c r="G42" s="101"/>
      <c r="H42" s="102"/>
      <c r="I42" s="1461" t="s">
        <v>461</v>
      </c>
      <c r="J42" s="1462"/>
      <c r="K42" s="1462"/>
      <c r="L42" s="1462"/>
      <c r="M42" s="1463"/>
      <c r="N42" s="1461" t="s">
        <v>462</v>
      </c>
      <c r="O42" s="1462"/>
      <c r="P42" s="1462"/>
      <c r="Q42" s="1462"/>
      <c r="R42" s="1463"/>
      <c r="S42" s="1461" t="s">
        <v>463</v>
      </c>
      <c r="T42" s="1462"/>
      <c r="U42" s="1462"/>
      <c r="V42" s="1462"/>
      <c r="W42" s="1463"/>
      <c r="X42" s="103"/>
    </row>
    <row r="43" spans="1:24" s="100" customFormat="1" x14ac:dyDescent="0.45">
      <c r="A43" s="211"/>
      <c r="B43" s="26">
        <f t="shared" si="0"/>
        <v>38</v>
      </c>
      <c r="C43" s="101" t="s">
        <v>464</v>
      </c>
      <c r="D43" s="101" t="s">
        <v>37</v>
      </c>
      <c r="E43" s="101" t="s">
        <v>98</v>
      </c>
      <c r="F43" s="101" t="s">
        <v>344</v>
      </c>
      <c r="G43" s="101"/>
      <c r="H43" s="102"/>
      <c r="I43" s="1461" t="s">
        <v>465</v>
      </c>
      <c r="J43" s="1462"/>
      <c r="K43" s="1462"/>
      <c r="L43" s="1462"/>
      <c r="M43" s="1463"/>
      <c r="N43" s="1461" t="s">
        <v>466</v>
      </c>
      <c r="O43" s="1462"/>
      <c r="P43" s="1462"/>
      <c r="Q43" s="1462"/>
      <c r="R43" s="1463"/>
      <c r="S43" s="1461" t="s">
        <v>467</v>
      </c>
      <c r="T43" s="1462"/>
      <c r="U43" s="1462"/>
      <c r="V43" s="1462"/>
      <c r="W43" s="1463"/>
      <c r="X43" s="103"/>
    </row>
    <row r="44" spans="1:24" s="100" customFormat="1" x14ac:dyDescent="0.45">
      <c r="A44" s="211"/>
      <c r="B44" s="26">
        <f t="shared" si="0"/>
        <v>39</v>
      </c>
      <c r="C44" s="101" t="s">
        <v>468</v>
      </c>
      <c r="D44" s="101" t="s">
        <v>37</v>
      </c>
      <c r="E44" s="101" t="s">
        <v>99</v>
      </c>
      <c r="F44" s="101" t="s">
        <v>344</v>
      </c>
      <c r="G44" s="101"/>
      <c r="H44" s="102"/>
      <c r="I44" s="1461" t="s">
        <v>469</v>
      </c>
      <c r="J44" s="1462"/>
      <c r="K44" s="1462"/>
      <c r="L44" s="1462"/>
      <c r="M44" s="1463"/>
      <c r="N44" s="1461" t="s">
        <v>470</v>
      </c>
      <c r="O44" s="1462"/>
      <c r="P44" s="1462"/>
      <c r="Q44" s="1462"/>
      <c r="R44" s="1463"/>
      <c r="S44" s="1461" t="s">
        <v>471</v>
      </c>
      <c r="T44" s="1462"/>
      <c r="U44" s="1462"/>
      <c r="V44" s="1462"/>
      <c r="W44" s="1463"/>
      <c r="X44" s="103"/>
    </row>
    <row r="45" spans="1:24" x14ac:dyDescent="0.45">
      <c r="B45" s="26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</row>
    <row r="46" spans="1:24" ht="17.149999999999999" customHeight="1" x14ac:dyDescent="0.45">
      <c r="B46" s="26">
        <f>B44+1</f>
        <v>40</v>
      </c>
      <c r="C46" s="25" t="s">
        <v>472</v>
      </c>
      <c r="D46" s="25" t="s">
        <v>37</v>
      </c>
      <c r="E46" s="25" t="s">
        <v>473</v>
      </c>
      <c r="F46" s="25" t="s">
        <v>344</v>
      </c>
      <c r="H46" s="29"/>
      <c r="I46" s="1322" t="s">
        <v>474</v>
      </c>
      <c r="J46" s="1324"/>
      <c r="K46" s="1324"/>
      <c r="L46" s="1324"/>
      <c r="M46" s="1323"/>
      <c r="N46" s="1322" t="s">
        <v>475</v>
      </c>
      <c r="O46" s="1324"/>
      <c r="P46" s="1324"/>
      <c r="Q46" s="1324"/>
      <c r="R46" s="1323"/>
      <c r="S46" s="1464" t="s">
        <v>476</v>
      </c>
      <c r="T46" s="1465"/>
      <c r="U46" s="1465"/>
      <c r="V46" s="1465"/>
      <c r="W46" s="1466"/>
    </row>
    <row r="47" spans="1:24" x14ac:dyDescent="0.45">
      <c r="B47" s="26">
        <f t="shared" si="0"/>
        <v>41</v>
      </c>
      <c r="C47" s="25" t="s">
        <v>477</v>
      </c>
      <c r="D47" s="25" t="s">
        <v>37</v>
      </c>
      <c r="E47" s="25" t="s">
        <v>478</v>
      </c>
      <c r="F47" s="25" t="s">
        <v>344</v>
      </c>
      <c r="H47" s="29"/>
      <c r="I47" s="1322" t="s">
        <v>479</v>
      </c>
      <c r="J47" s="1324"/>
      <c r="K47" s="1324"/>
      <c r="L47" s="1324"/>
      <c r="M47" s="1323"/>
      <c r="N47" s="1322" t="s">
        <v>480</v>
      </c>
      <c r="O47" s="1324"/>
      <c r="P47" s="1324"/>
      <c r="Q47" s="1324"/>
      <c r="R47" s="1323"/>
      <c r="S47" s="1322" t="s">
        <v>481</v>
      </c>
      <c r="T47" s="1324"/>
      <c r="U47" s="1324"/>
      <c r="V47" s="1324"/>
      <c r="W47" s="1323"/>
    </row>
    <row r="48" spans="1:24" x14ac:dyDescent="0.45">
      <c r="B48" s="26">
        <f t="shared" si="0"/>
        <v>42</v>
      </c>
      <c r="C48" s="25" t="s">
        <v>482</v>
      </c>
      <c r="D48" s="25" t="s">
        <v>37</v>
      </c>
      <c r="E48" s="25" t="s">
        <v>483</v>
      </c>
      <c r="F48" s="25" t="s">
        <v>344</v>
      </c>
      <c r="H48" s="29"/>
      <c r="I48" s="1322" t="s">
        <v>484</v>
      </c>
      <c r="J48" s="1324"/>
      <c r="K48" s="1324"/>
      <c r="L48" s="1324"/>
      <c r="M48" s="1323"/>
      <c r="N48" s="1322" t="s">
        <v>485</v>
      </c>
      <c r="O48" s="1324"/>
      <c r="P48" s="1324"/>
      <c r="Q48" s="1324"/>
      <c r="R48" s="1323"/>
      <c r="S48" s="1322" t="s">
        <v>486</v>
      </c>
      <c r="T48" s="1324"/>
      <c r="U48" s="1324"/>
      <c r="V48" s="1324"/>
      <c r="W48" s="1323"/>
    </row>
    <row r="49" spans="2:23" x14ac:dyDescent="0.45">
      <c r="B49" s="26">
        <f t="shared" si="0"/>
        <v>43</v>
      </c>
      <c r="C49" s="25" t="s">
        <v>487</v>
      </c>
      <c r="D49" s="25" t="s">
        <v>37</v>
      </c>
      <c r="E49" s="25" t="s">
        <v>488</v>
      </c>
      <c r="F49" s="25" t="s">
        <v>344</v>
      </c>
      <c r="H49" s="29"/>
      <c r="I49" s="1322" t="s">
        <v>489</v>
      </c>
      <c r="J49" s="1324"/>
      <c r="K49" s="1324"/>
      <c r="L49" s="1324"/>
      <c r="M49" s="1323"/>
      <c r="N49" s="1322" t="s">
        <v>490</v>
      </c>
      <c r="O49" s="1324"/>
      <c r="P49" s="1324"/>
      <c r="Q49" s="1324"/>
      <c r="R49" s="1323"/>
      <c r="S49" s="1322" t="s">
        <v>491</v>
      </c>
      <c r="T49" s="1324"/>
      <c r="U49" s="1324"/>
      <c r="V49" s="1324"/>
      <c r="W49" s="1323"/>
    </row>
    <row r="50" spans="2:23" x14ac:dyDescent="0.45">
      <c r="B50" s="26">
        <f t="shared" si="0"/>
        <v>44</v>
      </c>
      <c r="C50" s="25" t="s">
        <v>492</v>
      </c>
      <c r="D50" s="25" t="s">
        <v>37</v>
      </c>
      <c r="E50" s="25" t="s">
        <v>493</v>
      </c>
      <c r="F50" s="25" t="s">
        <v>344</v>
      </c>
      <c r="H50" s="29"/>
      <c r="I50" s="1322" t="s">
        <v>494</v>
      </c>
      <c r="J50" s="1324"/>
      <c r="K50" s="1324"/>
      <c r="L50" s="1324"/>
      <c r="M50" s="1323"/>
      <c r="N50" s="1322" t="s">
        <v>495</v>
      </c>
      <c r="O50" s="1324"/>
      <c r="P50" s="1324"/>
      <c r="Q50" s="1324"/>
      <c r="R50" s="1323"/>
      <c r="S50" s="1322" t="s">
        <v>496</v>
      </c>
      <c r="T50" s="1324"/>
      <c r="U50" s="1324"/>
      <c r="V50" s="1324"/>
      <c r="W50" s="1323"/>
    </row>
    <row r="51" spans="2:23" x14ac:dyDescent="0.45">
      <c r="B51" s="26">
        <f t="shared" si="0"/>
        <v>45</v>
      </c>
      <c r="C51" s="25" t="s">
        <v>497</v>
      </c>
      <c r="D51" s="25" t="s">
        <v>37</v>
      </c>
      <c r="E51" s="25" t="s">
        <v>498</v>
      </c>
      <c r="F51" s="25" t="s">
        <v>344</v>
      </c>
      <c r="H51" s="29"/>
      <c r="I51" s="1322" t="s">
        <v>499</v>
      </c>
      <c r="J51" s="1324"/>
      <c r="K51" s="1324"/>
      <c r="L51" s="1324"/>
      <c r="M51" s="1323"/>
      <c r="N51" s="1322" t="s">
        <v>500</v>
      </c>
      <c r="O51" s="1324"/>
      <c r="P51" s="1324"/>
      <c r="Q51" s="1324"/>
      <c r="R51" s="1323"/>
      <c r="S51" s="1322" t="s">
        <v>501</v>
      </c>
      <c r="T51" s="1324"/>
      <c r="U51" s="1324"/>
      <c r="V51" s="1324"/>
      <c r="W51" s="1323"/>
    </row>
    <row r="52" spans="2:23" x14ac:dyDescent="0.45">
      <c r="B52" s="26">
        <f t="shared" si="0"/>
        <v>46</v>
      </c>
      <c r="C52" s="25" t="s">
        <v>502</v>
      </c>
      <c r="D52" s="25" t="s">
        <v>37</v>
      </c>
      <c r="E52" s="25" t="s">
        <v>503</v>
      </c>
      <c r="F52" s="25" t="s">
        <v>344</v>
      </c>
      <c r="H52" s="29"/>
      <c r="I52" s="1322" t="s">
        <v>504</v>
      </c>
      <c r="J52" s="1324"/>
      <c r="K52" s="1324"/>
      <c r="L52" s="1324"/>
      <c r="M52" s="1323"/>
      <c r="N52" s="1322" t="s">
        <v>505</v>
      </c>
      <c r="O52" s="1324"/>
      <c r="P52" s="1324"/>
      <c r="Q52" s="1324"/>
      <c r="R52" s="1323"/>
      <c r="S52" s="1322" t="s">
        <v>506</v>
      </c>
      <c r="T52" s="1324"/>
      <c r="U52" s="1324"/>
      <c r="V52" s="1324"/>
      <c r="W52" s="1323"/>
    </row>
    <row r="53" spans="2:23" x14ac:dyDescent="0.45">
      <c r="B53" s="26">
        <f t="shared" si="0"/>
        <v>47</v>
      </c>
      <c r="C53" s="25" t="s">
        <v>507</v>
      </c>
      <c r="D53" s="25" t="s">
        <v>37</v>
      </c>
      <c r="E53" s="25" t="s">
        <v>508</v>
      </c>
      <c r="F53" s="25" t="s">
        <v>344</v>
      </c>
      <c r="H53" s="29"/>
      <c r="I53" s="1322" t="s">
        <v>509</v>
      </c>
      <c r="J53" s="1324"/>
      <c r="K53" s="1324"/>
      <c r="L53" s="1324"/>
      <c r="M53" s="1323"/>
      <c r="N53" s="1322" t="s">
        <v>510</v>
      </c>
      <c r="O53" s="1324"/>
      <c r="P53" s="1324"/>
      <c r="Q53" s="1324"/>
      <c r="R53" s="1323"/>
      <c r="S53" s="1322" t="s">
        <v>511</v>
      </c>
      <c r="T53" s="1324"/>
      <c r="U53" s="1324"/>
      <c r="V53" s="1324"/>
      <c r="W53" s="1323"/>
    </row>
    <row r="54" spans="2:23" x14ac:dyDescent="0.45">
      <c r="B54" s="26">
        <f t="shared" si="0"/>
        <v>48</v>
      </c>
      <c r="C54" s="25" t="s">
        <v>512</v>
      </c>
      <c r="D54" s="25" t="s">
        <v>37</v>
      </c>
      <c r="E54" s="25" t="s">
        <v>513</v>
      </c>
      <c r="F54" s="25" t="s">
        <v>344</v>
      </c>
      <c r="H54" s="1322" t="s">
        <v>514</v>
      </c>
      <c r="I54" s="1324"/>
      <c r="J54" s="1324"/>
      <c r="K54" s="1324"/>
      <c r="L54" s="1324"/>
      <c r="M54" s="1324"/>
      <c r="N54" s="1324"/>
      <c r="O54" s="1323"/>
      <c r="P54" s="1322" t="s">
        <v>515</v>
      </c>
      <c r="Q54" s="1324"/>
      <c r="R54" s="1324"/>
      <c r="S54" s="1324"/>
      <c r="T54" s="1324"/>
      <c r="U54" s="1324"/>
      <c r="V54" s="1324"/>
      <c r="W54" s="1323"/>
    </row>
    <row r="55" spans="2:23" x14ac:dyDescent="0.45">
      <c r="B55" s="26">
        <f t="shared" si="0"/>
        <v>49</v>
      </c>
      <c r="C55" s="25" t="s">
        <v>516</v>
      </c>
      <c r="D55" s="25" t="s">
        <v>37</v>
      </c>
      <c r="E55" s="25" t="s">
        <v>517</v>
      </c>
      <c r="F55" s="25" t="s">
        <v>344</v>
      </c>
      <c r="H55" s="1322" t="s">
        <v>518</v>
      </c>
      <c r="I55" s="1324"/>
      <c r="J55" s="1324"/>
      <c r="K55" s="1324"/>
      <c r="L55" s="1324"/>
      <c r="M55" s="1324"/>
      <c r="N55" s="1324"/>
      <c r="O55" s="1323"/>
      <c r="P55" s="1322" t="s">
        <v>519</v>
      </c>
      <c r="Q55" s="1324"/>
      <c r="R55" s="1324"/>
      <c r="S55" s="1324"/>
      <c r="T55" s="1324"/>
      <c r="U55" s="1324"/>
      <c r="V55" s="1324"/>
      <c r="W55" s="1323"/>
    </row>
    <row r="56" spans="2:23" x14ac:dyDescent="0.45">
      <c r="B56" s="26">
        <f t="shared" si="0"/>
        <v>50</v>
      </c>
      <c r="C56" s="25" t="s">
        <v>520</v>
      </c>
      <c r="D56" s="25" t="s">
        <v>37</v>
      </c>
      <c r="E56" s="25" t="s">
        <v>111</v>
      </c>
      <c r="F56" s="25" t="s">
        <v>344</v>
      </c>
      <c r="H56" s="1322" t="s">
        <v>521</v>
      </c>
      <c r="I56" s="1324"/>
      <c r="J56" s="1324"/>
      <c r="K56" s="1324"/>
      <c r="L56" s="1324"/>
      <c r="M56" s="1324"/>
      <c r="N56" s="1324"/>
      <c r="O56" s="1323"/>
      <c r="P56" s="1322" t="s">
        <v>522</v>
      </c>
      <c r="Q56" s="1324"/>
      <c r="R56" s="1324"/>
      <c r="S56" s="1324"/>
      <c r="T56" s="1324"/>
      <c r="U56" s="1324"/>
      <c r="V56" s="1324"/>
      <c r="W56" s="1323"/>
    </row>
    <row r="57" spans="2:23" x14ac:dyDescent="0.45">
      <c r="B57" s="26">
        <f t="shared" si="0"/>
        <v>51</v>
      </c>
      <c r="C57" s="25" t="s">
        <v>523</v>
      </c>
      <c r="D57" s="25" t="s">
        <v>37</v>
      </c>
      <c r="E57" s="25" t="s">
        <v>114</v>
      </c>
      <c r="F57" s="25" t="s">
        <v>344</v>
      </c>
      <c r="H57" s="1322" t="s">
        <v>524</v>
      </c>
      <c r="I57" s="1324"/>
      <c r="J57" s="1324"/>
      <c r="K57" s="1324"/>
      <c r="L57" s="1324"/>
      <c r="M57" s="1324"/>
      <c r="N57" s="1324"/>
      <c r="O57" s="1323"/>
      <c r="P57" s="1322" t="s">
        <v>525</v>
      </c>
      <c r="Q57" s="1324"/>
      <c r="R57" s="1324"/>
      <c r="S57" s="1324"/>
      <c r="T57" s="1324"/>
      <c r="U57" s="1324"/>
      <c r="V57" s="1324"/>
      <c r="W57" s="1323"/>
    </row>
    <row r="58" spans="2:23" x14ac:dyDescent="0.45">
      <c r="B58" s="26">
        <f t="shared" si="0"/>
        <v>52</v>
      </c>
      <c r="C58" s="25" t="s">
        <v>526</v>
      </c>
      <c r="D58" s="25" t="s">
        <v>37</v>
      </c>
      <c r="E58" s="25" t="s">
        <v>117</v>
      </c>
      <c r="F58" s="25" t="s">
        <v>344</v>
      </c>
      <c r="H58" s="1322" t="s">
        <v>527</v>
      </c>
      <c r="I58" s="1324"/>
      <c r="J58" s="1324"/>
      <c r="K58" s="1324"/>
      <c r="L58" s="1324"/>
      <c r="M58" s="1324"/>
      <c r="N58" s="1324"/>
      <c r="O58" s="1323"/>
      <c r="P58" s="1322" t="s">
        <v>528</v>
      </c>
      <c r="Q58" s="1324"/>
      <c r="R58" s="1324"/>
      <c r="S58" s="1324"/>
      <c r="T58" s="1324"/>
      <c r="U58" s="1324"/>
      <c r="V58" s="1324"/>
      <c r="W58" s="1323"/>
    </row>
    <row r="59" spans="2:23" x14ac:dyDescent="0.45">
      <c r="B59" s="26">
        <f t="shared" si="0"/>
        <v>53</v>
      </c>
      <c r="C59" s="25" t="s">
        <v>529</v>
      </c>
      <c r="D59" s="25" t="s">
        <v>37</v>
      </c>
      <c r="E59" s="25" t="s">
        <v>121</v>
      </c>
      <c r="F59" s="25" t="s">
        <v>344</v>
      </c>
      <c r="H59" s="1322" t="s">
        <v>530</v>
      </c>
      <c r="I59" s="1324"/>
      <c r="J59" s="1324"/>
      <c r="K59" s="1324"/>
      <c r="L59" s="1324"/>
      <c r="M59" s="1324"/>
      <c r="N59" s="1324"/>
      <c r="O59" s="1323"/>
      <c r="P59" s="1322" t="s">
        <v>531</v>
      </c>
      <c r="Q59" s="1324"/>
      <c r="R59" s="1324"/>
      <c r="S59" s="1324"/>
      <c r="T59" s="1324"/>
      <c r="U59" s="1324"/>
      <c r="V59" s="1324"/>
      <c r="W59" s="1323"/>
    </row>
    <row r="60" spans="2:23" x14ac:dyDescent="0.45">
      <c r="B60" s="26">
        <f t="shared" si="0"/>
        <v>54</v>
      </c>
      <c r="C60" s="25" t="s">
        <v>532</v>
      </c>
      <c r="D60" s="25" t="s">
        <v>37</v>
      </c>
      <c r="E60" s="25" t="s">
        <v>125</v>
      </c>
      <c r="F60" s="25" t="s">
        <v>344</v>
      </c>
      <c r="H60" s="1322" t="s">
        <v>533</v>
      </c>
      <c r="I60" s="1324"/>
      <c r="J60" s="1324"/>
      <c r="K60" s="1324"/>
      <c r="L60" s="1324"/>
      <c r="M60" s="1324"/>
      <c r="N60" s="1324"/>
      <c r="O60" s="1323"/>
      <c r="P60" s="1322" t="s">
        <v>534</v>
      </c>
      <c r="Q60" s="1324"/>
      <c r="R60" s="1324"/>
      <c r="S60" s="1324"/>
      <c r="T60" s="1324"/>
      <c r="U60" s="1324"/>
      <c r="V60" s="1324"/>
      <c r="W60" s="1323"/>
    </row>
    <row r="61" spans="2:23" x14ac:dyDescent="0.45">
      <c r="B61" s="26">
        <f t="shared" si="0"/>
        <v>55</v>
      </c>
      <c r="C61" s="25" t="s">
        <v>535</v>
      </c>
      <c r="D61" s="25" t="s">
        <v>37</v>
      </c>
      <c r="E61" s="25" t="s">
        <v>107</v>
      </c>
      <c r="F61" s="25" t="s">
        <v>344</v>
      </c>
      <c r="H61" s="1322" t="s">
        <v>536</v>
      </c>
      <c r="I61" s="1324"/>
      <c r="J61" s="1324"/>
      <c r="K61" s="1324"/>
      <c r="L61" s="1324"/>
      <c r="M61" s="1324"/>
      <c r="N61" s="1324"/>
      <c r="O61" s="1323"/>
      <c r="P61" s="1322" t="s">
        <v>537</v>
      </c>
      <c r="Q61" s="1324"/>
      <c r="R61" s="1324"/>
      <c r="S61" s="1324"/>
      <c r="T61" s="1324"/>
      <c r="U61" s="1324"/>
      <c r="V61" s="1324"/>
      <c r="W61" s="1323"/>
    </row>
    <row r="62" spans="2:23" x14ac:dyDescent="0.45">
      <c r="B62" s="26">
        <f t="shared" si="0"/>
        <v>56</v>
      </c>
      <c r="C62" s="25" t="s">
        <v>538</v>
      </c>
      <c r="D62" s="25" t="s">
        <v>37</v>
      </c>
      <c r="E62" s="25" t="s">
        <v>539</v>
      </c>
      <c r="F62" s="25" t="s">
        <v>344</v>
      </c>
      <c r="H62" s="1322" t="s">
        <v>540</v>
      </c>
      <c r="I62" s="1324"/>
      <c r="J62" s="1324"/>
      <c r="K62" s="1324"/>
      <c r="L62" s="1324"/>
      <c r="M62" s="1324"/>
      <c r="N62" s="1324"/>
      <c r="O62" s="1323"/>
      <c r="P62" s="1322" t="s">
        <v>541</v>
      </c>
      <c r="Q62" s="1324"/>
      <c r="R62" s="1324"/>
      <c r="S62" s="1324"/>
      <c r="T62" s="1324"/>
      <c r="U62" s="1324"/>
      <c r="V62" s="1324"/>
      <c r="W62" s="1323"/>
    </row>
    <row r="63" spans="2:23" x14ac:dyDescent="0.45">
      <c r="B63" s="26">
        <f t="shared" si="0"/>
        <v>57</v>
      </c>
      <c r="C63" s="25" t="s">
        <v>542</v>
      </c>
      <c r="D63" s="25" t="s">
        <v>37</v>
      </c>
      <c r="E63" s="25" t="s">
        <v>543</v>
      </c>
      <c r="F63" s="25" t="s">
        <v>344</v>
      </c>
      <c r="H63" s="1322" t="s">
        <v>544</v>
      </c>
      <c r="I63" s="1324"/>
      <c r="J63" s="1324"/>
      <c r="K63" s="1324"/>
      <c r="L63" s="1324"/>
      <c r="M63" s="1324"/>
      <c r="N63" s="1324"/>
      <c r="O63" s="1323"/>
      <c r="P63" s="1322" t="s">
        <v>545</v>
      </c>
      <c r="Q63" s="1324"/>
      <c r="R63" s="1324"/>
      <c r="S63" s="1324"/>
      <c r="T63" s="1324"/>
      <c r="U63" s="1324"/>
      <c r="V63" s="1324"/>
      <c r="W63" s="1323"/>
    </row>
    <row r="64" spans="2:23" x14ac:dyDescent="0.45">
      <c r="B64" s="26">
        <f t="shared" si="0"/>
        <v>58</v>
      </c>
      <c r="C64" s="25" t="s">
        <v>546</v>
      </c>
      <c r="D64" s="25" t="s">
        <v>37</v>
      </c>
      <c r="E64" s="25" t="s">
        <v>547</v>
      </c>
      <c r="F64" s="25" t="s">
        <v>344</v>
      </c>
      <c r="H64" s="1322" t="s">
        <v>548</v>
      </c>
      <c r="I64" s="1324"/>
      <c r="J64" s="1324"/>
      <c r="K64" s="1324"/>
      <c r="L64" s="1324"/>
      <c r="M64" s="1324"/>
      <c r="N64" s="1324"/>
      <c r="O64" s="1323"/>
      <c r="P64" s="1322" t="s">
        <v>549</v>
      </c>
      <c r="Q64" s="1324"/>
      <c r="R64" s="1324"/>
      <c r="S64" s="1324"/>
      <c r="T64" s="1324"/>
      <c r="U64" s="1324"/>
      <c r="V64" s="1324"/>
      <c r="W64" s="1323"/>
    </row>
    <row r="65" spans="2:23" x14ac:dyDescent="0.45">
      <c r="B65" s="26">
        <f t="shared" si="0"/>
        <v>59</v>
      </c>
      <c r="C65" s="25" t="s">
        <v>550</v>
      </c>
      <c r="D65" s="25" t="s">
        <v>37</v>
      </c>
      <c r="E65" s="25" t="s">
        <v>551</v>
      </c>
      <c r="F65" s="25" t="s">
        <v>344</v>
      </c>
      <c r="H65" s="1322" t="s">
        <v>552</v>
      </c>
      <c r="I65" s="1324"/>
      <c r="J65" s="1324"/>
      <c r="K65" s="1324"/>
      <c r="L65" s="1324"/>
      <c r="M65" s="1324"/>
      <c r="N65" s="1324"/>
      <c r="O65" s="1323"/>
      <c r="P65" s="1322" t="s">
        <v>553</v>
      </c>
      <c r="Q65" s="1324"/>
      <c r="R65" s="1324"/>
      <c r="S65" s="1324"/>
      <c r="T65" s="1324"/>
      <c r="U65" s="1324"/>
      <c r="V65" s="1324"/>
      <c r="W65" s="1323"/>
    </row>
    <row r="66" spans="2:23" x14ac:dyDescent="0.45">
      <c r="B66" s="26"/>
    </row>
    <row r="67" spans="2:23" x14ac:dyDescent="0.45">
      <c r="B67" s="26">
        <f>B65+1</f>
        <v>60</v>
      </c>
      <c r="C67" s="25" t="s">
        <v>554</v>
      </c>
      <c r="D67" s="25" t="s">
        <v>37</v>
      </c>
      <c r="E67" s="25" t="s">
        <v>555</v>
      </c>
      <c r="F67" s="25" t="s">
        <v>344</v>
      </c>
      <c r="H67" s="28" t="s">
        <v>556</v>
      </c>
      <c r="I67" s="28" t="s">
        <v>557</v>
      </c>
      <c r="J67" s="28" t="s">
        <v>558</v>
      </c>
      <c r="K67" s="28" t="s">
        <v>559</v>
      </c>
      <c r="L67" s="28" t="s">
        <v>560</v>
      </c>
      <c r="M67" s="28" t="s">
        <v>561</v>
      </c>
      <c r="N67" s="28" t="s">
        <v>562</v>
      </c>
      <c r="O67" s="28" t="s">
        <v>563</v>
      </c>
      <c r="P67" s="28" t="s">
        <v>564</v>
      </c>
      <c r="Q67" s="28" t="s">
        <v>565</v>
      </c>
      <c r="R67" s="28" t="s">
        <v>566</v>
      </c>
      <c r="S67" s="28" t="s">
        <v>567</v>
      </c>
      <c r="T67" s="28" t="s">
        <v>568</v>
      </c>
      <c r="U67" s="28" t="s">
        <v>569</v>
      </c>
      <c r="V67" s="28" t="s">
        <v>570</v>
      </c>
      <c r="W67" s="28" t="s">
        <v>571</v>
      </c>
    </row>
    <row r="68" spans="2:23" x14ac:dyDescent="0.45">
      <c r="B68" s="26">
        <f t="shared" ref="B68:B152" si="2">B67+1</f>
        <v>61</v>
      </c>
      <c r="C68" s="25" t="s">
        <v>572</v>
      </c>
      <c r="D68" s="25" t="s">
        <v>37</v>
      </c>
      <c r="E68" s="25" t="s">
        <v>573</v>
      </c>
      <c r="F68" s="25" t="s">
        <v>344</v>
      </c>
      <c r="H68" s="1322" t="s">
        <v>574</v>
      </c>
      <c r="I68" s="1323"/>
      <c r="J68" s="29"/>
      <c r="K68" s="1322" t="s">
        <v>575</v>
      </c>
      <c r="L68" s="1324"/>
      <c r="M68" s="1324"/>
      <c r="N68" s="1324"/>
      <c r="O68" s="1323"/>
      <c r="P68" s="28" t="s">
        <v>576</v>
      </c>
      <c r="Q68" s="28" t="s">
        <v>577</v>
      </c>
      <c r="R68" s="28" t="s">
        <v>578</v>
      </c>
      <c r="S68" s="28" t="s">
        <v>579</v>
      </c>
      <c r="T68" s="28" t="s">
        <v>580</v>
      </c>
      <c r="U68" s="28" t="s">
        <v>581</v>
      </c>
      <c r="V68" s="28" t="s">
        <v>582</v>
      </c>
      <c r="W68" s="28" t="s">
        <v>583</v>
      </c>
    </row>
    <row r="69" spans="2:23" x14ac:dyDescent="0.45">
      <c r="B69" s="26"/>
    </row>
    <row r="70" spans="2:23" x14ac:dyDescent="0.45">
      <c r="B70" s="26"/>
      <c r="C70" s="77" t="s">
        <v>962</v>
      </c>
    </row>
    <row r="71" spans="2:23" ht="51" x14ac:dyDescent="0.45">
      <c r="B71" s="26">
        <f>B68+1</f>
        <v>62</v>
      </c>
      <c r="C71" s="63" t="s">
        <v>952</v>
      </c>
      <c r="D71" s="126" t="s">
        <v>37</v>
      </c>
      <c r="E71" s="126" t="s">
        <v>1076</v>
      </c>
      <c r="F71" s="126" t="s">
        <v>1023</v>
      </c>
      <c r="H71" s="127"/>
      <c r="I71" s="127"/>
      <c r="J71" s="127"/>
      <c r="K71" s="207" t="s">
        <v>980</v>
      </c>
      <c r="L71" s="127"/>
      <c r="M71" s="127"/>
      <c r="N71" s="207" t="s">
        <v>1002</v>
      </c>
      <c r="O71" s="207" t="s">
        <v>1022</v>
      </c>
      <c r="P71" s="127"/>
      <c r="Q71" s="127"/>
      <c r="R71" s="207" t="s">
        <v>1063</v>
      </c>
      <c r="S71" s="207" t="s">
        <v>979</v>
      </c>
      <c r="T71" s="127"/>
      <c r="U71" s="127"/>
      <c r="V71" s="208"/>
      <c r="W71" s="207" t="s">
        <v>978</v>
      </c>
    </row>
    <row r="72" spans="2:23" x14ac:dyDescent="0.45">
      <c r="B72" s="26">
        <f>B71+1</f>
        <v>63</v>
      </c>
      <c r="C72" s="63" t="s">
        <v>953</v>
      </c>
      <c r="D72" s="126" t="s">
        <v>37</v>
      </c>
      <c r="E72" s="126" t="s">
        <v>1068</v>
      </c>
      <c r="F72" s="209" t="s">
        <v>1096</v>
      </c>
      <c r="H72" s="127"/>
      <c r="I72" s="127"/>
      <c r="J72" s="127"/>
      <c r="K72" s="127"/>
      <c r="L72" s="1305" t="s">
        <v>955</v>
      </c>
      <c r="M72" s="1306"/>
      <c r="N72" s="1306"/>
      <c r="O72" s="1306"/>
      <c r="P72" s="1306"/>
      <c r="Q72" s="1306"/>
      <c r="R72" s="1306"/>
      <c r="S72" s="1306"/>
      <c r="T72" s="1306"/>
      <c r="U72" s="1306"/>
      <c r="V72" s="1306"/>
      <c r="W72" s="1307"/>
    </row>
    <row r="73" spans="2:23" x14ac:dyDescent="0.45">
      <c r="B73" s="26">
        <f t="shared" ref="B73:B87" si="3">B72+1</f>
        <v>64</v>
      </c>
      <c r="C73" s="63" t="s">
        <v>954</v>
      </c>
      <c r="D73" s="126" t="s">
        <v>66</v>
      </c>
      <c r="E73" s="126" t="s">
        <v>942</v>
      </c>
      <c r="F73" s="209" t="s">
        <v>1096</v>
      </c>
      <c r="H73" s="127"/>
      <c r="I73" s="127"/>
      <c r="J73" s="127"/>
      <c r="K73" s="127"/>
      <c r="L73" s="1305" t="s">
        <v>958</v>
      </c>
      <c r="M73" s="1306"/>
      <c r="N73" s="1306"/>
      <c r="O73" s="1306"/>
      <c r="P73" s="1306"/>
      <c r="Q73" s="1306"/>
      <c r="R73" s="1306"/>
      <c r="S73" s="1306"/>
      <c r="T73" s="1306"/>
      <c r="U73" s="1306"/>
      <c r="V73" s="1306"/>
      <c r="W73" s="1307"/>
    </row>
    <row r="74" spans="2:23" x14ac:dyDescent="0.45">
      <c r="B74" s="26">
        <f t="shared" si="3"/>
        <v>65</v>
      </c>
      <c r="C74" s="63" t="s">
        <v>956</v>
      </c>
      <c r="D74" s="126" t="s">
        <v>66</v>
      </c>
      <c r="E74" s="126" t="s">
        <v>943</v>
      </c>
      <c r="F74" s="209" t="s">
        <v>1096</v>
      </c>
      <c r="H74" s="127"/>
      <c r="I74" s="127"/>
      <c r="J74" s="127"/>
      <c r="K74" s="127"/>
      <c r="L74" s="1305" t="s">
        <v>957</v>
      </c>
      <c r="M74" s="1306"/>
      <c r="N74" s="1306"/>
      <c r="O74" s="1306"/>
      <c r="P74" s="1306"/>
      <c r="Q74" s="1306"/>
      <c r="R74" s="1306"/>
      <c r="S74" s="1306"/>
      <c r="T74" s="1306"/>
      <c r="U74" s="1306"/>
      <c r="V74" s="1306"/>
      <c r="W74" s="1307"/>
    </row>
    <row r="75" spans="2:23" x14ac:dyDescent="0.45">
      <c r="B75" s="26">
        <f t="shared" si="3"/>
        <v>66</v>
      </c>
      <c r="C75" s="63" t="s">
        <v>1099</v>
      </c>
      <c r="D75" s="126" t="s">
        <v>37</v>
      </c>
      <c r="E75" s="126" t="s">
        <v>944</v>
      </c>
      <c r="F75" s="126" t="s">
        <v>1036</v>
      </c>
      <c r="H75" s="1305" t="s">
        <v>1001</v>
      </c>
      <c r="I75" s="1306"/>
      <c r="J75" s="1306"/>
      <c r="K75" s="1306"/>
      <c r="L75" s="1306"/>
      <c r="M75" s="1307"/>
      <c r="N75" s="1305" t="s">
        <v>1000</v>
      </c>
      <c r="O75" s="1306"/>
      <c r="P75" s="1306"/>
      <c r="Q75" s="1306"/>
      <c r="R75" s="1307"/>
      <c r="S75" s="1305" t="s">
        <v>999</v>
      </c>
      <c r="T75" s="1306"/>
      <c r="U75" s="1306"/>
      <c r="V75" s="1306"/>
      <c r="W75" s="1307"/>
    </row>
    <row r="76" spans="2:23" x14ac:dyDescent="0.45">
      <c r="B76" s="26">
        <f t="shared" si="3"/>
        <v>67</v>
      </c>
      <c r="C76" s="63" t="s">
        <v>1100</v>
      </c>
      <c r="D76" s="126" t="s">
        <v>37</v>
      </c>
      <c r="E76" s="126" t="s">
        <v>945</v>
      </c>
      <c r="F76" s="126" t="s">
        <v>1038</v>
      </c>
      <c r="H76" s="1305" t="s">
        <v>1030</v>
      </c>
      <c r="I76" s="1306"/>
      <c r="J76" s="1306"/>
      <c r="K76" s="1306"/>
      <c r="L76" s="1306"/>
      <c r="M76" s="1306"/>
      <c r="N76" s="1306"/>
      <c r="O76" s="1306"/>
      <c r="P76" s="1307"/>
      <c r="Q76" s="1305" t="s">
        <v>1029</v>
      </c>
      <c r="R76" s="1306"/>
      <c r="S76" s="1306"/>
      <c r="T76" s="1306"/>
      <c r="U76" s="1306"/>
      <c r="V76" s="1306"/>
      <c r="W76" s="1307"/>
    </row>
    <row r="77" spans="2:23" x14ac:dyDescent="0.45">
      <c r="B77" s="26"/>
      <c r="C77" s="63" t="s">
        <v>1033</v>
      </c>
      <c r="D77" s="126" t="s">
        <v>37</v>
      </c>
      <c r="E77" s="126" t="s">
        <v>946</v>
      </c>
      <c r="F77" s="126" t="s">
        <v>1064</v>
      </c>
      <c r="H77" s="127"/>
      <c r="I77" s="1305" t="s">
        <v>1031</v>
      </c>
      <c r="J77" s="1306"/>
      <c r="K77" s="1306"/>
      <c r="L77" s="1306"/>
      <c r="M77" s="1306"/>
      <c r="N77" s="1306"/>
      <c r="O77" s="1307"/>
      <c r="P77" s="127"/>
      <c r="Q77" s="1305" t="s">
        <v>1032</v>
      </c>
      <c r="R77" s="1306"/>
      <c r="S77" s="1306"/>
      <c r="T77" s="1306"/>
      <c r="U77" s="1306"/>
      <c r="V77" s="1306"/>
      <c r="W77" s="1307"/>
    </row>
    <row r="78" spans="2:23" x14ac:dyDescent="0.45">
      <c r="B78" s="26">
        <f>B76+1</f>
        <v>68</v>
      </c>
      <c r="C78" s="63" t="s">
        <v>1003</v>
      </c>
      <c r="D78" s="126" t="s">
        <v>37</v>
      </c>
      <c r="E78" s="126" t="s">
        <v>947</v>
      </c>
      <c r="F78" s="126" t="s">
        <v>1035</v>
      </c>
      <c r="H78" s="127"/>
      <c r="I78" s="127"/>
      <c r="J78" s="127"/>
      <c r="K78" s="127"/>
      <c r="L78" s="127"/>
      <c r="M78" s="127"/>
      <c r="N78" s="205" t="s">
        <v>1004</v>
      </c>
      <c r="O78" s="1305" t="s">
        <v>1017</v>
      </c>
      <c r="P78" s="1306"/>
      <c r="Q78" s="1306"/>
      <c r="R78" s="1306"/>
      <c r="S78" s="1306"/>
      <c r="T78" s="1306"/>
      <c r="U78" s="1306"/>
      <c r="V78" s="1306"/>
      <c r="W78" s="1307"/>
    </row>
    <row r="79" spans="2:23" x14ac:dyDescent="0.45">
      <c r="B79" s="26">
        <f t="shared" si="3"/>
        <v>69</v>
      </c>
      <c r="C79" s="63" t="s">
        <v>1020</v>
      </c>
      <c r="D79" s="126" t="s">
        <v>37</v>
      </c>
      <c r="E79" s="126" t="s">
        <v>948</v>
      </c>
      <c r="F79" s="126" t="s">
        <v>1037</v>
      </c>
      <c r="H79" s="1305" t="s">
        <v>1019</v>
      </c>
      <c r="I79" s="1306"/>
      <c r="J79" s="1306"/>
      <c r="K79" s="1306"/>
      <c r="L79" s="1306"/>
      <c r="M79" s="1306"/>
      <c r="N79" s="1306"/>
      <c r="O79" s="1306"/>
      <c r="P79" s="1307"/>
      <c r="Q79" s="1305" t="s">
        <v>1018</v>
      </c>
      <c r="R79" s="1306"/>
      <c r="S79" s="1306"/>
      <c r="T79" s="1306"/>
      <c r="U79" s="1306"/>
      <c r="V79" s="1306"/>
      <c r="W79" s="1307"/>
    </row>
    <row r="80" spans="2:23" x14ac:dyDescent="0.45">
      <c r="B80" s="26">
        <f t="shared" si="3"/>
        <v>70</v>
      </c>
      <c r="C80" s="63" t="s">
        <v>1028</v>
      </c>
      <c r="D80" s="126" t="s">
        <v>37</v>
      </c>
      <c r="E80" s="126" t="s">
        <v>949</v>
      </c>
      <c r="F80" s="126" t="s">
        <v>1065</v>
      </c>
      <c r="H80" s="1305" t="s">
        <v>1025</v>
      </c>
      <c r="I80" s="1306"/>
      <c r="J80" s="1306"/>
      <c r="K80" s="1307"/>
      <c r="L80" s="128"/>
      <c r="M80" s="128"/>
      <c r="N80" s="128"/>
      <c r="O80" s="1305" t="s">
        <v>1024</v>
      </c>
      <c r="P80" s="1306"/>
      <c r="Q80" s="1306"/>
      <c r="R80" s="1306"/>
      <c r="S80" s="1306"/>
      <c r="T80" s="1306"/>
      <c r="U80" s="1306"/>
      <c r="V80" s="1306"/>
      <c r="W80" s="1307"/>
    </row>
    <row r="81" spans="2:23" x14ac:dyDescent="0.45">
      <c r="B81" s="26">
        <f t="shared" si="3"/>
        <v>71</v>
      </c>
      <c r="C81" s="63" t="s">
        <v>1027</v>
      </c>
      <c r="D81" s="126" t="s">
        <v>37</v>
      </c>
      <c r="E81" s="126" t="s">
        <v>950</v>
      </c>
      <c r="F81" s="126" t="s">
        <v>1066</v>
      </c>
      <c r="H81" s="1305" t="s">
        <v>1021</v>
      </c>
      <c r="I81" s="1306"/>
      <c r="J81" s="1306"/>
      <c r="K81" s="1306"/>
      <c r="L81" s="1306"/>
      <c r="M81" s="1306"/>
      <c r="N81" s="1306"/>
      <c r="O81" s="1306"/>
      <c r="P81" s="1306"/>
      <c r="Q81" s="1307"/>
      <c r="R81" s="1305" t="s">
        <v>1026</v>
      </c>
      <c r="S81" s="1306"/>
      <c r="T81" s="1306"/>
      <c r="U81" s="1306"/>
      <c r="V81" s="1306"/>
      <c r="W81" s="1307"/>
    </row>
    <row r="82" spans="2:23" x14ac:dyDescent="0.45">
      <c r="B82" s="26">
        <f t="shared" si="3"/>
        <v>72</v>
      </c>
      <c r="C82" s="63" t="s">
        <v>959</v>
      </c>
      <c r="D82" s="126" t="s">
        <v>37</v>
      </c>
      <c r="E82" s="126" t="s">
        <v>951</v>
      </c>
      <c r="F82" s="126" t="s">
        <v>331</v>
      </c>
      <c r="H82" s="1305" t="s">
        <v>1073</v>
      </c>
      <c r="I82" s="1306"/>
      <c r="J82" s="1306"/>
      <c r="K82" s="1306"/>
      <c r="L82" s="1306"/>
      <c r="M82" s="1306"/>
      <c r="N82" s="1306"/>
      <c r="O82" s="1306"/>
      <c r="P82" s="1306"/>
      <c r="Q82" s="1306"/>
      <c r="R82" s="1306"/>
      <c r="S82" s="1306"/>
      <c r="T82" s="1306"/>
      <c r="U82" s="1306"/>
      <c r="V82" s="1306"/>
      <c r="W82" s="1307"/>
    </row>
    <row r="83" spans="2:23" x14ac:dyDescent="0.45">
      <c r="B83" s="26">
        <f t="shared" si="3"/>
        <v>73</v>
      </c>
      <c r="C83" s="63" t="s">
        <v>1015</v>
      </c>
      <c r="D83" s="126" t="s">
        <v>37</v>
      </c>
      <c r="E83" s="126" t="s">
        <v>1009</v>
      </c>
      <c r="F83" s="126" t="s">
        <v>1034</v>
      </c>
      <c r="H83" s="127"/>
      <c r="I83" s="127"/>
      <c r="J83" s="127"/>
      <c r="K83" s="127"/>
      <c r="L83" s="1305" t="s">
        <v>1016</v>
      </c>
      <c r="M83" s="1306"/>
      <c r="N83" s="1306"/>
      <c r="O83" s="1306"/>
      <c r="P83" s="1306"/>
      <c r="Q83" s="1306"/>
      <c r="R83" s="1306"/>
      <c r="S83" s="1306"/>
      <c r="T83" s="1306"/>
      <c r="U83" s="1306"/>
      <c r="V83" s="1306"/>
      <c r="W83" s="1307"/>
    </row>
    <row r="84" spans="2:23" x14ac:dyDescent="0.45">
      <c r="B84" s="26">
        <f t="shared" si="3"/>
        <v>74</v>
      </c>
      <c r="C84" s="63" t="s">
        <v>1077</v>
      </c>
      <c r="D84" s="126" t="s">
        <v>37</v>
      </c>
      <c r="E84" s="126" t="s">
        <v>1010</v>
      </c>
      <c r="F84" s="126" t="s">
        <v>1103</v>
      </c>
      <c r="H84" s="127"/>
      <c r="I84" s="127"/>
      <c r="J84" s="127"/>
      <c r="K84" s="127"/>
      <c r="L84" s="1305" t="s">
        <v>1078</v>
      </c>
      <c r="M84" s="1306"/>
      <c r="N84" s="1306"/>
      <c r="O84" s="1306"/>
      <c r="P84" s="1306"/>
      <c r="Q84" s="1306"/>
      <c r="R84" s="1306"/>
      <c r="S84" s="1306"/>
      <c r="T84" s="1306"/>
      <c r="U84" s="1306"/>
      <c r="V84" s="1306"/>
      <c r="W84" s="1307"/>
    </row>
    <row r="85" spans="2:23" x14ac:dyDescent="0.45">
      <c r="B85" s="26">
        <f t="shared" si="3"/>
        <v>75</v>
      </c>
      <c r="C85" s="210" t="s">
        <v>960</v>
      </c>
      <c r="D85" s="126" t="s">
        <v>66</v>
      </c>
      <c r="E85" s="126" t="s">
        <v>1011</v>
      </c>
      <c r="F85" s="126" t="s">
        <v>344</v>
      </c>
      <c r="H85" s="127"/>
      <c r="I85" s="127"/>
      <c r="J85" s="127"/>
      <c r="K85" s="127"/>
      <c r="L85" s="127"/>
      <c r="M85" s="127"/>
      <c r="N85" s="127"/>
      <c r="O85" s="127"/>
      <c r="P85" s="1305" t="s">
        <v>1006</v>
      </c>
      <c r="Q85" s="1306"/>
      <c r="R85" s="1306"/>
      <c r="S85" s="1307"/>
      <c r="T85" s="1305" t="s">
        <v>1005</v>
      </c>
      <c r="U85" s="1306"/>
      <c r="V85" s="1306"/>
      <c r="W85" s="1307"/>
    </row>
    <row r="86" spans="2:23" x14ac:dyDescent="0.45">
      <c r="B86" s="26">
        <f t="shared" si="3"/>
        <v>76</v>
      </c>
      <c r="C86" s="210" t="s">
        <v>961</v>
      </c>
      <c r="D86" s="126" t="s">
        <v>66</v>
      </c>
      <c r="E86" s="126" t="s">
        <v>1012</v>
      </c>
      <c r="F86" s="126" t="s">
        <v>344</v>
      </c>
      <c r="H86" s="1305" t="s">
        <v>1075</v>
      </c>
      <c r="I86" s="1306"/>
      <c r="J86" s="1306"/>
      <c r="K86" s="1306"/>
      <c r="L86" s="1306"/>
      <c r="M86" s="1306"/>
      <c r="N86" s="1306"/>
      <c r="O86" s="1306"/>
      <c r="P86" s="1306"/>
      <c r="Q86" s="1306"/>
      <c r="R86" s="1306"/>
      <c r="S86" s="1306"/>
      <c r="T86" s="1306"/>
      <c r="U86" s="1306"/>
      <c r="V86" s="1306"/>
      <c r="W86" s="1307"/>
    </row>
    <row r="87" spans="2:23" x14ac:dyDescent="0.45">
      <c r="B87" s="26">
        <f t="shared" si="3"/>
        <v>77</v>
      </c>
      <c r="C87" s="210" t="s">
        <v>1008</v>
      </c>
      <c r="D87" s="126" t="s">
        <v>66</v>
      </c>
      <c r="E87" s="126" t="s">
        <v>1013</v>
      </c>
      <c r="F87" s="126" t="s">
        <v>344</v>
      </c>
      <c r="H87" s="1305" t="s">
        <v>1007</v>
      </c>
      <c r="I87" s="1306"/>
      <c r="J87" s="1306"/>
      <c r="K87" s="1306"/>
      <c r="L87" s="1306"/>
      <c r="M87" s="1306"/>
      <c r="N87" s="1306"/>
      <c r="O87" s="1307"/>
      <c r="P87" s="127"/>
      <c r="Q87" s="1305" t="s">
        <v>1069</v>
      </c>
      <c r="R87" s="1306"/>
      <c r="S87" s="1306"/>
      <c r="T87" s="1306"/>
      <c r="U87" s="1306"/>
      <c r="V87" s="1306"/>
      <c r="W87" s="1307"/>
    </row>
    <row r="88" spans="2:23" x14ac:dyDescent="0.45">
      <c r="B88" s="26"/>
      <c r="C88" s="210" t="s">
        <v>1071</v>
      </c>
      <c r="D88" s="126" t="s">
        <v>66</v>
      </c>
      <c r="E88" s="126" t="s">
        <v>1014</v>
      </c>
      <c r="F88" s="126" t="s">
        <v>344</v>
      </c>
      <c r="H88" s="127"/>
      <c r="I88" s="127"/>
      <c r="J88" s="127"/>
      <c r="K88" s="205" t="s">
        <v>1004</v>
      </c>
      <c r="L88" s="1305" t="s">
        <v>1070</v>
      </c>
      <c r="M88" s="1306"/>
      <c r="N88" s="1306"/>
      <c r="O88" s="1306"/>
      <c r="P88" s="1306"/>
      <c r="Q88" s="1306"/>
      <c r="R88" s="1306"/>
      <c r="S88" s="1306"/>
      <c r="T88" s="1306"/>
      <c r="U88" s="1306"/>
      <c r="V88" s="1306"/>
      <c r="W88" s="1307"/>
    </row>
    <row r="89" spans="2:23" x14ac:dyDescent="0.45">
      <c r="B89" s="26"/>
    </row>
    <row r="90" spans="2:23" x14ac:dyDescent="0.45">
      <c r="B90" s="26"/>
      <c r="C90" s="77" t="s">
        <v>584</v>
      </c>
    </row>
    <row r="91" spans="2:23" x14ac:dyDescent="0.45">
      <c r="B91" s="26">
        <f>B87+1</f>
        <v>78</v>
      </c>
      <c r="C91" s="25" t="s">
        <v>585</v>
      </c>
      <c r="D91" s="25" t="s">
        <v>37</v>
      </c>
      <c r="E91" s="25" t="s">
        <v>586</v>
      </c>
      <c r="F91" s="25" t="s">
        <v>331</v>
      </c>
      <c r="H91" s="29"/>
      <c r="I91" s="29"/>
      <c r="J91" s="29"/>
      <c r="K91" s="29"/>
      <c r="L91" s="1460" t="s">
        <v>587</v>
      </c>
      <c r="M91" s="1460"/>
      <c r="N91" s="1460"/>
      <c r="O91" s="1460"/>
      <c r="P91" s="1460"/>
      <c r="Q91" s="1460"/>
      <c r="R91" s="1460"/>
      <c r="S91" s="1460"/>
      <c r="T91" s="1460"/>
      <c r="U91" s="1460"/>
      <c r="V91" s="1460"/>
      <c r="W91" s="1460"/>
    </row>
    <row r="92" spans="2:23" x14ac:dyDescent="0.45">
      <c r="B92" s="26">
        <f t="shared" si="2"/>
        <v>79</v>
      </c>
      <c r="C92" s="25" t="s">
        <v>588</v>
      </c>
      <c r="D92" s="25" t="s">
        <v>66</v>
      </c>
      <c r="E92" s="25" t="s">
        <v>589</v>
      </c>
      <c r="F92" s="25" t="s">
        <v>331</v>
      </c>
      <c r="H92" s="1460" t="s">
        <v>590</v>
      </c>
      <c r="I92" s="1460"/>
      <c r="J92" s="1460"/>
      <c r="K92" s="1460"/>
      <c r="L92" s="1460" t="s">
        <v>591</v>
      </c>
      <c r="M92" s="1460"/>
      <c r="N92" s="1460"/>
      <c r="O92" s="1460"/>
      <c r="P92" s="1460" t="s">
        <v>592</v>
      </c>
      <c r="Q92" s="1460"/>
      <c r="R92" s="1460"/>
      <c r="S92" s="1460"/>
      <c r="T92" s="1460" t="s">
        <v>593</v>
      </c>
      <c r="U92" s="1460"/>
      <c r="V92" s="1460"/>
      <c r="W92" s="1460"/>
    </row>
    <row r="93" spans="2:23" x14ac:dyDescent="0.45">
      <c r="B93" s="26">
        <f t="shared" si="2"/>
        <v>80</v>
      </c>
      <c r="C93" s="25" t="s">
        <v>594</v>
      </c>
      <c r="D93" s="25" t="s">
        <v>66</v>
      </c>
      <c r="E93" s="25" t="s">
        <v>595</v>
      </c>
      <c r="F93" s="25" t="s">
        <v>331</v>
      </c>
      <c r="H93" s="1460" t="s">
        <v>596</v>
      </c>
      <c r="I93" s="1460"/>
      <c r="J93" s="1460"/>
      <c r="K93" s="1460"/>
      <c r="L93" s="1460" t="s">
        <v>597</v>
      </c>
      <c r="M93" s="1460"/>
      <c r="N93" s="1460"/>
      <c r="O93" s="1460"/>
      <c r="P93" s="1460" t="s">
        <v>598</v>
      </c>
      <c r="Q93" s="1460"/>
      <c r="R93" s="1460"/>
      <c r="S93" s="1460"/>
      <c r="T93" s="1460" t="s">
        <v>599</v>
      </c>
      <c r="U93" s="1460"/>
      <c r="V93" s="1460"/>
      <c r="W93" s="1460"/>
    </row>
    <row r="94" spans="2:23" x14ac:dyDescent="0.45">
      <c r="B94" s="26">
        <f t="shared" si="2"/>
        <v>81</v>
      </c>
      <c r="C94" s="25" t="s">
        <v>600</v>
      </c>
      <c r="D94" s="25" t="s">
        <v>66</v>
      </c>
      <c r="E94" s="25" t="s">
        <v>601</v>
      </c>
      <c r="F94" s="25" t="s">
        <v>331</v>
      </c>
      <c r="H94" s="1460" t="s">
        <v>602</v>
      </c>
      <c r="I94" s="1460"/>
      <c r="J94" s="1460"/>
      <c r="K94" s="1460"/>
      <c r="L94" s="1460" t="s">
        <v>603</v>
      </c>
      <c r="M94" s="1460"/>
      <c r="N94" s="1460"/>
      <c r="O94" s="1460"/>
      <c r="P94" s="1460" t="s">
        <v>604</v>
      </c>
      <c r="Q94" s="1460"/>
      <c r="R94" s="1460"/>
      <c r="S94" s="1460"/>
      <c r="T94" s="1460" t="s">
        <v>605</v>
      </c>
      <c r="U94" s="1460"/>
      <c r="V94" s="1460"/>
      <c r="W94" s="1460"/>
    </row>
    <row r="95" spans="2:23" x14ac:dyDescent="0.45">
      <c r="B95" s="26">
        <f t="shared" si="2"/>
        <v>82</v>
      </c>
      <c r="C95" s="25" t="s">
        <v>606</v>
      </c>
      <c r="D95" s="25" t="s">
        <v>66</v>
      </c>
      <c r="E95" s="25" t="s">
        <v>607</v>
      </c>
      <c r="F95" s="25" t="s">
        <v>331</v>
      </c>
      <c r="H95" s="1460" t="s">
        <v>608</v>
      </c>
      <c r="I95" s="1460"/>
      <c r="J95" s="1460"/>
      <c r="K95" s="1460"/>
      <c r="L95" s="1460" t="s">
        <v>609</v>
      </c>
      <c r="M95" s="1460"/>
      <c r="N95" s="1460"/>
      <c r="O95" s="1460"/>
      <c r="P95" s="1460" t="s">
        <v>610</v>
      </c>
      <c r="Q95" s="1460"/>
      <c r="R95" s="1460"/>
      <c r="S95" s="1460"/>
      <c r="T95" s="1460" t="s">
        <v>611</v>
      </c>
      <c r="U95" s="1460"/>
      <c r="V95" s="1460"/>
      <c r="W95" s="1460"/>
    </row>
    <row r="96" spans="2:23" x14ac:dyDescent="0.45">
      <c r="B96" s="26">
        <f t="shared" si="2"/>
        <v>83</v>
      </c>
      <c r="C96" s="25" t="s">
        <v>612</v>
      </c>
      <c r="D96" s="25" t="s">
        <v>66</v>
      </c>
      <c r="E96" s="25" t="s">
        <v>613</v>
      </c>
      <c r="F96" s="25" t="s">
        <v>331</v>
      </c>
      <c r="H96" s="1460" t="s">
        <v>614</v>
      </c>
      <c r="I96" s="1460"/>
      <c r="J96" s="1460"/>
      <c r="K96" s="1460"/>
      <c r="L96" s="1460" t="s">
        <v>615</v>
      </c>
      <c r="M96" s="1460"/>
      <c r="N96" s="1460"/>
      <c r="O96" s="1460"/>
      <c r="P96" s="1460" t="s">
        <v>616</v>
      </c>
      <c r="Q96" s="1460"/>
      <c r="R96" s="1460"/>
      <c r="S96" s="1460"/>
      <c r="T96" s="1460" t="s">
        <v>617</v>
      </c>
      <c r="U96" s="1460"/>
      <c r="V96" s="1460"/>
      <c r="W96" s="1460"/>
    </row>
    <row r="97" spans="2:23" x14ac:dyDescent="0.45">
      <c r="B97" s="26">
        <f t="shared" si="2"/>
        <v>84</v>
      </c>
      <c r="C97" s="25" t="s">
        <v>618</v>
      </c>
      <c r="D97" s="25" t="s">
        <v>66</v>
      </c>
      <c r="E97" s="25" t="s">
        <v>619</v>
      </c>
      <c r="F97" s="25" t="s">
        <v>331</v>
      </c>
      <c r="H97" s="1460" t="s">
        <v>620</v>
      </c>
      <c r="I97" s="1460"/>
      <c r="J97" s="1460"/>
      <c r="K97" s="1460"/>
      <c r="L97" s="1460" t="s">
        <v>621</v>
      </c>
      <c r="M97" s="1460"/>
      <c r="N97" s="1460"/>
      <c r="O97" s="1460"/>
      <c r="P97" s="1460" t="s">
        <v>622</v>
      </c>
      <c r="Q97" s="1460"/>
      <c r="R97" s="1460"/>
      <c r="S97" s="1460"/>
      <c r="T97" s="1460" t="s">
        <v>623</v>
      </c>
      <c r="U97" s="1460"/>
      <c r="V97" s="1460"/>
      <c r="W97" s="1460"/>
    </row>
    <row r="98" spans="2:23" x14ac:dyDescent="0.45">
      <c r="B98" s="26"/>
    </row>
    <row r="99" spans="2:23" x14ac:dyDescent="0.45">
      <c r="B99" s="26"/>
      <c r="C99" s="77" t="s">
        <v>624</v>
      </c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</row>
    <row r="100" spans="2:23" x14ac:dyDescent="0.45">
      <c r="B100" s="26">
        <f>B97+1</f>
        <v>85</v>
      </c>
      <c r="C100" s="53" t="s">
        <v>625</v>
      </c>
      <c r="D100" s="53" t="s">
        <v>37</v>
      </c>
      <c r="E100" s="53" t="s">
        <v>626</v>
      </c>
      <c r="F100" s="53" t="s">
        <v>331</v>
      </c>
      <c r="H100" s="29"/>
      <c r="I100" s="29"/>
      <c r="J100" s="29"/>
      <c r="K100" s="29"/>
      <c r="L100" s="1460" t="s">
        <v>587</v>
      </c>
      <c r="M100" s="1460"/>
      <c r="N100" s="1460"/>
      <c r="O100" s="1460"/>
      <c r="P100" s="1460"/>
      <c r="Q100" s="1460"/>
      <c r="R100" s="1460"/>
      <c r="S100" s="1460"/>
      <c r="T100" s="1460"/>
      <c r="U100" s="1460"/>
      <c r="V100" s="1460"/>
      <c r="W100" s="1460"/>
    </row>
    <row r="101" spans="2:23" x14ac:dyDescent="0.45">
      <c r="B101" s="26">
        <f t="shared" si="2"/>
        <v>86</v>
      </c>
      <c r="C101" s="53" t="s">
        <v>627</v>
      </c>
      <c r="D101" s="53" t="s">
        <v>37</v>
      </c>
      <c r="E101" s="53" t="s">
        <v>628</v>
      </c>
      <c r="F101" s="53" t="s">
        <v>331</v>
      </c>
      <c r="H101" s="29"/>
      <c r="I101" s="29"/>
      <c r="J101" s="29"/>
      <c r="K101" s="29"/>
      <c r="L101" s="1460" t="s">
        <v>587</v>
      </c>
      <c r="M101" s="1460"/>
      <c r="N101" s="1460"/>
      <c r="O101" s="1460"/>
      <c r="P101" s="1460"/>
      <c r="Q101" s="1460"/>
      <c r="R101" s="1460"/>
      <c r="S101" s="1460"/>
      <c r="T101" s="1460"/>
      <c r="U101" s="1460"/>
      <c r="V101" s="1460"/>
      <c r="W101" s="1460"/>
    </row>
    <row r="102" spans="2:23" x14ac:dyDescent="0.45">
      <c r="B102" s="26">
        <f t="shared" si="2"/>
        <v>87</v>
      </c>
      <c r="C102" s="53" t="s">
        <v>629</v>
      </c>
      <c r="D102" s="53" t="s">
        <v>37</v>
      </c>
      <c r="E102" s="53" t="s">
        <v>630</v>
      </c>
      <c r="F102" s="53" t="s">
        <v>344</v>
      </c>
      <c r="H102" s="29"/>
      <c r="I102" s="29"/>
      <c r="J102" s="29"/>
      <c r="K102" s="29"/>
      <c r="L102" s="1460" t="s">
        <v>631</v>
      </c>
      <c r="M102" s="1460"/>
      <c r="N102" s="1460"/>
      <c r="O102" s="1460"/>
      <c r="P102" s="1460"/>
      <c r="Q102" s="1460"/>
      <c r="R102" s="1460"/>
      <c r="S102" s="1460"/>
      <c r="T102" s="1460"/>
      <c r="U102" s="1460"/>
      <c r="V102" s="1460"/>
      <c r="W102" s="1460"/>
    </row>
    <row r="103" spans="2:23" x14ac:dyDescent="0.45">
      <c r="B103" s="26">
        <f t="shared" si="2"/>
        <v>88</v>
      </c>
      <c r="C103" s="53" t="s">
        <v>632</v>
      </c>
      <c r="D103" s="53" t="s">
        <v>37</v>
      </c>
      <c r="E103" s="53" t="s">
        <v>633</v>
      </c>
      <c r="F103" s="53" t="s">
        <v>344</v>
      </c>
      <c r="H103" s="29"/>
      <c r="I103" s="29"/>
      <c r="J103" s="29"/>
      <c r="K103" s="29"/>
      <c r="L103" s="1460" t="s">
        <v>631</v>
      </c>
      <c r="M103" s="1460"/>
      <c r="N103" s="1460"/>
      <c r="O103" s="1460"/>
      <c r="P103" s="1460"/>
      <c r="Q103" s="1460"/>
      <c r="R103" s="1460"/>
      <c r="S103" s="1460"/>
      <c r="T103" s="1460"/>
      <c r="U103" s="1460"/>
      <c r="V103" s="1460"/>
      <c r="W103" s="1460"/>
    </row>
    <row r="104" spans="2:23" x14ac:dyDescent="0.45">
      <c r="B104" s="26">
        <f t="shared" si="2"/>
        <v>89</v>
      </c>
      <c r="C104" s="53" t="s">
        <v>634</v>
      </c>
      <c r="D104" s="53" t="s">
        <v>37</v>
      </c>
      <c r="E104" s="53" t="s">
        <v>635</v>
      </c>
      <c r="F104" s="53" t="s">
        <v>344</v>
      </c>
      <c r="H104" s="29"/>
      <c r="I104" s="29"/>
      <c r="J104" s="29"/>
      <c r="K104" s="29"/>
      <c r="L104" s="1460" t="s">
        <v>631</v>
      </c>
      <c r="M104" s="1460"/>
      <c r="N104" s="1460"/>
      <c r="O104" s="1460"/>
      <c r="P104" s="1460"/>
      <c r="Q104" s="1460"/>
      <c r="R104" s="1460"/>
      <c r="S104" s="1460"/>
      <c r="T104" s="1460"/>
      <c r="U104" s="1460"/>
      <c r="V104" s="1460"/>
      <c r="W104" s="1460"/>
    </row>
    <row r="105" spans="2:23" x14ac:dyDescent="0.45">
      <c r="B105" s="26">
        <f t="shared" si="2"/>
        <v>90</v>
      </c>
      <c r="C105" s="53" t="s">
        <v>636</v>
      </c>
      <c r="D105" s="53" t="s">
        <v>37</v>
      </c>
      <c r="E105" s="53" t="s">
        <v>637</v>
      </c>
      <c r="F105" s="53" t="s">
        <v>344</v>
      </c>
      <c r="H105" s="29"/>
      <c r="I105" s="29"/>
      <c r="J105" s="29"/>
      <c r="K105" s="29"/>
      <c r="L105" s="1460" t="s">
        <v>631</v>
      </c>
      <c r="M105" s="1460"/>
      <c r="N105" s="1460"/>
      <c r="O105" s="1460"/>
      <c r="P105" s="1460"/>
      <c r="Q105" s="1460"/>
      <c r="R105" s="1460"/>
      <c r="S105" s="1460"/>
      <c r="T105" s="1460"/>
      <c r="U105" s="1460"/>
      <c r="V105" s="1460"/>
      <c r="W105" s="1460"/>
    </row>
    <row r="106" spans="2:23" x14ac:dyDescent="0.45">
      <c r="B106" s="26">
        <f t="shared" si="2"/>
        <v>91</v>
      </c>
      <c r="C106" s="53" t="s">
        <v>638</v>
      </c>
      <c r="D106" s="53" t="s">
        <v>37</v>
      </c>
      <c r="E106" s="53" t="s">
        <v>639</v>
      </c>
      <c r="F106" s="53" t="s">
        <v>344</v>
      </c>
      <c r="H106" s="29"/>
      <c r="I106" s="29"/>
      <c r="J106" s="29"/>
      <c r="K106" s="29"/>
      <c r="L106" s="1460" t="s">
        <v>631</v>
      </c>
      <c r="M106" s="1460"/>
      <c r="N106" s="1460"/>
      <c r="O106" s="1460"/>
      <c r="P106" s="1460"/>
      <c r="Q106" s="1460"/>
      <c r="R106" s="1460"/>
      <c r="S106" s="1460"/>
      <c r="T106" s="1460"/>
      <c r="U106" s="1460"/>
      <c r="V106" s="1460"/>
      <c r="W106" s="1460"/>
    </row>
    <row r="107" spans="2:23" x14ac:dyDescent="0.45">
      <c r="B107" s="26">
        <f t="shared" si="2"/>
        <v>92</v>
      </c>
      <c r="C107" s="53" t="s">
        <v>640</v>
      </c>
      <c r="D107" s="53" t="s">
        <v>37</v>
      </c>
      <c r="E107" s="53" t="s">
        <v>641</v>
      </c>
      <c r="F107" s="53" t="s">
        <v>344</v>
      </c>
      <c r="H107" s="29"/>
      <c r="I107" s="29"/>
      <c r="J107" s="29"/>
      <c r="K107" s="29"/>
      <c r="L107" s="1460" t="s">
        <v>631</v>
      </c>
      <c r="M107" s="1460"/>
      <c r="N107" s="1460"/>
      <c r="O107" s="1460"/>
      <c r="P107" s="1460"/>
      <c r="Q107" s="1460"/>
      <c r="R107" s="1460"/>
      <c r="S107" s="1460"/>
      <c r="T107" s="1460"/>
      <c r="U107" s="1460"/>
      <c r="V107" s="1460"/>
      <c r="W107" s="1460"/>
    </row>
    <row r="108" spans="2:23" x14ac:dyDescent="0.45">
      <c r="B108" s="26">
        <f t="shared" si="2"/>
        <v>93</v>
      </c>
      <c r="C108" s="25" t="s">
        <v>642</v>
      </c>
      <c r="D108" s="25" t="s">
        <v>37</v>
      </c>
      <c r="E108" s="25" t="s">
        <v>643</v>
      </c>
      <c r="F108" s="25" t="s">
        <v>331</v>
      </c>
      <c r="H108" s="29"/>
      <c r="I108" s="29"/>
      <c r="J108" s="29"/>
      <c r="K108" s="29"/>
      <c r="L108" s="1460" t="s">
        <v>587</v>
      </c>
      <c r="M108" s="1460"/>
      <c r="N108" s="1460"/>
      <c r="O108" s="1460"/>
      <c r="P108" s="1460"/>
      <c r="Q108" s="1460"/>
      <c r="R108" s="1460"/>
      <c r="S108" s="1460"/>
      <c r="T108" s="1460"/>
      <c r="U108" s="1460"/>
      <c r="V108" s="1460"/>
      <c r="W108" s="1460"/>
    </row>
    <row r="109" spans="2:23" x14ac:dyDescent="0.45">
      <c r="B109" s="26">
        <f t="shared" si="2"/>
        <v>94</v>
      </c>
      <c r="C109" s="25" t="s">
        <v>644</v>
      </c>
      <c r="D109" s="25" t="s">
        <v>37</v>
      </c>
      <c r="E109" s="25" t="s">
        <v>645</v>
      </c>
      <c r="F109" s="25" t="s">
        <v>331</v>
      </c>
      <c r="H109" s="29"/>
      <c r="I109" s="29"/>
      <c r="J109" s="29"/>
      <c r="K109" s="29"/>
      <c r="L109" s="1460" t="s">
        <v>587</v>
      </c>
      <c r="M109" s="1460"/>
      <c r="N109" s="1460"/>
      <c r="O109" s="1460"/>
      <c r="P109" s="1460"/>
      <c r="Q109" s="1460"/>
      <c r="R109" s="1460"/>
      <c r="S109" s="1460"/>
      <c r="T109" s="1460"/>
      <c r="U109" s="1460"/>
      <c r="V109" s="1460"/>
      <c r="W109" s="1460"/>
    </row>
    <row r="110" spans="2:23" x14ac:dyDescent="0.45">
      <c r="B110" s="26">
        <f t="shared" si="2"/>
        <v>95</v>
      </c>
      <c r="C110" s="25" t="s">
        <v>646</v>
      </c>
      <c r="D110" s="25" t="s">
        <v>37</v>
      </c>
      <c r="E110" s="25" t="s">
        <v>647</v>
      </c>
      <c r="F110" s="25" t="s">
        <v>344</v>
      </c>
      <c r="H110" s="29"/>
      <c r="I110" s="29"/>
      <c r="J110" s="29"/>
      <c r="K110" s="29"/>
      <c r="L110" s="1460" t="s">
        <v>631</v>
      </c>
      <c r="M110" s="1460"/>
      <c r="N110" s="1460"/>
      <c r="O110" s="1460"/>
      <c r="P110" s="1460"/>
      <c r="Q110" s="1460"/>
      <c r="R110" s="1460"/>
      <c r="S110" s="1460"/>
      <c r="T110" s="1460"/>
      <c r="U110" s="1460"/>
      <c r="V110" s="1460"/>
      <c r="W110" s="1460"/>
    </row>
    <row r="111" spans="2:23" x14ac:dyDescent="0.45">
      <c r="B111" s="26">
        <f t="shared" si="2"/>
        <v>96</v>
      </c>
      <c r="C111" s="25" t="s">
        <v>648</v>
      </c>
      <c r="D111" s="25" t="s">
        <v>37</v>
      </c>
      <c r="E111" s="25" t="s">
        <v>649</v>
      </c>
      <c r="F111" s="25" t="s">
        <v>344</v>
      </c>
      <c r="H111" s="29"/>
      <c r="I111" s="29"/>
      <c r="J111" s="29"/>
      <c r="K111" s="29"/>
      <c r="L111" s="1460" t="s">
        <v>631</v>
      </c>
      <c r="M111" s="1460"/>
      <c r="N111" s="1460"/>
      <c r="O111" s="1460"/>
      <c r="P111" s="1460"/>
      <c r="Q111" s="1460"/>
      <c r="R111" s="1460"/>
      <c r="S111" s="1460"/>
      <c r="T111" s="1460"/>
      <c r="U111" s="1460"/>
      <c r="V111" s="1460"/>
      <c r="W111" s="1460"/>
    </row>
    <row r="112" spans="2:23" x14ac:dyDescent="0.45">
      <c r="B112" s="26">
        <f t="shared" si="2"/>
        <v>97</v>
      </c>
      <c r="C112" s="25" t="s">
        <v>650</v>
      </c>
      <c r="D112" s="25" t="s">
        <v>37</v>
      </c>
      <c r="E112" s="25" t="s">
        <v>651</v>
      </c>
      <c r="F112" s="25" t="s">
        <v>344</v>
      </c>
      <c r="H112" s="29"/>
      <c r="I112" s="29"/>
      <c r="J112" s="29"/>
      <c r="K112" s="29"/>
      <c r="L112" s="1460" t="s">
        <v>631</v>
      </c>
      <c r="M112" s="1460"/>
      <c r="N112" s="1460"/>
      <c r="O112" s="1460"/>
      <c r="P112" s="1460"/>
      <c r="Q112" s="1460"/>
      <c r="R112" s="1460"/>
      <c r="S112" s="1460"/>
      <c r="T112" s="1460"/>
      <c r="U112" s="1460"/>
      <c r="V112" s="1460"/>
      <c r="W112" s="1460"/>
    </row>
    <row r="113" spans="2:23" x14ac:dyDescent="0.45">
      <c r="B113" s="26">
        <f t="shared" si="2"/>
        <v>98</v>
      </c>
      <c r="C113" s="25" t="s">
        <v>652</v>
      </c>
      <c r="D113" s="25" t="s">
        <v>37</v>
      </c>
      <c r="E113" s="25" t="s">
        <v>653</v>
      </c>
      <c r="F113" s="25" t="s">
        <v>344</v>
      </c>
      <c r="H113" s="29"/>
      <c r="I113" s="29"/>
      <c r="J113" s="29"/>
      <c r="K113" s="29"/>
      <c r="L113" s="1460" t="s">
        <v>631</v>
      </c>
      <c r="M113" s="1460"/>
      <c r="N113" s="1460"/>
      <c r="O113" s="1460"/>
      <c r="P113" s="1460"/>
      <c r="Q113" s="1460"/>
      <c r="R113" s="1460"/>
      <c r="S113" s="1460"/>
      <c r="T113" s="1460"/>
      <c r="U113" s="1460"/>
      <c r="V113" s="1460"/>
      <c r="W113" s="1460"/>
    </row>
    <row r="114" spans="2:23" x14ac:dyDescent="0.45">
      <c r="B114" s="26">
        <f t="shared" si="2"/>
        <v>99</v>
      </c>
      <c r="C114" s="25" t="s">
        <v>654</v>
      </c>
      <c r="D114" s="25" t="s">
        <v>37</v>
      </c>
      <c r="E114" s="25" t="s">
        <v>655</v>
      </c>
      <c r="F114" s="25" t="s">
        <v>344</v>
      </c>
      <c r="H114" s="29"/>
      <c r="I114" s="29"/>
      <c r="J114" s="29"/>
      <c r="K114" s="29"/>
      <c r="L114" s="1460" t="s">
        <v>631</v>
      </c>
      <c r="M114" s="1460"/>
      <c r="N114" s="1460"/>
      <c r="O114" s="1460"/>
      <c r="P114" s="1460"/>
      <c r="Q114" s="1460"/>
      <c r="R114" s="1460"/>
      <c r="S114" s="1460"/>
      <c r="T114" s="1460"/>
      <c r="U114" s="1460"/>
      <c r="V114" s="1460"/>
      <c r="W114" s="1460"/>
    </row>
    <row r="115" spans="2:23" x14ac:dyDescent="0.45">
      <c r="B115" s="26">
        <f t="shared" si="2"/>
        <v>100</v>
      </c>
      <c r="C115" s="25" t="s">
        <v>656</v>
      </c>
      <c r="D115" s="25" t="s">
        <v>37</v>
      </c>
      <c r="E115" s="25" t="s">
        <v>657</v>
      </c>
      <c r="F115" s="25" t="s">
        <v>344</v>
      </c>
      <c r="H115" s="29"/>
      <c r="I115" s="29"/>
      <c r="J115" s="29"/>
      <c r="K115" s="29"/>
      <c r="L115" s="1460" t="s">
        <v>631</v>
      </c>
      <c r="M115" s="1460"/>
      <c r="N115" s="1460"/>
      <c r="O115" s="1460"/>
      <c r="P115" s="1460"/>
      <c r="Q115" s="1460"/>
      <c r="R115" s="1460"/>
      <c r="S115" s="1460"/>
      <c r="T115" s="1460"/>
      <c r="U115" s="1460"/>
      <c r="V115" s="1460"/>
      <c r="W115" s="1460"/>
    </row>
    <row r="116" spans="2:23" x14ac:dyDescent="0.45">
      <c r="B116" s="26">
        <f t="shared" si="2"/>
        <v>101</v>
      </c>
      <c r="C116" s="53" t="s">
        <v>658</v>
      </c>
      <c r="D116" s="53" t="s">
        <v>37</v>
      </c>
      <c r="E116" s="53" t="s">
        <v>659</v>
      </c>
      <c r="F116" s="53" t="s">
        <v>331</v>
      </c>
      <c r="H116" s="29"/>
      <c r="I116" s="29"/>
      <c r="J116" s="29"/>
      <c r="K116" s="29"/>
      <c r="L116" s="1460" t="s">
        <v>587</v>
      </c>
      <c r="M116" s="1460"/>
      <c r="N116" s="1460"/>
      <c r="O116" s="1460"/>
      <c r="P116" s="1460"/>
      <c r="Q116" s="1460"/>
      <c r="R116" s="1460"/>
      <c r="S116" s="1460"/>
      <c r="T116" s="1460"/>
      <c r="U116" s="1460"/>
      <c r="V116" s="1460"/>
      <c r="W116" s="1460"/>
    </row>
    <row r="117" spans="2:23" x14ac:dyDescent="0.45">
      <c r="B117" s="26">
        <f t="shared" si="2"/>
        <v>102</v>
      </c>
      <c r="C117" s="53" t="s">
        <v>660</v>
      </c>
      <c r="D117" s="53" t="s">
        <v>37</v>
      </c>
      <c r="E117" s="53" t="s">
        <v>661</v>
      </c>
      <c r="F117" s="53" t="s">
        <v>331</v>
      </c>
      <c r="H117" s="29"/>
      <c r="I117" s="29"/>
      <c r="J117" s="29"/>
      <c r="K117" s="29"/>
      <c r="L117" s="1460" t="s">
        <v>587</v>
      </c>
      <c r="M117" s="1460"/>
      <c r="N117" s="1460"/>
      <c r="O117" s="1460"/>
      <c r="P117" s="1460"/>
      <c r="Q117" s="1460"/>
      <c r="R117" s="1460"/>
      <c r="S117" s="1460"/>
      <c r="T117" s="1460"/>
      <c r="U117" s="1460"/>
      <c r="V117" s="1460"/>
      <c r="W117" s="1460"/>
    </row>
    <row r="118" spans="2:23" x14ac:dyDescent="0.45">
      <c r="B118" s="26">
        <f t="shared" si="2"/>
        <v>103</v>
      </c>
      <c r="C118" s="53" t="s">
        <v>662</v>
      </c>
      <c r="D118" s="53" t="s">
        <v>37</v>
      </c>
      <c r="E118" s="53" t="s">
        <v>663</v>
      </c>
      <c r="F118" s="53" t="s">
        <v>344</v>
      </c>
      <c r="H118" s="29"/>
      <c r="I118" s="29"/>
      <c r="J118" s="29"/>
      <c r="K118" s="29"/>
      <c r="L118" s="1460" t="s">
        <v>631</v>
      </c>
      <c r="M118" s="1460"/>
      <c r="N118" s="1460"/>
      <c r="O118" s="1460"/>
      <c r="P118" s="1460"/>
      <c r="Q118" s="1460"/>
      <c r="R118" s="1460"/>
      <c r="S118" s="1460"/>
      <c r="T118" s="1460"/>
      <c r="U118" s="1460"/>
      <c r="V118" s="1460"/>
      <c r="W118" s="1460"/>
    </row>
    <row r="119" spans="2:23" x14ac:dyDescent="0.45">
      <c r="B119" s="26">
        <f t="shared" si="2"/>
        <v>104</v>
      </c>
      <c r="C119" s="53" t="s">
        <v>664</v>
      </c>
      <c r="D119" s="53" t="s">
        <v>37</v>
      </c>
      <c r="E119" s="53" t="s">
        <v>665</v>
      </c>
      <c r="F119" s="53" t="s">
        <v>344</v>
      </c>
      <c r="H119" s="29"/>
      <c r="I119" s="29"/>
      <c r="J119" s="29"/>
      <c r="K119" s="29"/>
      <c r="L119" s="1460" t="s">
        <v>631</v>
      </c>
      <c r="M119" s="1460"/>
      <c r="N119" s="1460"/>
      <c r="O119" s="1460"/>
      <c r="P119" s="1460"/>
      <c r="Q119" s="1460"/>
      <c r="R119" s="1460"/>
      <c r="S119" s="1460"/>
      <c r="T119" s="1460"/>
      <c r="U119" s="1460"/>
      <c r="V119" s="1460"/>
      <c r="W119" s="1460"/>
    </row>
    <row r="120" spans="2:23" x14ac:dyDescent="0.45">
      <c r="B120" s="26">
        <f t="shared" si="2"/>
        <v>105</v>
      </c>
      <c r="C120" s="53" t="s">
        <v>666</v>
      </c>
      <c r="D120" s="53" t="s">
        <v>37</v>
      </c>
      <c r="E120" s="53" t="s">
        <v>667</v>
      </c>
      <c r="F120" s="53" t="s">
        <v>344</v>
      </c>
      <c r="H120" s="29"/>
      <c r="I120" s="29"/>
      <c r="J120" s="29"/>
      <c r="K120" s="29"/>
      <c r="L120" s="1460" t="s">
        <v>631</v>
      </c>
      <c r="M120" s="1460"/>
      <c r="N120" s="1460"/>
      <c r="O120" s="1460"/>
      <c r="P120" s="1460"/>
      <c r="Q120" s="1460"/>
      <c r="R120" s="1460"/>
      <c r="S120" s="1460"/>
      <c r="T120" s="1460"/>
      <c r="U120" s="1460"/>
      <c r="V120" s="1460"/>
      <c r="W120" s="1460"/>
    </row>
    <row r="121" spans="2:23" x14ac:dyDescent="0.45">
      <c r="B121" s="26">
        <f t="shared" si="2"/>
        <v>106</v>
      </c>
      <c r="C121" s="53" t="s">
        <v>668</v>
      </c>
      <c r="D121" s="53" t="s">
        <v>37</v>
      </c>
      <c r="E121" s="53" t="s">
        <v>669</v>
      </c>
      <c r="F121" s="53" t="s">
        <v>344</v>
      </c>
      <c r="H121" s="29"/>
      <c r="I121" s="29"/>
      <c r="J121" s="29"/>
      <c r="K121" s="29"/>
      <c r="L121" s="1460" t="s">
        <v>631</v>
      </c>
      <c r="M121" s="1460"/>
      <c r="N121" s="1460"/>
      <c r="O121" s="1460"/>
      <c r="P121" s="1460"/>
      <c r="Q121" s="1460"/>
      <c r="R121" s="1460"/>
      <c r="S121" s="1460"/>
      <c r="T121" s="1460"/>
      <c r="U121" s="1460"/>
      <c r="V121" s="1460"/>
      <c r="W121" s="1460"/>
    </row>
    <row r="122" spans="2:23" x14ac:dyDescent="0.45">
      <c r="B122" s="26">
        <f t="shared" si="2"/>
        <v>107</v>
      </c>
      <c r="C122" s="53" t="s">
        <v>670</v>
      </c>
      <c r="D122" s="53" t="s">
        <v>37</v>
      </c>
      <c r="E122" s="53" t="s">
        <v>671</v>
      </c>
      <c r="F122" s="53" t="s">
        <v>344</v>
      </c>
      <c r="H122" s="29"/>
      <c r="I122" s="29"/>
      <c r="J122" s="29"/>
      <c r="K122" s="29"/>
      <c r="L122" s="1460" t="s">
        <v>631</v>
      </c>
      <c r="M122" s="1460"/>
      <c r="N122" s="1460"/>
      <c r="O122" s="1460"/>
      <c r="P122" s="1460"/>
      <c r="Q122" s="1460"/>
      <c r="R122" s="1460"/>
      <c r="S122" s="1460"/>
      <c r="T122" s="1460"/>
      <c r="U122" s="1460"/>
      <c r="V122" s="1460"/>
      <c r="W122" s="1460"/>
    </row>
    <row r="123" spans="2:23" x14ac:dyDescent="0.45">
      <c r="B123" s="26">
        <f t="shared" si="2"/>
        <v>108</v>
      </c>
      <c r="C123" s="53" t="s">
        <v>672</v>
      </c>
      <c r="D123" s="53" t="s">
        <v>37</v>
      </c>
      <c r="E123" s="53" t="s">
        <v>673</v>
      </c>
      <c r="F123" s="53" t="s">
        <v>344</v>
      </c>
      <c r="H123" s="29"/>
      <c r="I123" s="29"/>
      <c r="J123" s="29"/>
      <c r="K123" s="29"/>
      <c r="L123" s="1460" t="s">
        <v>631</v>
      </c>
      <c r="M123" s="1460"/>
      <c r="N123" s="1460"/>
      <c r="O123" s="1460"/>
      <c r="P123" s="1460"/>
      <c r="Q123" s="1460"/>
      <c r="R123" s="1460"/>
      <c r="S123" s="1460"/>
      <c r="T123" s="1460"/>
      <c r="U123" s="1460"/>
      <c r="V123" s="1460"/>
      <c r="W123" s="1460"/>
    </row>
    <row r="124" spans="2:23" x14ac:dyDescent="0.45">
      <c r="B124" s="26">
        <f t="shared" si="2"/>
        <v>109</v>
      </c>
      <c r="C124" s="25" t="s">
        <v>674</v>
      </c>
      <c r="D124" s="25" t="s">
        <v>37</v>
      </c>
      <c r="E124" s="25" t="s">
        <v>675</v>
      </c>
      <c r="F124" s="25" t="s">
        <v>331</v>
      </c>
      <c r="H124" s="29"/>
      <c r="I124" s="29"/>
      <c r="J124" s="29"/>
      <c r="K124" s="29"/>
      <c r="L124" s="1460" t="s">
        <v>587</v>
      </c>
      <c r="M124" s="1460"/>
      <c r="N124" s="1460"/>
      <c r="O124" s="1460"/>
      <c r="P124" s="1460"/>
      <c r="Q124" s="1460"/>
      <c r="R124" s="1460"/>
      <c r="S124" s="1460"/>
      <c r="T124" s="1460"/>
      <c r="U124" s="1460"/>
      <c r="V124" s="1460"/>
      <c r="W124" s="1460"/>
    </row>
    <row r="125" spans="2:23" x14ac:dyDescent="0.45">
      <c r="B125" s="26">
        <f t="shared" si="2"/>
        <v>110</v>
      </c>
      <c r="C125" s="25" t="s">
        <v>676</v>
      </c>
      <c r="D125" s="25" t="s">
        <v>37</v>
      </c>
      <c r="E125" s="25" t="s">
        <v>677</v>
      </c>
      <c r="F125" s="25" t="s">
        <v>331</v>
      </c>
      <c r="H125" s="29"/>
      <c r="I125" s="29"/>
      <c r="J125" s="29"/>
      <c r="K125" s="29"/>
      <c r="L125" s="1460" t="s">
        <v>587</v>
      </c>
      <c r="M125" s="1460"/>
      <c r="N125" s="1460"/>
      <c r="O125" s="1460"/>
      <c r="P125" s="1460"/>
      <c r="Q125" s="1460"/>
      <c r="R125" s="1460"/>
      <c r="S125" s="1460"/>
      <c r="T125" s="1460"/>
      <c r="U125" s="1460"/>
      <c r="V125" s="1460"/>
      <c r="W125" s="1460"/>
    </row>
    <row r="126" spans="2:23" x14ac:dyDescent="0.45">
      <c r="B126" s="26">
        <f t="shared" si="2"/>
        <v>111</v>
      </c>
      <c r="C126" s="25" t="s">
        <v>678</v>
      </c>
      <c r="D126" s="25" t="s">
        <v>37</v>
      </c>
      <c r="E126" s="25" t="s">
        <v>679</v>
      </c>
      <c r="F126" s="25" t="s">
        <v>344</v>
      </c>
      <c r="H126" s="29"/>
      <c r="I126" s="29"/>
      <c r="J126" s="29"/>
      <c r="K126" s="29"/>
      <c r="L126" s="1460" t="s">
        <v>631</v>
      </c>
      <c r="M126" s="1460"/>
      <c r="N126" s="1460"/>
      <c r="O126" s="1460"/>
      <c r="P126" s="1460"/>
      <c r="Q126" s="1460"/>
      <c r="R126" s="1460"/>
      <c r="S126" s="1460"/>
      <c r="T126" s="1460"/>
      <c r="U126" s="1460"/>
      <c r="V126" s="1460"/>
      <c r="W126" s="1460"/>
    </row>
    <row r="127" spans="2:23" x14ac:dyDescent="0.45">
      <c r="B127" s="26">
        <f t="shared" si="2"/>
        <v>112</v>
      </c>
      <c r="C127" s="25" t="s">
        <v>680</v>
      </c>
      <c r="D127" s="25" t="s">
        <v>37</v>
      </c>
      <c r="E127" s="25" t="s">
        <v>681</v>
      </c>
      <c r="F127" s="25" t="s">
        <v>344</v>
      </c>
      <c r="H127" s="29"/>
      <c r="I127" s="29"/>
      <c r="J127" s="29"/>
      <c r="K127" s="29"/>
      <c r="L127" s="1460" t="s">
        <v>631</v>
      </c>
      <c r="M127" s="1460"/>
      <c r="N127" s="1460"/>
      <c r="O127" s="1460"/>
      <c r="P127" s="1460"/>
      <c r="Q127" s="1460"/>
      <c r="R127" s="1460"/>
      <c r="S127" s="1460"/>
      <c r="T127" s="1460"/>
      <c r="U127" s="1460"/>
      <c r="V127" s="1460"/>
      <c r="W127" s="1460"/>
    </row>
    <row r="128" spans="2:23" x14ac:dyDescent="0.45">
      <c r="B128" s="26">
        <f t="shared" si="2"/>
        <v>113</v>
      </c>
      <c r="C128" s="25" t="s">
        <v>682</v>
      </c>
      <c r="D128" s="25" t="s">
        <v>37</v>
      </c>
      <c r="E128" s="25" t="s">
        <v>683</v>
      </c>
      <c r="F128" s="25" t="s">
        <v>344</v>
      </c>
      <c r="H128" s="29"/>
      <c r="I128" s="29"/>
      <c r="J128" s="29"/>
      <c r="K128" s="29"/>
      <c r="L128" s="1460" t="s">
        <v>631</v>
      </c>
      <c r="M128" s="1460"/>
      <c r="N128" s="1460"/>
      <c r="O128" s="1460"/>
      <c r="P128" s="1460"/>
      <c r="Q128" s="1460"/>
      <c r="R128" s="1460"/>
      <c r="S128" s="1460"/>
      <c r="T128" s="1460"/>
      <c r="U128" s="1460"/>
      <c r="V128" s="1460"/>
      <c r="W128" s="1460"/>
    </row>
    <row r="129" spans="2:23" x14ac:dyDescent="0.45">
      <c r="B129" s="26">
        <f t="shared" si="2"/>
        <v>114</v>
      </c>
      <c r="C129" s="25" t="s">
        <v>684</v>
      </c>
      <c r="D129" s="25" t="s">
        <v>37</v>
      </c>
      <c r="E129" s="25" t="s">
        <v>685</v>
      </c>
      <c r="F129" s="25" t="s">
        <v>344</v>
      </c>
      <c r="H129" s="29"/>
      <c r="I129" s="29"/>
      <c r="J129" s="29"/>
      <c r="K129" s="29"/>
      <c r="L129" s="1460" t="s">
        <v>631</v>
      </c>
      <c r="M129" s="1460"/>
      <c r="N129" s="1460"/>
      <c r="O129" s="1460"/>
      <c r="P129" s="1460"/>
      <c r="Q129" s="1460"/>
      <c r="R129" s="1460"/>
      <c r="S129" s="1460"/>
      <c r="T129" s="1460"/>
      <c r="U129" s="1460"/>
      <c r="V129" s="1460"/>
      <c r="W129" s="1460"/>
    </row>
    <row r="130" spans="2:23" x14ac:dyDescent="0.45">
      <c r="B130" s="26">
        <f t="shared" si="2"/>
        <v>115</v>
      </c>
      <c r="C130" s="25" t="s">
        <v>686</v>
      </c>
      <c r="D130" s="25" t="s">
        <v>37</v>
      </c>
      <c r="E130" s="25" t="s">
        <v>687</v>
      </c>
      <c r="F130" s="25" t="s">
        <v>344</v>
      </c>
      <c r="H130" s="29"/>
      <c r="I130" s="29"/>
      <c r="J130" s="29"/>
      <c r="K130" s="29"/>
      <c r="L130" s="1460" t="s">
        <v>631</v>
      </c>
      <c r="M130" s="1460"/>
      <c r="N130" s="1460"/>
      <c r="O130" s="1460"/>
      <c r="P130" s="1460"/>
      <c r="Q130" s="1460"/>
      <c r="R130" s="1460"/>
      <c r="S130" s="1460"/>
      <c r="T130" s="1460"/>
      <c r="U130" s="1460"/>
      <c r="V130" s="1460"/>
      <c r="W130" s="1460"/>
    </row>
    <row r="131" spans="2:23" x14ac:dyDescent="0.45">
      <c r="B131" s="26">
        <f t="shared" si="2"/>
        <v>116</v>
      </c>
      <c r="C131" s="25" t="s">
        <v>688</v>
      </c>
      <c r="D131" s="25" t="s">
        <v>37</v>
      </c>
      <c r="E131" s="25" t="s">
        <v>689</v>
      </c>
      <c r="F131" s="25" t="s">
        <v>344</v>
      </c>
      <c r="H131" s="29"/>
      <c r="I131" s="29"/>
      <c r="J131" s="29"/>
      <c r="K131" s="29"/>
      <c r="L131" s="1460" t="s">
        <v>631</v>
      </c>
      <c r="M131" s="1460"/>
      <c r="N131" s="1460"/>
      <c r="O131" s="1460"/>
      <c r="P131" s="1460"/>
      <c r="Q131" s="1460"/>
      <c r="R131" s="1460"/>
      <c r="S131" s="1460"/>
      <c r="T131" s="1460"/>
      <c r="U131" s="1460"/>
      <c r="V131" s="1460"/>
      <c r="W131" s="1460"/>
    </row>
    <row r="132" spans="2:23" x14ac:dyDescent="0.45">
      <c r="B132" s="26">
        <f t="shared" si="2"/>
        <v>117</v>
      </c>
      <c r="C132" s="53" t="s">
        <v>690</v>
      </c>
      <c r="D132" s="53" t="s">
        <v>37</v>
      </c>
      <c r="E132" s="53" t="s">
        <v>691</v>
      </c>
      <c r="F132" s="53" t="s">
        <v>331</v>
      </c>
      <c r="H132" s="29"/>
      <c r="I132" s="29"/>
      <c r="J132" s="29"/>
      <c r="K132" s="29"/>
      <c r="L132" s="1460" t="s">
        <v>587</v>
      </c>
      <c r="M132" s="1460"/>
      <c r="N132" s="1460"/>
      <c r="O132" s="1460"/>
      <c r="P132" s="1460"/>
      <c r="Q132" s="1460"/>
      <c r="R132" s="1460"/>
      <c r="S132" s="1460"/>
      <c r="T132" s="1460"/>
      <c r="U132" s="1460"/>
      <c r="V132" s="1460"/>
      <c r="W132" s="1460"/>
    </row>
    <row r="133" spans="2:23" x14ac:dyDescent="0.45">
      <c r="B133" s="26">
        <f t="shared" si="2"/>
        <v>118</v>
      </c>
      <c r="C133" s="53" t="s">
        <v>692</v>
      </c>
      <c r="D133" s="53" t="s">
        <v>37</v>
      </c>
      <c r="E133" s="53" t="s">
        <v>693</v>
      </c>
      <c r="F133" s="53" t="s">
        <v>331</v>
      </c>
      <c r="H133" s="29"/>
      <c r="I133" s="29"/>
      <c r="J133" s="29"/>
      <c r="K133" s="29"/>
      <c r="L133" s="1460" t="s">
        <v>587</v>
      </c>
      <c r="M133" s="1460"/>
      <c r="N133" s="1460"/>
      <c r="O133" s="1460"/>
      <c r="P133" s="1460"/>
      <c r="Q133" s="1460"/>
      <c r="R133" s="1460"/>
      <c r="S133" s="1460"/>
      <c r="T133" s="1460"/>
      <c r="U133" s="1460"/>
      <c r="V133" s="1460"/>
      <c r="W133" s="1460"/>
    </row>
    <row r="134" spans="2:23" x14ac:dyDescent="0.45">
      <c r="B134" s="26">
        <f t="shared" si="2"/>
        <v>119</v>
      </c>
      <c r="C134" s="53" t="s">
        <v>694</v>
      </c>
      <c r="D134" s="53" t="s">
        <v>37</v>
      </c>
      <c r="E134" s="53" t="s">
        <v>695</v>
      </c>
      <c r="F134" s="53" t="s">
        <v>344</v>
      </c>
      <c r="H134" s="29"/>
      <c r="I134" s="29"/>
      <c r="J134" s="29"/>
      <c r="K134" s="29"/>
      <c r="L134" s="1460" t="s">
        <v>631</v>
      </c>
      <c r="M134" s="1460"/>
      <c r="N134" s="1460"/>
      <c r="O134" s="1460"/>
      <c r="P134" s="1460"/>
      <c r="Q134" s="1460"/>
      <c r="R134" s="1460"/>
      <c r="S134" s="1460"/>
      <c r="T134" s="1460"/>
      <c r="U134" s="1460"/>
      <c r="V134" s="1460"/>
      <c r="W134" s="1460"/>
    </row>
    <row r="135" spans="2:23" x14ac:dyDescent="0.45">
      <c r="B135" s="26">
        <f t="shared" si="2"/>
        <v>120</v>
      </c>
      <c r="C135" s="53" t="s">
        <v>696</v>
      </c>
      <c r="D135" s="53" t="s">
        <v>37</v>
      </c>
      <c r="E135" s="53" t="s">
        <v>697</v>
      </c>
      <c r="F135" s="53" t="s">
        <v>344</v>
      </c>
      <c r="H135" s="29"/>
      <c r="I135" s="29"/>
      <c r="J135" s="29"/>
      <c r="K135" s="29"/>
      <c r="L135" s="1460" t="s">
        <v>631</v>
      </c>
      <c r="M135" s="1460"/>
      <c r="N135" s="1460"/>
      <c r="O135" s="1460"/>
      <c r="P135" s="1460"/>
      <c r="Q135" s="1460"/>
      <c r="R135" s="1460"/>
      <c r="S135" s="1460"/>
      <c r="T135" s="1460"/>
      <c r="U135" s="1460"/>
      <c r="V135" s="1460"/>
      <c r="W135" s="1460"/>
    </row>
    <row r="136" spans="2:23" x14ac:dyDescent="0.45">
      <c r="B136" s="26">
        <f t="shared" si="2"/>
        <v>121</v>
      </c>
      <c r="C136" s="53" t="s">
        <v>698</v>
      </c>
      <c r="D136" s="53" t="s">
        <v>37</v>
      </c>
      <c r="E136" s="53" t="s">
        <v>699</v>
      </c>
      <c r="F136" s="53" t="s">
        <v>344</v>
      </c>
      <c r="H136" s="29"/>
      <c r="I136" s="29"/>
      <c r="J136" s="29"/>
      <c r="K136" s="29"/>
      <c r="L136" s="1460" t="s">
        <v>631</v>
      </c>
      <c r="M136" s="1460"/>
      <c r="N136" s="1460"/>
      <c r="O136" s="1460"/>
      <c r="P136" s="1460"/>
      <c r="Q136" s="1460"/>
      <c r="R136" s="1460"/>
      <c r="S136" s="1460"/>
      <c r="T136" s="1460"/>
      <c r="U136" s="1460"/>
      <c r="V136" s="1460"/>
      <c r="W136" s="1460"/>
    </row>
    <row r="137" spans="2:23" x14ac:dyDescent="0.45">
      <c r="B137" s="26">
        <f t="shared" si="2"/>
        <v>122</v>
      </c>
      <c r="C137" s="53" t="s">
        <v>700</v>
      </c>
      <c r="D137" s="53" t="s">
        <v>37</v>
      </c>
      <c r="E137" s="53" t="s">
        <v>701</v>
      </c>
      <c r="F137" s="53" t="s">
        <v>344</v>
      </c>
      <c r="H137" s="29"/>
      <c r="I137" s="29"/>
      <c r="J137" s="29"/>
      <c r="K137" s="29"/>
      <c r="L137" s="1460" t="s">
        <v>631</v>
      </c>
      <c r="M137" s="1460"/>
      <c r="N137" s="1460"/>
      <c r="O137" s="1460"/>
      <c r="P137" s="1460"/>
      <c r="Q137" s="1460"/>
      <c r="R137" s="1460"/>
      <c r="S137" s="1460"/>
      <c r="T137" s="1460"/>
      <c r="U137" s="1460"/>
      <c r="V137" s="1460"/>
      <c r="W137" s="1460"/>
    </row>
    <row r="138" spans="2:23" x14ac:dyDescent="0.45">
      <c r="B138" s="26">
        <f t="shared" si="2"/>
        <v>123</v>
      </c>
      <c r="C138" s="53" t="s">
        <v>702</v>
      </c>
      <c r="D138" s="53" t="s">
        <v>37</v>
      </c>
      <c r="E138" s="53" t="s">
        <v>703</v>
      </c>
      <c r="F138" s="53" t="s">
        <v>344</v>
      </c>
      <c r="H138" s="29"/>
      <c r="I138" s="29"/>
      <c r="J138" s="29"/>
      <c r="K138" s="29"/>
      <c r="L138" s="1460" t="s">
        <v>631</v>
      </c>
      <c r="M138" s="1460"/>
      <c r="N138" s="1460"/>
      <c r="O138" s="1460"/>
      <c r="P138" s="1460"/>
      <c r="Q138" s="1460"/>
      <c r="R138" s="1460"/>
      <c r="S138" s="1460"/>
      <c r="T138" s="1460"/>
      <c r="U138" s="1460"/>
      <c r="V138" s="1460"/>
      <c r="W138" s="1460"/>
    </row>
    <row r="139" spans="2:23" x14ac:dyDescent="0.45">
      <c r="B139" s="26">
        <f t="shared" si="2"/>
        <v>124</v>
      </c>
      <c r="C139" s="53" t="s">
        <v>704</v>
      </c>
      <c r="D139" s="53" t="s">
        <v>37</v>
      </c>
      <c r="E139" s="53" t="s">
        <v>705</v>
      </c>
      <c r="F139" s="53" t="s">
        <v>344</v>
      </c>
      <c r="H139" s="29"/>
      <c r="I139" s="29"/>
      <c r="J139" s="29"/>
      <c r="K139" s="29"/>
      <c r="L139" s="1460" t="s">
        <v>631</v>
      </c>
      <c r="M139" s="1460"/>
      <c r="N139" s="1460"/>
      <c r="O139" s="1460"/>
      <c r="P139" s="1460"/>
      <c r="Q139" s="1460"/>
      <c r="R139" s="1460"/>
      <c r="S139" s="1460"/>
      <c r="T139" s="1460"/>
      <c r="U139" s="1460"/>
      <c r="V139" s="1460"/>
      <c r="W139" s="1460"/>
    </row>
    <row r="140" spans="2:23" x14ac:dyDescent="0.45">
      <c r="B140" s="26">
        <f t="shared" si="2"/>
        <v>125</v>
      </c>
      <c r="C140" s="25" t="s">
        <v>706</v>
      </c>
      <c r="D140" s="25" t="s">
        <v>37</v>
      </c>
      <c r="E140" s="25" t="s">
        <v>707</v>
      </c>
      <c r="F140" s="25" t="s">
        <v>331</v>
      </c>
      <c r="H140" s="29"/>
      <c r="I140" s="29"/>
      <c r="J140" s="29"/>
      <c r="K140" s="29"/>
      <c r="L140" s="1460" t="s">
        <v>587</v>
      </c>
      <c r="M140" s="1460"/>
      <c r="N140" s="1460"/>
      <c r="O140" s="1460"/>
      <c r="P140" s="1460"/>
      <c r="Q140" s="1460"/>
      <c r="R140" s="1460"/>
      <c r="S140" s="1460"/>
      <c r="T140" s="1460"/>
      <c r="U140" s="1460"/>
      <c r="V140" s="1460"/>
      <c r="W140" s="1460"/>
    </row>
    <row r="141" spans="2:23" x14ac:dyDescent="0.45">
      <c r="B141" s="26">
        <f t="shared" si="2"/>
        <v>126</v>
      </c>
      <c r="C141" s="25" t="s">
        <v>708</v>
      </c>
      <c r="D141" s="25" t="s">
        <v>37</v>
      </c>
      <c r="E141" s="25" t="s">
        <v>709</v>
      </c>
      <c r="F141" s="25" t="s">
        <v>331</v>
      </c>
      <c r="H141" s="29"/>
      <c r="I141" s="29"/>
      <c r="J141" s="29"/>
      <c r="K141" s="29"/>
      <c r="L141" s="1460" t="s">
        <v>587</v>
      </c>
      <c r="M141" s="1460"/>
      <c r="N141" s="1460"/>
      <c r="O141" s="1460"/>
      <c r="P141" s="1460"/>
      <c r="Q141" s="1460"/>
      <c r="R141" s="1460"/>
      <c r="S141" s="1460"/>
      <c r="T141" s="1460"/>
      <c r="U141" s="1460"/>
      <c r="V141" s="1460"/>
      <c r="W141" s="1460"/>
    </row>
    <row r="142" spans="2:23" x14ac:dyDescent="0.45">
      <c r="B142" s="26">
        <f t="shared" si="2"/>
        <v>127</v>
      </c>
      <c r="C142" s="25" t="s">
        <v>710</v>
      </c>
      <c r="D142" s="25" t="s">
        <v>37</v>
      </c>
      <c r="E142" s="25" t="s">
        <v>711</v>
      </c>
      <c r="F142" s="25" t="s">
        <v>344</v>
      </c>
      <c r="H142" s="29"/>
      <c r="I142" s="29"/>
      <c r="J142" s="29"/>
      <c r="K142" s="29"/>
      <c r="L142" s="1460" t="s">
        <v>631</v>
      </c>
      <c r="M142" s="1460"/>
      <c r="N142" s="1460"/>
      <c r="O142" s="1460"/>
      <c r="P142" s="1460"/>
      <c r="Q142" s="1460"/>
      <c r="R142" s="1460"/>
      <c r="S142" s="1460"/>
      <c r="T142" s="1460"/>
      <c r="U142" s="1460"/>
      <c r="V142" s="1460"/>
      <c r="W142" s="1460"/>
    </row>
    <row r="143" spans="2:23" x14ac:dyDescent="0.45">
      <c r="B143" s="26">
        <f t="shared" si="2"/>
        <v>128</v>
      </c>
      <c r="C143" s="25" t="s">
        <v>712</v>
      </c>
      <c r="D143" s="25" t="s">
        <v>37</v>
      </c>
      <c r="E143" s="25" t="s">
        <v>713</v>
      </c>
      <c r="F143" s="25" t="s">
        <v>344</v>
      </c>
      <c r="H143" s="29"/>
      <c r="I143" s="29"/>
      <c r="J143" s="29"/>
      <c r="K143" s="29"/>
      <c r="L143" s="1460" t="s">
        <v>631</v>
      </c>
      <c r="M143" s="1460"/>
      <c r="N143" s="1460"/>
      <c r="O143" s="1460"/>
      <c r="P143" s="1460"/>
      <c r="Q143" s="1460"/>
      <c r="R143" s="1460"/>
      <c r="S143" s="1460"/>
      <c r="T143" s="1460"/>
      <c r="U143" s="1460"/>
      <c r="V143" s="1460"/>
      <c r="W143" s="1460"/>
    </row>
    <row r="144" spans="2:23" x14ac:dyDescent="0.45">
      <c r="B144" s="26">
        <f t="shared" si="2"/>
        <v>129</v>
      </c>
      <c r="C144" s="25" t="s">
        <v>714</v>
      </c>
      <c r="D144" s="25" t="s">
        <v>37</v>
      </c>
      <c r="E144" s="25" t="s">
        <v>715</v>
      </c>
      <c r="F144" s="25" t="s">
        <v>344</v>
      </c>
      <c r="H144" s="29"/>
      <c r="I144" s="29"/>
      <c r="J144" s="29"/>
      <c r="K144" s="29"/>
      <c r="L144" s="1460" t="s">
        <v>631</v>
      </c>
      <c r="M144" s="1460"/>
      <c r="N144" s="1460"/>
      <c r="O144" s="1460"/>
      <c r="P144" s="1460"/>
      <c r="Q144" s="1460"/>
      <c r="R144" s="1460"/>
      <c r="S144" s="1460"/>
      <c r="T144" s="1460"/>
      <c r="U144" s="1460"/>
      <c r="V144" s="1460"/>
      <c r="W144" s="1460"/>
    </row>
    <row r="145" spans="2:23" x14ac:dyDescent="0.45">
      <c r="B145" s="26">
        <f t="shared" si="2"/>
        <v>130</v>
      </c>
      <c r="C145" s="25" t="s">
        <v>716</v>
      </c>
      <c r="D145" s="25" t="s">
        <v>37</v>
      </c>
      <c r="E145" s="25" t="s">
        <v>717</v>
      </c>
      <c r="F145" s="25" t="s">
        <v>344</v>
      </c>
      <c r="H145" s="29"/>
      <c r="I145" s="29"/>
      <c r="J145" s="29"/>
      <c r="K145" s="29"/>
      <c r="L145" s="1460" t="s">
        <v>631</v>
      </c>
      <c r="M145" s="1460"/>
      <c r="N145" s="1460"/>
      <c r="O145" s="1460"/>
      <c r="P145" s="1460"/>
      <c r="Q145" s="1460"/>
      <c r="R145" s="1460"/>
      <c r="S145" s="1460"/>
      <c r="T145" s="1460"/>
      <c r="U145" s="1460"/>
      <c r="V145" s="1460"/>
      <c r="W145" s="1460"/>
    </row>
    <row r="146" spans="2:23" x14ac:dyDescent="0.45">
      <c r="B146" s="26">
        <f t="shared" si="2"/>
        <v>131</v>
      </c>
      <c r="C146" s="25" t="s">
        <v>718</v>
      </c>
      <c r="D146" s="25" t="s">
        <v>37</v>
      </c>
      <c r="E146" s="25" t="s">
        <v>719</v>
      </c>
      <c r="F146" s="25" t="s">
        <v>344</v>
      </c>
      <c r="H146" s="29"/>
      <c r="I146" s="29"/>
      <c r="J146" s="29"/>
      <c r="K146" s="29"/>
      <c r="L146" s="1460" t="s">
        <v>631</v>
      </c>
      <c r="M146" s="1460"/>
      <c r="N146" s="1460"/>
      <c r="O146" s="1460"/>
      <c r="P146" s="1460"/>
      <c r="Q146" s="1460"/>
      <c r="R146" s="1460"/>
      <c r="S146" s="1460"/>
      <c r="T146" s="1460"/>
      <c r="U146" s="1460"/>
      <c r="V146" s="1460"/>
      <c r="W146" s="1460"/>
    </row>
    <row r="147" spans="2:23" x14ac:dyDescent="0.45">
      <c r="B147" s="26">
        <f t="shared" si="2"/>
        <v>132</v>
      </c>
      <c r="C147" s="25" t="s">
        <v>720</v>
      </c>
      <c r="D147" s="25" t="s">
        <v>37</v>
      </c>
      <c r="E147" s="25" t="s">
        <v>721</v>
      </c>
      <c r="F147" s="25" t="s">
        <v>344</v>
      </c>
      <c r="H147" s="29"/>
      <c r="I147" s="29"/>
      <c r="J147" s="29"/>
      <c r="K147" s="29"/>
      <c r="L147" s="1460" t="s">
        <v>631</v>
      </c>
      <c r="M147" s="1460"/>
      <c r="N147" s="1460"/>
      <c r="O147" s="1460"/>
      <c r="P147" s="1460"/>
      <c r="Q147" s="1460"/>
      <c r="R147" s="1460"/>
      <c r="S147" s="1460"/>
      <c r="T147" s="1460"/>
      <c r="U147" s="1460"/>
      <c r="V147" s="1460"/>
      <c r="W147" s="1460"/>
    </row>
    <row r="148" spans="2:23" x14ac:dyDescent="0.45">
      <c r="B148" s="26">
        <f t="shared" si="2"/>
        <v>133</v>
      </c>
      <c r="C148" s="53" t="s">
        <v>722</v>
      </c>
      <c r="D148" s="53" t="s">
        <v>37</v>
      </c>
      <c r="E148" s="53" t="s">
        <v>723</v>
      </c>
      <c r="F148" s="53" t="s">
        <v>331</v>
      </c>
      <c r="H148" s="29"/>
      <c r="I148" s="29"/>
      <c r="J148" s="29"/>
      <c r="K148" s="29"/>
      <c r="L148" s="1460" t="s">
        <v>587</v>
      </c>
      <c r="M148" s="1460"/>
      <c r="N148" s="1460"/>
      <c r="O148" s="1460"/>
      <c r="P148" s="1460"/>
      <c r="Q148" s="1460"/>
      <c r="R148" s="1460"/>
      <c r="S148" s="1460"/>
      <c r="T148" s="1460"/>
      <c r="U148" s="1460"/>
      <c r="V148" s="1460"/>
      <c r="W148" s="1460"/>
    </row>
    <row r="149" spans="2:23" x14ac:dyDescent="0.45">
      <c r="B149" s="26">
        <f t="shared" si="2"/>
        <v>134</v>
      </c>
      <c r="C149" s="53" t="s">
        <v>724</v>
      </c>
      <c r="D149" s="53" t="s">
        <v>37</v>
      </c>
      <c r="E149" s="53" t="s">
        <v>725</v>
      </c>
      <c r="F149" s="53" t="s">
        <v>331</v>
      </c>
      <c r="H149" s="29"/>
      <c r="I149" s="29"/>
      <c r="J149" s="29"/>
      <c r="K149" s="29"/>
      <c r="L149" s="1460" t="s">
        <v>587</v>
      </c>
      <c r="M149" s="1460"/>
      <c r="N149" s="1460"/>
      <c r="O149" s="1460"/>
      <c r="P149" s="1460"/>
      <c r="Q149" s="1460"/>
      <c r="R149" s="1460"/>
      <c r="S149" s="1460"/>
      <c r="T149" s="1460"/>
      <c r="U149" s="1460"/>
      <c r="V149" s="1460"/>
      <c r="W149" s="1460"/>
    </row>
    <row r="150" spans="2:23" x14ac:dyDescent="0.45">
      <c r="B150" s="26">
        <f t="shared" si="2"/>
        <v>135</v>
      </c>
      <c r="C150" s="53" t="s">
        <v>726</v>
      </c>
      <c r="D150" s="53" t="s">
        <v>37</v>
      </c>
      <c r="E150" s="53" t="s">
        <v>727</v>
      </c>
      <c r="F150" s="53" t="s">
        <v>344</v>
      </c>
      <c r="H150" s="29"/>
      <c r="I150" s="29"/>
      <c r="J150" s="29"/>
      <c r="K150" s="29"/>
      <c r="L150" s="1460" t="s">
        <v>631</v>
      </c>
      <c r="M150" s="1460"/>
      <c r="N150" s="1460"/>
      <c r="O150" s="1460"/>
      <c r="P150" s="1460"/>
      <c r="Q150" s="1460"/>
      <c r="R150" s="1460"/>
      <c r="S150" s="1460"/>
      <c r="T150" s="1460"/>
      <c r="U150" s="1460"/>
      <c r="V150" s="1460"/>
      <c r="W150" s="1460"/>
    </row>
    <row r="151" spans="2:23" x14ac:dyDescent="0.45">
      <c r="B151" s="26">
        <f t="shared" si="2"/>
        <v>136</v>
      </c>
      <c r="C151" s="53" t="s">
        <v>728</v>
      </c>
      <c r="D151" s="53" t="s">
        <v>37</v>
      </c>
      <c r="E151" s="53" t="s">
        <v>729</v>
      </c>
      <c r="F151" s="53" t="s">
        <v>344</v>
      </c>
      <c r="H151" s="29"/>
      <c r="I151" s="29"/>
      <c r="J151" s="29"/>
      <c r="K151" s="29"/>
      <c r="L151" s="1460" t="s">
        <v>631</v>
      </c>
      <c r="M151" s="1460"/>
      <c r="N151" s="1460"/>
      <c r="O151" s="1460"/>
      <c r="P151" s="1460"/>
      <c r="Q151" s="1460"/>
      <c r="R151" s="1460"/>
      <c r="S151" s="1460"/>
      <c r="T151" s="1460"/>
      <c r="U151" s="1460"/>
      <c r="V151" s="1460"/>
      <c r="W151" s="1460"/>
    </row>
    <row r="152" spans="2:23" x14ac:dyDescent="0.45">
      <c r="B152" s="26">
        <f t="shared" si="2"/>
        <v>137</v>
      </c>
      <c r="C152" s="53" t="s">
        <v>730</v>
      </c>
      <c r="D152" s="53" t="s">
        <v>37</v>
      </c>
      <c r="E152" s="53" t="s">
        <v>731</v>
      </c>
      <c r="F152" s="53" t="s">
        <v>344</v>
      </c>
      <c r="H152" s="29"/>
      <c r="I152" s="29"/>
      <c r="J152" s="29"/>
      <c r="K152" s="29"/>
      <c r="L152" s="1460" t="s">
        <v>631</v>
      </c>
      <c r="M152" s="1460"/>
      <c r="N152" s="1460"/>
      <c r="O152" s="1460"/>
      <c r="P152" s="1460"/>
      <c r="Q152" s="1460"/>
      <c r="R152" s="1460"/>
      <c r="S152" s="1460"/>
      <c r="T152" s="1460"/>
      <c r="U152" s="1460"/>
      <c r="V152" s="1460"/>
      <c r="W152" s="1460"/>
    </row>
    <row r="153" spans="2:23" x14ac:dyDescent="0.45">
      <c r="B153" s="26">
        <f t="shared" ref="B153:B216" si="4">B152+1</f>
        <v>138</v>
      </c>
      <c r="C153" s="53" t="s">
        <v>732</v>
      </c>
      <c r="D153" s="53" t="s">
        <v>37</v>
      </c>
      <c r="E153" s="53" t="s">
        <v>733</v>
      </c>
      <c r="F153" s="53" t="s">
        <v>344</v>
      </c>
      <c r="H153" s="29"/>
      <c r="I153" s="29"/>
      <c r="J153" s="29"/>
      <c r="K153" s="29"/>
      <c r="L153" s="1460" t="s">
        <v>631</v>
      </c>
      <c r="M153" s="1460"/>
      <c r="N153" s="1460"/>
      <c r="O153" s="1460"/>
      <c r="P153" s="1460"/>
      <c r="Q153" s="1460"/>
      <c r="R153" s="1460"/>
      <c r="S153" s="1460"/>
      <c r="T153" s="1460"/>
      <c r="U153" s="1460"/>
      <c r="V153" s="1460"/>
      <c r="W153" s="1460"/>
    </row>
    <row r="154" spans="2:23" x14ac:dyDescent="0.45">
      <c r="B154" s="26">
        <f t="shared" si="4"/>
        <v>139</v>
      </c>
      <c r="C154" s="53" t="s">
        <v>734</v>
      </c>
      <c r="D154" s="53" t="s">
        <v>37</v>
      </c>
      <c r="E154" s="53" t="s">
        <v>735</v>
      </c>
      <c r="F154" s="53" t="s">
        <v>344</v>
      </c>
      <c r="H154" s="29"/>
      <c r="I154" s="29"/>
      <c r="J154" s="29"/>
      <c r="K154" s="29"/>
      <c r="L154" s="1460" t="s">
        <v>631</v>
      </c>
      <c r="M154" s="1460"/>
      <c r="N154" s="1460"/>
      <c r="O154" s="1460"/>
      <c r="P154" s="1460"/>
      <c r="Q154" s="1460"/>
      <c r="R154" s="1460"/>
      <c r="S154" s="1460"/>
      <c r="T154" s="1460"/>
      <c r="U154" s="1460"/>
      <c r="V154" s="1460"/>
      <c r="W154" s="1460"/>
    </row>
    <row r="155" spans="2:23" x14ac:dyDescent="0.45">
      <c r="B155" s="26">
        <f t="shared" si="4"/>
        <v>140</v>
      </c>
      <c r="C155" s="53" t="s">
        <v>736</v>
      </c>
      <c r="D155" s="53" t="s">
        <v>37</v>
      </c>
      <c r="E155" s="53" t="s">
        <v>737</v>
      </c>
      <c r="F155" s="53" t="s">
        <v>344</v>
      </c>
      <c r="H155" s="29"/>
      <c r="I155" s="29"/>
      <c r="J155" s="29"/>
      <c r="K155" s="29"/>
      <c r="L155" s="1460" t="s">
        <v>631</v>
      </c>
      <c r="M155" s="1460"/>
      <c r="N155" s="1460"/>
      <c r="O155" s="1460"/>
      <c r="P155" s="1460"/>
      <c r="Q155" s="1460"/>
      <c r="R155" s="1460"/>
      <c r="S155" s="1460"/>
      <c r="T155" s="1460"/>
      <c r="U155" s="1460"/>
      <c r="V155" s="1460"/>
      <c r="W155" s="1460"/>
    </row>
    <row r="156" spans="2:23" x14ac:dyDescent="0.45">
      <c r="B156" s="26">
        <f t="shared" si="4"/>
        <v>141</v>
      </c>
      <c r="C156" s="25" t="s">
        <v>738</v>
      </c>
      <c r="D156" s="25" t="s">
        <v>37</v>
      </c>
      <c r="E156" s="25" t="s">
        <v>739</v>
      </c>
      <c r="F156" s="25" t="s">
        <v>331</v>
      </c>
      <c r="H156" s="29"/>
      <c r="I156" s="29"/>
      <c r="J156" s="29"/>
      <c r="K156" s="29"/>
      <c r="L156" s="1460" t="s">
        <v>587</v>
      </c>
      <c r="M156" s="1460"/>
      <c r="N156" s="1460"/>
      <c r="O156" s="1460"/>
      <c r="P156" s="1460"/>
      <c r="Q156" s="1460"/>
      <c r="R156" s="1460"/>
      <c r="S156" s="1460"/>
      <c r="T156" s="1460"/>
      <c r="U156" s="1460"/>
      <c r="V156" s="1460"/>
      <c r="W156" s="1460"/>
    </row>
    <row r="157" spans="2:23" x14ac:dyDescent="0.45">
      <c r="B157" s="26">
        <f t="shared" si="4"/>
        <v>142</v>
      </c>
      <c r="C157" s="25" t="s">
        <v>740</v>
      </c>
      <c r="D157" s="25" t="s">
        <v>37</v>
      </c>
      <c r="E157" s="25" t="s">
        <v>741</v>
      </c>
      <c r="F157" s="25" t="s">
        <v>331</v>
      </c>
      <c r="H157" s="29"/>
      <c r="I157" s="29"/>
      <c r="J157" s="29"/>
      <c r="K157" s="29"/>
      <c r="L157" s="1460" t="s">
        <v>587</v>
      </c>
      <c r="M157" s="1460"/>
      <c r="N157" s="1460"/>
      <c r="O157" s="1460"/>
      <c r="P157" s="1460"/>
      <c r="Q157" s="1460"/>
      <c r="R157" s="1460"/>
      <c r="S157" s="1460"/>
      <c r="T157" s="1460"/>
      <c r="U157" s="1460"/>
      <c r="V157" s="1460"/>
      <c r="W157" s="1460"/>
    </row>
    <row r="158" spans="2:23" x14ac:dyDescent="0.45">
      <c r="B158" s="26">
        <f t="shared" si="4"/>
        <v>143</v>
      </c>
      <c r="C158" s="25" t="s">
        <v>742</v>
      </c>
      <c r="D158" s="25" t="s">
        <v>37</v>
      </c>
      <c r="E158" s="25" t="s">
        <v>743</v>
      </c>
      <c r="F158" s="25" t="s">
        <v>344</v>
      </c>
      <c r="H158" s="29"/>
      <c r="I158" s="29"/>
      <c r="J158" s="29"/>
      <c r="K158" s="29"/>
      <c r="L158" s="1460" t="s">
        <v>631</v>
      </c>
      <c r="M158" s="1460"/>
      <c r="N158" s="1460"/>
      <c r="O158" s="1460"/>
      <c r="P158" s="1460"/>
      <c r="Q158" s="1460"/>
      <c r="R158" s="1460"/>
      <c r="S158" s="1460"/>
      <c r="T158" s="1460"/>
      <c r="U158" s="1460"/>
      <c r="V158" s="1460"/>
      <c r="W158" s="1460"/>
    </row>
    <row r="159" spans="2:23" x14ac:dyDescent="0.45">
      <c r="B159" s="26">
        <f t="shared" si="4"/>
        <v>144</v>
      </c>
      <c r="C159" s="25" t="s">
        <v>744</v>
      </c>
      <c r="D159" s="25" t="s">
        <v>37</v>
      </c>
      <c r="E159" s="25" t="s">
        <v>745</v>
      </c>
      <c r="F159" s="25" t="s">
        <v>344</v>
      </c>
      <c r="H159" s="29"/>
      <c r="I159" s="29"/>
      <c r="J159" s="29"/>
      <c r="K159" s="29"/>
      <c r="L159" s="1460" t="s">
        <v>631</v>
      </c>
      <c r="M159" s="1460"/>
      <c r="N159" s="1460"/>
      <c r="O159" s="1460"/>
      <c r="P159" s="1460"/>
      <c r="Q159" s="1460"/>
      <c r="R159" s="1460"/>
      <c r="S159" s="1460"/>
      <c r="T159" s="1460"/>
      <c r="U159" s="1460"/>
      <c r="V159" s="1460"/>
      <c r="W159" s="1460"/>
    </row>
    <row r="160" spans="2:23" x14ac:dyDescent="0.45">
      <c r="B160" s="26">
        <f t="shared" si="4"/>
        <v>145</v>
      </c>
      <c r="C160" s="25" t="s">
        <v>746</v>
      </c>
      <c r="D160" s="25" t="s">
        <v>37</v>
      </c>
      <c r="E160" s="25" t="s">
        <v>747</v>
      </c>
      <c r="F160" s="25" t="s">
        <v>344</v>
      </c>
      <c r="H160" s="29"/>
      <c r="I160" s="29"/>
      <c r="J160" s="29"/>
      <c r="K160" s="29"/>
      <c r="L160" s="1460" t="s">
        <v>631</v>
      </c>
      <c r="M160" s="1460"/>
      <c r="N160" s="1460"/>
      <c r="O160" s="1460"/>
      <c r="P160" s="1460"/>
      <c r="Q160" s="1460"/>
      <c r="R160" s="1460"/>
      <c r="S160" s="1460"/>
      <c r="T160" s="1460"/>
      <c r="U160" s="1460"/>
      <c r="V160" s="1460"/>
      <c r="W160" s="1460"/>
    </row>
    <row r="161" spans="2:23" x14ac:dyDescent="0.45">
      <c r="B161" s="26">
        <f t="shared" si="4"/>
        <v>146</v>
      </c>
      <c r="C161" s="25" t="s">
        <v>748</v>
      </c>
      <c r="D161" s="25" t="s">
        <v>37</v>
      </c>
      <c r="E161" s="25" t="s">
        <v>749</v>
      </c>
      <c r="F161" s="25" t="s">
        <v>344</v>
      </c>
      <c r="H161" s="29"/>
      <c r="I161" s="29"/>
      <c r="J161" s="29"/>
      <c r="K161" s="29"/>
      <c r="L161" s="1460" t="s">
        <v>631</v>
      </c>
      <c r="M161" s="1460"/>
      <c r="N161" s="1460"/>
      <c r="O161" s="1460"/>
      <c r="P161" s="1460"/>
      <c r="Q161" s="1460"/>
      <c r="R161" s="1460"/>
      <c r="S161" s="1460"/>
      <c r="T161" s="1460"/>
      <c r="U161" s="1460"/>
      <c r="V161" s="1460"/>
      <c r="W161" s="1460"/>
    </row>
    <row r="162" spans="2:23" x14ac:dyDescent="0.45">
      <c r="B162" s="26">
        <f t="shared" si="4"/>
        <v>147</v>
      </c>
      <c r="C162" s="25" t="s">
        <v>750</v>
      </c>
      <c r="D162" s="25" t="s">
        <v>37</v>
      </c>
      <c r="E162" s="25" t="s">
        <v>751</v>
      </c>
      <c r="F162" s="25" t="s">
        <v>344</v>
      </c>
      <c r="H162" s="29"/>
      <c r="I162" s="29"/>
      <c r="J162" s="29"/>
      <c r="K162" s="29"/>
      <c r="L162" s="1460" t="s">
        <v>631</v>
      </c>
      <c r="M162" s="1460"/>
      <c r="N162" s="1460"/>
      <c r="O162" s="1460"/>
      <c r="P162" s="1460"/>
      <c r="Q162" s="1460"/>
      <c r="R162" s="1460"/>
      <c r="S162" s="1460"/>
      <c r="T162" s="1460"/>
      <c r="U162" s="1460"/>
      <c r="V162" s="1460"/>
      <c r="W162" s="1460"/>
    </row>
    <row r="163" spans="2:23" x14ac:dyDescent="0.45">
      <c r="B163" s="26">
        <f t="shared" si="4"/>
        <v>148</v>
      </c>
      <c r="C163" s="25" t="s">
        <v>752</v>
      </c>
      <c r="D163" s="25" t="s">
        <v>37</v>
      </c>
      <c r="E163" s="25" t="s">
        <v>753</v>
      </c>
      <c r="F163" s="25" t="s">
        <v>344</v>
      </c>
      <c r="H163" s="29"/>
      <c r="I163" s="29"/>
      <c r="J163" s="29"/>
      <c r="K163" s="29"/>
      <c r="L163" s="1460" t="s">
        <v>631</v>
      </c>
      <c r="M163" s="1460"/>
      <c r="N163" s="1460"/>
      <c r="O163" s="1460"/>
      <c r="P163" s="1460"/>
      <c r="Q163" s="1460"/>
      <c r="R163" s="1460"/>
      <c r="S163" s="1460"/>
      <c r="T163" s="1460"/>
      <c r="U163" s="1460"/>
      <c r="V163" s="1460"/>
      <c r="W163" s="1460"/>
    </row>
    <row r="164" spans="2:23" x14ac:dyDescent="0.45">
      <c r="B164" s="26">
        <f t="shared" si="4"/>
        <v>149</v>
      </c>
      <c r="C164" s="53" t="s">
        <v>754</v>
      </c>
      <c r="D164" s="53" t="s">
        <v>37</v>
      </c>
      <c r="E164" s="53" t="s">
        <v>755</v>
      </c>
      <c r="F164" s="53" t="s">
        <v>331</v>
      </c>
      <c r="H164" s="29"/>
      <c r="I164" s="29"/>
      <c r="J164" s="29"/>
      <c r="K164" s="29"/>
      <c r="L164" s="1460" t="s">
        <v>587</v>
      </c>
      <c r="M164" s="1460"/>
      <c r="N164" s="1460"/>
      <c r="O164" s="1460"/>
      <c r="P164" s="1460"/>
      <c r="Q164" s="1460"/>
      <c r="R164" s="1460"/>
      <c r="S164" s="1460"/>
      <c r="T164" s="1460"/>
      <c r="U164" s="1460"/>
      <c r="V164" s="1460"/>
      <c r="W164" s="1460"/>
    </row>
    <row r="165" spans="2:23" x14ac:dyDescent="0.45">
      <c r="B165" s="26">
        <f t="shared" si="4"/>
        <v>150</v>
      </c>
      <c r="C165" s="53" t="s">
        <v>756</v>
      </c>
      <c r="D165" s="53" t="s">
        <v>37</v>
      </c>
      <c r="E165" s="53" t="s">
        <v>757</v>
      </c>
      <c r="F165" s="53" t="s">
        <v>331</v>
      </c>
      <c r="H165" s="29"/>
      <c r="I165" s="29"/>
      <c r="J165" s="29"/>
      <c r="K165" s="29"/>
      <c r="L165" s="1460" t="s">
        <v>587</v>
      </c>
      <c r="M165" s="1460"/>
      <c r="N165" s="1460"/>
      <c r="O165" s="1460"/>
      <c r="P165" s="1460"/>
      <c r="Q165" s="1460"/>
      <c r="R165" s="1460"/>
      <c r="S165" s="1460"/>
      <c r="T165" s="1460"/>
      <c r="U165" s="1460"/>
      <c r="V165" s="1460"/>
      <c r="W165" s="1460"/>
    </row>
    <row r="166" spans="2:23" x14ac:dyDescent="0.45">
      <c r="B166" s="26">
        <f t="shared" si="4"/>
        <v>151</v>
      </c>
      <c r="C166" s="53" t="s">
        <v>758</v>
      </c>
      <c r="D166" s="53" t="s">
        <v>37</v>
      </c>
      <c r="E166" s="53" t="s">
        <v>759</v>
      </c>
      <c r="F166" s="53" t="s">
        <v>344</v>
      </c>
      <c r="H166" s="29"/>
      <c r="I166" s="29"/>
      <c r="J166" s="29"/>
      <c r="K166" s="29"/>
      <c r="L166" s="1460" t="s">
        <v>631</v>
      </c>
      <c r="M166" s="1460"/>
      <c r="N166" s="1460"/>
      <c r="O166" s="1460"/>
      <c r="P166" s="1460"/>
      <c r="Q166" s="1460"/>
      <c r="R166" s="1460"/>
      <c r="S166" s="1460"/>
      <c r="T166" s="1460"/>
      <c r="U166" s="1460"/>
      <c r="V166" s="1460"/>
      <c r="W166" s="1460"/>
    </row>
    <row r="167" spans="2:23" x14ac:dyDescent="0.45">
      <c r="B167" s="26">
        <f t="shared" si="4"/>
        <v>152</v>
      </c>
      <c r="C167" s="53" t="s">
        <v>760</v>
      </c>
      <c r="D167" s="53" t="s">
        <v>37</v>
      </c>
      <c r="E167" s="53" t="s">
        <v>761</v>
      </c>
      <c r="F167" s="53" t="s">
        <v>344</v>
      </c>
      <c r="H167" s="29"/>
      <c r="I167" s="29"/>
      <c r="J167" s="29"/>
      <c r="K167" s="29"/>
      <c r="L167" s="1460" t="s">
        <v>631</v>
      </c>
      <c r="M167" s="1460"/>
      <c r="N167" s="1460"/>
      <c r="O167" s="1460"/>
      <c r="P167" s="1460"/>
      <c r="Q167" s="1460"/>
      <c r="R167" s="1460"/>
      <c r="S167" s="1460"/>
      <c r="T167" s="1460"/>
      <c r="U167" s="1460"/>
      <c r="V167" s="1460"/>
      <c r="W167" s="1460"/>
    </row>
    <row r="168" spans="2:23" x14ac:dyDescent="0.45">
      <c r="B168" s="26">
        <f t="shared" si="4"/>
        <v>153</v>
      </c>
      <c r="C168" s="53" t="s">
        <v>762</v>
      </c>
      <c r="D168" s="53" t="s">
        <v>37</v>
      </c>
      <c r="E168" s="53" t="s">
        <v>763</v>
      </c>
      <c r="F168" s="53" t="s">
        <v>344</v>
      </c>
      <c r="H168" s="29"/>
      <c r="I168" s="29"/>
      <c r="J168" s="29"/>
      <c r="K168" s="29"/>
      <c r="L168" s="1460" t="s">
        <v>631</v>
      </c>
      <c r="M168" s="1460"/>
      <c r="N168" s="1460"/>
      <c r="O168" s="1460"/>
      <c r="P168" s="1460"/>
      <c r="Q168" s="1460"/>
      <c r="R168" s="1460"/>
      <c r="S168" s="1460"/>
      <c r="T168" s="1460"/>
      <c r="U168" s="1460"/>
      <c r="V168" s="1460"/>
      <c r="W168" s="1460"/>
    </row>
    <row r="169" spans="2:23" x14ac:dyDescent="0.45">
      <c r="B169" s="26">
        <f t="shared" si="4"/>
        <v>154</v>
      </c>
      <c r="C169" s="53" t="s">
        <v>764</v>
      </c>
      <c r="D169" s="53" t="s">
        <v>37</v>
      </c>
      <c r="E169" s="53" t="s">
        <v>765</v>
      </c>
      <c r="F169" s="53" t="s">
        <v>344</v>
      </c>
      <c r="H169" s="29"/>
      <c r="I169" s="29"/>
      <c r="J169" s="29"/>
      <c r="K169" s="29"/>
      <c r="L169" s="1460" t="s">
        <v>631</v>
      </c>
      <c r="M169" s="1460"/>
      <c r="N169" s="1460"/>
      <c r="O169" s="1460"/>
      <c r="P169" s="1460"/>
      <c r="Q169" s="1460"/>
      <c r="R169" s="1460"/>
      <c r="S169" s="1460"/>
      <c r="T169" s="1460"/>
      <c r="U169" s="1460"/>
      <c r="V169" s="1460"/>
      <c r="W169" s="1460"/>
    </row>
    <row r="170" spans="2:23" x14ac:dyDescent="0.45">
      <c r="B170" s="26">
        <f t="shared" si="4"/>
        <v>155</v>
      </c>
      <c r="C170" s="53" t="s">
        <v>766</v>
      </c>
      <c r="D170" s="53" t="s">
        <v>37</v>
      </c>
      <c r="E170" s="53" t="s">
        <v>767</v>
      </c>
      <c r="F170" s="53" t="s">
        <v>344</v>
      </c>
      <c r="H170" s="29"/>
      <c r="I170" s="29"/>
      <c r="J170" s="29"/>
      <c r="K170" s="29"/>
      <c r="L170" s="1460" t="s">
        <v>631</v>
      </c>
      <c r="M170" s="1460"/>
      <c r="N170" s="1460"/>
      <c r="O170" s="1460"/>
      <c r="P170" s="1460"/>
      <c r="Q170" s="1460"/>
      <c r="R170" s="1460"/>
      <c r="S170" s="1460"/>
      <c r="T170" s="1460"/>
      <c r="U170" s="1460"/>
      <c r="V170" s="1460"/>
      <c r="W170" s="1460"/>
    </row>
    <row r="171" spans="2:23" x14ac:dyDescent="0.45">
      <c r="B171" s="26">
        <f t="shared" si="4"/>
        <v>156</v>
      </c>
      <c r="C171" s="53" t="s">
        <v>768</v>
      </c>
      <c r="D171" s="53" t="s">
        <v>37</v>
      </c>
      <c r="E171" s="53" t="s">
        <v>769</v>
      </c>
      <c r="F171" s="53" t="s">
        <v>344</v>
      </c>
      <c r="H171" s="29"/>
      <c r="I171" s="29"/>
      <c r="J171" s="29"/>
      <c r="K171" s="29"/>
      <c r="L171" s="1460" t="s">
        <v>631</v>
      </c>
      <c r="M171" s="1460"/>
      <c r="N171" s="1460"/>
      <c r="O171" s="1460"/>
      <c r="P171" s="1460"/>
      <c r="Q171" s="1460"/>
      <c r="R171" s="1460"/>
      <c r="S171" s="1460"/>
      <c r="T171" s="1460"/>
      <c r="U171" s="1460"/>
      <c r="V171" s="1460"/>
      <c r="W171" s="1460"/>
    </row>
    <row r="172" spans="2:23" x14ac:dyDescent="0.45">
      <c r="B172" s="26">
        <f t="shared" si="4"/>
        <v>157</v>
      </c>
      <c r="C172" s="25" t="s">
        <v>770</v>
      </c>
      <c r="D172" s="25" t="s">
        <v>37</v>
      </c>
      <c r="E172" s="25" t="s">
        <v>771</v>
      </c>
      <c r="F172" s="25" t="s">
        <v>331</v>
      </c>
      <c r="H172" s="29"/>
      <c r="I172" s="29"/>
      <c r="J172" s="29"/>
      <c r="K172" s="29"/>
      <c r="L172" s="1460" t="s">
        <v>587</v>
      </c>
      <c r="M172" s="1460"/>
      <c r="N172" s="1460"/>
      <c r="O172" s="1460"/>
      <c r="P172" s="1460"/>
      <c r="Q172" s="1460"/>
      <c r="R172" s="1460"/>
      <c r="S172" s="1460"/>
      <c r="T172" s="1460"/>
      <c r="U172" s="1460"/>
      <c r="V172" s="1460"/>
      <c r="W172" s="1460"/>
    </row>
    <row r="173" spans="2:23" x14ac:dyDescent="0.45">
      <c r="B173" s="26">
        <f t="shared" si="4"/>
        <v>158</v>
      </c>
      <c r="C173" s="25" t="s">
        <v>772</v>
      </c>
      <c r="D173" s="25" t="s">
        <v>37</v>
      </c>
      <c r="E173" s="25" t="s">
        <v>773</v>
      </c>
      <c r="F173" s="25" t="s">
        <v>331</v>
      </c>
      <c r="H173" s="29"/>
      <c r="I173" s="29"/>
      <c r="J173" s="29"/>
      <c r="K173" s="29"/>
      <c r="L173" s="1460" t="s">
        <v>587</v>
      </c>
      <c r="M173" s="1460"/>
      <c r="N173" s="1460"/>
      <c r="O173" s="1460"/>
      <c r="P173" s="1460"/>
      <c r="Q173" s="1460"/>
      <c r="R173" s="1460"/>
      <c r="S173" s="1460"/>
      <c r="T173" s="1460"/>
      <c r="U173" s="1460"/>
      <c r="V173" s="1460"/>
      <c r="W173" s="1460"/>
    </row>
    <row r="174" spans="2:23" x14ac:dyDescent="0.45">
      <c r="B174" s="26">
        <f t="shared" si="4"/>
        <v>159</v>
      </c>
      <c r="C174" s="25" t="s">
        <v>774</v>
      </c>
      <c r="D174" s="25" t="s">
        <v>37</v>
      </c>
      <c r="E174" s="25" t="s">
        <v>775</v>
      </c>
      <c r="F174" s="25" t="s">
        <v>344</v>
      </c>
      <c r="H174" s="29"/>
      <c r="I174" s="29"/>
      <c r="J174" s="29"/>
      <c r="K174" s="29"/>
      <c r="L174" s="1460" t="s">
        <v>631</v>
      </c>
      <c r="M174" s="1460"/>
      <c r="N174" s="1460"/>
      <c r="O174" s="1460"/>
      <c r="P174" s="1460"/>
      <c r="Q174" s="1460"/>
      <c r="R174" s="1460"/>
      <c r="S174" s="1460"/>
      <c r="T174" s="1460"/>
      <c r="U174" s="1460"/>
      <c r="V174" s="1460"/>
      <c r="W174" s="1460"/>
    </row>
    <row r="175" spans="2:23" x14ac:dyDescent="0.45">
      <c r="B175" s="26">
        <f t="shared" si="4"/>
        <v>160</v>
      </c>
      <c r="C175" s="25" t="s">
        <v>776</v>
      </c>
      <c r="D175" s="25" t="s">
        <v>37</v>
      </c>
      <c r="E175" s="25" t="s">
        <v>777</v>
      </c>
      <c r="F175" s="25" t="s">
        <v>344</v>
      </c>
      <c r="H175" s="29"/>
      <c r="I175" s="29"/>
      <c r="J175" s="29"/>
      <c r="K175" s="29"/>
      <c r="L175" s="1460" t="s">
        <v>631</v>
      </c>
      <c r="M175" s="1460"/>
      <c r="N175" s="1460"/>
      <c r="O175" s="1460"/>
      <c r="P175" s="1460"/>
      <c r="Q175" s="1460"/>
      <c r="R175" s="1460"/>
      <c r="S175" s="1460"/>
      <c r="T175" s="1460"/>
      <c r="U175" s="1460"/>
      <c r="V175" s="1460"/>
      <c r="W175" s="1460"/>
    </row>
    <row r="176" spans="2:23" x14ac:dyDescent="0.45">
      <c r="B176" s="26">
        <f t="shared" si="4"/>
        <v>161</v>
      </c>
      <c r="C176" s="25" t="s">
        <v>778</v>
      </c>
      <c r="D176" s="25" t="s">
        <v>37</v>
      </c>
      <c r="E176" s="25" t="s">
        <v>779</v>
      </c>
      <c r="F176" s="25" t="s">
        <v>344</v>
      </c>
      <c r="H176" s="29"/>
      <c r="I176" s="29"/>
      <c r="J176" s="29"/>
      <c r="K176" s="29"/>
      <c r="L176" s="1460" t="s">
        <v>631</v>
      </c>
      <c r="M176" s="1460"/>
      <c r="N176" s="1460"/>
      <c r="O176" s="1460"/>
      <c r="P176" s="1460"/>
      <c r="Q176" s="1460"/>
      <c r="R176" s="1460"/>
      <c r="S176" s="1460"/>
      <c r="T176" s="1460"/>
      <c r="U176" s="1460"/>
      <c r="V176" s="1460"/>
      <c r="W176" s="1460"/>
    </row>
    <row r="177" spans="2:23" x14ac:dyDescent="0.45">
      <c r="B177" s="26">
        <f t="shared" si="4"/>
        <v>162</v>
      </c>
      <c r="C177" s="25" t="s">
        <v>780</v>
      </c>
      <c r="D177" s="25" t="s">
        <v>37</v>
      </c>
      <c r="E177" s="25" t="s">
        <v>781</v>
      </c>
      <c r="F177" s="25" t="s">
        <v>344</v>
      </c>
      <c r="H177" s="29"/>
      <c r="I177" s="29"/>
      <c r="J177" s="29"/>
      <c r="K177" s="29"/>
      <c r="L177" s="1460" t="s">
        <v>631</v>
      </c>
      <c r="M177" s="1460"/>
      <c r="N177" s="1460"/>
      <c r="O177" s="1460"/>
      <c r="P177" s="1460"/>
      <c r="Q177" s="1460"/>
      <c r="R177" s="1460"/>
      <c r="S177" s="1460"/>
      <c r="T177" s="1460"/>
      <c r="U177" s="1460"/>
      <c r="V177" s="1460"/>
      <c r="W177" s="1460"/>
    </row>
    <row r="178" spans="2:23" x14ac:dyDescent="0.45">
      <c r="B178" s="26">
        <f t="shared" si="4"/>
        <v>163</v>
      </c>
      <c r="C178" s="25" t="s">
        <v>782</v>
      </c>
      <c r="D178" s="25" t="s">
        <v>37</v>
      </c>
      <c r="E178" s="25" t="s">
        <v>783</v>
      </c>
      <c r="F178" s="25" t="s">
        <v>344</v>
      </c>
      <c r="H178" s="29"/>
      <c r="I178" s="29"/>
      <c r="J178" s="29"/>
      <c r="K178" s="29"/>
      <c r="L178" s="1460" t="s">
        <v>631</v>
      </c>
      <c r="M178" s="1460"/>
      <c r="N178" s="1460"/>
      <c r="O178" s="1460"/>
      <c r="P178" s="1460"/>
      <c r="Q178" s="1460"/>
      <c r="R178" s="1460"/>
      <c r="S178" s="1460"/>
      <c r="T178" s="1460"/>
      <c r="U178" s="1460"/>
      <c r="V178" s="1460"/>
      <c r="W178" s="1460"/>
    </row>
    <row r="179" spans="2:23" x14ac:dyDescent="0.45">
      <c r="B179" s="26">
        <f t="shared" si="4"/>
        <v>164</v>
      </c>
      <c r="C179" s="25" t="s">
        <v>784</v>
      </c>
      <c r="D179" s="25" t="s">
        <v>37</v>
      </c>
      <c r="E179" s="25" t="s">
        <v>785</v>
      </c>
      <c r="F179" s="25" t="s">
        <v>344</v>
      </c>
      <c r="H179" s="29"/>
      <c r="I179" s="29"/>
      <c r="J179" s="29"/>
      <c r="K179" s="29"/>
      <c r="L179" s="1460" t="s">
        <v>631</v>
      </c>
      <c r="M179" s="1460"/>
      <c r="N179" s="1460"/>
      <c r="O179" s="1460"/>
      <c r="P179" s="1460"/>
      <c r="Q179" s="1460"/>
      <c r="R179" s="1460"/>
      <c r="S179" s="1460"/>
      <c r="T179" s="1460"/>
      <c r="U179" s="1460"/>
      <c r="V179" s="1460"/>
      <c r="W179" s="1460"/>
    </row>
    <row r="180" spans="2:23" x14ac:dyDescent="0.45">
      <c r="B180" s="26">
        <f t="shared" si="4"/>
        <v>165</v>
      </c>
      <c r="C180" s="53" t="s">
        <v>786</v>
      </c>
      <c r="D180" s="53" t="s">
        <v>37</v>
      </c>
      <c r="E180" s="53" t="s">
        <v>787</v>
      </c>
      <c r="F180" s="53" t="s">
        <v>331</v>
      </c>
      <c r="H180" s="29"/>
      <c r="I180" s="29"/>
      <c r="J180" s="29"/>
      <c r="K180" s="29"/>
      <c r="L180" s="1460" t="s">
        <v>587</v>
      </c>
      <c r="M180" s="1460"/>
      <c r="N180" s="1460"/>
      <c r="O180" s="1460"/>
      <c r="P180" s="1460"/>
      <c r="Q180" s="1460"/>
      <c r="R180" s="1460"/>
      <c r="S180" s="1460"/>
      <c r="T180" s="1460"/>
      <c r="U180" s="1460"/>
      <c r="V180" s="1460"/>
      <c r="W180" s="1460"/>
    </row>
    <row r="181" spans="2:23" x14ac:dyDescent="0.45">
      <c r="B181" s="26">
        <f t="shared" si="4"/>
        <v>166</v>
      </c>
      <c r="C181" s="53" t="s">
        <v>788</v>
      </c>
      <c r="D181" s="53" t="s">
        <v>37</v>
      </c>
      <c r="E181" s="53" t="s">
        <v>789</v>
      </c>
      <c r="F181" s="53" t="s">
        <v>331</v>
      </c>
      <c r="H181" s="29"/>
      <c r="I181" s="29"/>
      <c r="J181" s="29"/>
      <c r="K181" s="29"/>
      <c r="L181" s="1460" t="s">
        <v>587</v>
      </c>
      <c r="M181" s="1460"/>
      <c r="N181" s="1460"/>
      <c r="O181" s="1460"/>
      <c r="P181" s="1460"/>
      <c r="Q181" s="1460"/>
      <c r="R181" s="1460"/>
      <c r="S181" s="1460"/>
      <c r="T181" s="1460"/>
      <c r="U181" s="1460"/>
      <c r="V181" s="1460"/>
      <c r="W181" s="1460"/>
    </row>
    <row r="182" spans="2:23" x14ac:dyDescent="0.45">
      <c r="B182" s="26">
        <f t="shared" si="4"/>
        <v>167</v>
      </c>
      <c r="C182" s="53" t="s">
        <v>790</v>
      </c>
      <c r="D182" s="53" t="s">
        <v>37</v>
      </c>
      <c r="E182" s="53" t="s">
        <v>791</v>
      </c>
      <c r="F182" s="53" t="s">
        <v>344</v>
      </c>
      <c r="H182" s="29"/>
      <c r="I182" s="29"/>
      <c r="J182" s="29"/>
      <c r="K182" s="29"/>
      <c r="L182" s="1460" t="s">
        <v>631</v>
      </c>
      <c r="M182" s="1460"/>
      <c r="N182" s="1460"/>
      <c r="O182" s="1460"/>
      <c r="P182" s="1460"/>
      <c r="Q182" s="1460"/>
      <c r="R182" s="1460"/>
      <c r="S182" s="1460"/>
      <c r="T182" s="1460"/>
      <c r="U182" s="1460"/>
      <c r="V182" s="1460"/>
      <c r="W182" s="1460"/>
    </row>
    <row r="183" spans="2:23" x14ac:dyDescent="0.45">
      <c r="B183" s="26">
        <f t="shared" si="4"/>
        <v>168</v>
      </c>
      <c r="C183" s="53" t="s">
        <v>792</v>
      </c>
      <c r="D183" s="53" t="s">
        <v>37</v>
      </c>
      <c r="E183" s="53" t="s">
        <v>793</v>
      </c>
      <c r="F183" s="53" t="s">
        <v>344</v>
      </c>
      <c r="H183" s="29"/>
      <c r="I183" s="29"/>
      <c r="J183" s="29"/>
      <c r="K183" s="29"/>
      <c r="L183" s="1460" t="s">
        <v>631</v>
      </c>
      <c r="M183" s="1460"/>
      <c r="N183" s="1460"/>
      <c r="O183" s="1460"/>
      <c r="P183" s="1460"/>
      <c r="Q183" s="1460"/>
      <c r="R183" s="1460"/>
      <c r="S183" s="1460"/>
      <c r="T183" s="1460"/>
      <c r="U183" s="1460"/>
      <c r="V183" s="1460"/>
      <c r="W183" s="1460"/>
    </row>
    <row r="184" spans="2:23" x14ac:dyDescent="0.45">
      <c r="B184" s="26">
        <f t="shared" si="4"/>
        <v>169</v>
      </c>
      <c r="C184" s="53" t="s">
        <v>794</v>
      </c>
      <c r="D184" s="53" t="s">
        <v>37</v>
      </c>
      <c r="E184" s="53" t="s">
        <v>795</v>
      </c>
      <c r="F184" s="53" t="s">
        <v>344</v>
      </c>
      <c r="H184" s="29"/>
      <c r="I184" s="29"/>
      <c r="J184" s="29"/>
      <c r="K184" s="29"/>
      <c r="L184" s="1460" t="s">
        <v>631</v>
      </c>
      <c r="M184" s="1460"/>
      <c r="N184" s="1460"/>
      <c r="O184" s="1460"/>
      <c r="P184" s="1460"/>
      <c r="Q184" s="1460"/>
      <c r="R184" s="1460"/>
      <c r="S184" s="1460"/>
      <c r="T184" s="1460"/>
      <c r="U184" s="1460"/>
      <c r="V184" s="1460"/>
      <c r="W184" s="1460"/>
    </row>
    <row r="185" spans="2:23" x14ac:dyDescent="0.45">
      <c r="B185" s="26">
        <f t="shared" si="4"/>
        <v>170</v>
      </c>
      <c r="C185" s="53" t="s">
        <v>796</v>
      </c>
      <c r="D185" s="53" t="s">
        <v>37</v>
      </c>
      <c r="E185" s="53" t="s">
        <v>797</v>
      </c>
      <c r="F185" s="53" t="s">
        <v>344</v>
      </c>
      <c r="H185" s="29"/>
      <c r="I185" s="29"/>
      <c r="J185" s="29"/>
      <c r="K185" s="29"/>
      <c r="L185" s="1460" t="s">
        <v>631</v>
      </c>
      <c r="M185" s="1460"/>
      <c r="N185" s="1460"/>
      <c r="O185" s="1460"/>
      <c r="P185" s="1460"/>
      <c r="Q185" s="1460"/>
      <c r="R185" s="1460"/>
      <c r="S185" s="1460"/>
      <c r="T185" s="1460"/>
      <c r="U185" s="1460"/>
      <c r="V185" s="1460"/>
      <c r="W185" s="1460"/>
    </row>
    <row r="186" spans="2:23" x14ac:dyDescent="0.45">
      <c r="B186" s="26">
        <f t="shared" si="4"/>
        <v>171</v>
      </c>
      <c r="C186" s="53" t="s">
        <v>798</v>
      </c>
      <c r="D186" s="53" t="s">
        <v>37</v>
      </c>
      <c r="E186" s="53" t="s">
        <v>799</v>
      </c>
      <c r="F186" s="53" t="s">
        <v>344</v>
      </c>
      <c r="H186" s="29"/>
      <c r="I186" s="29"/>
      <c r="J186" s="29"/>
      <c r="K186" s="29"/>
      <c r="L186" s="1460" t="s">
        <v>631</v>
      </c>
      <c r="M186" s="1460"/>
      <c r="N186" s="1460"/>
      <c r="O186" s="1460"/>
      <c r="P186" s="1460"/>
      <c r="Q186" s="1460"/>
      <c r="R186" s="1460"/>
      <c r="S186" s="1460"/>
      <c r="T186" s="1460"/>
      <c r="U186" s="1460"/>
      <c r="V186" s="1460"/>
      <c r="W186" s="1460"/>
    </row>
    <row r="187" spans="2:23" x14ac:dyDescent="0.45">
      <c r="B187" s="26">
        <f t="shared" si="4"/>
        <v>172</v>
      </c>
      <c r="C187" s="53" t="s">
        <v>800</v>
      </c>
      <c r="D187" s="53" t="s">
        <v>37</v>
      </c>
      <c r="E187" s="53" t="s">
        <v>801</v>
      </c>
      <c r="F187" s="53" t="s">
        <v>344</v>
      </c>
      <c r="H187" s="29"/>
      <c r="I187" s="29"/>
      <c r="J187" s="29"/>
      <c r="K187" s="29"/>
      <c r="L187" s="1460" t="s">
        <v>631</v>
      </c>
      <c r="M187" s="1460"/>
      <c r="N187" s="1460"/>
      <c r="O187" s="1460"/>
      <c r="P187" s="1460"/>
      <c r="Q187" s="1460"/>
      <c r="R187" s="1460"/>
      <c r="S187" s="1460"/>
      <c r="T187" s="1460"/>
      <c r="U187" s="1460"/>
      <c r="V187" s="1460"/>
      <c r="W187" s="1460"/>
    </row>
    <row r="188" spans="2:23" x14ac:dyDescent="0.45">
      <c r="B188" s="26">
        <f t="shared" si="4"/>
        <v>173</v>
      </c>
      <c r="C188" s="25" t="s">
        <v>802</v>
      </c>
      <c r="D188" s="25" t="s">
        <v>37</v>
      </c>
      <c r="E188" s="25" t="s">
        <v>803</v>
      </c>
      <c r="F188" s="25" t="s">
        <v>331</v>
      </c>
      <c r="H188" s="29"/>
      <c r="I188" s="29"/>
      <c r="J188" s="29"/>
      <c r="K188" s="29"/>
      <c r="L188" s="1460" t="s">
        <v>587</v>
      </c>
      <c r="M188" s="1460"/>
      <c r="N188" s="1460"/>
      <c r="O188" s="1460"/>
      <c r="P188" s="1460"/>
      <c r="Q188" s="1460"/>
      <c r="R188" s="1460"/>
      <c r="S188" s="1460"/>
      <c r="T188" s="1460"/>
      <c r="U188" s="1460"/>
      <c r="V188" s="1460"/>
      <c r="W188" s="1460"/>
    </row>
    <row r="189" spans="2:23" x14ac:dyDescent="0.45">
      <c r="B189" s="26">
        <f t="shared" si="4"/>
        <v>174</v>
      </c>
      <c r="C189" s="25" t="s">
        <v>804</v>
      </c>
      <c r="D189" s="25" t="s">
        <v>37</v>
      </c>
      <c r="E189" s="25" t="s">
        <v>805</v>
      </c>
      <c r="F189" s="25" t="s">
        <v>331</v>
      </c>
      <c r="H189" s="29"/>
      <c r="I189" s="29"/>
      <c r="J189" s="29"/>
      <c r="K189" s="29"/>
      <c r="L189" s="1460" t="s">
        <v>587</v>
      </c>
      <c r="M189" s="1460"/>
      <c r="N189" s="1460"/>
      <c r="O189" s="1460"/>
      <c r="P189" s="1460"/>
      <c r="Q189" s="1460"/>
      <c r="R189" s="1460"/>
      <c r="S189" s="1460"/>
      <c r="T189" s="1460"/>
      <c r="U189" s="1460"/>
      <c r="V189" s="1460"/>
      <c r="W189" s="1460"/>
    </row>
    <row r="190" spans="2:23" x14ac:dyDescent="0.45">
      <c r="B190" s="26">
        <f t="shared" si="4"/>
        <v>175</v>
      </c>
      <c r="C190" s="25" t="s">
        <v>806</v>
      </c>
      <c r="D190" s="25" t="s">
        <v>37</v>
      </c>
      <c r="E190" s="25" t="s">
        <v>807</v>
      </c>
      <c r="F190" s="25" t="s">
        <v>344</v>
      </c>
      <c r="H190" s="29"/>
      <c r="I190" s="29"/>
      <c r="J190" s="29"/>
      <c r="K190" s="29"/>
      <c r="L190" s="1460" t="s">
        <v>631</v>
      </c>
      <c r="M190" s="1460"/>
      <c r="N190" s="1460"/>
      <c r="O190" s="1460"/>
      <c r="P190" s="1460"/>
      <c r="Q190" s="1460"/>
      <c r="R190" s="1460"/>
      <c r="S190" s="1460"/>
      <c r="T190" s="1460"/>
      <c r="U190" s="1460"/>
      <c r="V190" s="1460"/>
      <c r="W190" s="1460"/>
    </row>
    <row r="191" spans="2:23" x14ac:dyDescent="0.45">
      <c r="B191" s="26">
        <f t="shared" si="4"/>
        <v>176</v>
      </c>
      <c r="C191" s="25" t="s">
        <v>808</v>
      </c>
      <c r="D191" s="25" t="s">
        <v>37</v>
      </c>
      <c r="E191" s="25" t="s">
        <v>809</v>
      </c>
      <c r="F191" s="25" t="s">
        <v>344</v>
      </c>
      <c r="H191" s="29"/>
      <c r="I191" s="29"/>
      <c r="J191" s="29"/>
      <c r="K191" s="29"/>
      <c r="L191" s="1460" t="s">
        <v>631</v>
      </c>
      <c r="M191" s="1460"/>
      <c r="N191" s="1460"/>
      <c r="O191" s="1460"/>
      <c r="P191" s="1460"/>
      <c r="Q191" s="1460"/>
      <c r="R191" s="1460"/>
      <c r="S191" s="1460"/>
      <c r="T191" s="1460"/>
      <c r="U191" s="1460"/>
      <c r="V191" s="1460"/>
      <c r="W191" s="1460"/>
    </row>
    <row r="192" spans="2:23" x14ac:dyDescent="0.45">
      <c r="B192" s="26">
        <f t="shared" si="4"/>
        <v>177</v>
      </c>
      <c r="C192" s="25" t="s">
        <v>810</v>
      </c>
      <c r="D192" s="25" t="s">
        <v>37</v>
      </c>
      <c r="E192" s="25" t="s">
        <v>811</v>
      </c>
      <c r="F192" s="25" t="s">
        <v>344</v>
      </c>
      <c r="H192" s="29"/>
      <c r="I192" s="29"/>
      <c r="J192" s="29"/>
      <c r="K192" s="29"/>
      <c r="L192" s="1460" t="s">
        <v>631</v>
      </c>
      <c r="M192" s="1460"/>
      <c r="N192" s="1460"/>
      <c r="O192" s="1460"/>
      <c r="P192" s="1460"/>
      <c r="Q192" s="1460"/>
      <c r="R192" s="1460"/>
      <c r="S192" s="1460"/>
      <c r="T192" s="1460"/>
      <c r="U192" s="1460"/>
      <c r="V192" s="1460"/>
      <c r="W192" s="1460"/>
    </row>
    <row r="193" spans="2:23" x14ac:dyDescent="0.45">
      <c r="B193" s="26">
        <f t="shared" si="4"/>
        <v>178</v>
      </c>
      <c r="C193" s="25" t="s">
        <v>812</v>
      </c>
      <c r="D193" s="25" t="s">
        <v>37</v>
      </c>
      <c r="E193" s="25" t="s">
        <v>813</v>
      </c>
      <c r="F193" s="25" t="s">
        <v>344</v>
      </c>
      <c r="H193" s="29"/>
      <c r="I193" s="29"/>
      <c r="J193" s="29"/>
      <c r="K193" s="29"/>
      <c r="L193" s="1460" t="s">
        <v>631</v>
      </c>
      <c r="M193" s="1460"/>
      <c r="N193" s="1460"/>
      <c r="O193" s="1460"/>
      <c r="P193" s="1460"/>
      <c r="Q193" s="1460"/>
      <c r="R193" s="1460"/>
      <c r="S193" s="1460"/>
      <c r="T193" s="1460"/>
      <c r="U193" s="1460"/>
      <c r="V193" s="1460"/>
      <c r="W193" s="1460"/>
    </row>
    <row r="194" spans="2:23" x14ac:dyDescent="0.45">
      <c r="B194" s="26">
        <f t="shared" si="4"/>
        <v>179</v>
      </c>
      <c r="C194" s="25" t="s">
        <v>814</v>
      </c>
      <c r="D194" s="25" t="s">
        <v>37</v>
      </c>
      <c r="E194" s="25" t="s">
        <v>815</v>
      </c>
      <c r="F194" s="25" t="s">
        <v>344</v>
      </c>
      <c r="H194" s="29"/>
      <c r="I194" s="29"/>
      <c r="J194" s="29"/>
      <c r="K194" s="29"/>
      <c r="L194" s="1460" t="s">
        <v>631</v>
      </c>
      <c r="M194" s="1460"/>
      <c r="N194" s="1460"/>
      <c r="O194" s="1460"/>
      <c r="P194" s="1460"/>
      <c r="Q194" s="1460"/>
      <c r="R194" s="1460"/>
      <c r="S194" s="1460"/>
      <c r="T194" s="1460"/>
      <c r="U194" s="1460"/>
      <c r="V194" s="1460"/>
      <c r="W194" s="1460"/>
    </row>
    <row r="195" spans="2:23" x14ac:dyDescent="0.45">
      <c r="B195" s="26">
        <f t="shared" si="4"/>
        <v>180</v>
      </c>
      <c r="C195" s="25" t="s">
        <v>816</v>
      </c>
      <c r="D195" s="25" t="s">
        <v>37</v>
      </c>
      <c r="E195" s="25" t="s">
        <v>817</v>
      </c>
      <c r="F195" s="25" t="s">
        <v>344</v>
      </c>
      <c r="H195" s="29"/>
      <c r="I195" s="29"/>
      <c r="J195" s="29"/>
      <c r="K195" s="29"/>
      <c r="L195" s="1460" t="s">
        <v>631</v>
      </c>
      <c r="M195" s="1460"/>
      <c r="N195" s="1460"/>
      <c r="O195" s="1460"/>
      <c r="P195" s="1460"/>
      <c r="Q195" s="1460"/>
      <c r="R195" s="1460"/>
      <c r="S195" s="1460"/>
      <c r="T195" s="1460"/>
      <c r="U195" s="1460"/>
      <c r="V195" s="1460"/>
      <c r="W195" s="1460"/>
    </row>
    <row r="196" spans="2:23" x14ac:dyDescent="0.45">
      <c r="B196" s="26">
        <f t="shared" si="4"/>
        <v>181</v>
      </c>
      <c r="C196" s="53" t="s">
        <v>818</v>
      </c>
      <c r="D196" s="53" t="s">
        <v>37</v>
      </c>
      <c r="E196" s="53" t="s">
        <v>819</v>
      </c>
      <c r="F196" s="53" t="s">
        <v>331</v>
      </c>
      <c r="H196" s="29"/>
      <c r="I196" s="29"/>
      <c r="J196" s="29"/>
      <c r="K196" s="29"/>
      <c r="L196" s="1460" t="s">
        <v>587</v>
      </c>
      <c r="M196" s="1460"/>
      <c r="N196" s="1460"/>
      <c r="O196" s="1460"/>
      <c r="P196" s="1460"/>
      <c r="Q196" s="1460"/>
      <c r="R196" s="1460"/>
      <c r="S196" s="1460"/>
      <c r="T196" s="1460"/>
      <c r="U196" s="1460"/>
      <c r="V196" s="1460"/>
      <c r="W196" s="1460"/>
    </row>
    <row r="197" spans="2:23" x14ac:dyDescent="0.45">
      <c r="B197" s="26">
        <f t="shared" si="4"/>
        <v>182</v>
      </c>
      <c r="C197" s="53" t="s">
        <v>820</v>
      </c>
      <c r="D197" s="53" t="s">
        <v>37</v>
      </c>
      <c r="E197" s="53" t="s">
        <v>821</v>
      </c>
      <c r="F197" s="53" t="s">
        <v>331</v>
      </c>
      <c r="H197" s="29"/>
      <c r="I197" s="29"/>
      <c r="J197" s="29"/>
      <c r="K197" s="29"/>
      <c r="L197" s="1460" t="s">
        <v>587</v>
      </c>
      <c r="M197" s="1460"/>
      <c r="N197" s="1460"/>
      <c r="O197" s="1460"/>
      <c r="P197" s="1460"/>
      <c r="Q197" s="1460"/>
      <c r="R197" s="1460"/>
      <c r="S197" s="1460"/>
      <c r="T197" s="1460"/>
      <c r="U197" s="1460"/>
      <c r="V197" s="1460"/>
      <c r="W197" s="1460"/>
    </row>
    <row r="198" spans="2:23" x14ac:dyDescent="0.45">
      <c r="B198" s="26">
        <f t="shared" si="4"/>
        <v>183</v>
      </c>
      <c r="C198" s="53" t="s">
        <v>822</v>
      </c>
      <c r="D198" s="53" t="s">
        <v>37</v>
      </c>
      <c r="E198" s="53" t="s">
        <v>823</v>
      </c>
      <c r="F198" s="53" t="s">
        <v>344</v>
      </c>
      <c r="H198" s="29"/>
      <c r="I198" s="29"/>
      <c r="J198" s="29"/>
      <c r="K198" s="29"/>
      <c r="L198" s="1460" t="s">
        <v>631</v>
      </c>
      <c r="M198" s="1460"/>
      <c r="N198" s="1460"/>
      <c r="O198" s="1460"/>
      <c r="P198" s="1460"/>
      <c r="Q198" s="1460"/>
      <c r="R198" s="1460"/>
      <c r="S198" s="1460"/>
      <c r="T198" s="1460"/>
      <c r="U198" s="1460"/>
      <c r="V198" s="1460"/>
      <c r="W198" s="1460"/>
    </row>
    <row r="199" spans="2:23" x14ac:dyDescent="0.45">
      <c r="B199" s="26">
        <f t="shared" si="4"/>
        <v>184</v>
      </c>
      <c r="C199" s="53" t="s">
        <v>824</v>
      </c>
      <c r="D199" s="53" t="s">
        <v>37</v>
      </c>
      <c r="E199" s="53" t="s">
        <v>825</v>
      </c>
      <c r="F199" s="53" t="s">
        <v>344</v>
      </c>
      <c r="H199" s="29"/>
      <c r="I199" s="29"/>
      <c r="J199" s="29"/>
      <c r="K199" s="29"/>
      <c r="L199" s="1460" t="s">
        <v>631</v>
      </c>
      <c r="M199" s="1460"/>
      <c r="N199" s="1460"/>
      <c r="O199" s="1460"/>
      <c r="P199" s="1460"/>
      <c r="Q199" s="1460"/>
      <c r="R199" s="1460"/>
      <c r="S199" s="1460"/>
      <c r="T199" s="1460"/>
      <c r="U199" s="1460"/>
      <c r="V199" s="1460"/>
      <c r="W199" s="1460"/>
    </row>
    <row r="200" spans="2:23" x14ac:dyDescent="0.45">
      <c r="B200" s="26">
        <f t="shared" si="4"/>
        <v>185</v>
      </c>
      <c r="C200" s="53" t="s">
        <v>826</v>
      </c>
      <c r="D200" s="53" t="s">
        <v>37</v>
      </c>
      <c r="E200" s="53" t="s">
        <v>827</v>
      </c>
      <c r="F200" s="53" t="s">
        <v>344</v>
      </c>
      <c r="H200" s="29"/>
      <c r="I200" s="29"/>
      <c r="J200" s="29"/>
      <c r="K200" s="29"/>
      <c r="L200" s="1460" t="s">
        <v>631</v>
      </c>
      <c r="M200" s="1460"/>
      <c r="N200" s="1460"/>
      <c r="O200" s="1460"/>
      <c r="P200" s="1460"/>
      <c r="Q200" s="1460"/>
      <c r="R200" s="1460"/>
      <c r="S200" s="1460"/>
      <c r="T200" s="1460"/>
      <c r="U200" s="1460"/>
      <c r="V200" s="1460"/>
      <c r="W200" s="1460"/>
    </row>
    <row r="201" spans="2:23" x14ac:dyDescent="0.45">
      <c r="B201" s="26">
        <f t="shared" si="4"/>
        <v>186</v>
      </c>
      <c r="C201" s="53" t="s">
        <v>828</v>
      </c>
      <c r="D201" s="53" t="s">
        <v>37</v>
      </c>
      <c r="E201" s="53" t="s">
        <v>829</v>
      </c>
      <c r="F201" s="53" t="s">
        <v>344</v>
      </c>
      <c r="H201" s="29"/>
      <c r="I201" s="29"/>
      <c r="J201" s="29"/>
      <c r="K201" s="29"/>
      <c r="L201" s="1460" t="s">
        <v>631</v>
      </c>
      <c r="M201" s="1460"/>
      <c r="N201" s="1460"/>
      <c r="O201" s="1460"/>
      <c r="P201" s="1460"/>
      <c r="Q201" s="1460"/>
      <c r="R201" s="1460"/>
      <c r="S201" s="1460"/>
      <c r="T201" s="1460"/>
      <c r="U201" s="1460"/>
      <c r="V201" s="1460"/>
      <c r="W201" s="1460"/>
    </row>
    <row r="202" spans="2:23" x14ac:dyDescent="0.45">
      <c r="B202" s="26">
        <f t="shared" si="4"/>
        <v>187</v>
      </c>
      <c r="C202" s="53" t="s">
        <v>830</v>
      </c>
      <c r="D202" s="53" t="s">
        <v>37</v>
      </c>
      <c r="E202" s="53" t="s">
        <v>831</v>
      </c>
      <c r="F202" s="53" t="s">
        <v>344</v>
      </c>
      <c r="H202" s="29"/>
      <c r="I202" s="29"/>
      <c r="J202" s="29"/>
      <c r="K202" s="29"/>
      <c r="L202" s="1460" t="s">
        <v>631</v>
      </c>
      <c r="M202" s="1460"/>
      <c r="N202" s="1460"/>
      <c r="O202" s="1460"/>
      <c r="P202" s="1460"/>
      <c r="Q202" s="1460"/>
      <c r="R202" s="1460"/>
      <c r="S202" s="1460"/>
      <c r="T202" s="1460"/>
      <c r="U202" s="1460"/>
      <c r="V202" s="1460"/>
      <c r="W202" s="1460"/>
    </row>
    <row r="203" spans="2:23" x14ac:dyDescent="0.45">
      <c r="B203" s="26">
        <f t="shared" si="4"/>
        <v>188</v>
      </c>
      <c r="C203" s="53" t="s">
        <v>832</v>
      </c>
      <c r="D203" s="53" t="s">
        <v>37</v>
      </c>
      <c r="E203" s="53" t="s">
        <v>833</v>
      </c>
      <c r="F203" s="53" t="s">
        <v>344</v>
      </c>
      <c r="H203" s="29"/>
      <c r="I203" s="29"/>
      <c r="J203" s="29"/>
      <c r="K203" s="29"/>
      <c r="L203" s="1460" t="s">
        <v>631</v>
      </c>
      <c r="M203" s="1460"/>
      <c r="N203" s="1460"/>
      <c r="O203" s="1460"/>
      <c r="P203" s="1460"/>
      <c r="Q203" s="1460"/>
      <c r="R203" s="1460"/>
      <c r="S203" s="1460"/>
      <c r="T203" s="1460"/>
      <c r="U203" s="1460"/>
      <c r="V203" s="1460"/>
      <c r="W203" s="1460"/>
    </row>
    <row r="204" spans="2:23" x14ac:dyDescent="0.45">
      <c r="B204" s="26">
        <f t="shared" si="4"/>
        <v>189</v>
      </c>
      <c r="C204" s="25" t="s">
        <v>834</v>
      </c>
      <c r="D204" s="25" t="s">
        <v>37</v>
      </c>
      <c r="E204" s="25" t="s">
        <v>835</v>
      </c>
      <c r="F204" s="25" t="s">
        <v>331</v>
      </c>
      <c r="H204" s="29"/>
      <c r="I204" s="29"/>
      <c r="J204" s="29"/>
      <c r="K204" s="29"/>
      <c r="L204" s="1460" t="s">
        <v>587</v>
      </c>
      <c r="M204" s="1460"/>
      <c r="N204" s="1460"/>
      <c r="O204" s="1460"/>
      <c r="P204" s="1460"/>
      <c r="Q204" s="1460"/>
      <c r="R204" s="1460"/>
      <c r="S204" s="1460"/>
      <c r="T204" s="1460"/>
      <c r="U204" s="1460"/>
      <c r="V204" s="1460"/>
      <c r="W204" s="1460"/>
    </row>
    <row r="205" spans="2:23" x14ac:dyDescent="0.45">
      <c r="B205" s="26">
        <f t="shared" si="4"/>
        <v>190</v>
      </c>
      <c r="C205" s="25" t="s">
        <v>836</v>
      </c>
      <c r="D205" s="25" t="s">
        <v>37</v>
      </c>
      <c r="E205" s="25" t="s">
        <v>837</v>
      </c>
      <c r="F205" s="25" t="s">
        <v>331</v>
      </c>
      <c r="H205" s="29"/>
      <c r="I205" s="29"/>
      <c r="J205" s="29"/>
      <c r="K205" s="29"/>
      <c r="L205" s="1460" t="s">
        <v>587</v>
      </c>
      <c r="M205" s="1460"/>
      <c r="N205" s="1460"/>
      <c r="O205" s="1460"/>
      <c r="P205" s="1460"/>
      <c r="Q205" s="1460"/>
      <c r="R205" s="1460"/>
      <c r="S205" s="1460"/>
      <c r="T205" s="1460"/>
      <c r="U205" s="1460"/>
      <c r="V205" s="1460"/>
      <c r="W205" s="1460"/>
    </row>
    <row r="206" spans="2:23" x14ac:dyDescent="0.45">
      <c r="B206" s="26">
        <f t="shared" si="4"/>
        <v>191</v>
      </c>
      <c r="C206" s="25" t="s">
        <v>838</v>
      </c>
      <c r="D206" s="25" t="s">
        <v>37</v>
      </c>
      <c r="E206" s="25" t="s">
        <v>839</v>
      </c>
      <c r="F206" s="25" t="s">
        <v>344</v>
      </c>
      <c r="H206" s="29"/>
      <c r="I206" s="29"/>
      <c r="J206" s="29"/>
      <c r="K206" s="29"/>
      <c r="L206" s="1460" t="s">
        <v>631</v>
      </c>
      <c r="M206" s="1460"/>
      <c r="N206" s="1460"/>
      <c r="O206" s="1460"/>
      <c r="P206" s="1460"/>
      <c r="Q206" s="1460"/>
      <c r="R206" s="1460"/>
      <c r="S206" s="1460"/>
      <c r="T206" s="1460"/>
      <c r="U206" s="1460"/>
      <c r="V206" s="1460"/>
      <c r="W206" s="1460"/>
    </row>
    <row r="207" spans="2:23" x14ac:dyDescent="0.45">
      <c r="B207" s="26">
        <f t="shared" si="4"/>
        <v>192</v>
      </c>
      <c r="C207" s="25" t="s">
        <v>840</v>
      </c>
      <c r="D207" s="25" t="s">
        <v>37</v>
      </c>
      <c r="E207" s="25" t="s">
        <v>841</v>
      </c>
      <c r="F207" s="25" t="s">
        <v>344</v>
      </c>
      <c r="H207" s="29"/>
      <c r="I207" s="29"/>
      <c r="J207" s="29"/>
      <c r="K207" s="29"/>
      <c r="L207" s="1460" t="s">
        <v>631</v>
      </c>
      <c r="M207" s="1460"/>
      <c r="N207" s="1460"/>
      <c r="O207" s="1460"/>
      <c r="P207" s="1460"/>
      <c r="Q207" s="1460"/>
      <c r="R207" s="1460"/>
      <c r="S207" s="1460"/>
      <c r="T207" s="1460"/>
      <c r="U207" s="1460"/>
      <c r="V207" s="1460"/>
      <c r="W207" s="1460"/>
    </row>
    <row r="208" spans="2:23" x14ac:dyDescent="0.45">
      <c r="B208" s="26">
        <f t="shared" si="4"/>
        <v>193</v>
      </c>
      <c r="C208" s="25" t="s">
        <v>842</v>
      </c>
      <c r="D208" s="25" t="s">
        <v>37</v>
      </c>
      <c r="E208" s="25" t="s">
        <v>843</v>
      </c>
      <c r="F208" s="25" t="s">
        <v>344</v>
      </c>
      <c r="H208" s="29"/>
      <c r="I208" s="29"/>
      <c r="J208" s="29"/>
      <c r="K208" s="29"/>
      <c r="L208" s="1460" t="s">
        <v>631</v>
      </c>
      <c r="M208" s="1460"/>
      <c r="N208" s="1460"/>
      <c r="O208" s="1460"/>
      <c r="P208" s="1460"/>
      <c r="Q208" s="1460"/>
      <c r="R208" s="1460"/>
      <c r="S208" s="1460"/>
      <c r="T208" s="1460"/>
      <c r="U208" s="1460"/>
      <c r="V208" s="1460"/>
      <c r="W208" s="1460"/>
    </row>
    <row r="209" spans="2:23" x14ac:dyDescent="0.45">
      <c r="B209" s="26">
        <f t="shared" si="4"/>
        <v>194</v>
      </c>
      <c r="C209" s="25" t="s">
        <v>844</v>
      </c>
      <c r="D209" s="25" t="s">
        <v>37</v>
      </c>
      <c r="E209" s="25" t="s">
        <v>845</v>
      </c>
      <c r="F209" s="25" t="s">
        <v>344</v>
      </c>
      <c r="H209" s="29"/>
      <c r="I209" s="29"/>
      <c r="J209" s="29"/>
      <c r="K209" s="29"/>
      <c r="L209" s="1460" t="s">
        <v>631</v>
      </c>
      <c r="M209" s="1460"/>
      <c r="N209" s="1460"/>
      <c r="O209" s="1460"/>
      <c r="P209" s="1460"/>
      <c r="Q209" s="1460"/>
      <c r="R209" s="1460"/>
      <c r="S209" s="1460"/>
      <c r="T209" s="1460"/>
      <c r="U209" s="1460"/>
      <c r="V209" s="1460"/>
      <c r="W209" s="1460"/>
    </row>
    <row r="210" spans="2:23" x14ac:dyDescent="0.45">
      <c r="B210" s="26">
        <f t="shared" si="4"/>
        <v>195</v>
      </c>
      <c r="C210" s="25" t="s">
        <v>846</v>
      </c>
      <c r="D210" s="25" t="s">
        <v>37</v>
      </c>
      <c r="E210" s="25" t="s">
        <v>847</v>
      </c>
      <c r="F210" s="25" t="s">
        <v>344</v>
      </c>
      <c r="H210" s="29"/>
      <c r="I210" s="29"/>
      <c r="J210" s="29"/>
      <c r="K210" s="29"/>
      <c r="L210" s="1460" t="s">
        <v>631</v>
      </c>
      <c r="M210" s="1460"/>
      <c r="N210" s="1460"/>
      <c r="O210" s="1460"/>
      <c r="P210" s="1460"/>
      <c r="Q210" s="1460"/>
      <c r="R210" s="1460"/>
      <c r="S210" s="1460"/>
      <c r="T210" s="1460"/>
      <c r="U210" s="1460"/>
      <c r="V210" s="1460"/>
      <c r="W210" s="1460"/>
    </row>
    <row r="211" spans="2:23" x14ac:dyDescent="0.45">
      <c r="B211" s="26">
        <f t="shared" si="4"/>
        <v>196</v>
      </c>
      <c r="C211" s="25" t="s">
        <v>848</v>
      </c>
      <c r="D211" s="25" t="s">
        <v>37</v>
      </c>
      <c r="E211" s="25" t="s">
        <v>849</v>
      </c>
      <c r="F211" s="25" t="s">
        <v>344</v>
      </c>
      <c r="H211" s="29"/>
      <c r="I211" s="29"/>
      <c r="J211" s="29"/>
      <c r="K211" s="29"/>
      <c r="L211" s="1460" t="s">
        <v>631</v>
      </c>
      <c r="M211" s="1460"/>
      <c r="N211" s="1460"/>
      <c r="O211" s="1460"/>
      <c r="P211" s="1460"/>
      <c r="Q211" s="1460"/>
      <c r="R211" s="1460"/>
      <c r="S211" s="1460"/>
      <c r="T211" s="1460"/>
      <c r="U211" s="1460"/>
      <c r="V211" s="1460"/>
      <c r="W211" s="1460"/>
    </row>
    <row r="212" spans="2:23" x14ac:dyDescent="0.45">
      <c r="B212" s="26">
        <f t="shared" si="4"/>
        <v>197</v>
      </c>
      <c r="C212" s="53" t="s">
        <v>850</v>
      </c>
      <c r="D212" s="53" t="s">
        <v>37</v>
      </c>
      <c r="E212" s="53" t="s">
        <v>851</v>
      </c>
      <c r="F212" s="53" t="s">
        <v>331</v>
      </c>
      <c r="H212" s="29"/>
      <c r="I212" s="29"/>
      <c r="J212" s="29"/>
      <c r="K212" s="29"/>
      <c r="L212" s="1460" t="s">
        <v>587</v>
      </c>
      <c r="M212" s="1460"/>
      <c r="N212" s="1460"/>
      <c r="O212" s="1460"/>
      <c r="P212" s="1460"/>
      <c r="Q212" s="1460"/>
      <c r="R212" s="1460"/>
      <c r="S212" s="1460"/>
      <c r="T212" s="1460"/>
      <c r="U212" s="1460"/>
      <c r="V212" s="1460"/>
      <c r="W212" s="1460"/>
    </row>
    <row r="213" spans="2:23" x14ac:dyDescent="0.45">
      <c r="B213" s="26">
        <f t="shared" si="4"/>
        <v>198</v>
      </c>
      <c r="C213" s="53" t="s">
        <v>852</v>
      </c>
      <c r="D213" s="53" t="s">
        <v>37</v>
      </c>
      <c r="E213" s="53" t="s">
        <v>853</v>
      </c>
      <c r="F213" s="53" t="s">
        <v>331</v>
      </c>
      <c r="H213" s="29"/>
      <c r="I213" s="29"/>
      <c r="J213" s="29"/>
      <c r="K213" s="29"/>
      <c r="L213" s="1460" t="s">
        <v>587</v>
      </c>
      <c r="M213" s="1460"/>
      <c r="N213" s="1460"/>
      <c r="O213" s="1460"/>
      <c r="P213" s="1460"/>
      <c r="Q213" s="1460"/>
      <c r="R213" s="1460"/>
      <c r="S213" s="1460"/>
      <c r="T213" s="1460"/>
      <c r="U213" s="1460"/>
      <c r="V213" s="1460"/>
      <c r="W213" s="1460"/>
    </row>
    <row r="214" spans="2:23" x14ac:dyDescent="0.45">
      <c r="B214" s="26">
        <f t="shared" si="4"/>
        <v>199</v>
      </c>
      <c r="C214" s="53" t="s">
        <v>854</v>
      </c>
      <c r="D214" s="53" t="s">
        <v>37</v>
      </c>
      <c r="E214" s="53" t="s">
        <v>855</v>
      </c>
      <c r="F214" s="53" t="s">
        <v>344</v>
      </c>
      <c r="H214" s="29"/>
      <c r="I214" s="29"/>
      <c r="J214" s="29"/>
      <c r="K214" s="29"/>
      <c r="L214" s="1460" t="s">
        <v>631</v>
      </c>
      <c r="M214" s="1460"/>
      <c r="N214" s="1460"/>
      <c r="O214" s="1460"/>
      <c r="P214" s="1460"/>
      <c r="Q214" s="1460"/>
      <c r="R214" s="1460"/>
      <c r="S214" s="1460"/>
      <c r="T214" s="1460"/>
      <c r="U214" s="1460"/>
      <c r="V214" s="1460"/>
      <c r="W214" s="1460"/>
    </row>
    <row r="215" spans="2:23" x14ac:dyDescent="0.45">
      <c r="B215" s="26">
        <f t="shared" si="4"/>
        <v>200</v>
      </c>
      <c r="C215" s="53" t="s">
        <v>856</v>
      </c>
      <c r="D215" s="53" t="s">
        <v>37</v>
      </c>
      <c r="E215" s="53" t="s">
        <v>857</v>
      </c>
      <c r="F215" s="53" t="s">
        <v>344</v>
      </c>
      <c r="H215" s="29"/>
      <c r="I215" s="29"/>
      <c r="J215" s="29"/>
      <c r="K215" s="29"/>
      <c r="L215" s="1460" t="s">
        <v>631</v>
      </c>
      <c r="M215" s="1460"/>
      <c r="N215" s="1460"/>
      <c r="O215" s="1460"/>
      <c r="P215" s="1460"/>
      <c r="Q215" s="1460"/>
      <c r="R215" s="1460"/>
      <c r="S215" s="1460"/>
      <c r="T215" s="1460"/>
      <c r="U215" s="1460"/>
      <c r="V215" s="1460"/>
      <c r="W215" s="1460"/>
    </row>
    <row r="216" spans="2:23" x14ac:dyDescent="0.45">
      <c r="B216" s="26">
        <f t="shared" si="4"/>
        <v>201</v>
      </c>
      <c r="C216" s="53" t="s">
        <v>858</v>
      </c>
      <c r="D216" s="53" t="s">
        <v>37</v>
      </c>
      <c r="E216" s="53" t="s">
        <v>859</v>
      </c>
      <c r="F216" s="53" t="s">
        <v>344</v>
      </c>
      <c r="H216" s="29"/>
      <c r="I216" s="29"/>
      <c r="J216" s="29"/>
      <c r="K216" s="29"/>
      <c r="L216" s="1460" t="s">
        <v>631</v>
      </c>
      <c r="M216" s="1460"/>
      <c r="N216" s="1460"/>
      <c r="O216" s="1460"/>
      <c r="P216" s="1460"/>
      <c r="Q216" s="1460"/>
      <c r="R216" s="1460"/>
      <c r="S216" s="1460"/>
      <c r="T216" s="1460"/>
      <c r="U216" s="1460"/>
      <c r="V216" s="1460"/>
      <c r="W216" s="1460"/>
    </row>
    <row r="217" spans="2:23" x14ac:dyDescent="0.45">
      <c r="B217" s="26">
        <f t="shared" ref="B217:B227" si="5">B216+1</f>
        <v>202</v>
      </c>
      <c r="C217" s="53" t="s">
        <v>860</v>
      </c>
      <c r="D217" s="53" t="s">
        <v>37</v>
      </c>
      <c r="E217" s="53" t="s">
        <v>861</v>
      </c>
      <c r="F217" s="53" t="s">
        <v>344</v>
      </c>
      <c r="H217" s="29"/>
      <c r="I217" s="29"/>
      <c r="J217" s="29"/>
      <c r="K217" s="29"/>
      <c r="L217" s="1460" t="s">
        <v>631</v>
      </c>
      <c r="M217" s="1460"/>
      <c r="N217" s="1460"/>
      <c r="O217" s="1460"/>
      <c r="P217" s="1460"/>
      <c r="Q217" s="1460"/>
      <c r="R217" s="1460"/>
      <c r="S217" s="1460"/>
      <c r="T217" s="1460"/>
      <c r="U217" s="1460"/>
      <c r="V217" s="1460"/>
      <c r="W217" s="1460"/>
    </row>
    <row r="218" spans="2:23" x14ac:dyDescent="0.45">
      <c r="B218" s="26">
        <f t="shared" si="5"/>
        <v>203</v>
      </c>
      <c r="C218" s="53" t="s">
        <v>862</v>
      </c>
      <c r="D218" s="53" t="s">
        <v>37</v>
      </c>
      <c r="E218" s="53" t="s">
        <v>863</v>
      </c>
      <c r="F218" s="53" t="s">
        <v>344</v>
      </c>
      <c r="H218" s="29"/>
      <c r="I218" s="29"/>
      <c r="J218" s="29"/>
      <c r="K218" s="29"/>
      <c r="L218" s="1460" t="s">
        <v>631</v>
      </c>
      <c r="M218" s="1460"/>
      <c r="N218" s="1460"/>
      <c r="O218" s="1460"/>
      <c r="P218" s="1460"/>
      <c r="Q218" s="1460"/>
      <c r="R218" s="1460"/>
      <c r="S218" s="1460"/>
      <c r="T218" s="1460"/>
      <c r="U218" s="1460"/>
      <c r="V218" s="1460"/>
      <c r="W218" s="1460"/>
    </row>
    <row r="219" spans="2:23" x14ac:dyDescent="0.45">
      <c r="B219" s="26">
        <f t="shared" si="5"/>
        <v>204</v>
      </c>
      <c r="C219" s="53" t="s">
        <v>864</v>
      </c>
      <c r="D219" s="53" t="s">
        <v>37</v>
      </c>
      <c r="E219" s="53" t="s">
        <v>865</v>
      </c>
      <c r="F219" s="53" t="s">
        <v>344</v>
      </c>
      <c r="H219" s="29"/>
      <c r="I219" s="29"/>
      <c r="J219" s="29"/>
      <c r="K219" s="29"/>
      <c r="L219" s="1460" t="s">
        <v>631</v>
      </c>
      <c r="M219" s="1460"/>
      <c r="N219" s="1460"/>
      <c r="O219" s="1460"/>
      <c r="P219" s="1460"/>
      <c r="Q219" s="1460"/>
      <c r="R219" s="1460"/>
      <c r="S219" s="1460"/>
      <c r="T219" s="1460"/>
      <c r="U219" s="1460"/>
      <c r="V219" s="1460"/>
      <c r="W219" s="1460"/>
    </row>
    <row r="220" spans="2:23" x14ac:dyDescent="0.45">
      <c r="B220" s="26">
        <f t="shared" si="5"/>
        <v>205</v>
      </c>
      <c r="C220" s="25" t="s">
        <v>866</v>
      </c>
      <c r="D220" s="25" t="s">
        <v>37</v>
      </c>
      <c r="E220" s="25" t="s">
        <v>867</v>
      </c>
      <c r="F220" s="25" t="s">
        <v>331</v>
      </c>
      <c r="H220" s="29"/>
      <c r="I220" s="29"/>
      <c r="J220" s="29"/>
      <c r="K220" s="29"/>
      <c r="L220" s="1460" t="s">
        <v>587</v>
      </c>
      <c r="M220" s="1460"/>
      <c r="N220" s="1460"/>
      <c r="O220" s="1460"/>
      <c r="P220" s="1460"/>
      <c r="Q220" s="1460"/>
      <c r="R220" s="1460"/>
      <c r="S220" s="1460"/>
      <c r="T220" s="1460"/>
      <c r="U220" s="1460"/>
      <c r="V220" s="1460"/>
      <c r="W220" s="1460"/>
    </row>
    <row r="221" spans="2:23" x14ac:dyDescent="0.45">
      <c r="B221" s="26">
        <f t="shared" si="5"/>
        <v>206</v>
      </c>
      <c r="C221" s="25" t="s">
        <v>868</v>
      </c>
      <c r="D221" s="25" t="s">
        <v>37</v>
      </c>
      <c r="E221" s="25" t="s">
        <v>869</v>
      </c>
      <c r="F221" s="25" t="s">
        <v>331</v>
      </c>
      <c r="H221" s="29"/>
      <c r="I221" s="29"/>
      <c r="J221" s="29"/>
      <c r="K221" s="29"/>
      <c r="L221" s="1460" t="s">
        <v>587</v>
      </c>
      <c r="M221" s="1460"/>
      <c r="N221" s="1460"/>
      <c r="O221" s="1460"/>
      <c r="P221" s="1460"/>
      <c r="Q221" s="1460"/>
      <c r="R221" s="1460"/>
      <c r="S221" s="1460"/>
      <c r="T221" s="1460"/>
      <c r="U221" s="1460"/>
      <c r="V221" s="1460"/>
      <c r="W221" s="1460"/>
    </row>
    <row r="222" spans="2:23" x14ac:dyDescent="0.45">
      <c r="B222" s="26">
        <f t="shared" si="5"/>
        <v>207</v>
      </c>
      <c r="C222" s="25" t="s">
        <v>870</v>
      </c>
      <c r="D222" s="25" t="s">
        <v>37</v>
      </c>
      <c r="E222" s="25" t="s">
        <v>871</v>
      </c>
      <c r="F222" s="25" t="s">
        <v>344</v>
      </c>
      <c r="H222" s="29"/>
      <c r="I222" s="29"/>
      <c r="J222" s="29"/>
      <c r="K222" s="29"/>
      <c r="L222" s="1460" t="s">
        <v>631</v>
      </c>
      <c r="M222" s="1460"/>
      <c r="N222" s="1460"/>
      <c r="O222" s="1460"/>
      <c r="P222" s="1460"/>
      <c r="Q222" s="1460"/>
      <c r="R222" s="1460"/>
      <c r="S222" s="1460"/>
      <c r="T222" s="1460"/>
      <c r="U222" s="1460"/>
      <c r="V222" s="1460"/>
      <c r="W222" s="1460"/>
    </row>
    <row r="223" spans="2:23" x14ac:dyDescent="0.45">
      <c r="B223" s="26">
        <f t="shared" si="5"/>
        <v>208</v>
      </c>
      <c r="C223" s="25" t="s">
        <v>872</v>
      </c>
      <c r="D223" s="25" t="s">
        <v>37</v>
      </c>
      <c r="E223" s="25" t="s">
        <v>873</v>
      </c>
      <c r="F223" s="25" t="s">
        <v>344</v>
      </c>
      <c r="H223" s="29"/>
      <c r="I223" s="29"/>
      <c r="J223" s="29"/>
      <c r="K223" s="29"/>
      <c r="L223" s="1460" t="s">
        <v>631</v>
      </c>
      <c r="M223" s="1460"/>
      <c r="N223" s="1460"/>
      <c r="O223" s="1460"/>
      <c r="P223" s="1460"/>
      <c r="Q223" s="1460"/>
      <c r="R223" s="1460"/>
      <c r="S223" s="1460"/>
      <c r="T223" s="1460"/>
      <c r="U223" s="1460"/>
      <c r="V223" s="1460"/>
      <c r="W223" s="1460"/>
    </row>
    <row r="224" spans="2:23" x14ac:dyDescent="0.45">
      <c r="B224" s="26">
        <f t="shared" si="5"/>
        <v>209</v>
      </c>
      <c r="C224" s="25" t="s">
        <v>874</v>
      </c>
      <c r="D224" s="25" t="s">
        <v>37</v>
      </c>
      <c r="E224" s="25" t="s">
        <v>875</v>
      </c>
      <c r="F224" s="25" t="s">
        <v>344</v>
      </c>
      <c r="H224" s="29"/>
      <c r="I224" s="29"/>
      <c r="J224" s="29"/>
      <c r="K224" s="29"/>
      <c r="L224" s="1460" t="s">
        <v>631</v>
      </c>
      <c r="M224" s="1460"/>
      <c r="N224" s="1460"/>
      <c r="O224" s="1460"/>
      <c r="P224" s="1460"/>
      <c r="Q224" s="1460"/>
      <c r="R224" s="1460"/>
      <c r="S224" s="1460"/>
      <c r="T224" s="1460"/>
      <c r="U224" s="1460"/>
      <c r="V224" s="1460"/>
      <c r="W224" s="1460"/>
    </row>
    <row r="225" spans="1:35" x14ac:dyDescent="0.45">
      <c r="B225" s="26">
        <f t="shared" si="5"/>
        <v>210</v>
      </c>
      <c r="C225" s="25" t="s">
        <v>876</v>
      </c>
      <c r="D225" s="25" t="s">
        <v>37</v>
      </c>
      <c r="E225" s="25" t="s">
        <v>877</v>
      </c>
      <c r="F225" s="25" t="s">
        <v>344</v>
      </c>
      <c r="H225" s="29"/>
      <c r="I225" s="29"/>
      <c r="J225" s="29"/>
      <c r="K225" s="29"/>
      <c r="L225" s="1460" t="s">
        <v>631</v>
      </c>
      <c r="M225" s="1460"/>
      <c r="N225" s="1460"/>
      <c r="O225" s="1460"/>
      <c r="P225" s="1460"/>
      <c r="Q225" s="1460"/>
      <c r="R225" s="1460"/>
      <c r="S225" s="1460"/>
      <c r="T225" s="1460"/>
      <c r="U225" s="1460"/>
      <c r="V225" s="1460"/>
      <c r="W225" s="1460"/>
    </row>
    <row r="226" spans="1:35" x14ac:dyDescent="0.45">
      <c r="B226" s="26">
        <f t="shared" si="5"/>
        <v>211</v>
      </c>
      <c r="C226" s="25" t="s">
        <v>878</v>
      </c>
      <c r="D226" s="25" t="s">
        <v>37</v>
      </c>
      <c r="E226" s="25" t="s">
        <v>879</v>
      </c>
      <c r="F226" s="25" t="s">
        <v>344</v>
      </c>
      <c r="H226" s="29"/>
      <c r="I226" s="29"/>
      <c r="J226" s="29"/>
      <c r="K226" s="29"/>
      <c r="L226" s="1460" t="s">
        <v>631</v>
      </c>
      <c r="M226" s="1460"/>
      <c r="N226" s="1460"/>
      <c r="O226" s="1460"/>
      <c r="P226" s="1460"/>
      <c r="Q226" s="1460"/>
      <c r="R226" s="1460"/>
      <c r="S226" s="1460"/>
      <c r="T226" s="1460"/>
      <c r="U226" s="1460"/>
      <c r="V226" s="1460"/>
      <c r="W226" s="1460"/>
    </row>
    <row r="227" spans="1:35" x14ac:dyDescent="0.45">
      <c r="B227" s="26">
        <f t="shared" si="5"/>
        <v>212</v>
      </c>
      <c r="C227" s="25" t="s">
        <v>880</v>
      </c>
      <c r="D227" s="25" t="s">
        <v>37</v>
      </c>
      <c r="E227" s="25" t="s">
        <v>881</v>
      </c>
      <c r="F227" s="25" t="s">
        <v>344</v>
      </c>
      <c r="H227" s="29"/>
      <c r="I227" s="29"/>
      <c r="J227" s="29"/>
      <c r="K227" s="29"/>
      <c r="L227" s="1460" t="s">
        <v>631</v>
      </c>
      <c r="M227" s="1460"/>
      <c r="N227" s="1460"/>
      <c r="O227" s="1460"/>
      <c r="P227" s="1460"/>
      <c r="Q227" s="1460"/>
      <c r="R227" s="1460"/>
      <c r="S227" s="1460"/>
      <c r="T227" s="1460"/>
      <c r="U227" s="1460"/>
      <c r="V227" s="1460"/>
      <c r="W227" s="1460"/>
    </row>
    <row r="228" spans="1:35" x14ac:dyDescent="0.45">
      <c r="A228" s="55"/>
      <c r="B228" s="26"/>
    </row>
    <row r="229" spans="1:35" x14ac:dyDescent="0.45">
      <c r="B229" s="26"/>
      <c r="C229" s="77" t="s">
        <v>966</v>
      </c>
      <c r="X229" s="23"/>
    </row>
    <row r="230" spans="1:35" s="31" customFormat="1" x14ac:dyDescent="0.45">
      <c r="B230" s="118">
        <f>B227+1</f>
        <v>213</v>
      </c>
      <c r="C230" s="126" t="s">
        <v>1067</v>
      </c>
      <c r="D230" s="126" t="s">
        <v>37</v>
      </c>
      <c r="E230" s="126" t="s">
        <v>936</v>
      </c>
      <c r="F230" s="126" t="s">
        <v>331</v>
      </c>
      <c r="G230" s="126"/>
      <c r="H230" s="205" t="s">
        <v>108</v>
      </c>
      <c r="I230" s="127"/>
      <c r="J230" s="127"/>
      <c r="K230" s="127"/>
      <c r="L230" s="127"/>
      <c r="M230" s="127"/>
      <c r="N230" s="127"/>
      <c r="O230" s="205" t="s">
        <v>1107</v>
      </c>
      <c r="P230" s="127"/>
      <c r="Q230" s="127"/>
      <c r="R230" s="127"/>
      <c r="S230" s="205" t="s">
        <v>1072</v>
      </c>
      <c r="T230" s="127"/>
      <c r="U230" s="127"/>
      <c r="V230" s="127"/>
      <c r="W230" s="205" t="s">
        <v>991</v>
      </c>
      <c r="X230" s="129"/>
      <c r="Y230" s="206"/>
      <c r="Z230" s="206"/>
      <c r="AA230" s="206"/>
      <c r="AB230" s="206"/>
      <c r="AC230" s="206"/>
      <c r="AD230" s="206"/>
      <c r="AE230" s="206"/>
      <c r="AF230" s="206"/>
      <c r="AG230" s="206"/>
      <c r="AH230" s="206"/>
      <c r="AI230" s="206"/>
    </row>
    <row r="231" spans="1:35" s="126" customFormat="1" x14ac:dyDescent="0.45">
      <c r="A231" s="31"/>
      <c r="B231" s="118">
        <f>B230+1</f>
        <v>214</v>
      </c>
      <c r="C231" s="126" t="s">
        <v>975</v>
      </c>
      <c r="D231" s="126" t="s">
        <v>37</v>
      </c>
      <c r="E231" s="126" t="s">
        <v>937</v>
      </c>
      <c r="F231" s="126" t="s">
        <v>935</v>
      </c>
      <c r="H231" s="1305" t="s">
        <v>974</v>
      </c>
      <c r="I231" s="1306"/>
      <c r="J231" s="1306"/>
      <c r="K231" s="1306"/>
      <c r="L231" s="1306"/>
      <c r="M231" s="1306"/>
      <c r="N231" s="1306"/>
      <c r="O231" s="1306"/>
      <c r="P231" s="1306"/>
      <c r="Q231" s="1306"/>
      <c r="R231" s="1306"/>
      <c r="S231" s="1306"/>
      <c r="T231" s="1306"/>
      <c r="U231" s="1306"/>
      <c r="V231" s="1306"/>
      <c r="W231" s="1307"/>
      <c r="X231" s="129"/>
    </row>
    <row r="232" spans="1:35" s="31" customFormat="1" x14ac:dyDescent="0.45">
      <c r="B232" s="118">
        <f t="shared" ref="B232:B234" si="6">B231+1</f>
        <v>215</v>
      </c>
      <c r="C232" s="126" t="s">
        <v>116</v>
      </c>
      <c r="D232" s="126" t="s">
        <v>37</v>
      </c>
      <c r="E232" s="126" t="s">
        <v>938</v>
      </c>
      <c r="F232" s="126" t="s">
        <v>1104</v>
      </c>
      <c r="G232" s="126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305" t="s">
        <v>119</v>
      </c>
      <c r="U232" s="1306"/>
      <c r="V232" s="1306"/>
      <c r="W232" s="1307"/>
      <c r="X232" s="129"/>
    </row>
    <row r="233" spans="1:35" s="126" customFormat="1" x14ac:dyDescent="0.45">
      <c r="A233" s="31"/>
      <c r="B233" s="118">
        <f t="shared" si="6"/>
        <v>216</v>
      </c>
      <c r="C233" s="126" t="s">
        <v>120</v>
      </c>
      <c r="D233" s="126" t="s">
        <v>37</v>
      </c>
      <c r="E233" s="126" t="s">
        <v>939</v>
      </c>
      <c r="F233" s="126" t="s">
        <v>331</v>
      </c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205" t="s">
        <v>122</v>
      </c>
      <c r="W233" s="205" t="s">
        <v>123</v>
      </c>
      <c r="X233" s="129"/>
    </row>
    <row r="234" spans="1:35" s="126" customFormat="1" x14ac:dyDescent="0.45">
      <c r="A234" s="31"/>
      <c r="B234" s="118">
        <f t="shared" si="6"/>
        <v>217</v>
      </c>
      <c r="C234" s="126" t="s">
        <v>124</v>
      </c>
      <c r="D234" s="126" t="s">
        <v>37</v>
      </c>
      <c r="E234" s="126" t="s">
        <v>940</v>
      </c>
      <c r="F234" s="126" t="s">
        <v>973</v>
      </c>
      <c r="H234" s="127"/>
      <c r="I234" s="127"/>
      <c r="J234" s="127"/>
      <c r="K234" s="127"/>
      <c r="L234" s="1305" t="s">
        <v>126</v>
      </c>
      <c r="M234" s="1306"/>
      <c r="N234" s="1306"/>
      <c r="O234" s="1306"/>
      <c r="P234" s="1306"/>
      <c r="Q234" s="1306"/>
      <c r="R234" s="1306"/>
      <c r="S234" s="1306"/>
      <c r="T234" s="1306"/>
      <c r="U234" s="1306"/>
      <c r="V234" s="1306"/>
      <c r="W234" s="1307"/>
      <c r="X234" s="129"/>
    </row>
    <row r="235" spans="1:35" s="126" customFormat="1" x14ac:dyDescent="0.45">
      <c r="A235" s="31"/>
      <c r="B235" s="118"/>
      <c r="X235" s="129"/>
    </row>
    <row r="236" spans="1:35" s="126" customFormat="1" x14ac:dyDescent="0.45">
      <c r="A236" s="31"/>
      <c r="B236" s="118"/>
      <c r="C236" s="132" t="s">
        <v>967</v>
      </c>
      <c r="X236" s="129"/>
    </row>
    <row r="237" spans="1:35" s="126" customFormat="1" x14ac:dyDescent="0.45">
      <c r="A237" s="31"/>
      <c r="B237" s="118">
        <f>B234+1</f>
        <v>218</v>
      </c>
      <c r="C237" s="126" t="s">
        <v>976</v>
      </c>
      <c r="D237" s="126" t="s">
        <v>37</v>
      </c>
      <c r="E237" s="126" t="s">
        <v>1074</v>
      </c>
      <c r="F237" s="126" t="s">
        <v>1105</v>
      </c>
      <c r="H237" s="127"/>
      <c r="I237" s="1305" t="s">
        <v>969</v>
      </c>
      <c r="J237" s="1306"/>
      <c r="K237" s="1306"/>
      <c r="L237" s="1306"/>
      <c r="M237" s="1306"/>
      <c r="N237" s="1306"/>
      <c r="O237" s="1307"/>
      <c r="P237" s="127"/>
      <c r="Q237" s="127"/>
      <c r="R237" s="127"/>
      <c r="S237" s="127"/>
      <c r="T237" s="1305" t="s">
        <v>968</v>
      </c>
      <c r="U237" s="1306"/>
      <c r="V237" s="1306"/>
      <c r="W237" s="1307"/>
      <c r="X237" s="129"/>
    </row>
    <row r="238" spans="1:35" s="31" customFormat="1" x14ac:dyDescent="0.45">
      <c r="B238" s="118">
        <f>B237+1</f>
        <v>219</v>
      </c>
      <c r="C238" s="126" t="s">
        <v>977</v>
      </c>
      <c r="D238" s="126" t="s">
        <v>37</v>
      </c>
      <c r="E238" s="126" t="s">
        <v>972</v>
      </c>
      <c r="F238" s="126" t="s">
        <v>1106</v>
      </c>
      <c r="G238" s="126"/>
      <c r="H238" s="127"/>
      <c r="I238" s="127"/>
      <c r="J238" s="1305" t="s">
        <v>970</v>
      </c>
      <c r="K238" s="1306"/>
      <c r="L238" s="1306"/>
      <c r="M238" s="1306"/>
      <c r="N238" s="1306"/>
      <c r="O238" s="1307"/>
      <c r="P238" s="1305" t="s">
        <v>971</v>
      </c>
      <c r="Q238" s="1306"/>
      <c r="R238" s="1306"/>
      <c r="S238" s="1306"/>
      <c r="T238" s="1306"/>
      <c r="U238" s="1306"/>
      <c r="V238" s="1306"/>
      <c r="W238" s="1307"/>
      <c r="X238" s="129"/>
    </row>
    <row r="239" spans="1:35" s="31" customFormat="1" x14ac:dyDescent="0.45">
      <c r="B239" s="118">
        <f t="shared" ref="B239" si="7">B238+1</f>
        <v>220</v>
      </c>
      <c r="C239" s="126" t="s">
        <v>993</v>
      </c>
      <c r="D239" s="126" t="s">
        <v>37</v>
      </c>
      <c r="E239" s="126" t="s">
        <v>941</v>
      </c>
      <c r="F239" s="126" t="s">
        <v>331</v>
      </c>
      <c r="G239" s="126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305" t="s">
        <v>1098</v>
      </c>
      <c r="S239" s="1306"/>
      <c r="T239" s="1306"/>
      <c r="U239" s="1306"/>
      <c r="V239" s="1306"/>
      <c r="W239" s="1307"/>
      <c r="X239" s="129"/>
    </row>
  </sheetData>
  <mergeCells count="295">
    <mergeCell ref="P238:W238"/>
    <mergeCell ref="J238:O238"/>
    <mergeCell ref="H231:W231"/>
    <mergeCell ref="H95:K95"/>
    <mergeCell ref="L95:O95"/>
    <mergeCell ref="P95:S95"/>
    <mergeCell ref="T95:W95"/>
    <mergeCell ref="H96:K96"/>
    <mergeCell ref="L96:O96"/>
    <mergeCell ref="P96:S96"/>
    <mergeCell ref="T96:W96"/>
    <mergeCell ref="T237:W237"/>
    <mergeCell ref="I237:O237"/>
    <mergeCell ref="T232:W232"/>
    <mergeCell ref="L234:W234"/>
    <mergeCell ref="L102:W102"/>
    <mergeCell ref="L103:W103"/>
    <mergeCell ref="L104:W104"/>
    <mergeCell ref="L101:W101"/>
    <mergeCell ref="L114:W114"/>
    <mergeCell ref="L106:W106"/>
    <mergeCell ref="L107:W107"/>
    <mergeCell ref="L116:W116"/>
    <mergeCell ref="L117:W117"/>
    <mergeCell ref="H94:K94"/>
    <mergeCell ref="L94:O94"/>
    <mergeCell ref="P94:S94"/>
    <mergeCell ref="I37:M37"/>
    <mergeCell ref="N37:R37"/>
    <mergeCell ref="S37:W37"/>
    <mergeCell ref="I38:M38"/>
    <mergeCell ref="N38:R38"/>
    <mergeCell ref="S38:W38"/>
    <mergeCell ref="I41:M41"/>
    <mergeCell ref="N41:R41"/>
    <mergeCell ref="S41:W41"/>
    <mergeCell ref="T94:W94"/>
    <mergeCell ref="S42:W42"/>
    <mergeCell ref="I39:M39"/>
    <mergeCell ref="N39:R39"/>
    <mergeCell ref="S39:W39"/>
    <mergeCell ref="I40:M40"/>
    <mergeCell ref="N40:R40"/>
    <mergeCell ref="S40:W40"/>
    <mergeCell ref="Q87:W87"/>
    <mergeCell ref="L88:W88"/>
    <mergeCell ref="L84:W84"/>
    <mergeCell ref="I48:M48"/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20:W20"/>
    <mergeCell ref="H21:O21"/>
    <mergeCell ref="O13:W13"/>
    <mergeCell ref="R14:W14"/>
    <mergeCell ref="J15:O15"/>
    <mergeCell ref="R15:W15"/>
    <mergeCell ref="J16:O16"/>
    <mergeCell ref="R16:W16"/>
    <mergeCell ref="L105:W105"/>
    <mergeCell ref="H97:K97"/>
    <mergeCell ref="L93:O93"/>
    <mergeCell ref="P93:S93"/>
    <mergeCell ref="T93:W93"/>
    <mergeCell ref="P35:W35"/>
    <mergeCell ref="I31:O31"/>
    <mergeCell ref="N30:O30"/>
    <mergeCell ref="P30:Q30"/>
    <mergeCell ref="R30:S30"/>
    <mergeCell ref="I50:M50"/>
    <mergeCell ref="N50:R50"/>
    <mergeCell ref="S50:W50"/>
    <mergeCell ref="I51:M51"/>
    <mergeCell ref="N51:R51"/>
    <mergeCell ref="S51:W51"/>
    <mergeCell ref="N48:R48"/>
    <mergeCell ref="S48:W48"/>
    <mergeCell ref="I49:M49"/>
    <mergeCell ref="N49:R49"/>
    <mergeCell ref="S49:W49"/>
    <mergeCell ref="H54:O54"/>
    <mergeCell ref="P54:W54"/>
    <mergeCell ref="H55:O55"/>
    <mergeCell ref="P55:W55"/>
    <mergeCell ref="H29:O29"/>
    <mergeCell ref="Q22:W22"/>
    <mergeCell ref="I22:O22"/>
    <mergeCell ref="I42:M42"/>
    <mergeCell ref="N42:R42"/>
    <mergeCell ref="I47:M47"/>
    <mergeCell ref="N47:R47"/>
    <mergeCell ref="S47:W47"/>
    <mergeCell ref="I43:M43"/>
    <mergeCell ref="N43:R43"/>
    <mergeCell ref="S43:W43"/>
    <mergeCell ref="I44:M44"/>
    <mergeCell ref="N44:R44"/>
    <mergeCell ref="S44:W44"/>
    <mergeCell ref="I46:M46"/>
    <mergeCell ref="N46:R46"/>
    <mergeCell ref="S46:W46"/>
    <mergeCell ref="I30:K30"/>
    <mergeCell ref="P29:Q29"/>
    <mergeCell ref="H35:O35"/>
    <mergeCell ref="Q31:W31"/>
    <mergeCell ref="H56:O56"/>
    <mergeCell ref="P56:W56"/>
    <mergeCell ref="I52:M52"/>
    <mergeCell ref="N52:R52"/>
    <mergeCell ref="S52:W52"/>
    <mergeCell ref="I53:M53"/>
    <mergeCell ref="N53:R53"/>
    <mergeCell ref="S53:W53"/>
    <mergeCell ref="H60:O60"/>
    <mergeCell ref="P60:W60"/>
    <mergeCell ref="H61:O61"/>
    <mergeCell ref="P61:W61"/>
    <mergeCell ref="H62:O62"/>
    <mergeCell ref="P62:W62"/>
    <mergeCell ref="H57:O57"/>
    <mergeCell ref="P57:W57"/>
    <mergeCell ref="H58:O58"/>
    <mergeCell ref="P58:W58"/>
    <mergeCell ref="H59:O59"/>
    <mergeCell ref="P59:W59"/>
    <mergeCell ref="H63:O63"/>
    <mergeCell ref="P63:W63"/>
    <mergeCell ref="H64:O64"/>
    <mergeCell ref="P64:W64"/>
    <mergeCell ref="H65:O65"/>
    <mergeCell ref="P65:W65"/>
    <mergeCell ref="L72:W72"/>
    <mergeCell ref="L73:W73"/>
    <mergeCell ref="L74:W74"/>
    <mergeCell ref="H68:I68"/>
    <mergeCell ref="K68:O68"/>
    <mergeCell ref="L91:W91"/>
    <mergeCell ref="H92:K92"/>
    <mergeCell ref="L92:O92"/>
    <mergeCell ref="P92:S92"/>
    <mergeCell ref="T92:W92"/>
    <mergeCell ref="H75:M75"/>
    <mergeCell ref="N75:R75"/>
    <mergeCell ref="S75:W75"/>
    <mergeCell ref="L115:W115"/>
    <mergeCell ref="T85:W85"/>
    <mergeCell ref="P85:S85"/>
    <mergeCell ref="H87:O87"/>
    <mergeCell ref="H82:W82"/>
    <mergeCell ref="H86:W86"/>
    <mergeCell ref="L83:W83"/>
    <mergeCell ref="H81:Q81"/>
    <mergeCell ref="O78:W78"/>
    <mergeCell ref="Q79:W79"/>
    <mergeCell ref="H79:P79"/>
    <mergeCell ref="L97:O97"/>
    <mergeCell ref="P97:S97"/>
    <mergeCell ref="T97:W97"/>
    <mergeCell ref="L100:W100"/>
    <mergeCell ref="H93:K93"/>
    <mergeCell ref="L118:W118"/>
    <mergeCell ref="L119:W119"/>
    <mergeCell ref="L108:W108"/>
    <mergeCell ref="L109:W109"/>
    <mergeCell ref="L110:W110"/>
    <mergeCell ref="L111:W111"/>
    <mergeCell ref="L112:W112"/>
    <mergeCell ref="L113:W113"/>
    <mergeCell ref="L126:W126"/>
    <mergeCell ref="L127:W127"/>
    <mergeCell ref="L128:W128"/>
    <mergeCell ref="L129:W129"/>
    <mergeCell ref="L130:W130"/>
    <mergeCell ref="L131:W131"/>
    <mergeCell ref="L120:W120"/>
    <mergeCell ref="L121:W121"/>
    <mergeCell ref="L122:W122"/>
    <mergeCell ref="L123:W123"/>
    <mergeCell ref="L124:W124"/>
    <mergeCell ref="L125:W125"/>
    <mergeCell ref="L138:W138"/>
    <mergeCell ref="L139:W139"/>
    <mergeCell ref="L140:W140"/>
    <mergeCell ref="L141:W141"/>
    <mergeCell ref="L142:W142"/>
    <mergeCell ref="L143:W143"/>
    <mergeCell ref="L132:W132"/>
    <mergeCell ref="L133:W133"/>
    <mergeCell ref="L134:W134"/>
    <mergeCell ref="L135:W135"/>
    <mergeCell ref="L136:W136"/>
    <mergeCell ref="L137:W137"/>
    <mergeCell ref="L150:W150"/>
    <mergeCell ref="L151:W151"/>
    <mergeCell ref="L152:W152"/>
    <mergeCell ref="L153:W153"/>
    <mergeCell ref="L154:W154"/>
    <mergeCell ref="L155:W155"/>
    <mergeCell ref="L144:W144"/>
    <mergeCell ref="L145:W145"/>
    <mergeCell ref="L146:W146"/>
    <mergeCell ref="L147:W147"/>
    <mergeCell ref="L148:W148"/>
    <mergeCell ref="L149:W149"/>
    <mergeCell ref="L162:W162"/>
    <mergeCell ref="L163:W163"/>
    <mergeCell ref="L164:W164"/>
    <mergeCell ref="L165:W165"/>
    <mergeCell ref="L166:W166"/>
    <mergeCell ref="L167:W167"/>
    <mergeCell ref="L156:W156"/>
    <mergeCell ref="L157:W157"/>
    <mergeCell ref="L158:W158"/>
    <mergeCell ref="L159:W159"/>
    <mergeCell ref="L160:W160"/>
    <mergeCell ref="L161:W161"/>
    <mergeCell ref="L174:W174"/>
    <mergeCell ref="L175:W175"/>
    <mergeCell ref="L176:W176"/>
    <mergeCell ref="L177:W177"/>
    <mergeCell ref="L178:W178"/>
    <mergeCell ref="L179:W179"/>
    <mergeCell ref="L168:W168"/>
    <mergeCell ref="L169:W169"/>
    <mergeCell ref="L170:W170"/>
    <mergeCell ref="L171:W171"/>
    <mergeCell ref="L172:W172"/>
    <mergeCell ref="L173:W173"/>
    <mergeCell ref="L186:W186"/>
    <mergeCell ref="L187:W187"/>
    <mergeCell ref="L188:W188"/>
    <mergeCell ref="L189:W189"/>
    <mergeCell ref="L190:W190"/>
    <mergeCell ref="L191:W191"/>
    <mergeCell ref="L180:W180"/>
    <mergeCell ref="L181:W181"/>
    <mergeCell ref="L182:W182"/>
    <mergeCell ref="L183:W183"/>
    <mergeCell ref="L184:W184"/>
    <mergeCell ref="L185:W185"/>
    <mergeCell ref="L198:W198"/>
    <mergeCell ref="L199:W199"/>
    <mergeCell ref="L200:W200"/>
    <mergeCell ref="L201:W201"/>
    <mergeCell ref="L202:W202"/>
    <mergeCell ref="L203:W203"/>
    <mergeCell ref="L192:W192"/>
    <mergeCell ref="L193:W193"/>
    <mergeCell ref="L194:W194"/>
    <mergeCell ref="L195:W195"/>
    <mergeCell ref="L196:W196"/>
    <mergeCell ref="L197:W197"/>
    <mergeCell ref="L210:W210"/>
    <mergeCell ref="L211:W211"/>
    <mergeCell ref="L212:W212"/>
    <mergeCell ref="L213:W213"/>
    <mergeCell ref="L214:W214"/>
    <mergeCell ref="L215:W215"/>
    <mergeCell ref="L204:W204"/>
    <mergeCell ref="L205:W205"/>
    <mergeCell ref="L206:W206"/>
    <mergeCell ref="L207:W207"/>
    <mergeCell ref="L208:W208"/>
    <mergeCell ref="L209:W209"/>
    <mergeCell ref="R239:W239"/>
    <mergeCell ref="U33:W33"/>
    <mergeCell ref="Q33:S33"/>
    <mergeCell ref="M33:O33"/>
    <mergeCell ref="I33:K33"/>
    <mergeCell ref="L222:W222"/>
    <mergeCell ref="L223:W223"/>
    <mergeCell ref="L224:W224"/>
    <mergeCell ref="L225:W225"/>
    <mergeCell ref="L226:W226"/>
    <mergeCell ref="L227:W227"/>
    <mergeCell ref="L216:W216"/>
    <mergeCell ref="L217:W217"/>
    <mergeCell ref="L218:W218"/>
    <mergeCell ref="L219:W219"/>
    <mergeCell ref="L220:W220"/>
    <mergeCell ref="L221:W221"/>
    <mergeCell ref="Q76:W76"/>
    <mergeCell ref="H76:P76"/>
    <mergeCell ref="I77:O77"/>
    <mergeCell ref="Q77:W77"/>
    <mergeCell ref="O80:W80"/>
    <mergeCell ref="H80:K80"/>
    <mergeCell ref="R81:W81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A309-E91D-42E6-9143-68B863CD530A}">
  <sheetPr>
    <tabColor theme="7" tint="0.79998168889431442"/>
  </sheetPr>
  <dimension ref="A2:AI239"/>
  <sheetViews>
    <sheetView showGridLines="0" zoomScaleNormal="100" workbookViewId="0">
      <pane ySplit="2" topLeftCell="A6" activePane="bottomLeft" state="frozen"/>
      <selection activeCell="I60" sqref="I60:M60"/>
      <selection pane="bottomLeft"/>
    </sheetView>
  </sheetViews>
  <sheetFormatPr defaultColWidth="8.58203125" defaultRowHeight="17" x14ac:dyDescent="0.45"/>
  <cols>
    <col min="1" max="1" width="8.58203125" style="31"/>
    <col min="2" max="2" width="4.58203125" style="23" bestFit="1" customWidth="1"/>
    <col min="3" max="3" width="32.5" style="25" bestFit="1" customWidth="1"/>
    <col min="4" max="4" width="3.83203125" style="25" bestFit="1" customWidth="1"/>
    <col min="5" max="5" width="7.58203125" style="25" bestFit="1" customWidth="1"/>
    <col min="6" max="6" width="8.75" style="25" bestFit="1" customWidth="1"/>
    <col min="7" max="7" width="1.58203125" style="25" customWidth="1"/>
    <col min="8" max="8" width="12.08203125" style="25" bestFit="1" customWidth="1"/>
    <col min="9" max="9" width="20.25" style="25" bestFit="1" customWidth="1"/>
    <col min="10" max="10" width="18.83203125" style="25" bestFit="1" customWidth="1"/>
    <col min="11" max="11" width="15.33203125" style="25" bestFit="1" customWidth="1"/>
    <col min="12" max="12" width="14.33203125" style="25" bestFit="1" customWidth="1"/>
    <col min="13" max="13" width="20.83203125" style="25" bestFit="1" customWidth="1"/>
    <col min="14" max="14" width="15" style="25" bestFit="1" customWidth="1"/>
    <col min="15" max="15" width="23" style="25" bestFit="1" customWidth="1"/>
    <col min="16" max="16" width="18.25" style="25" bestFit="1" customWidth="1"/>
    <col min="17" max="17" width="23.25" style="25" bestFit="1" customWidth="1"/>
    <col min="18" max="18" width="17.83203125" style="25" bestFit="1" customWidth="1"/>
    <col min="19" max="20" width="19.08203125" style="25" bestFit="1" customWidth="1"/>
    <col min="21" max="21" width="20" style="25" bestFit="1" customWidth="1"/>
    <col min="22" max="22" width="20.58203125" style="25" bestFit="1" customWidth="1"/>
    <col min="23" max="23" width="24.08203125" style="25" bestFit="1" customWidth="1"/>
    <col min="24" max="24" width="8.58203125" style="79"/>
    <col min="25" max="16384" width="8.58203125" style="23"/>
  </cols>
  <sheetData>
    <row r="2" spans="2:23" x14ac:dyDescent="0.45">
      <c r="B2" s="26"/>
      <c r="C2" s="27"/>
      <c r="D2" s="27" t="s">
        <v>329</v>
      </c>
      <c r="E2" s="27" t="s">
        <v>21</v>
      </c>
      <c r="F2" s="27" t="s">
        <v>22</v>
      </c>
      <c r="G2" s="27"/>
      <c r="H2" s="27" t="s">
        <v>252</v>
      </c>
      <c r="I2" s="27" t="s">
        <v>253</v>
      </c>
      <c r="J2" s="27" t="s">
        <v>282</v>
      </c>
      <c r="K2" s="27" t="s">
        <v>283</v>
      </c>
      <c r="L2" s="27" t="s">
        <v>256</v>
      </c>
      <c r="M2" s="27" t="s">
        <v>257</v>
      </c>
      <c r="N2" s="27" t="s">
        <v>25</v>
      </c>
      <c r="O2" s="27" t="s">
        <v>26</v>
      </c>
      <c r="P2" s="27" t="s">
        <v>27</v>
      </c>
      <c r="Q2" s="27" t="s">
        <v>28</v>
      </c>
      <c r="R2" s="27" t="s">
        <v>29</v>
      </c>
      <c r="S2" s="27" t="s">
        <v>30</v>
      </c>
      <c r="T2" s="27" t="s">
        <v>31</v>
      </c>
      <c r="U2" s="27" t="s">
        <v>32</v>
      </c>
      <c r="V2" s="27" t="s">
        <v>33</v>
      </c>
      <c r="W2" s="27" t="s">
        <v>34</v>
      </c>
    </row>
    <row r="3" spans="2:23" x14ac:dyDescent="0.45">
      <c r="B3" s="26">
        <v>1</v>
      </c>
      <c r="C3" s="25" t="s">
        <v>330</v>
      </c>
      <c r="D3" s="25" t="s">
        <v>37</v>
      </c>
      <c r="E3" s="25" t="s">
        <v>38</v>
      </c>
      <c r="F3" s="25" t="s">
        <v>331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8" t="s">
        <v>332</v>
      </c>
      <c r="S3" s="28" t="s">
        <v>333</v>
      </c>
      <c r="T3" s="29"/>
      <c r="U3" s="28" t="s">
        <v>334</v>
      </c>
      <c r="V3" s="28" t="s">
        <v>335</v>
      </c>
      <c r="W3" s="28" t="s">
        <v>336</v>
      </c>
    </row>
    <row r="4" spans="2:23" x14ac:dyDescent="0.45">
      <c r="B4" s="26">
        <f>B3+1</f>
        <v>2</v>
      </c>
      <c r="C4" s="25" t="s">
        <v>337</v>
      </c>
      <c r="D4" s="25" t="s">
        <v>37</v>
      </c>
      <c r="E4" s="25" t="s">
        <v>130</v>
      </c>
      <c r="F4" s="25" t="s">
        <v>331</v>
      </c>
      <c r="H4" s="28" t="s">
        <v>338</v>
      </c>
      <c r="I4" s="29"/>
      <c r="J4" s="29"/>
      <c r="K4" s="29"/>
      <c r="L4" s="29"/>
      <c r="M4" s="29"/>
      <c r="N4" s="49"/>
      <c r="O4" s="29"/>
      <c r="P4" s="29"/>
      <c r="Q4" s="29"/>
      <c r="R4" s="1460" t="s">
        <v>261</v>
      </c>
      <c r="S4" s="1460"/>
      <c r="T4" s="1460"/>
      <c r="U4" s="1460"/>
      <c r="V4" s="1460"/>
      <c r="W4" s="1460"/>
    </row>
    <row r="5" spans="2:23" x14ac:dyDescent="0.45">
      <c r="B5" s="26">
        <f t="shared" ref="B5:B65" si="0">B4+1</f>
        <v>3</v>
      </c>
      <c r="C5" s="25" t="s">
        <v>339</v>
      </c>
      <c r="D5" s="25" t="s">
        <v>37</v>
      </c>
      <c r="E5" s="25" t="s">
        <v>133</v>
      </c>
      <c r="F5" s="25" t="s">
        <v>331</v>
      </c>
      <c r="H5" s="28" t="s">
        <v>338</v>
      </c>
      <c r="I5" s="29"/>
      <c r="J5" s="29"/>
      <c r="K5" s="29"/>
      <c r="L5" s="29"/>
      <c r="M5" s="29"/>
      <c r="N5" s="1322" t="s">
        <v>340</v>
      </c>
      <c r="O5" s="1323"/>
      <c r="P5" s="29"/>
      <c r="Q5" s="29"/>
      <c r="R5" s="1460" t="s">
        <v>261</v>
      </c>
      <c r="S5" s="1460"/>
      <c r="T5" s="1460"/>
      <c r="U5" s="1460"/>
      <c r="V5" s="1460"/>
      <c r="W5" s="1460"/>
    </row>
    <row r="6" spans="2:23" x14ac:dyDescent="0.45">
      <c r="B6" s="26">
        <f t="shared" si="0"/>
        <v>4</v>
      </c>
      <c r="C6" s="25" t="s">
        <v>341</v>
      </c>
      <c r="D6" s="25" t="s">
        <v>37</v>
      </c>
      <c r="E6" s="25" t="s">
        <v>43</v>
      </c>
      <c r="F6" s="25" t="s">
        <v>331</v>
      </c>
      <c r="H6" s="28" t="s">
        <v>338</v>
      </c>
      <c r="I6" s="29"/>
      <c r="J6" s="29"/>
      <c r="K6" s="29"/>
      <c r="L6" s="29"/>
      <c r="M6" s="29"/>
      <c r="N6" s="1322" t="s">
        <v>340</v>
      </c>
      <c r="O6" s="1323"/>
      <c r="P6" s="29"/>
      <c r="Q6" s="29"/>
      <c r="R6" s="1460" t="s">
        <v>261</v>
      </c>
      <c r="S6" s="1460"/>
      <c r="T6" s="1460"/>
      <c r="U6" s="1460"/>
      <c r="V6" s="1460"/>
      <c r="W6" s="1460"/>
    </row>
    <row r="7" spans="2:23" x14ac:dyDescent="0.45">
      <c r="B7" s="26">
        <f t="shared" si="0"/>
        <v>5</v>
      </c>
      <c r="C7" s="25" t="s">
        <v>342</v>
      </c>
      <c r="D7" s="25" t="s">
        <v>37</v>
      </c>
      <c r="E7" s="25" t="s">
        <v>343</v>
      </c>
      <c r="F7" s="25" t="s">
        <v>344</v>
      </c>
      <c r="H7" s="28" t="s">
        <v>338</v>
      </c>
      <c r="I7" s="29"/>
      <c r="J7" s="29"/>
      <c r="K7" s="29"/>
      <c r="L7" s="29"/>
      <c r="M7" s="29"/>
      <c r="N7" s="49"/>
      <c r="O7" s="29"/>
      <c r="P7" s="29"/>
      <c r="Q7" s="29"/>
      <c r="R7" s="29"/>
      <c r="S7" s="29"/>
      <c r="T7" s="29"/>
      <c r="U7" s="29"/>
      <c r="V7" s="29"/>
      <c r="W7" s="29"/>
    </row>
    <row r="8" spans="2:23" x14ac:dyDescent="0.45">
      <c r="B8" s="26">
        <f t="shared" si="0"/>
        <v>6</v>
      </c>
      <c r="C8" s="25" t="s">
        <v>345</v>
      </c>
      <c r="D8" s="25" t="s">
        <v>37</v>
      </c>
      <c r="E8" s="25" t="s">
        <v>137</v>
      </c>
      <c r="F8" s="25" t="s">
        <v>331</v>
      </c>
      <c r="H8" s="28" t="s">
        <v>338</v>
      </c>
      <c r="I8" s="29"/>
      <c r="J8" s="29"/>
      <c r="K8" s="29"/>
      <c r="L8" s="29"/>
      <c r="M8" s="29"/>
      <c r="N8" s="49"/>
      <c r="O8" s="29"/>
      <c r="P8" s="29"/>
      <c r="Q8" s="29"/>
      <c r="R8" s="29"/>
      <c r="S8" s="29"/>
      <c r="T8" s="29"/>
      <c r="U8" s="29"/>
      <c r="V8" s="29"/>
      <c r="W8" s="29"/>
    </row>
    <row r="9" spans="2:23" x14ac:dyDescent="0.45">
      <c r="B9" s="26">
        <f t="shared" si="0"/>
        <v>7</v>
      </c>
      <c r="C9" s="25" t="s">
        <v>346</v>
      </c>
      <c r="D9" s="25" t="s">
        <v>37</v>
      </c>
      <c r="E9" s="25" t="s">
        <v>46</v>
      </c>
      <c r="F9" s="25" t="s">
        <v>344</v>
      </c>
      <c r="H9" s="28" t="s">
        <v>338</v>
      </c>
      <c r="I9" s="29"/>
      <c r="J9" s="29"/>
      <c r="K9" s="29"/>
      <c r="L9" s="29"/>
      <c r="M9" s="29"/>
      <c r="N9" s="49"/>
      <c r="O9" s="29"/>
      <c r="P9" s="29"/>
      <c r="Q9" s="29"/>
      <c r="R9" s="29"/>
      <c r="S9" s="29"/>
      <c r="T9" s="29"/>
      <c r="U9" s="29"/>
      <c r="V9" s="29"/>
      <c r="W9" s="29"/>
    </row>
    <row r="10" spans="2:23" x14ac:dyDescent="0.45">
      <c r="B10" s="26">
        <f t="shared" si="0"/>
        <v>8</v>
      </c>
      <c r="C10" s="25" t="s">
        <v>347</v>
      </c>
      <c r="D10" s="25" t="s">
        <v>37</v>
      </c>
      <c r="E10" s="25" t="s">
        <v>140</v>
      </c>
      <c r="F10" s="25" t="s">
        <v>331</v>
      </c>
      <c r="H10" s="28" t="s">
        <v>338</v>
      </c>
      <c r="I10" s="29"/>
      <c r="J10" s="29"/>
      <c r="K10" s="29"/>
      <c r="L10" s="29"/>
      <c r="M10" s="29"/>
      <c r="N10" s="49"/>
      <c r="O10" s="29"/>
      <c r="P10" s="29"/>
      <c r="Q10" s="29"/>
      <c r="R10" s="29"/>
      <c r="S10" s="29"/>
      <c r="T10" s="29"/>
      <c r="U10" s="29"/>
      <c r="V10" s="29"/>
      <c r="W10" s="29"/>
    </row>
    <row r="11" spans="2:23" x14ac:dyDescent="0.45">
      <c r="B11" s="26">
        <f t="shared" si="0"/>
        <v>9</v>
      </c>
      <c r="C11" s="25" t="s">
        <v>348</v>
      </c>
      <c r="D11" s="25" t="s">
        <v>37</v>
      </c>
      <c r="E11" s="25" t="s">
        <v>49</v>
      </c>
      <c r="F11" s="25" t="s">
        <v>349</v>
      </c>
      <c r="H11" s="29"/>
      <c r="I11" s="29"/>
      <c r="J11" s="29"/>
      <c r="K11" s="29"/>
      <c r="L11" s="29"/>
      <c r="M11" s="29"/>
      <c r="N11" s="49"/>
      <c r="O11" s="205" t="s">
        <v>350</v>
      </c>
      <c r="P11" s="29"/>
      <c r="Q11" s="29"/>
      <c r="R11" s="29"/>
      <c r="S11" s="28" t="s">
        <v>351</v>
      </c>
      <c r="T11" s="29"/>
      <c r="U11" s="29"/>
      <c r="V11" s="29"/>
      <c r="W11" s="28" t="s">
        <v>352</v>
      </c>
    </row>
    <row r="12" spans="2:23" x14ac:dyDescent="0.45">
      <c r="B12" s="26">
        <f t="shared" si="0"/>
        <v>10</v>
      </c>
      <c r="C12" s="25" t="s">
        <v>353</v>
      </c>
      <c r="D12" s="25" t="s">
        <v>66</v>
      </c>
      <c r="E12" s="25" t="s">
        <v>144</v>
      </c>
      <c r="F12" s="25" t="s">
        <v>344</v>
      </c>
      <c r="H12" s="29"/>
      <c r="I12" s="29"/>
      <c r="J12" s="29"/>
      <c r="K12" s="29"/>
      <c r="L12" s="29"/>
      <c r="M12" s="29"/>
      <c r="N12" s="29"/>
      <c r="O12" s="1322" t="s">
        <v>354</v>
      </c>
      <c r="P12" s="1324"/>
      <c r="Q12" s="1324"/>
      <c r="R12" s="1324"/>
      <c r="S12" s="1324"/>
      <c r="T12" s="1324"/>
      <c r="U12" s="1324"/>
      <c r="V12" s="1324"/>
      <c r="W12" s="1323"/>
    </row>
    <row r="13" spans="2:23" x14ac:dyDescent="0.45">
      <c r="B13" s="26">
        <f t="shared" si="0"/>
        <v>11</v>
      </c>
      <c r="C13" s="25" t="s">
        <v>355</v>
      </c>
      <c r="D13" s="25" t="s">
        <v>66</v>
      </c>
      <c r="E13" s="25" t="s">
        <v>67</v>
      </c>
      <c r="F13" s="25" t="s">
        <v>344</v>
      </c>
      <c r="H13" s="29"/>
      <c r="I13" s="29"/>
      <c r="J13" s="29"/>
      <c r="K13" s="29"/>
      <c r="L13" s="29"/>
      <c r="M13" s="29"/>
      <c r="N13" s="29"/>
      <c r="O13" s="1322" t="s">
        <v>356</v>
      </c>
      <c r="P13" s="1324"/>
      <c r="Q13" s="1324"/>
      <c r="R13" s="1324"/>
      <c r="S13" s="1324"/>
      <c r="T13" s="1324"/>
      <c r="U13" s="1324"/>
      <c r="V13" s="1324"/>
      <c r="W13" s="1323"/>
    </row>
    <row r="14" spans="2:23" x14ac:dyDescent="0.45">
      <c r="B14" s="26">
        <f t="shared" si="0"/>
        <v>12</v>
      </c>
      <c r="C14" s="25" t="s">
        <v>357</v>
      </c>
      <c r="D14" s="25" t="s">
        <v>66</v>
      </c>
      <c r="E14" s="25" t="s">
        <v>72</v>
      </c>
      <c r="F14" s="25" t="s">
        <v>344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1322" t="s">
        <v>358</v>
      </c>
      <c r="S14" s="1324"/>
      <c r="T14" s="1324"/>
      <c r="U14" s="1324"/>
      <c r="V14" s="1324"/>
      <c r="W14" s="1323"/>
    </row>
    <row r="15" spans="2:23" x14ac:dyDescent="0.45">
      <c r="B15" s="26">
        <f t="shared" si="0"/>
        <v>13</v>
      </c>
      <c r="C15" s="25" t="s">
        <v>359</v>
      </c>
      <c r="D15" s="25" t="s">
        <v>37</v>
      </c>
      <c r="E15" s="25" t="s">
        <v>76</v>
      </c>
      <c r="F15" s="25" t="s">
        <v>344</v>
      </c>
      <c r="H15" s="29"/>
      <c r="I15" s="29"/>
      <c r="J15" s="1322" t="s">
        <v>360</v>
      </c>
      <c r="K15" s="1324"/>
      <c r="L15" s="1324"/>
      <c r="M15" s="1324"/>
      <c r="N15" s="1324"/>
      <c r="O15" s="1323"/>
      <c r="P15" s="28" t="s">
        <v>361</v>
      </c>
      <c r="Q15" s="29"/>
      <c r="R15" s="1324" t="s">
        <v>362</v>
      </c>
      <c r="S15" s="1324"/>
      <c r="T15" s="1324"/>
      <c r="U15" s="1324"/>
      <c r="V15" s="1324"/>
      <c r="W15" s="1323"/>
    </row>
    <row r="16" spans="2:23" x14ac:dyDescent="0.45">
      <c r="B16" s="26">
        <f t="shared" si="0"/>
        <v>14</v>
      </c>
      <c r="C16" s="25" t="s">
        <v>363</v>
      </c>
      <c r="D16" s="25" t="s">
        <v>66</v>
      </c>
      <c r="E16" s="25" t="s">
        <v>79</v>
      </c>
      <c r="F16" s="25" t="s">
        <v>344</v>
      </c>
      <c r="H16" s="29"/>
      <c r="I16" s="29"/>
      <c r="J16" s="1322" t="s">
        <v>364</v>
      </c>
      <c r="K16" s="1324"/>
      <c r="L16" s="1324"/>
      <c r="M16" s="1324"/>
      <c r="N16" s="1324"/>
      <c r="O16" s="1323"/>
      <c r="P16" s="29"/>
      <c r="Q16" s="29"/>
      <c r="R16" s="1322" t="s">
        <v>365</v>
      </c>
      <c r="S16" s="1324"/>
      <c r="T16" s="1324"/>
      <c r="U16" s="1324"/>
      <c r="V16" s="1324"/>
      <c r="W16" s="1323"/>
    </row>
    <row r="17" spans="1:24" x14ac:dyDescent="0.45">
      <c r="B17" s="26">
        <f t="shared" si="0"/>
        <v>15</v>
      </c>
      <c r="C17" s="25" t="s">
        <v>366</v>
      </c>
      <c r="D17" s="25" t="s">
        <v>66</v>
      </c>
      <c r="E17" s="25" t="s">
        <v>81</v>
      </c>
      <c r="F17" s="25" t="s">
        <v>344</v>
      </c>
      <c r="H17" s="29"/>
      <c r="I17" s="29"/>
      <c r="J17" s="1322" t="s">
        <v>367</v>
      </c>
      <c r="K17" s="1324"/>
      <c r="L17" s="1324"/>
      <c r="M17" s="1324"/>
      <c r="N17" s="1324"/>
      <c r="O17" s="1323"/>
      <c r="P17" s="29"/>
      <c r="Q17" s="29"/>
      <c r="R17" s="1322" t="s">
        <v>368</v>
      </c>
      <c r="S17" s="1324"/>
      <c r="T17" s="1324"/>
      <c r="U17" s="1324"/>
      <c r="V17" s="1324"/>
      <c r="W17" s="1323"/>
    </row>
    <row r="18" spans="1:24" x14ac:dyDescent="0.45">
      <c r="B18" s="26">
        <f t="shared" si="0"/>
        <v>16</v>
      </c>
      <c r="C18" s="25" t="s">
        <v>369</v>
      </c>
      <c r="D18" s="25" t="s">
        <v>66</v>
      </c>
      <c r="E18" s="25" t="s">
        <v>83</v>
      </c>
      <c r="F18" s="25" t="s">
        <v>344</v>
      </c>
      <c r="H18" s="29"/>
      <c r="I18" s="29"/>
      <c r="J18" s="1322" t="s">
        <v>370</v>
      </c>
      <c r="K18" s="1324"/>
      <c r="L18" s="1324"/>
      <c r="M18" s="1324"/>
      <c r="N18" s="1324"/>
      <c r="O18" s="1323"/>
      <c r="P18" s="29"/>
      <c r="Q18" s="29"/>
      <c r="R18" s="1322" t="s">
        <v>371</v>
      </c>
      <c r="S18" s="1324"/>
      <c r="T18" s="1324"/>
      <c r="U18" s="1324"/>
      <c r="V18" s="1324"/>
      <c r="W18" s="1323"/>
    </row>
    <row r="19" spans="1:24" x14ac:dyDescent="0.45">
      <c r="B19" s="26">
        <f t="shared" si="0"/>
        <v>17</v>
      </c>
      <c r="C19" s="25" t="s">
        <v>372</v>
      </c>
      <c r="D19" s="25" t="s">
        <v>373</v>
      </c>
      <c r="E19" s="25" t="s">
        <v>374</v>
      </c>
      <c r="F19" s="25" t="s">
        <v>344</v>
      </c>
      <c r="H19" s="29"/>
      <c r="I19" s="29"/>
      <c r="J19" s="29"/>
      <c r="K19" s="29"/>
      <c r="L19" s="29"/>
      <c r="M19" s="29"/>
      <c r="N19" s="29"/>
      <c r="O19" s="28" t="s">
        <v>375</v>
      </c>
      <c r="P19" s="29"/>
      <c r="Q19" s="29"/>
      <c r="R19" s="29"/>
      <c r="S19" s="29"/>
      <c r="T19" s="29"/>
      <c r="U19" s="29"/>
      <c r="V19" s="29"/>
      <c r="W19" s="28" t="s">
        <v>376</v>
      </c>
    </row>
    <row r="20" spans="1:24" x14ac:dyDescent="0.45">
      <c r="A20" s="126"/>
      <c r="B20" s="26">
        <f t="shared" si="0"/>
        <v>18</v>
      </c>
      <c r="C20" s="25" t="s">
        <v>377</v>
      </c>
      <c r="D20" s="25" t="s">
        <v>37</v>
      </c>
      <c r="E20" s="25" t="s">
        <v>86</v>
      </c>
      <c r="F20" s="25" t="s">
        <v>344</v>
      </c>
      <c r="H20" s="1322" t="s">
        <v>378</v>
      </c>
      <c r="I20" s="1324"/>
      <c r="J20" s="1324"/>
      <c r="K20" s="1324"/>
      <c r="L20" s="1324"/>
      <c r="M20" s="1324"/>
      <c r="N20" s="1324"/>
      <c r="O20" s="1324"/>
      <c r="P20" s="1324"/>
      <c r="Q20" s="1324"/>
      <c r="R20" s="1324"/>
      <c r="S20" s="1324"/>
      <c r="T20" s="1324"/>
      <c r="U20" s="1324"/>
      <c r="V20" s="1324"/>
      <c r="W20" s="1323"/>
    </row>
    <row r="21" spans="1:24" x14ac:dyDescent="0.45">
      <c r="A21" s="126"/>
      <c r="B21" s="26">
        <f t="shared" si="0"/>
        <v>19</v>
      </c>
      <c r="C21" s="25" t="s">
        <v>379</v>
      </c>
      <c r="D21" s="25" t="s">
        <v>37</v>
      </c>
      <c r="E21" s="25" t="s">
        <v>88</v>
      </c>
      <c r="F21" s="25" t="s">
        <v>344</v>
      </c>
      <c r="H21" s="1322" t="s">
        <v>380</v>
      </c>
      <c r="I21" s="1324"/>
      <c r="J21" s="1324"/>
      <c r="K21" s="1324"/>
      <c r="L21" s="1324"/>
      <c r="M21" s="1324"/>
      <c r="N21" s="1324"/>
      <c r="O21" s="1323"/>
      <c r="P21" s="29"/>
      <c r="Q21" s="29"/>
      <c r="R21" s="29"/>
      <c r="S21" s="29"/>
      <c r="T21" s="29"/>
      <c r="U21" s="29"/>
      <c r="V21" s="29"/>
      <c r="W21" s="28" t="s">
        <v>381</v>
      </c>
    </row>
    <row r="22" spans="1:24" s="78" customFormat="1" x14ac:dyDescent="0.45">
      <c r="A22" s="126"/>
      <c r="B22" s="26">
        <f t="shared" si="0"/>
        <v>20</v>
      </c>
      <c r="C22" s="126" t="s">
        <v>382</v>
      </c>
      <c r="D22" s="126" t="s">
        <v>37</v>
      </c>
      <c r="E22" s="126" t="s">
        <v>90</v>
      </c>
      <c r="F22" s="126" t="s">
        <v>965</v>
      </c>
      <c r="G22" s="63"/>
      <c r="H22" s="127"/>
      <c r="I22" s="1305" t="s">
        <v>964</v>
      </c>
      <c r="J22" s="1306"/>
      <c r="K22" s="1306"/>
      <c r="L22" s="1306"/>
      <c r="M22" s="1306"/>
      <c r="N22" s="1306"/>
      <c r="O22" s="1307"/>
      <c r="P22" s="127"/>
      <c r="Q22" s="1305" t="s">
        <v>963</v>
      </c>
      <c r="R22" s="1306"/>
      <c r="S22" s="1306"/>
      <c r="T22" s="1306"/>
      <c r="U22" s="1306"/>
      <c r="V22" s="1306"/>
      <c r="W22" s="1307"/>
      <c r="X22" s="79"/>
    </row>
    <row r="23" spans="1:24" x14ac:dyDescent="0.45">
      <c r="A23" s="126"/>
      <c r="B23" s="26">
        <f t="shared" si="0"/>
        <v>21</v>
      </c>
      <c r="C23" s="126" t="s">
        <v>383</v>
      </c>
      <c r="D23" s="126" t="s">
        <v>37</v>
      </c>
      <c r="E23" s="126" t="s">
        <v>92</v>
      </c>
      <c r="F23" s="126" t="s">
        <v>344</v>
      </c>
      <c r="H23" s="64" t="s">
        <v>1085</v>
      </c>
      <c r="I23" s="64" t="s">
        <v>1086</v>
      </c>
      <c r="J23" s="64" t="s">
        <v>1087</v>
      </c>
      <c r="K23" s="64" t="s">
        <v>1088</v>
      </c>
      <c r="L23" s="29"/>
      <c r="M23" s="64" t="s">
        <v>1080</v>
      </c>
      <c r="N23" s="64" t="s">
        <v>1079</v>
      </c>
      <c r="O23" s="28" t="s">
        <v>384</v>
      </c>
      <c r="P23" s="28" t="s">
        <v>385</v>
      </c>
      <c r="Q23" s="28" t="s">
        <v>386</v>
      </c>
      <c r="R23" s="28" t="s">
        <v>387</v>
      </c>
      <c r="S23" s="28" t="s">
        <v>388</v>
      </c>
      <c r="T23" s="50" t="s">
        <v>389</v>
      </c>
      <c r="U23" s="50" t="s">
        <v>390</v>
      </c>
      <c r="V23" s="50" t="s">
        <v>391</v>
      </c>
      <c r="W23" s="50" t="s">
        <v>392</v>
      </c>
    </row>
    <row r="24" spans="1:24" x14ac:dyDescent="0.45">
      <c r="A24" s="126"/>
      <c r="B24" s="26">
        <f t="shared" si="0"/>
        <v>22</v>
      </c>
      <c r="C24" s="51" t="s">
        <v>393</v>
      </c>
      <c r="D24" s="25" t="s">
        <v>66</v>
      </c>
      <c r="E24" s="25" t="s">
        <v>94</v>
      </c>
      <c r="F24" s="25" t="s">
        <v>331</v>
      </c>
      <c r="G24" s="51"/>
      <c r="H24" s="28" t="s">
        <v>394</v>
      </c>
      <c r="I24" s="28" t="s">
        <v>395</v>
      </c>
      <c r="J24" s="28" t="s">
        <v>396</v>
      </c>
      <c r="K24" s="28" t="s">
        <v>397</v>
      </c>
      <c r="L24" s="28" t="s">
        <v>398</v>
      </c>
      <c r="M24" s="28" t="s">
        <v>399</v>
      </c>
      <c r="N24" s="28" t="s">
        <v>400</v>
      </c>
      <c r="O24" s="28" t="s">
        <v>401</v>
      </c>
      <c r="P24" s="28" t="s">
        <v>402</v>
      </c>
      <c r="Q24" s="28" t="s">
        <v>403</v>
      </c>
      <c r="R24" s="28" t="s">
        <v>404</v>
      </c>
      <c r="S24" s="28" t="s">
        <v>405</v>
      </c>
      <c r="T24" s="28" t="s">
        <v>406</v>
      </c>
      <c r="U24" s="28" t="s">
        <v>407</v>
      </c>
      <c r="V24" s="28" t="s">
        <v>408</v>
      </c>
      <c r="W24" s="28" t="s">
        <v>409</v>
      </c>
    </row>
    <row r="25" spans="1:24" x14ac:dyDescent="0.45">
      <c r="A25" s="126"/>
      <c r="B25" s="26">
        <f t="shared" si="0"/>
        <v>23</v>
      </c>
      <c r="C25" s="51" t="s">
        <v>410</v>
      </c>
      <c r="D25" s="25" t="s">
        <v>66</v>
      </c>
      <c r="E25" s="25" t="s">
        <v>411</v>
      </c>
      <c r="F25" s="25" t="s">
        <v>331</v>
      </c>
      <c r="G25" s="51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8" t="s">
        <v>412</v>
      </c>
      <c r="W25" s="28" t="s">
        <v>413</v>
      </c>
    </row>
    <row r="26" spans="1:24" x14ac:dyDescent="0.45">
      <c r="A26" s="126"/>
      <c r="B26" s="26">
        <f t="shared" si="0"/>
        <v>24</v>
      </c>
      <c r="C26" s="51" t="s">
        <v>414</v>
      </c>
      <c r="D26" s="25" t="s">
        <v>66</v>
      </c>
      <c r="E26" s="25" t="s">
        <v>415</v>
      </c>
      <c r="F26" s="25" t="s">
        <v>331</v>
      </c>
      <c r="G26" s="51"/>
      <c r="H26" s="29"/>
      <c r="I26" s="28" t="s">
        <v>416</v>
      </c>
      <c r="J26" s="28" t="s">
        <v>417</v>
      </c>
      <c r="K26" s="28" t="s">
        <v>418</v>
      </c>
      <c r="L26" s="29"/>
      <c r="M26" s="29"/>
      <c r="N26" s="29"/>
      <c r="O26" s="28" t="s">
        <v>419</v>
      </c>
      <c r="P26" s="29"/>
      <c r="Q26" s="29"/>
      <c r="R26" s="28" t="s">
        <v>420</v>
      </c>
      <c r="S26" s="28" t="s">
        <v>421</v>
      </c>
      <c r="T26" s="28" t="s">
        <v>422</v>
      </c>
      <c r="U26" s="28" t="s">
        <v>423</v>
      </c>
      <c r="V26" s="28" t="s">
        <v>424</v>
      </c>
      <c r="W26" s="28" t="s">
        <v>425</v>
      </c>
    </row>
    <row r="27" spans="1:24" ht="34" x14ac:dyDescent="0.45">
      <c r="B27" s="26">
        <f t="shared" si="0"/>
        <v>25</v>
      </c>
      <c r="C27" s="126" t="s">
        <v>426</v>
      </c>
      <c r="D27" s="25" t="s">
        <v>66</v>
      </c>
      <c r="E27" s="25" t="s">
        <v>427</v>
      </c>
      <c r="F27" s="25" t="s">
        <v>344</v>
      </c>
      <c r="H27" s="80" t="s">
        <v>1089</v>
      </c>
      <c r="I27" s="80" t="s">
        <v>1090</v>
      </c>
      <c r="J27" s="80" t="s">
        <v>1091</v>
      </c>
      <c r="K27" s="50" t="s">
        <v>428</v>
      </c>
      <c r="L27" s="50" t="s">
        <v>429</v>
      </c>
      <c r="M27" s="50" t="s">
        <v>430</v>
      </c>
      <c r="N27" s="50" t="s">
        <v>431</v>
      </c>
      <c r="O27" s="50" t="s">
        <v>432</v>
      </c>
      <c r="P27" s="50" t="s">
        <v>433</v>
      </c>
      <c r="Q27" s="50" t="s">
        <v>434</v>
      </c>
      <c r="R27" s="50" t="s">
        <v>435</v>
      </c>
      <c r="S27" s="50" t="s">
        <v>436</v>
      </c>
      <c r="T27" s="29"/>
      <c r="U27" s="29"/>
      <c r="V27" s="50" t="s">
        <v>1115</v>
      </c>
      <c r="W27" s="50" t="s">
        <v>1116</v>
      </c>
      <c r="X27" s="78"/>
    </row>
    <row r="28" spans="1:24" x14ac:dyDescent="0.45">
      <c r="B28" s="26"/>
      <c r="X28" s="78"/>
    </row>
    <row r="29" spans="1:24" s="78" customFormat="1" ht="34" x14ac:dyDescent="0.45">
      <c r="A29" s="31"/>
      <c r="B29" s="26">
        <f>B27+1</f>
        <v>26</v>
      </c>
      <c r="C29" s="63" t="s">
        <v>1094</v>
      </c>
      <c r="D29" s="126" t="s">
        <v>37</v>
      </c>
      <c r="E29" s="63" t="s">
        <v>437</v>
      </c>
      <c r="F29" s="126" t="s">
        <v>344</v>
      </c>
      <c r="G29" s="63"/>
      <c r="H29" s="1457" t="s">
        <v>1093</v>
      </c>
      <c r="I29" s="1458"/>
      <c r="J29" s="1458"/>
      <c r="K29" s="1458"/>
      <c r="L29" s="1458"/>
      <c r="M29" s="1458"/>
      <c r="N29" s="1458"/>
      <c r="O29" s="1459"/>
      <c r="P29" s="1470" t="s">
        <v>1092</v>
      </c>
      <c r="Q29" s="1471"/>
      <c r="R29" s="64" t="s">
        <v>1084</v>
      </c>
      <c r="S29" s="64" t="s">
        <v>1083</v>
      </c>
      <c r="T29" s="76"/>
      <c r="U29" s="76"/>
      <c r="V29" s="80" t="s">
        <v>1082</v>
      </c>
      <c r="W29" s="80" t="s">
        <v>1081</v>
      </c>
    </row>
    <row r="30" spans="1:24" s="83" customFormat="1" ht="51" x14ac:dyDescent="0.45">
      <c r="A30" s="211"/>
      <c r="B30" s="85">
        <f>B29+1</f>
        <v>27</v>
      </c>
      <c r="C30" s="63" t="s">
        <v>981</v>
      </c>
      <c r="D30" s="126" t="s">
        <v>37</v>
      </c>
      <c r="E30" s="63" t="s">
        <v>150</v>
      </c>
      <c r="F30" s="126" t="s">
        <v>1206</v>
      </c>
      <c r="G30" s="81"/>
      <c r="H30" s="82"/>
      <c r="I30" s="1467" t="s">
        <v>1117</v>
      </c>
      <c r="J30" s="1468"/>
      <c r="K30" s="1469"/>
      <c r="L30" s="84" t="s">
        <v>1205</v>
      </c>
      <c r="M30" s="84" t="s">
        <v>1207</v>
      </c>
      <c r="N30" s="1467" t="s">
        <v>1118</v>
      </c>
      <c r="O30" s="1472"/>
      <c r="P30" s="1467" t="s">
        <v>1119</v>
      </c>
      <c r="Q30" s="1472"/>
      <c r="R30" s="1467" t="s">
        <v>1120</v>
      </c>
      <c r="S30" s="1472"/>
      <c r="T30" s="84" t="s">
        <v>1123</v>
      </c>
      <c r="U30" s="84" t="s">
        <v>1122</v>
      </c>
      <c r="V30" s="84" t="s">
        <v>1121</v>
      </c>
      <c r="W30" s="84" t="s">
        <v>1124</v>
      </c>
    </row>
    <row r="31" spans="1:24" s="78" customFormat="1" x14ac:dyDescent="0.45">
      <c r="A31" s="211"/>
      <c r="B31" s="85">
        <f t="shared" ref="B31:B33" si="1">B30+1</f>
        <v>28</v>
      </c>
      <c r="C31" s="63" t="s">
        <v>982</v>
      </c>
      <c r="D31" s="126" t="s">
        <v>37</v>
      </c>
      <c r="E31" s="63" t="s">
        <v>153</v>
      </c>
      <c r="F31" s="126" t="s">
        <v>1208</v>
      </c>
      <c r="G31" s="63"/>
      <c r="H31" s="76"/>
      <c r="I31" s="1457" t="s">
        <v>1097</v>
      </c>
      <c r="J31" s="1458"/>
      <c r="K31" s="1458"/>
      <c r="L31" s="1458"/>
      <c r="M31" s="1458"/>
      <c r="N31" s="1458"/>
      <c r="O31" s="1459"/>
      <c r="P31" s="76"/>
      <c r="Q31" s="1457" t="s">
        <v>207</v>
      </c>
      <c r="R31" s="1458"/>
      <c r="S31" s="1458"/>
      <c r="T31" s="1458"/>
      <c r="U31" s="1458"/>
      <c r="V31" s="1458"/>
      <c r="W31" s="1459"/>
    </row>
    <row r="32" spans="1:24" s="78" customFormat="1" x14ac:dyDescent="0.45">
      <c r="A32" s="211"/>
      <c r="B32" s="85">
        <f t="shared" si="1"/>
        <v>29</v>
      </c>
      <c r="C32" s="63" t="s">
        <v>987</v>
      </c>
      <c r="D32" s="126" t="s">
        <v>66</v>
      </c>
      <c r="E32" s="63" t="s">
        <v>155</v>
      </c>
      <c r="F32" s="126" t="s">
        <v>344</v>
      </c>
      <c r="G32" s="63"/>
      <c r="H32" s="76"/>
      <c r="I32" s="76"/>
      <c r="J32" s="76"/>
      <c r="K32" s="64" t="s">
        <v>986</v>
      </c>
      <c r="L32" s="76"/>
      <c r="M32" s="76"/>
      <c r="N32" s="76"/>
      <c r="O32" s="64" t="s">
        <v>985</v>
      </c>
      <c r="P32" s="76"/>
      <c r="Q32" s="76"/>
      <c r="R32" s="76"/>
      <c r="S32" s="64" t="s">
        <v>984</v>
      </c>
      <c r="T32" s="76"/>
      <c r="U32" s="76"/>
      <c r="V32" s="76"/>
      <c r="W32" s="64" t="s">
        <v>983</v>
      </c>
    </row>
    <row r="33" spans="1:24" s="78" customFormat="1" x14ac:dyDescent="0.45">
      <c r="A33" s="211"/>
      <c r="B33" s="85">
        <f t="shared" si="1"/>
        <v>30</v>
      </c>
      <c r="C33" s="63" t="s">
        <v>994</v>
      </c>
      <c r="D33" s="126" t="s">
        <v>37</v>
      </c>
      <c r="E33" s="63" t="s">
        <v>157</v>
      </c>
      <c r="F33" s="126" t="s">
        <v>1095</v>
      </c>
      <c r="G33" s="63"/>
      <c r="H33" s="76"/>
      <c r="I33" s="1457" t="s">
        <v>998</v>
      </c>
      <c r="J33" s="1458"/>
      <c r="K33" s="1459"/>
      <c r="L33" s="76"/>
      <c r="M33" s="1457" t="s">
        <v>997</v>
      </c>
      <c r="N33" s="1458"/>
      <c r="O33" s="1459"/>
      <c r="P33" s="76"/>
      <c r="Q33" s="1457" t="s">
        <v>996</v>
      </c>
      <c r="R33" s="1458"/>
      <c r="S33" s="1459"/>
      <c r="T33" s="76"/>
      <c r="U33" s="1457" t="s">
        <v>995</v>
      </c>
      <c r="V33" s="1458"/>
      <c r="W33" s="1459"/>
    </row>
    <row r="34" spans="1:24" x14ac:dyDescent="0.45">
      <c r="A34" s="211"/>
      <c r="B34" s="26"/>
      <c r="D34" s="126"/>
      <c r="F34" s="126"/>
      <c r="X34" s="23"/>
    </row>
    <row r="35" spans="1:24" s="78" customFormat="1" x14ac:dyDescent="0.45">
      <c r="A35" s="211"/>
      <c r="B35" s="26">
        <f>B33+1</f>
        <v>31</v>
      </c>
      <c r="C35" s="126" t="s">
        <v>1101</v>
      </c>
      <c r="D35" s="126" t="s">
        <v>37</v>
      </c>
      <c r="E35" s="126" t="s">
        <v>159</v>
      </c>
      <c r="F35" s="126" t="s">
        <v>1209</v>
      </c>
      <c r="G35" s="63"/>
      <c r="H35" s="1457" t="s">
        <v>1102</v>
      </c>
      <c r="I35" s="1458"/>
      <c r="J35" s="1458"/>
      <c r="K35" s="1458"/>
      <c r="L35" s="1458"/>
      <c r="M35" s="1458"/>
      <c r="N35" s="1458"/>
      <c r="O35" s="1459"/>
      <c r="P35" s="1305" t="s">
        <v>438</v>
      </c>
      <c r="Q35" s="1306"/>
      <c r="R35" s="1306"/>
      <c r="S35" s="1306"/>
      <c r="T35" s="1306"/>
      <c r="U35" s="1306"/>
      <c r="V35" s="1306"/>
      <c r="W35" s="1307"/>
      <c r="X35" s="79"/>
    </row>
    <row r="36" spans="1:24" x14ac:dyDescent="0.45">
      <c r="A36" s="211"/>
      <c r="B36" s="26"/>
    </row>
    <row r="37" spans="1:24" ht="17.149999999999999" customHeight="1" x14ac:dyDescent="0.45">
      <c r="A37" s="211"/>
      <c r="B37" s="26">
        <f>B35+1</f>
        <v>32</v>
      </c>
      <c r="C37" s="25" t="s">
        <v>439</v>
      </c>
      <c r="D37" s="25" t="s">
        <v>37</v>
      </c>
      <c r="E37" s="25" t="s">
        <v>440</v>
      </c>
      <c r="F37" s="25" t="s">
        <v>344</v>
      </c>
      <c r="H37" s="29"/>
      <c r="I37" s="1461" t="s">
        <v>441</v>
      </c>
      <c r="J37" s="1462"/>
      <c r="K37" s="1462"/>
      <c r="L37" s="1462"/>
      <c r="M37" s="1463"/>
      <c r="N37" s="1461" t="s">
        <v>442</v>
      </c>
      <c r="O37" s="1462"/>
      <c r="P37" s="1462"/>
      <c r="Q37" s="1462"/>
      <c r="R37" s="1463"/>
      <c r="S37" s="1464" t="s">
        <v>443</v>
      </c>
      <c r="T37" s="1465"/>
      <c r="U37" s="1465"/>
      <c r="V37" s="1465"/>
      <c r="W37" s="1466"/>
    </row>
    <row r="38" spans="1:24" s="100" customFormat="1" x14ac:dyDescent="0.45">
      <c r="A38" s="211"/>
      <c r="B38" s="26">
        <f t="shared" si="0"/>
        <v>33</v>
      </c>
      <c r="C38" s="101" t="s">
        <v>444</v>
      </c>
      <c r="D38" s="101" t="s">
        <v>37</v>
      </c>
      <c r="E38" s="101" t="s">
        <v>164</v>
      </c>
      <c r="F38" s="101" t="s">
        <v>344</v>
      </c>
      <c r="G38" s="101"/>
      <c r="H38" s="102"/>
      <c r="I38" s="1461" t="s">
        <v>445</v>
      </c>
      <c r="J38" s="1462"/>
      <c r="K38" s="1462"/>
      <c r="L38" s="1462"/>
      <c r="M38" s="1463"/>
      <c r="N38" s="1461" t="s">
        <v>446</v>
      </c>
      <c r="O38" s="1462"/>
      <c r="P38" s="1462"/>
      <c r="Q38" s="1462"/>
      <c r="R38" s="1463"/>
      <c r="S38" s="1461" t="s">
        <v>447</v>
      </c>
      <c r="T38" s="1462"/>
      <c r="U38" s="1462"/>
      <c r="V38" s="1462"/>
      <c r="W38" s="1463"/>
      <c r="X38" s="103"/>
    </row>
    <row r="39" spans="1:24" s="100" customFormat="1" x14ac:dyDescent="0.45">
      <c r="A39" s="211"/>
      <c r="B39" s="26">
        <f t="shared" si="0"/>
        <v>34</v>
      </c>
      <c r="C39" s="101" t="s">
        <v>448</v>
      </c>
      <c r="D39" s="101" t="s">
        <v>37</v>
      </c>
      <c r="E39" s="101" t="s">
        <v>166</v>
      </c>
      <c r="F39" s="101" t="s">
        <v>344</v>
      </c>
      <c r="G39" s="101"/>
      <c r="H39" s="102"/>
      <c r="I39" s="1461" t="s">
        <v>449</v>
      </c>
      <c r="J39" s="1462"/>
      <c r="K39" s="1462"/>
      <c r="L39" s="1462"/>
      <c r="M39" s="1463"/>
      <c r="N39" s="1461" t="s">
        <v>450</v>
      </c>
      <c r="O39" s="1462"/>
      <c r="P39" s="1462"/>
      <c r="Q39" s="1462"/>
      <c r="R39" s="1463"/>
      <c r="S39" s="1461" t="s">
        <v>451</v>
      </c>
      <c r="T39" s="1462"/>
      <c r="U39" s="1462"/>
      <c r="V39" s="1462"/>
      <c r="W39" s="1463"/>
      <c r="X39" s="103"/>
    </row>
    <row r="40" spans="1:24" s="100" customFormat="1" x14ac:dyDescent="0.45">
      <c r="A40" s="211"/>
      <c r="B40" s="26">
        <f t="shared" si="0"/>
        <v>35</v>
      </c>
      <c r="C40" s="101" t="s">
        <v>452</v>
      </c>
      <c r="D40" s="101" t="s">
        <v>37</v>
      </c>
      <c r="E40" s="101" t="s">
        <v>168</v>
      </c>
      <c r="F40" s="101" t="s">
        <v>344</v>
      </c>
      <c r="G40" s="101"/>
      <c r="H40" s="102"/>
      <c r="I40" s="1461" t="s">
        <v>453</v>
      </c>
      <c r="J40" s="1462"/>
      <c r="K40" s="1462"/>
      <c r="L40" s="1462"/>
      <c r="M40" s="1463"/>
      <c r="N40" s="1461" t="s">
        <v>454</v>
      </c>
      <c r="O40" s="1462"/>
      <c r="P40" s="1462"/>
      <c r="Q40" s="1462"/>
      <c r="R40" s="1463"/>
      <c r="S40" s="1461" t="s">
        <v>455</v>
      </c>
      <c r="T40" s="1462"/>
      <c r="U40" s="1462"/>
      <c r="V40" s="1462"/>
      <c r="W40" s="1463"/>
      <c r="X40" s="103"/>
    </row>
    <row r="41" spans="1:24" s="100" customFormat="1" x14ac:dyDescent="0.45">
      <c r="A41" s="211"/>
      <c r="B41" s="26">
        <f t="shared" si="0"/>
        <v>36</v>
      </c>
      <c r="C41" s="101" t="s">
        <v>456</v>
      </c>
      <c r="D41" s="101" t="s">
        <v>37</v>
      </c>
      <c r="E41" s="101" t="s">
        <v>170</v>
      </c>
      <c r="F41" s="101" t="s">
        <v>344</v>
      </c>
      <c r="G41" s="101"/>
      <c r="H41" s="102"/>
      <c r="I41" s="1461" t="s">
        <v>457</v>
      </c>
      <c r="J41" s="1462"/>
      <c r="K41" s="1462"/>
      <c r="L41" s="1462"/>
      <c r="M41" s="1463"/>
      <c r="N41" s="1461" t="s">
        <v>458</v>
      </c>
      <c r="O41" s="1462"/>
      <c r="P41" s="1462"/>
      <c r="Q41" s="1462"/>
      <c r="R41" s="1463"/>
      <c r="S41" s="1461" t="s">
        <v>459</v>
      </c>
      <c r="T41" s="1462"/>
      <c r="U41" s="1462"/>
      <c r="V41" s="1462"/>
      <c r="W41" s="1463"/>
      <c r="X41" s="103"/>
    </row>
    <row r="42" spans="1:24" s="100" customFormat="1" x14ac:dyDescent="0.45">
      <c r="A42" s="211"/>
      <c r="B42" s="26">
        <f t="shared" si="0"/>
        <v>37</v>
      </c>
      <c r="C42" s="101" t="s">
        <v>460</v>
      </c>
      <c r="D42" s="101" t="s">
        <v>37</v>
      </c>
      <c r="E42" s="101" t="s">
        <v>172</v>
      </c>
      <c r="F42" s="101" t="s">
        <v>344</v>
      </c>
      <c r="G42" s="101"/>
      <c r="H42" s="102"/>
      <c r="I42" s="1461" t="s">
        <v>461</v>
      </c>
      <c r="J42" s="1462"/>
      <c r="K42" s="1462"/>
      <c r="L42" s="1462"/>
      <c r="M42" s="1463"/>
      <c r="N42" s="1461" t="s">
        <v>462</v>
      </c>
      <c r="O42" s="1462"/>
      <c r="P42" s="1462"/>
      <c r="Q42" s="1462"/>
      <c r="R42" s="1463"/>
      <c r="S42" s="1461" t="s">
        <v>463</v>
      </c>
      <c r="T42" s="1462"/>
      <c r="U42" s="1462"/>
      <c r="V42" s="1462"/>
      <c r="W42" s="1463"/>
      <c r="X42" s="103"/>
    </row>
    <row r="43" spans="1:24" s="100" customFormat="1" x14ac:dyDescent="0.45">
      <c r="A43" s="211"/>
      <c r="B43" s="26">
        <f t="shared" si="0"/>
        <v>38</v>
      </c>
      <c r="C43" s="101" t="s">
        <v>464</v>
      </c>
      <c r="D43" s="101" t="s">
        <v>37</v>
      </c>
      <c r="E43" s="101" t="s">
        <v>98</v>
      </c>
      <c r="F43" s="101" t="s">
        <v>344</v>
      </c>
      <c r="G43" s="101"/>
      <c r="H43" s="102"/>
      <c r="I43" s="1461" t="s">
        <v>465</v>
      </c>
      <c r="J43" s="1462"/>
      <c r="K43" s="1462"/>
      <c r="L43" s="1462"/>
      <c r="M43" s="1463"/>
      <c r="N43" s="1461" t="s">
        <v>466</v>
      </c>
      <c r="O43" s="1462"/>
      <c r="P43" s="1462"/>
      <c r="Q43" s="1462"/>
      <c r="R43" s="1463"/>
      <c r="S43" s="1461" t="s">
        <v>467</v>
      </c>
      <c r="T43" s="1462"/>
      <c r="U43" s="1462"/>
      <c r="V43" s="1462"/>
      <c r="W43" s="1463"/>
      <c r="X43" s="103"/>
    </row>
    <row r="44" spans="1:24" s="100" customFormat="1" x14ac:dyDescent="0.45">
      <c r="A44" s="211"/>
      <c r="B44" s="26">
        <f t="shared" si="0"/>
        <v>39</v>
      </c>
      <c r="C44" s="101" t="s">
        <v>468</v>
      </c>
      <c r="D44" s="101" t="s">
        <v>37</v>
      </c>
      <c r="E44" s="101" t="s">
        <v>99</v>
      </c>
      <c r="F44" s="101" t="s">
        <v>344</v>
      </c>
      <c r="G44" s="101"/>
      <c r="H44" s="102"/>
      <c r="I44" s="1461" t="s">
        <v>469</v>
      </c>
      <c r="J44" s="1462"/>
      <c r="K44" s="1462"/>
      <c r="L44" s="1462"/>
      <c r="M44" s="1463"/>
      <c r="N44" s="1461" t="s">
        <v>470</v>
      </c>
      <c r="O44" s="1462"/>
      <c r="P44" s="1462"/>
      <c r="Q44" s="1462"/>
      <c r="R44" s="1463"/>
      <c r="S44" s="1461" t="s">
        <v>471</v>
      </c>
      <c r="T44" s="1462"/>
      <c r="U44" s="1462"/>
      <c r="V44" s="1462"/>
      <c r="W44" s="1463"/>
      <c r="X44" s="103"/>
    </row>
    <row r="45" spans="1:24" x14ac:dyDescent="0.45">
      <c r="B45" s="26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</row>
    <row r="46" spans="1:24" ht="17.149999999999999" customHeight="1" x14ac:dyDescent="0.45">
      <c r="B46" s="26">
        <f>B44+1</f>
        <v>40</v>
      </c>
      <c r="C46" s="25" t="s">
        <v>472</v>
      </c>
      <c r="D46" s="25" t="s">
        <v>37</v>
      </c>
      <c r="E46" s="25" t="s">
        <v>473</v>
      </c>
      <c r="F46" s="25" t="s">
        <v>344</v>
      </c>
      <c r="H46" s="29"/>
      <c r="I46" s="1322" t="s">
        <v>474</v>
      </c>
      <c r="J46" s="1324"/>
      <c r="K46" s="1324"/>
      <c r="L46" s="1324"/>
      <c r="M46" s="1323"/>
      <c r="N46" s="1322" t="s">
        <v>475</v>
      </c>
      <c r="O46" s="1324"/>
      <c r="P46" s="1324"/>
      <c r="Q46" s="1324"/>
      <c r="R46" s="1323"/>
      <c r="S46" s="1464" t="s">
        <v>476</v>
      </c>
      <c r="T46" s="1465"/>
      <c r="U46" s="1465"/>
      <c r="V46" s="1465"/>
      <c r="W46" s="1466"/>
    </row>
    <row r="47" spans="1:24" x14ac:dyDescent="0.45">
      <c r="B47" s="26">
        <f t="shared" si="0"/>
        <v>41</v>
      </c>
      <c r="C47" s="25" t="s">
        <v>477</v>
      </c>
      <c r="D47" s="25" t="s">
        <v>37</v>
      </c>
      <c r="E47" s="25" t="s">
        <v>478</v>
      </c>
      <c r="F47" s="25" t="s">
        <v>344</v>
      </c>
      <c r="H47" s="29"/>
      <c r="I47" s="1322" t="s">
        <v>479</v>
      </c>
      <c r="J47" s="1324"/>
      <c r="K47" s="1324"/>
      <c r="L47" s="1324"/>
      <c r="M47" s="1323"/>
      <c r="N47" s="1322" t="s">
        <v>480</v>
      </c>
      <c r="O47" s="1324"/>
      <c r="P47" s="1324"/>
      <c r="Q47" s="1324"/>
      <c r="R47" s="1323"/>
      <c r="S47" s="1322" t="s">
        <v>481</v>
      </c>
      <c r="T47" s="1324"/>
      <c r="U47" s="1324"/>
      <c r="V47" s="1324"/>
      <c r="W47" s="1323"/>
    </row>
    <row r="48" spans="1:24" x14ac:dyDescent="0.45">
      <c r="B48" s="26">
        <f t="shared" si="0"/>
        <v>42</v>
      </c>
      <c r="C48" s="25" t="s">
        <v>482</v>
      </c>
      <c r="D48" s="25" t="s">
        <v>37</v>
      </c>
      <c r="E48" s="25" t="s">
        <v>483</v>
      </c>
      <c r="F48" s="25" t="s">
        <v>344</v>
      </c>
      <c r="H48" s="29"/>
      <c r="I48" s="1322" t="s">
        <v>484</v>
      </c>
      <c r="J48" s="1324"/>
      <c r="K48" s="1324"/>
      <c r="L48" s="1324"/>
      <c r="M48" s="1323"/>
      <c r="N48" s="1322" t="s">
        <v>485</v>
      </c>
      <c r="O48" s="1324"/>
      <c r="P48" s="1324"/>
      <c r="Q48" s="1324"/>
      <c r="R48" s="1323"/>
      <c r="S48" s="1322" t="s">
        <v>486</v>
      </c>
      <c r="T48" s="1324"/>
      <c r="U48" s="1324"/>
      <c r="V48" s="1324"/>
      <c r="W48" s="1323"/>
    </row>
    <row r="49" spans="2:23" x14ac:dyDescent="0.45">
      <c r="B49" s="26">
        <f t="shared" si="0"/>
        <v>43</v>
      </c>
      <c r="C49" s="25" t="s">
        <v>487</v>
      </c>
      <c r="D49" s="25" t="s">
        <v>37</v>
      </c>
      <c r="E49" s="25" t="s">
        <v>488</v>
      </c>
      <c r="F49" s="25" t="s">
        <v>344</v>
      </c>
      <c r="H49" s="29"/>
      <c r="I49" s="1322" t="s">
        <v>489</v>
      </c>
      <c r="J49" s="1324"/>
      <c r="K49" s="1324"/>
      <c r="L49" s="1324"/>
      <c r="M49" s="1323"/>
      <c r="N49" s="1322" t="s">
        <v>490</v>
      </c>
      <c r="O49" s="1324"/>
      <c r="P49" s="1324"/>
      <c r="Q49" s="1324"/>
      <c r="R49" s="1323"/>
      <c r="S49" s="1322" t="s">
        <v>491</v>
      </c>
      <c r="T49" s="1324"/>
      <c r="U49" s="1324"/>
      <c r="V49" s="1324"/>
      <c r="W49" s="1323"/>
    </row>
    <row r="50" spans="2:23" x14ac:dyDescent="0.45">
      <c r="B50" s="26">
        <f t="shared" si="0"/>
        <v>44</v>
      </c>
      <c r="C50" s="25" t="s">
        <v>492</v>
      </c>
      <c r="D50" s="25" t="s">
        <v>37</v>
      </c>
      <c r="E50" s="25" t="s">
        <v>493</v>
      </c>
      <c r="F50" s="25" t="s">
        <v>344</v>
      </c>
      <c r="H50" s="29"/>
      <c r="I50" s="1322" t="s">
        <v>494</v>
      </c>
      <c r="J50" s="1324"/>
      <c r="K50" s="1324"/>
      <c r="L50" s="1324"/>
      <c r="M50" s="1323"/>
      <c r="N50" s="1322" t="s">
        <v>495</v>
      </c>
      <c r="O50" s="1324"/>
      <c r="P50" s="1324"/>
      <c r="Q50" s="1324"/>
      <c r="R50" s="1323"/>
      <c r="S50" s="1322" t="s">
        <v>496</v>
      </c>
      <c r="T50" s="1324"/>
      <c r="U50" s="1324"/>
      <c r="V50" s="1324"/>
      <c r="W50" s="1323"/>
    </row>
    <row r="51" spans="2:23" x14ac:dyDescent="0.45">
      <c r="B51" s="26">
        <f t="shared" si="0"/>
        <v>45</v>
      </c>
      <c r="C51" s="25" t="s">
        <v>497</v>
      </c>
      <c r="D51" s="25" t="s">
        <v>37</v>
      </c>
      <c r="E51" s="25" t="s">
        <v>498</v>
      </c>
      <c r="F51" s="25" t="s">
        <v>344</v>
      </c>
      <c r="H51" s="29"/>
      <c r="I51" s="1322" t="s">
        <v>499</v>
      </c>
      <c r="J51" s="1324"/>
      <c r="K51" s="1324"/>
      <c r="L51" s="1324"/>
      <c r="M51" s="1323"/>
      <c r="N51" s="1322" t="s">
        <v>500</v>
      </c>
      <c r="O51" s="1324"/>
      <c r="P51" s="1324"/>
      <c r="Q51" s="1324"/>
      <c r="R51" s="1323"/>
      <c r="S51" s="1322" t="s">
        <v>501</v>
      </c>
      <c r="T51" s="1324"/>
      <c r="U51" s="1324"/>
      <c r="V51" s="1324"/>
      <c r="W51" s="1323"/>
    </row>
    <row r="52" spans="2:23" x14ac:dyDescent="0.45">
      <c r="B52" s="26">
        <f t="shared" si="0"/>
        <v>46</v>
      </c>
      <c r="C52" s="25" t="s">
        <v>502</v>
      </c>
      <c r="D52" s="25" t="s">
        <v>37</v>
      </c>
      <c r="E52" s="25" t="s">
        <v>503</v>
      </c>
      <c r="F52" s="25" t="s">
        <v>344</v>
      </c>
      <c r="H52" s="29"/>
      <c r="I52" s="1322" t="s">
        <v>504</v>
      </c>
      <c r="J52" s="1324"/>
      <c r="K52" s="1324"/>
      <c r="L52" s="1324"/>
      <c r="M52" s="1323"/>
      <c r="N52" s="1322" t="s">
        <v>505</v>
      </c>
      <c r="O52" s="1324"/>
      <c r="P52" s="1324"/>
      <c r="Q52" s="1324"/>
      <c r="R52" s="1323"/>
      <c r="S52" s="1322" t="s">
        <v>506</v>
      </c>
      <c r="T52" s="1324"/>
      <c r="U52" s="1324"/>
      <c r="V52" s="1324"/>
      <c r="W52" s="1323"/>
    </row>
    <row r="53" spans="2:23" x14ac:dyDescent="0.45">
      <c r="B53" s="26">
        <f t="shared" si="0"/>
        <v>47</v>
      </c>
      <c r="C53" s="25" t="s">
        <v>507</v>
      </c>
      <c r="D53" s="25" t="s">
        <v>37</v>
      </c>
      <c r="E53" s="25" t="s">
        <v>508</v>
      </c>
      <c r="F53" s="25" t="s">
        <v>344</v>
      </c>
      <c r="H53" s="29"/>
      <c r="I53" s="1322" t="s">
        <v>509</v>
      </c>
      <c r="J53" s="1324"/>
      <c r="K53" s="1324"/>
      <c r="L53" s="1324"/>
      <c r="M53" s="1323"/>
      <c r="N53" s="1322" t="s">
        <v>510</v>
      </c>
      <c r="O53" s="1324"/>
      <c r="P53" s="1324"/>
      <c r="Q53" s="1324"/>
      <c r="R53" s="1323"/>
      <c r="S53" s="1322" t="s">
        <v>511</v>
      </c>
      <c r="T53" s="1324"/>
      <c r="U53" s="1324"/>
      <c r="V53" s="1324"/>
      <c r="W53" s="1323"/>
    </row>
    <row r="54" spans="2:23" x14ac:dyDescent="0.45">
      <c r="B54" s="26">
        <f t="shared" si="0"/>
        <v>48</v>
      </c>
      <c r="C54" s="25" t="s">
        <v>512</v>
      </c>
      <c r="D54" s="25" t="s">
        <v>37</v>
      </c>
      <c r="E54" s="25" t="s">
        <v>513</v>
      </c>
      <c r="F54" s="25" t="s">
        <v>344</v>
      </c>
      <c r="H54" s="1322" t="s">
        <v>514</v>
      </c>
      <c r="I54" s="1324"/>
      <c r="J54" s="1324"/>
      <c r="K54" s="1324"/>
      <c r="L54" s="1324"/>
      <c r="M54" s="1324"/>
      <c r="N54" s="1324"/>
      <c r="O54" s="1323"/>
      <c r="P54" s="1322" t="s">
        <v>515</v>
      </c>
      <c r="Q54" s="1324"/>
      <c r="R54" s="1324"/>
      <c r="S54" s="1324"/>
      <c r="T54" s="1324"/>
      <c r="U54" s="1324"/>
      <c r="V54" s="1324"/>
      <c r="W54" s="1323"/>
    </row>
    <row r="55" spans="2:23" x14ac:dyDescent="0.45">
      <c r="B55" s="26">
        <f t="shared" si="0"/>
        <v>49</v>
      </c>
      <c r="C55" s="25" t="s">
        <v>516</v>
      </c>
      <c r="D55" s="25" t="s">
        <v>37</v>
      </c>
      <c r="E55" s="25" t="s">
        <v>517</v>
      </c>
      <c r="F55" s="25" t="s">
        <v>344</v>
      </c>
      <c r="H55" s="1322" t="s">
        <v>518</v>
      </c>
      <c r="I55" s="1324"/>
      <c r="J55" s="1324"/>
      <c r="K55" s="1324"/>
      <c r="L55" s="1324"/>
      <c r="M55" s="1324"/>
      <c r="N55" s="1324"/>
      <c r="O55" s="1323"/>
      <c r="P55" s="1322" t="s">
        <v>519</v>
      </c>
      <c r="Q55" s="1324"/>
      <c r="R55" s="1324"/>
      <c r="S55" s="1324"/>
      <c r="T55" s="1324"/>
      <c r="U55" s="1324"/>
      <c r="V55" s="1324"/>
      <c r="W55" s="1323"/>
    </row>
    <row r="56" spans="2:23" x14ac:dyDescent="0.45">
      <c r="B56" s="26">
        <f t="shared" si="0"/>
        <v>50</v>
      </c>
      <c r="C56" s="25" t="s">
        <v>520</v>
      </c>
      <c r="D56" s="25" t="s">
        <v>37</v>
      </c>
      <c r="E56" s="25" t="s">
        <v>111</v>
      </c>
      <c r="F56" s="25" t="s">
        <v>344</v>
      </c>
      <c r="H56" s="1322" t="s">
        <v>521</v>
      </c>
      <c r="I56" s="1324"/>
      <c r="J56" s="1324"/>
      <c r="K56" s="1324"/>
      <c r="L56" s="1324"/>
      <c r="M56" s="1324"/>
      <c r="N56" s="1324"/>
      <c r="O56" s="1323"/>
      <c r="P56" s="1322" t="s">
        <v>522</v>
      </c>
      <c r="Q56" s="1324"/>
      <c r="R56" s="1324"/>
      <c r="S56" s="1324"/>
      <c r="T56" s="1324"/>
      <c r="U56" s="1324"/>
      <c r="V56" s="1324"/>
      <c r="W56" s="1323"/>
    </row>
    <row r="57" spans="2:23" x14ac:dyDescent="0.45">
      <c r="B57" s="26">
        <f t="shared" si="0"/>
        <v>51</v>
      </c>
      <c r="C57" s="25" t="s">
        <v>523</v>
      </c>
      <c r="D57" s="25" t="s">
        <v>37</v>
      </c>
      <c r="E57" s="25" t="s">
        <v>114</v>
      </c>
      <c r="F57" s="25" t="s">
        <v>344</v>
      </c>
      <c r="H57" s="1322" t="s">
        <v>524</v>
      </c>
      <c r="I57" s="1324"/>
      <c r="J57" s="1324"/>
      <c r="K57" s="1324"/>
      <c r="L57" s="1324"/>
      <c r="M57" s="1324"/>
      <c r="N57" s="1324"/>
      <c r="O57" s="1323"/>
      <c r="P57" s="1322" t="s">
        <v>525</v>
      </c>
      <c r="Q57" s="1324"/>
      <c r="R57" s="1324"/>
      <c r="S57" s="1324"/>
      <c r="T57" s="1324"/>
      <c r="U57" s="1324"/>
      <c r="V57" s="1324"/>
      <c r="W57" s="1323"/>
    </row>
    <row r="58" spans="2:23" x14ac:dyDescent="0.45">
      <c r="B58" s="26">
        <f t="shared" si="0"/>
        <v>52</v>
      </c>
      <c r="C58" s="25" t="s">
        <v>526</v>
      </c>
      <c r="D58" s="25" t="s">
        <v>37</v>
      </c>
      <c r="E58" s="25" t="s">
        <v>117</v>
      </c>
      <c r="F58" s="25" t="s">
        <v>344</v>
      </c>
      <c r="H58" s="1322" t="s">
        <v>527</v>
      </c>
      <c r="I58" s="1324"/>
      <c r="J58" s="1324"/>
      <c r="K58" s="1324"/>
      <c r="L58" s="1324"/>
      <c r="M58" s="1324"/>
      <c r="N58" s="1324"/>
      <c r="O58" s="1323"/>
      <c r="P58" s="1322" t="s">
        <v>528</v>
      </c>
      <c r="Q58" s="1324"/>
      <c r="R58" s="1324"/>
      <c r="S58" s="1324"/>
      <c r="T58" s="1324"/>
      <c r="U58" s="1324"/>
      <c r="V58" s="1324"/>
      <c r="W58" s="1323"/>
    </row>
    <row r="59" spans="2:23" x14ac:dyDescent="0.45">
      <c r="B59" s="26">
        <f t="shared" si="0"/>
        <v>53</v>
      </c>
      <c r="C59" s="25" t="s">
        <v>529</v>
      </c>
      <c r="D59" s="25" t="s">
        <v>37</v>
      </c>
      <c r="E59" s="25" t="s">
        <v>121</v>
      </c>
      <c r="F59" s="25" t="s">
        <v>344</v>
      </c>
      <c r="H59" s="1322" t="s">
        <v>530</v>
      </c>
      <c r="I59" s="1324"/>
      <c r="J59" s="1324"/>
      <c r="K59" s="1324"/>
      <c r="L59" s="1324"/>
      <c r="M59" s="1324"/>
      <c r="N59" s="1324"/>
      <c r="O59" s="1323"/>
      <c r="P59" s="1322" t="s">
        <v>531</v>
      </c>
      <c r="Q59" s="1324"/>
      <c r="R59" s="1324"/>
      <c r="S59" s="1324"/>
      <c r="T59" s="1324"/>
      <c r="U59" s="1324"/>
      <c r="V59" s="1324"/>
      <c r="W59" s="1323"/>
    </row>
    <row r="60" spans="2:23" x14ac:dyDescent="0.45">
      <c r="B60" s="26">
        <f t="shared" si="0"/>
        <v>54</v>
      </c>
      <c r="C60" s="25" t="s">
        <v>532</v>
      </c>
      <c r="D60" s="25" t="s">
        <v>37</v>
      </c>
      <c r="E60" s="25" t="s">
        <v>125</v>
      </c>
      <c r="F60" s="25" t="s">
        <v>344</v>
      </c>
      <c r="H60" s="1322" t="s">
        <v>533</v>
      </c>
      <c r="I60" s="1324"/>
      <c r="J60" s="1324"/>
      <c r="K60" s="1324"/>
      <c r="L60" s="1324"/>
      <c r="M60" s="1324"/>
      <c r="N60" s="1324"/>
      <c r="O60" s="1323"/>
      <c r="P60" s="1322" t="s">
        <v>534</v>
      </c>
      <c r="Q60" s="1324"/>
      <c r="R60" s="1324"/>
      <c r="S60" s="1324"/>
      <c r="T60" s="1324"/>
      <c r="U60" s="1324"/>
      <c r="V60" s="1324"/>
      <c r="W60" s="1323"/>
    </row>
    <row r="61" spans="2:23" x14ac:dyDescent="0.45">
      <c r="B61" s="26">
        <f t="shared" si="0"/>
        <v>55</v>
      </c>
      <c r="C61" s="25" t="s">
        <v>535</v>
      </c>
      <c r="D61" s="25" t="s">
        <v>37</v>
      </c>
      <c r="E61" s="25" t="s">
        <v>107</v>
      </c>
      <c r="F61" s="25" t="s">
        <v>344</v>
      </c>
      <c r="H61" s="1322" t="s">
        <v>536</v>
      </c>
      <c r="I61" s="1324"/>
      <c r="J61" s="1324"/>
      <c r="K61" s="1324"/>
      <c r="L61" s="1324"/>
      <c r="M61" s="1324"/>
      <c r="N61" s="1324"/>
      <c r="O61" s="1323"/>
      <c r="P61" s="1322" t="s">
        <v>537</v>
      </c>
      <c r="Q61" s="1324"/>
      <c r="R61" s="1324"/>
      <c r="S61" s="1324"/>
      <c r="T61" s="1324"/>
      <c r="U61" s="1324"/>
      <c r="V61" s="1324"/>
      <c r="W61" s="1323"/>
    </row>
    <row r="62" spans="2:23" x14ac:dyDescent="0.45">
      <c r="B62" s="26">
        <f t="shared" si="0"/>
        <v>56</v>
      </c>
      <c r="C62" s="25" t="s">
        <v>538</v>
      </c>
      <c r="D62" s="25" t="s">
        <v>37</v>
      </c>
      <c r="E62" s="25" t="s">
        <v>539</v>
      </c>
      <c r="F62" s="25" t="s">
        <v>344</v>
      </c>
      <c r="H62" s="1322" t="s">
        <v>540</v>
      </c>
      <c r="I62" s="1324"/>
      <c r="J62" s="1324"/>
      <c r="K62" s="1324"/>
      <c r="L62" s="1324"/>
      <c r="M62" s="1324"/>
      <c r="N62" s="1324"/>
      <c r="O62" s="1323"/>
      <c r="P62" s="1322" t="s">
        <v>541</v>
      </c>
      <c r="Q62" s="1324"/>
      <c r="R62" s="1324"/>
      <c r="S62" s="1324"/>
      <c r="T62" s="1324"/>
      <c r="U62" s="1324"/>
      <c r="V62" s="1324"/>
      <c r="W62" s="1323"/>
    </row>
    <row r="63" spans="2:23" x14ac:dyDescent="0.45">
      <c r="B63" s="26">
        <f t="shared" si="0"/>
        <v>57</v>
      </c>
      <c r="C63" s="25" t="s">
        <v>542</v>
      </c>
      <c r="D63" s="25" t="s">
        <v>37</v>
      </c>
      <c r="E63" s="25" t="s">
        <v>543</v>
      </c>
      <c r="F63" s="25" t="s">
        <v>344</v>
      </c>
      <c r="H63" s="1322" t="s">
        <v>544</v>
      </c>
      <c r="I63" s="1324"/>
      <c r="J63" s="1324"/>
      <c r="K63" s="1324"/>
      <c r="L63" s="1324"/>
      <c r="M63" s="1324"/>
      <c r="N63" s="1324"/>
      <c r="O63" s="1323"/>
      <c r="P63" s="1322" t="s">
        <v>545</v>
      </c>
      <c r="Q63" s="1324"/>
      <c r="R63" s="1324"/>
      <c r="S63" s="1324"/>
      <c r="T63" s="1324"/>
      <c r="U63" s="1324"/>
      <c r="V63" s="1324"/>
      <c r="W63" s="1323"/>
    </row>
    <row r="64" spans="2:23" x14ac:dyDescent="0.45">
      <c r="B64" s="26">
        <f t="shared" si="0"/>
        <v>58</v>
      </c>
      <c r="C64" s="25" t="s">
        <v>546</v>
      </c>
      <c r="D64" s="25" t="s">
        <v>37</v>
      </c>
      <c r="E64" s="25" t="s">
        <v>547</v>
      </c>
      <c r="F64" s="25" t="s">
        <v>344</v>
      </c>
      <c r="H64" s="1322" t="s">
        <v>548</v>
      </c>
      <c r="I64" s="1324"/>
      <c r="J64" s="1324"/>
      <c r="K64" s="1324"/>
      <c r="L64" s="1324"/>
      <c r="M64" s="1324"/>
      <c r="N64" s="1324"/>
      <c r="O64" s="1323"/>
      <c r="P64" s="1322" t="s">
        <v>549</v>
      </c>
      <c r="Q64" s="1324"/>
      <c r="R64" s="1324"/>
      <c r="S64" s="1324"/>
      <c r="T64" s="1324"/>
      <c r="U64" s="1324"/>
      <c r="V64" s="1324"/>
      <c r="W64" s="1323"/>
    </row>
    <row r="65" spans="2:23" x14ac:dyDescent="0.45">
      <c r="B65" s="26">
        <f t="shared" si="0"/>
        <v>59</v>
      </c>
      <c r="C65" s="25" t="s">
        <v>550</v>
      </c>
      <c r="D65" s="25" t="s">
        <v>37</v>
      </c>
      <c r="E65" s="25" t="s">
        <v>551</v>
      </c>
      <c r="F65" s="25" t="s">
        <v>344</v>
      </c>
      <c r="H65" s="1322" t="s">
        <v>552</v>
      </c>
      <c r="I65" s="1324"/>
      <c r="J65" s="1324"/>
      <c r="K65" s="1324"/>
      <c r="L65" s="1324"/>
      <c r="M65" s="1324"/>
      <c r="N65" s="1324"/>
      <c r="O65" s="1323"/>
      <c r="P65" s="1322" t="s">
        <v>553</v>
      </c>
      <c r="Q65" s="1324"/>
      <c r="R65" s="1324"/>
      <c r="S65" s="1324"/>
      <c r="T65" s="1324"/>
      <c r="U65" s="1324"/>
      <c r="V65" s="1324"/>
      <c r="W65" s="1323"/>
    </row>
    <row r="66" spans="2:23" x14ac:dyDescent="0.45">
      <c r="B66" s="26"/>
    </row>
    <row r="67" spans="2:23" x14ac:dyDescent="0.45">
      <c r="B67" s="26">
        <f>B65+1</f>
        <v>60</v>
      </c>
      <c r="C67" s="25" t="s">
        <v>554</v>
      </c>
      <c r="D67" s="25" t="s">
        <v>37</v>
      </c>
      <c r="E67" s="25" t="s">
        <v>555</v>
      </c>
      <c r="F67" s="25" t="s">
        <v>344</v>
      </c>
      <c r="H67" s="28" t="s">
        <v>556</v>
      </c>
      <c r="I67" s="28" t="s">
        <v>557</v>
      </c>
      <c r="J67" s="28" t="s">
        <v>558</v>
      </c>
      <c r="K67" s="28" t="s">
        <v>559</v>
      </c>
      <c r="L67" s="28" t="s">
        <v>560</v>
      </c>
      <c r="M67" s="28" t="s">
        <v>561</v>
      </c>
      <c r="N67" s="28" t="s">
        <v>562</v>
      </c>
      <c r="O67" s="28" t="s">
        <v>563</v>
      </c>
      <c r="P67" s="28" t="s">
        <v>564</v>
      </c>
      <c r="Q67" s="28" t="s">
        <v>565</v>
      </c>
      <c r="R67" s="28" t="s">
        <v>566</v>
      </c>
      <c r="S67" s="28" t="s">
        <v>567</v>
      </c>
      <c r="T67" s="28" t="s">
        <v>568</v>
      </c>
      <c r="U67" s="28" t="s">
        <v>569</v>
      </c>
      <c r="V67" s="28" t="s">
        <v>570</v>
      </c>
      <c r="W67" s="28" t="s">
        <v>571</v>
      </c>
    </row>
    <row r="68" spans="2:23" x14ac:dyDescent="0.45">
      <c r="B68" s="26">
        <f t="shared" ref="B68:B131" si="2">B67+1</f>
        <v>61</v>
      </c>
      <c r="C68" s="25" t="s">
        <v>572</v>
      </c>
      <c r="D68" s="25" t="s">
        <v>37</v>
      </c>
      <c r="E68" s="25" t="s">
        <v>573</v>
      </c>
      <c r="F68" s="25" t="s">
        <v>344</v>
      </c>
      <c r="H68" s="1322" t="s">
        <v>574</v>
      </c>
      <c r="I68" s="1323"/>
      <c r="J68" s="29"/>
      <c r="K68" s="1322" t="s">
        <v>575</v>
      </c>
      <c r="L68" s="1324"/>
      <c r="M68" s="1324"/>
      <c r="N68" s="1324"/>
      <c r="O68" s="1323"/>
      <c r="P68" s="28" t="s">
        <v>576</v>
      </c>
      <c r="Q68" s="28" t="s">
        <v>577</v>
      </c>
      <c r="R68" s="28" t="s">
        <v>578</v>
      </c>
      <c r="S68" s="28" t="s">
        <v>579</v>
      </c>
      <c r="T68" s="28" t="s">
        <v>580</v>
      </c>
      <c r="U68" s="28" t="s">
        <v>581</v>
      </c>
      <c r="V68" s="28" t="s">
        <v>582</v>
      </c>
      <c r="W68" s="28" t="s">
        <v>583</v>
      </c>
    </row>
    <row r="69" spans="2:23" x14ac:dyDescent="0.45">
      <c r="B69" s="26"/>
    </row>
    <row r="70" spans="2:23" x14ac:dyDescent="0.45">
      <c r="B70" s="26"/>
      <c r="C70" s="77" t="s">
        <v>962</v>
      </c>
    </row>
    <row r="71" spans="2:23" ht="51" x14ac:dyDescent="0.45">
      <c r="B71" s="26">
        <f>B68+1</f>
        <v>62</v>
      </c>
      <c r="C71" s="63" t="s">
        <v>952</v>
      </c>
      <c r="D71" s="126" t="s">
        <v>37</v>
      </c>
      <c r="E71" s="126" t="s">
        <v>1076</v>
      </c>
      <c r="F71" s="126" t="s">
        <v>1023</v>
      </c>
      <c r="H71" s="127"/>
      <c r="I71" s="127"/>
      <c r="J71" s="127"/>
      <c r="K71" s="207" t="s">
        <v>980</v>
      </c>
      <c r="L71" s="127"/>
      <c r="M71" s="127"/>
      <c r="N71" s="207" t="s">
        <v>1002</v>
      </c>
      <c r="O71" s="207" t="s">
        <v>1022</v>
      </c>
      <c r="P71" s="127"/>
      <c r="Q71" s="127"/>
      <c r="R71" s="207" t="s">
        <v>1063</v>
      </c>
      <c r="S71" s="207" t="s">
        <v>979</v>
      </c>
      <c r="T71" s="127"/>
      <c r="U71" s="127"/>
      <c r="V71" s="701" t="s">
        <v>1673</v>
      </c>
      <c r="W71" s="701" t="s">
        <v>1672</v>
      </c>
    </row>
    <row r="72" spans="2:23" x14ac:dyDescent="0.45">
      <c r="B72" s="26">
        <f>B71+1</f>
        <v>63</v>
      </c>
      <c r="C72" s="63" t="s">
        <v>953</v>
      </c>
      <c r="D72" s="126" t="s">
        <v>37</v>
      </c>
      <c r="E72" s="126" t="s">
        <v>1068</v>
      </c>
      <c r="F72" s="209" t="s">
        <v>1096</v>
      </c>
      <c r="H72" s="127"/>
      <c r="I72" s="127"/>
      <c r="J72" s="127"/>
      <c r="K72" s="127"/>
      <c r="L72" s="1305" t="s">
        <v>955</v>
      </c>
      <c r="M72" s="1306"/>
      <c r="N72" s="1306"/>
      <c r="O72" s="1306"/>
      <c r="P72" s="1306"/>
      <c r="Q72" s="1306"/>
      <c r="R72" s="1306"/>
      <c r="S72" s="1306"/>
      <c r="T72" s="1306"/>
      <c r="U72" s="1306"/>
      <c r="V72" s="1306"/>
      <c r="W72" s="1307"/>
    </row>
    <row r="73" spans="2:23" x14ac:dyDescent="0.45">
      <c r="B73" s="26">
        <f t="shared" ref="B73:B87" si="3">B72+1</f>
        <v>64</v>
      </c>
      <c r="C73" s="63" t="s">
        <v>954</v>
      </c>
      <c r="D73" s="126" t="s">
        <v>66</v>
      </c>
      <c r="E73" s="126" t="s">
        <v>942</v>
      </c>
      <c r="F73" s="209" t="s">
        <v>1096</v>
      </c>
      <c r="H73" s="127"/>
      <c r="I73" s="127"/>
      <c r="J73" s="127"/>
      <c r="K73" s="127"/>
      <c r="L73" s="1305" t="s">
        <v>958</v>
      </c>
      <c r="M73" s="1306"/>
      <c r="N73" s="1306"/>
      <c r="O73" s="1306"/>
      <c r="P73" s="1306"/>
      <c r="Q73" s="1306"/>
      <c r="R73" s="1306"/>
      <c r="S73" s="1306"/>
      <c r="T73" s="1306"/>
      <c r="U73" s="1306"/>
      <c r="V73" s="1306"/>
      <c r="W73" s="1307"/>
    </row>
    <row r="74" spans="2:23" x14ac:dyDescent="0.45">
      <c r="B74" s="26">
        <f t="shared" si="3"/>
        <v>65</v>
      </c>
      <c r="C74" s="63" t="s">
        <v>956</v>
      </c>
      <c r="D74" s="126" t="s">
        <v>66</v>
      </c>
      <c r="E74" s="126" t="s">
        <v>943</v>
      </c>
      <c r="F74" s="209" t="s">
        <v>1096</v>
      </c>
      <c r="H74" s="127"/>
      <c r="I74" s="127"/>
      <c r="J74" s="127"/>
      <c r="K74" s="127"/>
      <c r="L74" s="1305" t="s">
        <v>957</v>
      </c>
      <c r="M74" s="1306"/>
      <c r="N74" s="1306"/>
      <c r="O74" s="1306"/>
      <c r="P74" s="1306"/>
      <c r="Q74" s="1306"/>
      <c r="R74" s="1306"/>
      <c r="S74" s="1306"/>
      <c r="T74" s="1306"/>
      <c r="U74" s="1306"/>
      <c r="V74" s="1306"/>
      <c r="W74" s="1307"/>
    </row>
    <row r="75" spans="2:23" x14ac:dyDescent="0.45">
      <c r="B75" s="26">
        <f t="shared" si="3"/>
        <v>66</v>
      </c>
      <c r="C75" s="63" t="s">
        <v>1099</v>
      </c>
      <c r="D75" s="126" t="s">
        <v>37</v>
      </c>
      <c r="E75" s="126" t="s">
        <v>944</v>
      </c>
      <c r="F75" s="126" t="s">
        <v>1036</v>
      </c>
      <c r="H75" s="1305" t="s">
        <v>1001</v>
      </c>
      <c r="I75" s="1306"/>
      <c r="J75" s="1306"/>
      <c r="K75" s="1306"/>
      <c r="L75" s="1306"/>
      <c r="M75" s="1307"/>
      <c r="N75" s="1305" t="s">
        <v>1000</v>
      </c>
      <c r="O75" s="1306"/>
      <c r="P75" s="1306"/>
      <c r="Q75" s="1306"/>
      <c r="R75" s="1307"/>
      <c r="S75" s="1305" t="s">
        <v>999</v>
      </c>
      <c r="T75" s="1306"/>
      <c r="U75" s="1306"/>
      <c r="V75" s="1306"/>
      <c r="W75" s="1307"/>
    </row>
    <row r="76" spans="2:23" x14ac:dyDescent="0.45">
      <c r="B76" s="26">
        <f t="shared" si="3"/>
        <v>67</v>
      </c>
      <c r="C76" s="63" t="s">
        <v>1100</v>
      </c>
      <c r="D76" s="126" t="s">
        <v>37</v>
      </c>
      <c r="E76" s="126" t="s">
        <v>945</v>
      </c>
      <c r="F76" s="126" t="s">
        <v>1038</v>
      </c>
      <c r="H76" s="1305" t="s">
        <v>1030</v>
      </c>
      <c r="I76" s="1306"/>
      <c r="J76" s="1306"/>
      <c r="K76" s="1306"/>
      <c r="L76" s="1306"/>
      <c r="M76" s="1306"/>
      <c r="N76" s="1306"/>
      <c r="O76" s="1306"/>
      <c r="P76" s="1307"/>
      <c r="Q76" s="1305" t="s">
        <v>1029</v>
      </c>
      <c r="R76" s="1306"/>
      <c r="S76" s="1306"/>
      <c r="T76" s="1306"/>
      <c r="U76" s="1306"/>
      <c r="V76" s="1306"/>
      <c r="W76" s="1307"/>
    </row>
    <row r="77" spans="2:23" x14ac:dyDescent="0.45">
      <c r="B77" s="26"/>
      <c r="C77" s="63" t="s">
        <v>1033</v>
      </c>
      <c r="D77" s="126" t="s">
        <v>37</v>
      </c>
      <c r="E77" s="126" t="s">
        <v>946</v>
      </c>
      <c r="F77" s="126" t="s">
        <v>1064</v>
      </c>
      <c r="H77" s="127"/>
      <c r="I77" s="1305" t="s">
        <v>1031</v>
      </c>
      <c r="J77" s="1306"/>
      <c r="K77" s="1306"/>
      <c r="L77" s="1306"/>
      <c r="M77" s="1306"/>
      <c r="N77" s="1306"/>
      <c r="O77" s="1307"/>
      <c r="P77" s="127"/>
      <c r="Q77" s="1305" t="s">
        <v>1032</v>
      </c>
      <c r="R77" s="1306"/>
      <c r="S77" s="1306"/>
      <c r="T77" s="1306"/>
      <c r="U77" s="1306"/>
      <c r="V77" s="1306"/>
      <c r="W77" s="1307"/>
    </row>
    <row r="78" spans="2:23" x14ac:dyDescent="0.45">
      <c r="B78" s="26">
        <f>B76+1</f>
        <v>68</v>
      </c>
      <c r="C78" s="63" t="s">
        <v>1003</v>
      </c>
      <c r="D78" s="126" t="s">
        <v>37</v>
      </c>
      <c r="E78" s="126" t="s">
        <v>947</v>
      </c>
      <c r="F78" s="126" t="s">
        <v>1035</v>
      </c>
      <c r="H78" s="127"/>
      <c r="I78" s="127"/>
      <c r="J78" s="127"/>
      <c r="K78" s="127"/>
      <c r="L78" s="127"/>
      <c r="M78" s="127"/>
      <c r="N78" s="205" t="s">
        <v>1004</v>
      </c>
      <c r="O78" s="1305" t="s">
        <v>1017</v>
      </c>
      <c r="P78" s="1306"/>
      <c r="Q78" s="1306"/>
      <c r="R78" s="1306"/>
      <c r="S78" s="1306"/>
      <c r="T78" s="1306"/>
      <c r="U78" s="1306"/>
      <c r="V78" s="1306"/>
      <c r="W78" s="1307"/>
    </row>
    <row r="79" spans="2:23" x14ac:dyDescent="0.45">
      <c r="B79" s="26">
        <f t="shared" si="3"/>
        <v>69</v>
      </c>
      <c r="C79" s="63" t="s">
        <v>1020</v>
      </c>
      <c r="D79" s="126" t="s">
        <v>37</v>
      </c>
      <c r="E79" s="126" t="s">
        <v>948</v>
      </c>
      <c r="F79" s="126" t="s">
        <v>1037</v>
      </c>
      <c r="H79" s="1305" t="s">
        <v>1019</v>
      </c>
      <c r="I79" s="1306"/>
      <c r="J79" s="1306"/>
      <c r="K79" s="1306"/>
      <c r="L79" s="1306"/>
      <c r="M79" s="1306"/>
      <c r="N79" s="1306"/>
      <c r="O79" s="1306"/>
      <c r="P79" s="1307"/>
      <c r="Q79" s="1305" t="s">
        <v>1018</v>
      </c>
      <c r="R79" s="1306"/>
      <c r="S79" s="1306"/>
      <c r="T79" s="1306"/>
      <c r="U79" s="1306"/>
      <c r="V79" s="1306"/>
      <c r="W79" s="1307"/>
    </row>
    <row r="80" spans="2:23" x14ac:dyDescent="0.45">
      <c r="B80" s="26">
        <f t="shared" si="3"/>
        <v>70</v>
      </c>
      <c r="C80" s="63" t="s">
        <v>1028</v>
      </c>
      <c r="D80" s="126" t="s">
        <v>37</v>
      </c>
      <c r="E80" s="126" t="s">
        <v>949</v>
      </c>
      <c r="F80" s="126" t="s">
        <v>1065</v>
      </c>
      <c r="H80" s="1305" t="s">
        <v>1025</v>
      </c>
      <c r="I80" s="1306"/>
      <c r="J80" s="1306"/>
      <c r="K80" s="1307"/>
      <c r="L80" s="128"/>
      <c r="M80" s="128"/>
      <c r="N80" s="128"/>
      <c r="O80" s="1305" t="s">
        <v>1024</v>
      </c>
      <c r="P80" s="1306"/>
      <c r="Q80" s="1306"/>
      <c r="R80" s="1306"/>
      <c r="S80" s="1306"/>
      <c r="T80" s="1306"/>
      <c r="U80" s="1306"/>
      <c r="V80" s="1306"/>
      <c r="W80" s="1307"/>
    </row>
    <row r="81" spans="2:23" x14ac:dyDescent="0.45">
      <c r="B81" s="26">
        <f t="shared" si="3"/>
        <v>71</v>
      </c>
      <c r="C81" s="63" t="s">
        <v>1027</v>
      </c>
      <c r="D81" s="126" t="s">
        <v>37</v>
      </c>
      <c r="E81" s="126" t="s">
        <v>950</v>
      </c>
      <c r="F81" s="126" t="s">
        <v>1066</v>
      </c>
      <c r="H81" s="1305" t="s">
        <v>1021</v>
      </c>
      <c r="I81" s="1306"/>
      <c r="J81" s="1306"/>
      <c r="K81" s="1306"/>
      <c r="L81" s="1306"/>
      <c r="M81" s="1306"/>
      <c r="N81" s="1306"/>
      <c r="O81" s="1306"/>
      <c r="P81" s="1306"/>
      <c r="Q81" s="1307"/>
      <c r="R81" s="1305" t="s">
        <v>1026</v>
      </c>
      <c r="S81" s="1306"/>
      <c r="T81" s="1306"/>
      <c r="U81" s="1306"/>
      <c r="V81" s="1306"/>
      <c r="W81" s="1307"/>
    </row>
    <row r="82" spans="2:23" x14ac:dyDescent="0.45">
      <c r="B82" s="26">
        <f t="shared" si="3"/>
        <v>72</v>
      </c>
      <c r="C82" s="63" t="s">
        <v>959</v>
      </c>
      <c r="D82" s="126" t="s">
        <v>37</v>
      </c>
      <c r="E82" s="126" t="s">
        <v>951</v>
      </c>
      <c r="F82" s="126" t="s">
        <v>331</v>
      </c>
      <c r="H82" s="1305" t="s">
        <v>1073</v>
      </c>
      <c r="I82" s="1306"/>
      <c r="J82" s="1306"/>
      <c r="K82" s="1306"/>
      <c r="L82" s="1306"/>
      <c r="M82" s="1306"/>
      <c r="N82" s="1306"/>
      <c r="O82" s="1306"/>
      <c r="P82" s="1306"/>
      <c r="Q82" s="1306"/>
      <c r="R82" s="1306"/>
      <c r="S82" s="1306"/>
      <c r="T82" s="1306"/>
      <c r="U82" s="1306"/>
      <c r="V82" s="1306"/>
      <c r="W82" s="1307"/>
    </row>
    <row r="83" spans="2:23" x14ac:dyDescent="0.45">
      <c r="B83" s="26">
        <f t="shared" si="3"/>
        <v>73</v>
      </c>
      <c r="C83" s="63" t="s">
        <v>1015</v>
      </c>
      <c r="D83" s="126" t="s">
        <v>37</v>
      </c>
      <c r="E83" s="126" t="s">
        <v>1009</v>
      </c>
      <c r="F83" s="126" t="s">
        <v>1034</v>
      </c>
      <c r="H83" s="127"/>
      <c r="I83" s="127"/>
      <c r="J83" s="127"/>
      <c r="K83" s="127"/>
      <c r="L83" s="1305" t="s">
        <v>1016</v>
      </c>
      <c r="M83" s="1306"/>
      <c r="N83" s="1306"/>
      <c r="O83" s="1306"/>
      <c r="P83" s="1306"/>
      <c r="Q83" s="1306"/>
      <c r="R83" s="1306"/>
      <c r="S83" s="1306"/>
      <c r="T83" s="1306"/>
      <c r="U83" s="1306"/>
      <c r="V83" s="1306"/>
      <c r="W83" s="1307"/>
    </row>
    <row r="84" spans="2:23" x14ac:dyDescent="0.45">
      <c r="B84" s="26">
        <f t="shared" si="3"/>
        <v>74</v>
      </c>
      <c r="C84" s="63" t="s">
        <v>1077</v>
      </c>
      <c r="D84" s="126" t="s">
        <v>37</v>
      </c>
      <c r="E84" s="126" t="s">
        <v>1010</v>
      </c>
      <c r="F84" s="126" t="s">
        <v>1103</v>
      </c>
      <c r="H84" s="127"/>
      <c r="I84" s="127"/>
      <c r="J84" s="127"/>
      <c r="K84" s="127"/>
      <c r="L84" s="1305" t="s">
        <v>1078</v>
      </c>
      <c r="M84" s="1306"/>
      <c r="N84" s="1306"/>
      <c r="O84" s="1306"/>
      <c r="P84" s="1306"/>
      <c r="Q84" s="1306"/>
      <c r="R84" s="1306"/>
      <c r="S84" s="1306"/>
      <c r="T84" s="1306"/>
      <c r="U84" s="1306"/>
      <c r="V84" s="1306"/>
      <c r="W84" s="1307"/>
    </row>
    <row r="85" spans="2:23" x14ac:dyDescent="0.45">
      <c r="B85" s="26">
        <f t="shared" si="3"/>
        <v>75</v>
      </c>
      <c r="C85" s="210" t="s">
        <v>960</v>
      </c>
      <c r="D85" s="126" t="s">
        <v>66</v>
      </c>
      <c r="E85" s="126" t="s">
        <v>1011</v>
      </c>
      <c r="F85" s="126" t="s">
        <v>344</v>
      </c>
      <c r="H85" s="127"/>
      <c r="I85" s="127"/>
      <c r="J85" s="127"/>
      <c r="K85" s="127"/>
      <c r="L85" s="127"/>
      <c r="M85" s="127"/>
      <c r="N85" s="127"/>
      <c r="O85" s="127"/>
      <c r="P85" s="1305" t="s">
        <v>1006</v>
      </c>
      <c r="Q85" s="1306"/>
      <c r="R85" s="1306"/>
      <c r="S85" s="1307"/>
      <c r="T85" s="1305" t="s">
        <v>1005</v>
      </c>
      <c r="U85" s="1306"/>
      <c r="V85" s="1306"/>
      <c r="W85" s="1307"/>
    </row>
    <row r="86" spans="2:23" x14ac:dyDescent="0.45">
      <c r="B86" s="26">
        <f t="shared" si="3"/>
        <v>76</v>
      </c>
      <c r="C86" s="210" t="s">
        <v>961</v>
      </c>
      <c r="D86" s="126" t="s">
        <v>66</v>
      </c>
      <c r="E86" s="126" t="s">
        <v>1012</v>
      </c>
      <c r="F86" s="126" t="s">
        <v>344</v>
      </c>
      <c r="H86" s="1305" t="s">
        <v>1075</v>
      </c>
      <c r="I86" s="1306"/>
      <c r="J86" s="1306"/>
      <c r="K86" s="1306"/>
      <c r="L86" s="1306"/>
      <c r="M86" s="1306"/>
      <c r="N86" s="1306"/>
      <c r="O86" s="1306"/>
      <c r="P86" s="1306"/>
      <c r="Q86" s="1306"/>
      <c r="R86" s="1306"/>
      <c r="S86" s="1306"/>
      <c r="T86" s="1306"/>
      <c r="U86" s="1306"/>
      <c r="V86" s="1306"/>
      <c r="W86" s="1307"/>
    </row>
    <row r="87" spans="2:23" x14ac:dyDescent="0.45">
      <c r="B87" s="26">
        <f t="shared" si="3"/>
        <v>77</v>
      </c>
      <c r="C87" s="210" t="s">
        <v>1008</v>
      </c>
      <c r="D87" s="126" t="s">
        <v>66</v>
      </c>
      <c r="E87" s="126" t="s">
        <v>1013</v>
      </c>
      <c r="F87" s="126" t="s">
        <v>344</v>
      </c>
      <c r="H87" s="1305" t="s">
        <v>1007</v>
      </c>
      <c r="I87" s="1306"/>
      <c r="J87" s="1306"/>
      <c r="K87" s="1306"/>
      <c r="L87" s="1306"/>
      <c r="M87" s="1306"/>
      <c r="N87" s="1306"/>
      <c r="O87" s="1307"/>
      <c r="P87" s="127"/>
      <c r="Q87" s="1305" t="s">
        <v>1069</v>
      </c>
      <c r="R87" s="1306"/>
      <c r="S87" s="1306"/>
      <c r="T87" s="1306"/>
      <c r="U87" s="1306"/>
      <c r="V87" s="1306"/>
      <c r="W87" s="1307"/>
    </row>
    <row r="88" spans="2:23" x14ac:dyDescent="0.45">
      <c r="B88" s="26"/>
      <c r="C88" s="210" t="s">
        <v>1071</v>
      </c>
      <c r="D88" s="126" t="s">
        <v>66</v>
      </c>
      <c r="E88" s="126" t="s">
        <v>1014</v>
      </c>
      <c r="F88" s="126" t="s">
        <v>344</v>
      </c>
      <c r="H88" s="127"/>
      <c r="I88" s="127"/>
      <c r="J88" s="127"/>
      <c r="K88" s="205" t="s">
        <v>1004</v>
      </c>
      <c r="L88" s="1305" t="s">
        <v>1070</v>
      </c>
      <c r="M88" s="1306"/>
      <c r="N88" s="1306"/>
      <c r="O88" s="1306"/>
      <c r="P88" s="1306"/>
      <c r="Q88" s="1306"/>
      <c r="R88" s="1306"/>
      <c r="S88" s="1306"/>
      <c r="T88" s="1306"/>
      <c r="U88" s="1306"/>
      <c r="V88" s="1306"/>
      <c r="W88" s="1307"/>
    </row>
    <row r="89" spans="2:23" x14ac:dyDescent="0.45">
      <c r="B89" s="26"/>
    </row>
    <row r="90" spans="2:23" x14ac:dyDescent="0.45">
      <c r="B90" s="26"/>
      <c r="C90" s="77" t="s">
        <v>584</v>
      </c>
    </row>
    <row r="91" spans="2:23" x14ac:dyDescent="0.45">
      <c r="B91" s="26">
        <f>B87+1</f>
        <v>78</v>
      </c>
      <c r="C91" s="25" t="s">
        <v>585</v>
      </c>
      <c r="D91" s="25" t="s">
        <v>37</v>
      </c>
      <c r="E91" s="25" t="s">
        <v>586</v>
      </c>
      <c r="F91" s="25" t="s">
        <v>331</v>
      </c>
      <c r="H91" s="29"/>
      <c r="I91" s="29"/>
      <c r="J91" s="29"/>
      <c r="K91" s="29"/>
      <c r="L91" s="1460" t="s">
        <v>587</v>
      </c>
      <c r="M91" s="1460"/>
      <c r="N91" s="1460"/>
      <c r="O91" s="1460"/>
      <c r="P91" s="1460"/>
      <c r="Q91" s="1460"/>
      <c r="R91" s="1460"/>
      <c r="S91" s="1460"/>
      <c r="T91" s="1460"/>
      <c r="U91" s="1460"/>
      <c r="V91" s="1460"/>
      <c r="W91" s="1460"/>
    </row>
    <row r="92" spans="2:23" x14ac:dyDescent="0.45">
      <c r="B92" s="26">
        <f t="shared" si="2"/>
        <v>79</v>
      </c>
      <c r="C92" s="25" t="s">
        <v>588</v>
      </c>
      <c r="D92" s="25" t="s">
        <v>66</v>
      </c>
      <c r="E92" s="25" t="s">
        <v>589</v>
      </c>
      <c r="F92" s="25" t="s">
        <v>331</v>
      </c>
      <c r="H92" s="1460" t="s">
        <v>590</v>
      </c>
      <c r="I92" s="1460"/>
      <c r="J92" s="1460"/>
      <c r="K92" s="1460"/>
      <c r="L92" s="1460" t="s">
        <v>591</v>
      </c>
      <c r="M92" s="1460"/>
      <c r="N92" s="1460"/>
      <c r="O92" s="1460"/>
      <c r="P92" s="1460" t="s">
        <v>592</v>
      </c>
      <c r="Q92" s="1460"/>
      <c r="R92" s="1460"/>
      <c r="S92" s="1460"/>
      <c r="T92" s="1460" t="s">
        <v>593</v>
      </c>
      <c r="U92" s="1460"/>
      <c r="V92" s="1460"/>
      <c r="W92" s="1460"/>
    </row>
    <row r="93" spans="2:23" x14ac:dyDescent="0.45">
      <c r="B93" s="26">
        <f t="shared" si="2"/>
        <v>80</v>
      </c>
      <c r="C93" s="25" t="s">
        <v>594</v>
      </c>
      <c r="D93" s="25" t="s">
        <v>66</v>
      </c>
      <c r="E93" s="25" t="s">
        <v>595</v>
      </c>
      <c r="F93" s="25" t="s">
        <v>331</v>
      </c>
      <c r="H93" s="1460" t="s">
        <v>596</v>
      </c>
      <c r="I93" s="1460"/>
      <c r="J93" s="1460"/>
      <c r="K93" s="1460"/>
      <c r="L93" s="1460" t="s">
        <v>597</v>
      </c>
      <c r="M93" s="1460"/>
      <c r="N93" s="1460"/>
      <c r="O93" s="1460"/>
      <c r="P93" s="1460" t="s">
        <v>598</v>
      </c>
      <c r="Q93" s="1460"/>
      <c r="R93" s="1460"/>
      <c r="S93" s="1460"/>
      <c r="T93" s="1460" t="s">
        <v>599</v>
      </c>
      <c r="U93" s="1460"/>
      <c r="V93" s="1460"/>
      <c r="W93" s="1460"/>
    </row>
    <row r="94" spans="2:23" x14ac:dyDescent="0.45">
      <c r="B94" s="26">
        <f t="shared" si="2"/>
        <v>81</v>
      </c>
      <c r="C94" s="25" t="s">
        <v>600</v>
      </c>
      <c r="D94" s="25" t="s">
        <v>66</v>
      </c>
      <c r="E94" s="25" t="s">
        <v>601</v>
      </c>
      <c r="F94" s="25" t="s">
        <v>331</v>
      </c>
      <c r="H94" s="1460" t="s">
        <v>602</v>
      </c>
      <c r="I94" s="1460"/>
      <c r="J94" s="1460"/>
      <c r="K94" s="1460"/>
      <c r="L94" s="1460" t="s">
        <v>603</v>
      </c>
      <c r="M94" s="1460"/>
      <c r="N94" s="1460"/>
      <c r="O94" s="1460"/>
      <c r="P94" s="1460" t="s">
        <v>604</v>
      </c>
      <c r="Q94" s="1460"/>
      <c r="R94" s="1460"/>
      <c r="S94" s="1460"/>
      <c r="T94" s="1460" t="s">
        <v>605</v>
      </c>
      <c r="U94" s="1460"/>
      <c r="V94" s="1460"/>
      <c r="W94" s="1460"/>
    </row>
    <row r="95" spans="2:23" x14ac:dyDescent="0.45">
      <c r="B95" s="26">
        <f t="shared" si="2"/>
        <v>82</v>
      </c>
      <c r="C95" s="25" t="s">
        <v>606</v>
      </c>
      <c r="D95" s="25" t="s">
        <v>66</v>
      </c>
      <c r="E95" s="25" t="s">
        <v>607</v>
      </c>
      <c r="F95" s="25" t="s">
        <v>331</v>
      </c>
      <c r="H95" s="1460" t="s">
        <v>608</v>
      </c>
      <c r="I95" s="1460"/>
      <c r="J95" s="1460"/>
      <c r="K95" s="1460"/>
      <c r="L95" s="1460" t="s">
        <v>609</v>
      </c>
      <c r="M95" s="1460"/>
      <c r="N95" s="1460"/>
      <c r="O95" s="1460"/>
      <c r="P95" s="1460" t="s">
        <v>610</v>
      </c>
      <c r="Q95" s="1460"/>
      <c r="R95" s="1460"/>
      <c r="S95" s="1460"/>
      <c r="T95" s="1460" t="s">
        <v>611</v>
      </c>
      <c r="U95" s="1460"/>
      <c r="V95" s="1460"/>
      <c r="W95" s="1460"/>
    </row>
    <row r="96" spans="2:23" x14ac:dyDescent="0.45">
      <c r="B96" s="26">
        <f t="shared" si="2"/>
        <v>83</v>
      </c>
      <c r="C96" s="25" t="s">
        <v>612</v>
      </c>
      <c r="D96" s="25" t="s">
        <v>66</v>
      </c>
      <c r="E96" s="25" t="s">
        <v>613</v>
      </c>
      <c r="F96" s="25" t="s">
        <v>331</v>
      </c>
      <c r="H96" s="1460" t="s">
        <v>614</v>
      </c>
      <c r="I96" s="1460"/>
      <c r="J96" s="1460"/>
      <c r="K96" s="1460"/>
      <c r="L96" s="1460" t="s">
        <v>615</v>
      </c>
      <c r="M96" s="1460"/>
      <c r="N96" s="1460"/>
      <c r="O96" s="1460"/>
      <c r="P96" s="1460" t="s">
        <v>616</v>
      </c>
      <c r="Q96" s="1460"/>
      <c r="R96" s="1460"/>
      <c r="S96" s="1460"/>
      <c r="T96" s="1460" t="s">
        <v>617</v>
      </c>
      <c r="U96" s="1460"/>
      <c r="V96" s="1460"/>
      <c r="W96" s="1460"/>
    </row>
    <row r="97" spans="2:23" x14ac:dyDescent="0.45">
      <c r="B97" s="26">
        <f t="shared" si="2"/>
        <v>84</v>
      </c>
      <c r="C97" s="25" t="s">
        <v>618</v>
      </c>
      <c r="D97" s="25" t="s">
        <v>66</v>
      </c>
      <c r="E97" s="25" t="s">
        <v>619</v>
      </c>
      <c r="F97" s="25" t="s">
        <v>331</v>
      </c>
      <c r="H97" s="1460" t="s">
        <v>620</v>
      </c>
      <c r="I97" s="1460"/>
      <c r="J97" s="1460"/>
      <c r="K97" s="1460"/>
      <c r="L97" s="1460" t="s">
        <v>621</v>
      </c>
      <c r="M97" s="1460"/>
      <c r="N97" s="1460"/>
      <c r="O97" s="1460"/>
      <c r="P97" s="1460" t="s">
        <v>622</v>
      </c>
      <c r="Q97" s="1460"/>
      <c r="R97" s="1460"/>
      <c r="S97" s="1460"/>
      <c r="T97" s="1460" t="s">
        <v>623</v>
      </c>
      <c r="U97" s="1460"/>
      <c r="V97" s="1460"/>
      <c r="W97" s="1460"/>
    </row>
    <row r="98" spans="2:23" x14ac:dyDescent="0.45">
      <c r="B98" s="26"/>
    </row>
    <row r="99" spans="2:23" x14ac:dyDescent="0.45">
      <c r="B99" s="26"/>
      <c r="C99" s="77" t="s">
        <v>624</v>
      </c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</row>
    <row r="100" spans="2:23" x14ac:dyDescent="0.45">
      <c r="B100" s="26">
        <f>B97+1</f>
        <v>85</v>
      </c>
      <c r="C100" s="53" t="s">
        <v>625</v>
      </c>
      <c r="D100" s="53" t="s">
        <v>37</v>
      </c>
      <c r="E100" s="53" t="s">
        <v>626</v>
      </c>
      <c r="F100" s="53" t="s">
        <v>331</v>
      </c>
      <c r="H100" s="29"/>
      <c r="I100" s="29"/>
      <c r="J100" s="29"/>
      <c r="K100" s="29"/>
      <c r="L100" s="1460" t="s">
        <v>587</v>
      </c>
      <c r="M100" s="1460"/>
      <c r="N100" s="1460"/>
      <c r="O100" s="1460"/>
      <c r="P100" s="1460"/>
      <c r="Q100" s="1460"/>
      <c r="R100" s="1460"/>
      <c r="S100" s="1460"/>
      <c r="T100" s="1460"/>
      <c r="U100" s="1460"/>
      <c r="V100" s="1460"/>
      <c r="W100" s="1460"/>
    </row>
    <row r="101" spans="2:23" x14ac:dyDescent="0.45">
      <c r="B101" s="26">
        <f t="shared" si="2"/>
        <v>86</v>
      </c>
      <c r="C101" s="53" t="s">
        <v>627</v>
      </c>
      <c r="D101" s="53" t="s">
        <v>37</v>
      </c>
      <c r="E101" s="53" t="s">
        <v>628</v>
      </c>
      <c r="F101" s="53" t="s">
        <v>331</v>
      </c>
      <c r="H101" s="29"/>
      <c r="I101" s="29"/>
      <c r="J101" s="29"/>
      <c r="K101" s="29"/>
      <c r="L101" s="1460" t="s">
        <v>587</v>
      </c>
      <c r="M101" s="1460"/>
      <c r="N101" s="1460"/>
      <c r="O101" s="1460"/>
      <c r="P101" s="1460"/>
      <c r="Q101" s="1460"/>
      <c r="R101" s="1460"/>
      <c r="S101" s="1460"/>
      <c r="T101" s="1460"/>
      <c r="U101" s="1460"/>
      <c r="V101" s="1460"/>
      <c r="W101" s="1460"/>
    </row>
    <row r="102" spans="2:23" x14ac:dyDescent="0.45">
      <c r="B102" s="26">
        <f t="shared" si="2"/>
        <v>87</v>
      </c>
      <c r="C102" s="53" t="s">
        <v>629</v>
      </c>
      <c r="D102" s="53" t="s">
        <v>37</v>
      </c>
      <c r="E102" s="53" t="s">
        <v>630</v>
      </c>
      <c r="F102" s="53" t="s">
        <v>344</v>
      </c>
      <c r="H102" s="29"/>
      <c r="I102" s="29"/>
      <c r="J102" s="29"/>
      <c r="K102" s="29"/>
      <c r="L102" s="1460" t="s">
        <v>631</v>
      </c>
      <c r="M102" s="1460"/>
      <c r="N102" s="1460"/>
      <c r="O102" s="1460"/>
      <c r="P102" s="1460"/>
      <c r="Q102" s="1460"/>
      <c r="R102" s="1460"/>
      <c r="S102" s="1460"/>
      <c r="T102" s="1460"/>
      <c r="U102" s="1460"/>
      <c r="V102" s="1460"/>
      <c r="W102" s="1460"/>
    </row>
    <row r="103" spans="2:23" x14ac:dyDescent="0.45">
      <c r="B103" s="26">
        <f t="shared" si="2"/>
        <v>88</v>
      </c>
      <c r="C103" s="53" t="s">
        <v>632</v>
      </c>
      <c r="D103" s="53" t="s">
        <v>37</v>
      </c>
      <c r="E103" s="53" t="s">
        <v>633</v>
      </c>
      <c r="F103" s="53" t="s">
        <v>344</v>
      </c>
      <c r="H103" s="29"/>
      <c r="I103" s="29"/>
      <c r="J103" s="29"/>
      <c r="K103" s="29"/>
      <c r="L103" s="1460" t="s">
        <v>631</v>
      </c>
      <c r="M103" s="1460"/>
      <c r="N103" s="1460"/>
      <c r="O103" s="1460"/>
      <c r="P103" s="1460"/>
      <c r="Q103" s="1460"/>
      <c r="R103" s="1460"/>
      <c r="S103" s="1460"/>
      <c r="T103" s="1460"/>
      <c r="U103" s="1460"/>
      <c r="V103" s="1460"/>
      <c r="W103" s="1460"/>
    </row>
    <row r="104" spans="2:23" x14ac:dyDescent="0.45">
      <c r="B104" s="26">
        <f t="shared" si="2"/>
        <v>89</v>
      </c>
      <c r="C104" s="53" t="s">
        <v>634</v>
      </c>
      <c r="D104" s="53" t="s">
        <v>37</v>
      </c>
      <c r="E104" s="53" t="s">
        <v>635</v>
      </c>
      <c r="F104" s="53" t="s">
        <v>344</v>
      </c>
      <c r="H104" s="29"/>
      <c r="I104" s="29"/>
      <c r="J104" s="29"/>
      <c r="K104" s="29"/>
      <c r="L104" s="1460" t="s">
        <v>631</v>
      </c>
      <c r="M104" s="1460"/>
      <c r="N104" s="1460"/>
      <c r="O104" s="1460"/>
      <c r="P104" s="1460"/>
      <c r="Q104" s="1460"/>
      <c r="R104" s="1460"/>
      <c r="S104" s="1460"/>
      <c r="T104" s="1460"/>
      <c r="U104" s="1460"/>
      <c r="V104" s="1460"/>
      <c r="W104" s="1460"/>
    </row>
    <row r="105" spans="2:23" x14ac:dyDescent="0.45">
      <c r="B105" s="26">
        <f t="shared" si="2"/>
        <v>90</v>
      </c>
      <c r="C105" s="53" t="s">
        <v>636</v>
      </c>
      <c r="D105" s="53" t="s">
        <v>37</v>
      </c>
      <c r="E105" s="53" t="s">
        <v>637</v>
      </c>
      <c r="F105" s="53" t="s">
        <v>344</v>
      </c>
      <c r="H105" s="29"/>
      <c r="I105" s="29"/>
      <c r="J105" s="29"/>
      <c r="K105" s="29"/>
      <c r="L105" s="1460" t="s">
        <v>631</v>
      </c>
      <c r="M105" s="1460"/>
      <c r="N105" s="1460"/>
      <c r="O105" s="1460"/>
      <c r="P105" s="1460"/>
      <c r="Q105" s="1460"/>
      <c r="R105" s="1460"/>
      <c r="S105" s="1460"/>
      <c r="T105" s="1460"/>
      <c r="U105" s="1460"/>
      <c r="V105" s="1460"/>
      <c r="W105" s="1460"/>
    </row>
    <row r="106" spans="2:23" x14ac:dyDescent="0.45">
      <c r="B106" s="26">
        <f t="shared" si="2"/>
        <v>91</v>
      </c>
      <c r="C106" s="53" t="s">
        <v>638</v>
      </c>
      <c r="D106" s="53" t="s">
        <v>37</v>
      </c>
      <c r="E106" s="53" t="s">
        <v>639</v>
      </c>
      <c r="F106" s="53" t="s">
        <v>344</v>
      </c>
      <c r="H106" s="29"/>
      <c r="I106" s="29"/>
      <c r="J106" s="29"/>
      <c r="K106" s="29"/>
      <c r="L106" s="1460" t="s">
        <v>631</v>
      </c>
      <c r="M106" s="1460"/>
      <c r="N106" s="1460"/>
      <c r="O106" s="1460"/>
      <c r="P106" s="1460"/>
      <c r="Q106" s="1460"/>
      <c r="R106" s="1460"/>
      <c r="S106" s="1460"/>
      <c r="T106" s="1460"/>
      <c r="U106" s="1460"/>
      <c r="V106" s="1460"/>
      <c r="W106" s="1460"/>
    </row>
    <row r="107" spans="2:23" x14ac:dyDescent="0.45">
      <c r="B107" s="26">
        <f t="shared" si="2"/>
        <v>92</v>
      </c>
      <c r="C107" s="53" t="s">
        <v>640</v>
      </c>
      <c r="D107" s="53" t="s">
        <v>37</v>
      </c>
      <c r="E107" s="53" t="s">
        <v>641</v>
      </c>
      <c r="F107" s="53" t="s">
        <v>344</v>
      </c>
      <c r="H107" s="29"/>
      <c r="I107" s="29"/>
      <c r="J107" s="29"/>
      <c r="K107" s="29"/>
      <c r="L107" s="1460" t="s">
        <v>631</v>
      </c>
      <c r="M107" s="1460"/>
      <c r="N107" s="1460"/>
      <c r="O107" s="1460"/>
      <c r="P107" s="1460"/>
      <c r="Q107" s="1460"/>
      <c r="R107" s="1460"/>
      <c r="S107" s="1460"/>
      <c r="T107" s="1460"/>
      <c r="U107" s="1460"/>
      <c r="V107" s="1460"/>
      <c r="W107" s="1460"/>
    </row>
    <row r="108" spans="2:23" x14ac:dyDescent="0.45">
      <c r="B108" s="26">
        <f t="shared" si="2"/>
        <v>93</v>
      </c>
      <c r="C108" s="25" t="s">
        <v>642</v>
      </c>
      <c r="D108" s="25" t="s">
        <v>37</v>
      </c>
      <c r="E108" s="25" t="s">
        <v>643</v>
      </c>
      <c r="F108" s="25" t="s">
        <v>331</v>
      </c>
      <c r="H108" s="29"/>
      <c r="I108" s="29"/>
      <c r="J108" s="29"/>
      <c r="K108" s="29"/>
      <c r="L108" s="1460" t="s">
        <v>587</v>
      </c>
      <c r="M108" s="1460"/>
      <c r="N108" s="1460"/>
      <c r="O108" s="1460"/>
      <c r="P108" s="1460"/>
      <c r="Q108" s="1460"/>
      <c r="R108" s="1460"/>
      <c r="S108" s="1460"/>
      <c r="T108" s="1460"/>
      <c r="U108" s="1460"/>
      <c r="V108" s="1460"/>
      <c r="W108" s="1460"/>
    </row>
    <row r="109" spans="2:23" x14ac:dyDescent="0.45">
      <c r="B109" s="26">
        <f t="shared" si="2"/>
        <v>94</v>
      </c>
      <c r="C109" s="25" t="s">
        <v>644</v>
      </c>
      <c r="D109" s="25" t="s">
        <v>37</v>
      </c>
      <c r="E109" s="25" t="s">
        <v>645</v>
      </c>
      <c r="F109" s="25" t="s">
        <v>331</v>
      </c>
      <c r="H109" s="29"/>
      <c r="I109" s="29"/>
      <c r="J109" s="29"/>
      <c r="K109" s="29"/>
      <c r="L109" s="1460" t="s">
        <v>587</v>
      </c>
      <c r="M109" s="1460"/>
      <c r="N109" s="1460"/>
      <c r="O109" s="1460"/>
      <c r="P109" s="1460"/>
      <c r="Q109" s="1460"/>
      <c r="R109" s="1460"/>
      <c r="S109" s="1460"/>
      <c r="T109" s="1460"/>
      <c r="U109" s="1460"/>
      <c r="V109" s="1460"/>
      <c r="W109" s="1460"/>
    </row>
    <row r="110" spans="2:23" x14ac:dyDescent="0.45">
      <c r="B110" s="26">
        <f t="shared" si="2"/>
        <v>95</v>
      </c>
      <c r="C110" s="25" t="s">
        <v>646</v>
      </c>
      <c r="D110" s="25" t="s">
        <v>37</v>
      </c>
      <c r="E110" s="25" t="s">
        <v>647</v>
      </c>
      <c r="F110" s="25" t="s">
        <v>344</v>
      </c>
      <c r="H110" s="29"/>
      <c r="I110" s="29"/>
      <c r="J110" s="29"/>
      <c r="K110" s="29"/>
      <c r="L110" s="1460" t="s">
        <v>631</v>
      </c>
      <c r="M110" s="1460"/>
      <c r="N110" s="1460"/>
      <c r="O110" s="1460"/>
      <c r="P110" s="1460"/>
      <c r="Q110" s="1460"/>
      <c r="R110" s="1460"/>
      <c r="S110" s="1460"/>
      <c r="T110" s="1460"/>
      <c r="U110" s="1460"/>
      <c r="V110" s="1460"/>
      <c r="W110" s="1460"/>
    </row>
    <row r="111" spans="2:23" x14ac:dyDescent="0.45">
      <c r="B111" s="26">
        <f t="shared" si="2"/>
        <v>96</v>
      </c>
      <c r="C111" s="25" t="s">
        <v>648</v>
      </c>
      <c r="D111" s="25" t="s">
        <v>37</v>
      </c>
      <c r="E111" s="25" t="s">
        <v>649</v>
      </c>
      <c r="F111" s="25" t="s">
        <v>344</v>
      </c>
      <c r="H111" s="29"/>
      <c r="I111" s="29"/>
      <c r="J111" s="29"/>
      <c r="K111" s="29"/>
      <c r="L111" s="1460" t="s">
        <v>631</v>
      </c>
      <c r="M111" s="1460"/>
      <c r="N111" s="1460"/>
      <c r="O111" s="1460"/>
      <c r="P111" s="1460"/>
      <c r="Q111" s="1460"/>
      <c r="R111" s="1460"/>
      <c r="S111" s="1460"/>
      <c r="T111" s="1460"/>
      <c r="U111" s="1460"/>
      <c r="V111" s="1460"/>
      <c r="W111" s="1460"/>
    </row>
    <row r="112" spans="2:23" x14ac:dyDescent="0.45">
      <c r="B112" s="26">
        <f t="shared" si="2"/>
        <v>97</v>
      </c>
      <c r="C112" s="25" t="s">
        <v>650</v>
      </c>
      <c r="D112" s="25" t="s">
        <v>37</v>
      </c>
      <c r="E112" s="25" t="s">
        <v>651</v>
      </c>
      <c r="F112" s="25" t="s">
        <v>344</v>
      </c>
      <c r="H112" s="29"/>
      <c r="I112" s="29"/>
      <c r="J112" s="29"/>
      <c r="K112" s="29"/>
      <c r="L112" s="1460" t="s">
        <v>631</v>
      </c>
      <c r="M112" s="1460"/>
      <c r="N112" s="1460"/>
      <c r="O112" s="1460"/>
      <c r="P112" s="1460"/>
      <c r="Q112" s="1460"/>
      <c r="R112" s="1460"/>
      <c r="S112" s="1460"/>
      <c r="T112" s="1460"/>
      <c r="U112" s="1460"/>
      <c r="V112" s="1460"/>
      <c r="W112" s="1460"/>
    </row>
    <row r="113" spans="2:23" x14ac:dyDescent="0.45">
      <c r="B113" s="26">
        <f t="shared" si="2"/>
        <v>98</v>
      </c>
      <c r="C113" s="25" t="s">
        <v>652</v>
      </c>
      <c r="D113" s="25" t="s">
        <v>37</v>
      </c>
      <c r="E113" s="25" t="s">
        <v>653</v>
      </c>
      <c r="F113" s="25" t="s">
        <v>344</v>
      </c>
      <c r="H113" s="29"/>
      <c r="I113" s="29"/>
      <c r="J113" s="29"/>
      <c r="K113" s="29"/>
      <c r="L113" s="1460" t="s">
        <v>631</v>
      </c>
      <c r="M113" s="1460"/>
      <c r="N113" s="1460"/>
      <c r="O113" s="1460"/>
      <c r="P113" s="1460"/>
      <c r="Q113" s="1460"/>
      <c r="R113" s="1460"/>
      <c r="S113" s="1460"/>
      <c r="T113" s="1460"/>
      <c r="U113" s="1460"/>
      <c r="V113" s="1460"/>
      <c r="W113" s="1460"/>
    </row>
    <row r="114" spans="2:23" x14ac:dyDescent="0.45">
      <c r="B114" s="26">
        <f t="shared" si="2"/>
        <v>99</v>
      </c>
      <c r="C114" s="25" t="s">
        <v>654</v>
      </c>
      <c r="D114" s="25" t="s">
        <v>37</v>
      </c>
      <c r="E114" s="25" t="s">
        <v>655</v>
      </c>
      <c r="F114" s="25" t="s">
        <v>344</v>
      </c>
      <c r="H114" s="29"/>
      <c r="I114" s="29"/>
      <c r="J114" s="29"/>
      <c r="K114" s="29"/>
      <c r="L114" s="1460" t="s">
        <v>631</v>
      </c>
      <c r="M114" s="1460"/>
      <c r="N114" s="1460"/>
      <c r="O114" s="1460"/>
      <c r="P114" s="1460"/>
      <c r="Q114" s="1460"/>
      <c r="R114" s="1460"/>
      <c r="S114" s="1460"/>
      <c r="T114" s="1460"/>
      <c r="U114" s="1460"/>
      <c r="V114" s="1460"/>
      <c r="W114" s="1460"/>
    </row>
    <row r="115" spans="2:23" x14ac:dyDescent="0.45">
      <c r="B115" s="26">
        <f t="shared" si="2"/>
        <v>100</v>
      </c>
      <c r="C115" s="25" t="s">
        <v>656</v>
      </c>
      <c r="D115" s="25" t="s">
        <v>37</v>
      </c>
      <c r="E115" s="25" t="s">
        <v>657</v>
      </c>
      <c r="F115" s="25" t="s">
        <v>344</v>
      </c>
      <c r="H115" s="29"/>
      <c r="I115" s="29"/>
      <c r="J115" s="29"/>
      <c r="K115" s="29"/>
      <c r="L115" s="1460" t="s">
        <v>631</v>
      </c>
      <c r="M115" s="1460"/>
      <c r="N115" s="1460"/>
      <c r="O115" s="1460"/>
      <c r="P115" s="1460"/>
      <c r="Q115" s="1460"/>
      <c r="R115" s="1460"/>
      <c r="S115" s="1460"/>
      <c r="T115" s="1460"/>
      <c r="U115" s="1460"/>
      <c r="V115" s="1460"/>
      <c r="W115" s="1460"/>
    </row>
    <row r="116" spans="2:23" x14ac:dyDescent="0.45">
      <c r="B116" s="26">
        <f t="shared" si="2"/>
        <v>101</v>
      </c>
      <c r="C116" s="53" t="s">
        <v>658</v>
      </c>
      <c r="D116" s="53" t="s">
        <v>37</v>
      </c>
      <c r="E116" s="53" t="s">
        <v>659</v>
      </c>
      <c r="F116" s="53" t="s">
        <v>331</v>
      </c>
      <c r="H116" s="29"/>
      <c r="I116" s="29"/>
      <c r="J116" s="29"/>
      <c r="K116" s="29"/>
      <c r="L116" s="1460" t="s">
        <v>587</v>
      </c>
      <c r="M116" s="1460"/>
      <c r="N116" s="1460"/>
      <c r="O116" s="1460"/>
      <c r="P116" s="1460"/>
      <c r="Q116" s="1460"/>
      <c r="R116" s="1460"/>
      <c r="S116" s="1460"/>
      <c r="T116" s="1460"/>
      <c r="U116" s="1460"/>
      <c r="V116" s="1460"/>
      <c r="W116" s="1460"/>
    </row>
    <row r="117" spans="2:23" x14ac:dyDescent="0.45">
      <c r="B117" s="26">
        <f t="shared" si="2"/>
        <v>102</v>
      </c>
      <c r="C117" s="53" t="s">
        <v>660</v>
      </c>
      <c r="D117" s="53" t="s">
        <v>37</v>
      </c>
      <c r="E117" s="53" t="s">
        <v>661</v>
      </c>
      <c r="F117" s="53" t="s">
        <v>331</v>
      </c>
      <c r="H117" s="29"/>
      <c r="I117" s="29"/>
      <c r="J117" s="29"/>
      <c r="K117" s="29"/>
      <c r="L117" s="1460" t="s">
        <v>587</v>
      </c>
      <c r="M117" s="1460"/>
      <c r="N117" s="1460"/>
      <c r="O117" s="1460"/>
      <c r="P117" s="1460"/>
      <c r="Q117" s="1460"/>
      <c r="R117" s="1460"/>
      <c r="S117" s="1460"/>
      <c r="T117" s="1460"/>
      <c r="U117" s="1460"/>
      <c r="V117" s="1460"/>
      <c r="W117" s="1460"/>
    </row>
    <row r="118" spans="2:23" x14ac:dyDescent="0.45">
      <c r="B118" s="26">
        <f t="shared" si="2"/>
        <v>103</v>
      </c>
      <c r="C118" s="53" t="s">
        <v>662</v>
      </c>
      <c r="D118" s="53" t="s">
        <v>37</v>
      </c>
      <c r="E118" s="53" t="s">
        <v>663</v>
      </c>
      <c r="F118" s="53" t="s">
        <v>344</v>
      </c>
      <c r="H118" s="29"/>
      <c r="I118" s="29"/>
      <c r="J118" s="29"/>
      <c r="K118" s="29"/>
      <c r="L118" s="1460" t="s">
        <v>631</v>
      </c>
      <c r="M118" s="1460"/>
      <c r="N118" s="1460"/>
      <c r="O118" s="1460"/>
      <c r="P118" s="1460"/>
      <c r="Q118" s="1460"/>
      <c r="R118" s="1460"/>
      <c r="S118" s="1460"/>
      <c r="T118" s="1460"/>
      <c r="U118" s="1460"/>
      <c r="V118" s="1460"/>
      <c r="W118" s="1460"/>
    </row>
    <row r="119" spans="2:23" x14ac:dyDescent="0.45">
      <c r="B119" s="26">
        <f t="shared" si="2"/>
        <v>104</v>
      </c>
      <c r="C119" s="53" t="s">
        <v>664</v>
      </c>
      <c r="D119" s="53" t="s">
        <v>37</v>
      </c>
      <c r="E119" s="53" t="s">
        <v>665</v>
      </c>
      <c r="F119" s="53" t="s">
        <v>344</v>
      </c>
      <c r="H119" s="29"/>
      <c r="I119" s="29"/>
      <c r="J119" s="29"/>
      <c r="K119" s="29"/>
      <c r="L119" s="1460" t="s">
        <v>631</v>
      </c>
      <c r="M119" s="1460"/>
      <c r="N119" s="1460"/>
      <c r="O119" s="1460"/>
      <c r="P119" s="1460"/>
      <c r="Q119" s="1460"/>
      <c r="R119" s="1460"/>
      <c r="S119" s="1460"/>
      <c r="T119" s="1460"/>
      <c r="U119" s="1460"/>
      <c r="V119" s="1460"/>
      <c r="W119" s="1460"/>
    </row>
    <row r="120" spans="2:23" x14ac:dyDescent="0.45">
      <c r="B120" s="26">
        <f t="shared" si="2"/>
        <v>105</v>
      </c>
      <c r="C120" s="53" t="s">
        <v>666</v>
      </c>
      <c r="D120" s="53" t="s">
        <v>37</v>
      </c>
      <c r="E120" s="53" t="s">
        <v>667</v>
      </c>
      <c r="F120" s="53" t="s">
        <v>344</v>
      </c>
      <c r="H120" s="29"/>
      <c r="I120" s="29"/>
      <c r="J120" s="29"/>
      <c r="K120" s="29"/>
      <c r="L120" s="1460" t="s">
        <v>631</v>
      </c>
      <c r="M120" s="1460"/>
      <c r="N120" s="1460"/>
      <c r="O120" s="1460"/>
      <c r="P120" s="1460"/>
      <c r="Q120" s="1460"/>
      <c r="R120" s="1460"/>
      <c r="S120" s="1460"/>
      <c r="T120" s="1460"/>
      <c r="U120" s="1460"/>
      <c r="V120" s="1460"/>
      <c r="W120" s="1460"/>
    </row>
    <row r="121" spans="2:23" x14ac:dyDescent="0.45">
      <c r="B121" s="26">
        <f t="shared" si="2"/>
        <v>106</v>
      </c>
      <c r="C121" s="53" t="s">
        <v>668</v>
      </c>
      <c r="D121" s="53" t="s">
        <v>37</v>
      </c>
      <c r="E121" s="53" t="s">
        <v>669</v>
      </c>
      <c r="F121" s="53" t="s">
        <v>344</v>
      </c>
      <c r="H121" s="29"/>
      <c r="I121" s="29"/>
      <c r="J121" s="29"/>
      <c r="K121" s="29"/>
      <c r="L121" s="1460" t="s">
        <v>631</v>
      </c>
      <c r="M121" s="1460"/>
      <c r="N121" s="1460"/>
      <c r="O121" s="1460"/>
      <c r="P121" s="1460"/>
      <c r="Q121" s="1460"/>
      <c r="R121" s="1460"/>
      <c r="S121" s="1460"/>
      <c r="T121" s="1460"/>
      <c r="U121" s="1460"/>
      <c r="V121" s="1460"/>
      <c r="W121" s="1460"/>
    </row>
    <row r="122" spans="2:23" x14ac:dyDescent="0.45">
      <c r="B122" s="26">
        <f t="shared" si="2"/>
        <v>107</v>
      </c>
      <c r="C122" s="53" t="s">
        <v>670</v>
      </c>
      <c r="D122" s="53" t="s">
        <v>37</v>
      </c>
      <c r="E122" s="53" t="s">
        <v>671</v>
      </c>
      <c r="F122" s="53" t="s">
        <v>344</v>
      </c>
      <c r="H122" s="29"/>
      <c r="I122" s="29"/>
      <c r="J122" s="29"/>
      <c r="K122" s="29"/>
      <c r="L122" s="1460" t="s">
        <v>631</v>
      </c>
      <c r="M122" s="1460"/>
      <c r="N122" s="1460"/>
      <c r="O122" s="1460"/>
      <c r="P122" s="1460"/>
      <c r="Q122" s="1460"/>
      <c r="R122" s="1460"/>
      <c r="S122" s="1460"/>
      <c r="T122" s="1460"/>
      <c r="U122" s="1460"/>
      <c r="V122" s="1460"/>
      <c r="W122" s="1460"/>
    </row>
    <row r="123" spans="2:23" x14ac:dyDescent="0.45">
      <c r="B123" s="26">
        <f t="shared" si="2"/>
        <v>108</v>
      </c>
      <c r="C123" s="53" t="s">
        <v>672</v>
      </c>
      <c r="D123" s="53" t="s">
        <v>37</v>
      </c>
      <c r="E123" s="53" t="s">
        <v>673</v>
      </c>
      <c r="F123" s="53" t="s">
        <v>344</v>
      </c>
      <c r="H123" s="29"/>
      <c r="I123" s="29"/>
      <c r="J123" s="29"/>
      <c r="K123" s="29"/>
      <c r="L123" s="1460" t="s">
        <v>631</v>
      </c>
      <c r="M123" s="1460"/>
      <c r="N123" s="1460"/>
      <c r="O123" s="1460"/>
      <c r="P123" s="1460"/>
      <c r="Q123" s="1460"/>
      <c r="R123" s="1460"/>
      <c r="S123" s="1460"/>
      <c r="T123" s="1460"/>
      <c r="U123" s="1460"/>
      <c r="V123" s="1460"/>
      <c r="W123" s="1460"/>
    </row>
    <row r="124" spans="2:23" x14ac:dyDescent="0.45">
      <c r="B124" s="26">
        <f t="shared" si="2"/>
        <v>109</v>
      </c>
      <c r="C124" s="25" t="s">
        <v>674</v>
      </c>
      <c r="D124" s="25" t="s">
        <v>37</v>
      </c>
      <c r="E124" s="25" t="s">
        <v>675</v>
      </c>
      <c r="F124" s="25" t="s">
        <v>331</v>
      </c>
      <c r="H124" s="29"/>
      <c r="I124" s="29"/>
      <c r="J124" s="29"/>
      <c r="K124" s="29"/>
      <c r="L124" s="1460" t="s">
        <v>587</v>
      </c>
      <c r="M124" s="1460"/>
      <c r="N124" s="1460"/>
      <c r="O124" s="1460"/>
      <c r="P124" s="1460"/>
      <c r="Q124" s="1460"/>
      <c r="R124" s="1460"/>
      <c r="S124" s="1460"/>
      <c r="T124" s="1460"/>
      <c r="U124" s="1460"/>
      <c r="V124" s="1460"/>
      <c r="W124" s="1460"/>
    </row>
    <row r="125" spans="2:23" x14ac:dyDescent="0.45">
      <c r="B125" s="26">
        <f t="shared" si="2"/>
        <v>110</v>
      </c>
      <c r="C125" s="25" t="s">
        <v>676</v>
      </c>
      <c r="D125" s="25" t="s">
        <v>37</v>
      </c>
      <c r="E125" s="25" t="s">
        <v>677</v>
      </c>
      <c r="F125" s="25" t="s">
        <v>331</v>
      </c>
      <c r="H125" s="29"/>
      <c r="I125" s="29"/>
      <c r="J125" s="29"/>
      <c r="K125" s="29"/>
      <c r="L125" s="1460" t="s">
        <v>587</v>
      </c>
      <c r="M125" s="1460"/>
      <c r="N125" s="1460"/>
      <c r="O125" s="1460"/>
      <c r="P125" s="1460"/>
      <c r="Q125" s="1460"/>
      <c r="R125" s="1460"/>
      <c r="S125" s="1460"/>
      <c r="T125" s="1460"/>
      <c r="U125" s="1460"/>
      <c r="V125" s="1460"/>
      <c r="W125" s="1460"/>
    </row>
    <row r="126" spans="2:23" x14ac:dyDescent="0.45">
      <c r="B126" s="26">
        <f t="shared" si="2"/>
        <v>111</v>
      </c>
      <c r="C126" s="25" t="s">
        <v>678</v>
      </c>
      <c r="D126" s="25" t="s">
        <v>37</v>
      </c>
      <c r="E126" s="25" t="s">
        <v>679</v>
      </c>
      <c r="F126" s="25" t="s">
        <v>344</v>
      </c>
      <c r="H126" s="29"/>
      <c r="I126" s="29"/>
      <c r="J126" s="29"/>
      <c r="K126" s="29"/>
      <c r="L126" s="1460" t="s">
        <v>631</v>
      </c>
      <c r="M126" s="1460"/>
      <c r="N126" s="1460"/>
      <c r="O126" s="1460"/>
      <c r="P126" s="1460"/>
      <c r="Q126" s="1460"/>
      <c r="R126" s="1460"/>
      <c r="S126" s="1460"/>
      <c r="T126" s="1460"/>
      <c r="U126" s="1460"/>
      <c r="V126" s="1460"/>
      <c r="W126" s="1460"/>
    </row>
    <row r="127" spans="2:23" x14ac:dyDescent="0.45">
      <c r="B127" s="26">
        <f t="shared" si="2"/>
        <v>112</v>
      </c>
      <c r="C127" s="25" t="s">
        <v>680</v>
      </c>
      <c r="D127" s="25" t="s">
        <v>37</v>
      </c>
      <c r="E127" s="25" t="s">
        <v>681</v>
      </c>
      <c r="F127" s="25" t="s">
        <v>344</v>
      </c>
      <c r="H127" s="29"/>
      <c r="I127" s="29"/>
      <c r="J127" s="29"/>
      <c r="K127" s="29"/>
      <c r="L127" s="1460" t="s">
        <v>631</v>
      </c>
      <c r="M127" s="1460"/>
      <c r="N127" s="1460"/>
      <c r="O127" s="1460"/>
      <c r="P127" s="1460"/>
      <c r="Q127" s="1460"/>
      <c r="R127" s="1460"/>
      <c r="S127" s="1460"/>
      <c r="T127" s="1460"/>
      <c r="U127" s="1460"/>
      <c r="V127" s="1460"/>
      <c r="W127" s="1460"/>
    </row>
    <row r="128" spans="2:23" x14ac:dyDescent="0.45">
      <c r="B128" s="26">
        <f t="shared" si="2"/>
        <v>113</v>
      </c>
      <c r="C128" s="25" t="s">
        <v>682</v>
      </c>
      <c r="D128" s="25" t="s">
        <v>37</v>
      </c>
      <c r="E128" s="25" t="s">
        <v>683</v>
      </c>
      <c r="F128" s="25" t="s">
        <v>344</v>
      </c>
      <c r="H128" s="29"/>
      <c r="I128" s="29"/>
      <c r="J128" s="29"/>
      <c r="K128" s="29"/>
      <c r="L128" s="1460" t="s">
        <v>631</v>
      </c>
      <c r="M128" s="1460"/>
      <c r="N128" s="1460"/>
      <c r="O128" s="1460"/>
      <c r="P128" s="1460"/>
      <c r="Q128" s="1460"/>
      <c r="R128" s="1460"/>
      <c r="S128" s="1460"/>
      <c r="T128" s="1460"/>
      <c r="U128" s="1460"/>
      <c r="V128" s="1460"/>
      <c r="W128" s="1460"/>
    </row>
    <row r="129" spans="2:23" x14ac:dyDescent="0.45">
      <c r="B129" s="26">
        <f t="shared" si="2"/>
        <v>114</v>
      </c>
      <c r="C129" s="25" t="s">
        <v>684</v>
      </c>
      <c r="D129" s="25" t="s">
        <v>37</v>
      </c>
      <c r="E129" s="25" t="s">
        <v>685</v>
      </c>
      <c r="F129" s="25" t="s">
        <v>344</v>
      </c>
      <c r="H129" s="29"/>
      <c r="I129" s="29"/>
      <c r="J129" s="29"/>
      <c r="K129" s="29"/>
      <c r="L129" s="1460" t="s">
        <v>631</v>
      </c>
      <c r="M129" s="1460"/>
      <c r="N129" s="1460"/>
      <c r="O129" s="1460"/>
      <c r="P129" s="1460"/>
      <c r="Q129" s="1460"/>
      <c r="R129" s="1460"/>
      <c r="S129" s="1460"/>
      <c r="T129" s="1460"/>
      <c r="U129" s="1460"/>
      <c r="V129" s="1460"/>
      <c r="W129" s="1460"/>
    </row>
    <row r="130" spans="2:23" x14ac:dyDescent="0.45">
      <c r="B130" s="26">
        <f t="shared" si="2"/>
        <v>115</v>
      </c>
      <c r="C130" s="25" t="s">
        <v>686</v>
      </c>
      <c r="D130" s="25" t="s">
        <v>37</v>
      </c>
      <c r="E130" s="25" t="s">
        <v>687</v>
      </c>
      <c r="F130" s="25" t="s">
        <v>344</v>
      </c>
      <c r="H130" s="29"/>
      <c r="I130" s="29"/>
      <c r="J130" s="29"/>
      <c r="K130" s="29"/>
      <c r="L130" s="1460" t="s">
        <v>631</v>
      </c>
      <c r="M130" s="1460"/>
      <c r="N130" s="1460"/>
      <c r="O130" s="1460"/>
      <c r="P130" s="1460"/>
      <c r="Q130" s="1460"/>
      <c r="R130" s="1460"/>
      <c r="S130" s="1460"/>
      <c r="T130" s="1460"/>
      <c r="U130" s="1460"/>
      <c r="V130" s="1460"/>
      <c r="W130" s="1460"/>
    </row>
    <row r="131" spans="2:23" x14ac:dyDescent="0.45">
      <c r="B131" s="26">
        <f t="shared" si="2"/>
        <v>116</v>
      </c>
      <c r="C131" s="25" t="s">
        <v>688</v>
      </c>
      <c r="D131" s="25" t="s">
        <v>37</v>
      </c>
      <c r="E131" s="25" t="s">
        <v>689</v>
      </c>
      <c r="F131" s="25" t="s">
        <v>344</v>
      </c>
      <c r="H131" s="29"/>
      <c r="I131" s="29"/>
      <c r="J131" s="29"/>
      <c r="K131" s="29"/>
      <c r="L131" s="1460" t="s">
        <v>631</v>
      </c>
      <c r="M131" s="1460"/>
      <c r="N131" s="1460"/>
      <c r="O131" s="1460"/>
      <c r="P131" s="1460"/>
      <c r="Q131" s="1460"/>
      <c r="R131" s="1460"/>
      <c r="S131" s="1460"/>
      <c r="T131" s="1460"/>
      <c r="U131" s="1460"/>
      <c r="V131" s="1460"/>
      <c r="W131" s="1460"/>
    </row>
    <row r="132" spans="2:23" x14ac:dyDescent="0.45">
      <c r="B132" s="26">
        <f t="shared" ref="B132:B195" si="4">B131+1</f>
        <v>117</v>
      </c>
      <c r="C132" s="53" t="s">
        <v>690</v>
      </c>
      <c r="D132" s="53" t="s">
        <v>37</v>
      </c>
      <c r="E132" s="53" t="s">
        <v>691</v>
      </c>
      <c r="F132" s="53" t="s">
        <v>331</v>
      </c>
      <c r="H132" s="29"/>
      <c r="I132" s="29"/>
      <c r="J132" s="29"/>
      <c r="K132" s="29"/>
      <c r="L132" s="1460" t="s">
        <v>587</v>
      </c>
      <c r="M132" s="1460"/>
      <c r="N132" s="1460"/>
      <c r="O132" s="1460"/>
      <c r="P132" s="1460"/>
      <c r="Q132" s="1460"/>
      <c r="R132" s="1460"/>
      <c r="S132" s="1460"/>
      <c r="T132" s="1460"/>
      <c r="U132" s="1460"/>
      <c r="V132" s="1460"/>
      <c r="W132" s="1460"/>
    </row>
    <row r="133" spans="2:23" x14ac:dyDescent="0.45">
      <c r="B133" s="26">
        <f t="shared" si="4"/>
        <v>118</v>
      </c>
      <c r="C133" s="53" t="s">
        <v>692</v>
      </c>
      <c r="D133" s="53" t="s">
        <v>37</v>
      </c>
      <c r="E133" s="53" t="s">
        <v>693</v>
      </c>
      <c r="F133" s="53" t="s">
        <v>331</v>
      </c>
      <c r="H133" s="29"/>
      <c r="I133" s="29"/>
      <c r="J133" s="29"/>
      <c r="K133" s="29"/>
      <c r="L133" s="1460" t="s">
        <v>587</v>
      </c>
      <c r="M133" s="1460"/>
      <c r="N133" s="1460"/>
      <c r="O133" s="1460"/>
      <c r="P133" s="1460"/>
      <c r="Q133" s="1460"/>
      <c r="R133" s="1460"/>
      <c r="S133" s="1460"/>
      <c r="T133" s="1460"/>
      <c r="U133" s="1460"/>
      <c r="V133" s="1460"/>
      <c r="W133" s="1460"/>
    </row>
    <row r="134" spans="2:23" x14ac:dyDescent="0.45">
      <c r="B134" s="26">
        <f t="shared" si="4"/>
        <v>119</v>
      </c>
      <c r="C134" s="53" t="s">
        <v>694</v>
      </c>
      <c r="D134" s="53" t="s">
        <v>37</v>
      </c>
      <c r="E134" s="53" t="s">
        <v>695</v>
      </c>
      <c r="F134" s="53" t="s">
        <v>344</v>
      </c>
      <c r="H134" s="29"/>
      <c r="I134" s="29"/>
      <c r="J134" s="29"/>
      <c r="K134" s="29"/>
      <c r="L134" s="1460" t="s">
        <v>631</v>
      </c>
      <c r="M134" s="1460"/>
      <c r="N134" s="1460"/>
      <c r="O134" s="1460"/>
      <c r="P134" s="1460"/>
      <c r="Q134" s="1460"/>
      <c r="R134" s="1460"/>
      <c r="S134" s="1460"/>
      <c r="T134" s="1460"/>
      <c r="U134" s="1460"/>
      <c r="V134" s="1460"/>
      <c r="W134" s="1460"/>
    </row>
    <row r="135" spans="2:23" x14ac:dyDescent="0.45">
      <c r="B135" s="26">
        <f t="shared" si="4"/>
        <v>120</v>
      </c>
      <c r="C135" s="53" t="s">
        <v>696</v>
      </c>
      <c r="D135" s="53" t="s">
        <v>37</v>
      </c>
      <c r="E135" s="53" t="s">
        <v>697</v>
      </c>
      <c r="F135" s="53" t="s">
        <v>344</v>
      </c>
      <c r="H135" s="29"/>
      <c r="I135" s="29"/>
      <c r="J135" s="29"/>
      <c r="K135" s="29"/>
      <c r="L135" s="1460" t="s">
        <v>631</v>
      </c>
      <c r="M135" s="1460"/>
      <c r="N135" s="1460"/>
      <c r="O135" s="1460"/>
      <c r="P135" s="1460"/>
      <c r="Q135" s="1460"/>
      <c r="R135" s="1460"/>
      <c r="S135" s="1460"/>
      <c r="T135" s="1460"/>
      <c r="U135" s="1460"/>
      <c r="V135" s="1460"/>
      <c r="W135" s="1460"/>
    </row>
    <row r="136" spans="2:23" x14ac:dyDescent="0.45">
      <c r="B136" s="26">
        <f t="shared" si="4"/>
        <v>121</v>
      </c>
      <c r="C136" s="53" t="s">
        <v>698</v>
      </c>
      <c r="D136" s="53" t="s">
        <v>37</v>
      </c>
      <c r="E136" s="53" t="s">
        <v>699</v>
      </c>
      <c r="F136" s="53" t="s">
        <v>344</v>
      </c>
      <c r="H136" s="29"/>
      <c r="I136" s="29"/>
      <c r="J136" s="29"/>
      <c r="K136" s="29"/>
      <c r="L136" s="1460" t="s">
        <v>631</v>
      </c>
      <c r="M136" s="1460"/>
      <c r="N136" s="1460"/>
      <c r="O136" s="1460"/>
      <c r="P136" s="1460"/>
      <c r="Q136" s="1460"/>
      <c r="R136" s="1460"/>
      <c r="S136" s="1460"/>
      <c r="T136" s="1460"/>
      <c r="U136" s="1460"/>
      <c r="V136" s="1460"/>
      <c r="W136" s="1460"/>
    </row>
    <row r="137" spans="2:23" x14ac:dyDescent="0.45">
      <c r="B137" s="26">
        <f t="shared" si="4"/>
        <v>122</v>
      </c>
      <c r="C137" s="53" t="s">
        <v>700</v>
      </c>
      <c r="D137" s="53" t="s">
        <v>37</v>
      </c>
      <c r="E137" s="53" t="s">
        <v>701</v>
      </c>
      <c r="F137" s="53" t="s">
        <v>344</v>
      </c>
      <c r="H137" s="29"/>
      <c r="I137" s="29"/>
      <c r="J137" s="29"/>
      <c r="K137" s="29"/>
      <c r="L137" s="1460" t="s">
        <v>631</v>
      </c>
      <c r="M137" s="1460"/>
      <c r="N137" s="1460"/>
      <c r="O137" s="1460"/>
      <c r="P137" s="1460"/>
      <c r="Q137" s="1460"/>
      <c r="R137" s="1460"/>
      <c r="S137" s="1460"/>
      <c r="T137" s="1460"/>
      <c r="U137" s="1460"/>
      <c r="V137" s="1460"/>
      <c r="W137" s="1460"/>
    </row>
    <row r="138" spans="2:23" x14ac:dyDescent="0.45">
      <c r="B138" s="26">
        <f t="shared" si="4"/>
        <v>123</v>
      </c>
      <c r="C138" s="53" t="s">
        <v>702</v>
      </c>
      <c r="D138" s="53" t="s">
        <v>37</v>
      </c>
      <c r="E138" s="53" t="s">
        <v>703</v>
      </c>
      <c r="F138" s="53" t="s">
        <v>344</v>
      </c>
      <c r="H138" s="29"/>
      <c r="I138" s="29"/>
      <c r="J138" s="29"/>
      <c r="K138" s="29"/>
      <c r="L138" s="1460" t="s">
        <v>631</v>
      </c>
      <c r="M138" s="1460"/>
      <c r="N138" s="1460"/>
      <c r="O138" s="1460"/>
      <c r="P138" s="1460"/>
      <c r="Q138" s="1460"/>
      <c r="R138" s="1460"/>
      <c r="S138" s="1460"/>
      <c r="T138" s="1460"/>
      <c r="U138" s="1460"/>
      <c r="V138" s="1460"/>
      <c r="W138" s="1460"/>
    </row>
    <row r="139" spans="2:23" x14ac:dyDescent="0.45">
      <c r="B139" s="26">
        <f t="shared" si="4"/>
        <v>124</v>
      </c>
      <c r="C139" s="53" t="s">
        <v>704</v>
      </c>
      <c r="D139" s="53" t="s">
        <v>37</v>
      </c>
      <c r="E139" s="53" t="s">
        <v>705</v>
      </c>
      <c r="F139" s="53" t="s">
        <v>344</v>
      </c>
      <c r="H139" s="29"/>
      <c r="I139" s="29"/>
      <c r="J139" s="29"/>
      <c r="K139" s="29"/>
      <c r="L139" s="1460" t="s">
        <v>631</v>
      </c>
      <c r="M139" s="1460"/>
      <c r="N139" s="1460"/>
      <c r="O139" s="1460"/>
      <c r="P139" s="1460"/>
      <c r="Q139" s="1460"/>
      <c r="R139" s="1460"/>
      <c r="S139" s="1460"/>
      <c r="T139" s="1460"/>
      <c r="U139" s="1460"/>
      <c r="V139" s="1460"/>
      <c r="W139" s="1460"/>
    </row>
    <row r="140" spans="2:23" x14ac:dyDescent="0.45">
      <c r="B140" s="26">
        <f t="shared" si="4"/>
        <v>125</v>
      </c>
      <c r="C140" s="25" t="s">
        <v>706</v>
      </c>
      <c r="D140" s="25" t="s">
        <v>37</v>
      </c>
      <c r="E140" s="25" t="s">
        <v>707</v>
      </c>
      <c r="F140" s="25" t="s">
        <v>331</v>
      </c>
      <c r="H140" s="29"/>
      <c r="I140" s="29"/>
      <c r="J140" s="29"/>
      <c r="K140" s="29"/>
      <c r="L140" s="1460" t="s">
        <v>587</v>
      </c>
      <c r="M140" s="1460"/>
      <c r="N140" s="1460"/>
      <c r="O140" s="1460"/>
      <c r="P140" s="1460"/>
      <c r="Q140" s="1460"/>
      <c r="R140" s="1460"/>
      <c r="S140" s="1460"/>
      <c r="T140" s="1460"/>
      <c r="U140" s="1460"/>
      <c r="V140" s="1460"/>
      <c r="W140" s="1460"/>
    </row>
    <row r="141" spans="2:23" x14ac:dyDescent="0.45">
      <c r="B141" s="26">
        <f t="shared" si="4"/>
        <v>126</v>
      </c>
      <c r="C141" s="25" t="s">
        <v>708</v>
      </c>
      <c r="D141" s="25" t="s">
        <v>37</v>
      </c>
      <c r="E141" s="25" t="s">
        <v>709</v>
      </c>
      <c r="F141" s="25" t="s">
        <v>331</v>
      </c>
      <c r="H141" s="29"/>
      <c r="I141" s="29"/>
      <c r="J141" s="29"/>
      <c r="K141" s="29"/>
      <c r="L141" s="1460" t="s">
        <v>587</v>
      </c>
      <c r="M141" s="1460"/>
      <c r="N141" s="1460"/>
      <c r="O141" s="1460"/>
      <c r="P141" s="1460"/>
      <c r="Q141" s="1460"/>
      <c r="R141" s="1460"/>
      <c r="S141" s="1460"/>
      <c r="T141" s="1460"/>
      <c r="U141" s="1460"/>
      <c r="V141" s="1460"/>
      <c r="W141" s="1460"/>
    </row>
    <row r="142" spans="2:23" x14ac:dyDescent="0.45">
      <c r="B142" s="26">
        <f t="shared" si="4"/>
        <v>127</v>
      </c>
      <c r="C142" s="25" t="s">
        <v>710</v>
      </c>
      <c r="D142" s="25" t="s">
        <v>37</v>
      </c>
      <c r="E142" s="25" t="s">
        <v>711</v>
      </c>
      <c r="F142" s="25" t="s">
        <v>344</v>
      </c>
      <c r="H142" s="29"/>
      <c r="I142" s="29"/>
      <c r="J142" s="29"/>
      <c r="K142" s="29"/>
      <c r="L142" s="1460" t="s">
        <v>631</v>
      </c>
      <c r="M142" s="1460"/>
      <c r="N142" s="1460"/>
      <c r="O142" s="1460"/>
      <c r="P142" s="1460"/>
      <c r="Q142" s="1460"/>
      <c r="R142" s="1460"/>
      <c r="S142" s="1460"/>
      <c r="T142" s="1460"/>
      <c r="U142" s="1460"/>
      <c r="V142" s="1460"/>
      <c r="W142" s="1460"/>
    </row>
    <row r="143" spans="2:23" x14ac:dyDescent="0.45">
      <c r="B143" s="26">
        <f t="shared" si="4"/>
        <v>128</v>
      </c>
      <c r="C143" s="25" t="s">
        <v>712</v>
      </c>
      <c r="D143" s="25" t="s">
        <v>37</v>
      </c>
      <c r="E143" s="25" t="s">
        <v>713</v>
      </c>
      <c r="F143" s="25" t="s">
        <v>344</v>
      </c>
      <c r="H143" s="29"/>
      <c r="I143" s="29"/>
      <c r="J143" s="29"/>
      <c r="K143" s="29"/>
      <c r="L143" s="1460" t="s">
        <v>631</v>
      </c>
      <c r="M143" s="1460"/>
      <c r="N143" s="1460"/>
      <c r="O143" s="1460"/>
      <c r="P143" s="1460"/>
      <c r="Q143" s="1460"/>
      <c r="R143" s="1460"/>
      <c r="S143" s="1460"/>
      <c r="T143" s="1460"/>
      <c r="U143" s="1460"/>
      <c r="V143" s="1460"/>
      <c r="W143" s="1460"/>
    </row>
    <row r="144" spans="2:23" x14ac:dyDescent="0.45">
      <c r="B144" s="26">
        <f t="shared" si="4"/>
        <v>129</v>
      </c>
      <c r="C144" s="25" t="s">
        <v>714</v>
      </c>
      <c r="D144" s="25" t="s">
        <v>37</v>
      </c>
      <c r="E144" s="25" t="s">
        <v>715</v>
      </c>
      <c r="F144" s="25" t="s">
        <v>344</v>
      </c>
      <c r="H144" s="29"/>
      <c r="I144" s="29"/>
      <c r="J144" s="29"/>
      <c r="K144" s="29"/>
      <c r="L144" s="1460" t="s">
        <v>631</v>
      </c>
      <c r="M144" s="1460"/>
      <c r="N144" s="1460"/>
      <c r="O144" s="1460"/>
      <c r="P144" s="1460"/>
      <c r="Q144" s="1460"/>
      <c r="R144" s="1460"/>
      <c r="S144" s="1460"/>
      <c r="T144" s="1460"/>
      <c r="U144" s="1460"/>
      <c r="V144" s="1460"/>
      <c r="W144" s="1460"/>
    </row>
    <row r="145" spans="2:23" x14ac:dyDescent="0.45">
      <c r="B145" s="26">
        <f t="shared" si="4"/>
        <v>130</v>
      </c>
      <c r="C145" s="25" t="s">
        <v>716</v>
      </c>
      <c r="D145" s="25" t="s">
        <v>37</v>
      </c>
      <c r="E145" s="25" t="s">
        <v>717</v>
      </c>
      <c r="F145" s="25" t="s">
        <v>344</v>
      </c>
      <c r="H145" s="29"/>
      <c r="I145" s="29"/>
      <c r="J145" s="29"/>
      <c r="K145" s="29"/>
      <c r="L145" s="1460" t="s">
        <v>631</v>
      </c>
      <c r="M145" s="1460"/>
      <c r="N145" s="1460"/>
      <c r="O145" s="1460"/>
      <c r="P145" s="1460"/>
      <c r="Q145" s="1460"/>
      <c r="R145" s="1460"/>
      <c r="S145" s="1460"/>
      <c r="T145" s="1460"/>
      <c r="U145" s="1460"/>
      <c r="V145" s="1460"/>
      <c r="W145" s="1460"/>
    </row>
    <row r="146" spans="2:23" x14ac:dyDescent="0.45">
      <c r="B146" s="26">
        <f t="shared" si="4"/>
        <v>131</v>
      </c>
      <c r="C146" s="25" t="s">
        <v>718</v>
      </c>
      <c r="D146" s="25" t="s">
        <v>37</v>
      </c>
      <c r="E146" s="25" t="s">
        <v>719</v>
      </c>
      <c r="F146" s="25" t="s">
        <v>344</v>
      </c>
      <c r="H146" s="29"/>
      <c r="I146" s="29"/>
      <c r="J146" s="29"/>
      <c r="K146" s="29"/>
      <c r="L146" s="1460" t="s">
        <v>631</v>
      </c>
      <c r="M146" s="1460"/>
      <c r="N146" s="1460"/>
      <c r="O146" s="1460"/>
      <c r="P146" s="1460"/>
      <c r="Q146" s="1460"/>
      <c r="R146" s="1460"/>
      <c r="S146" s="1460"/>
      <c r="T146" s="1460"/>
      <c r="U146" s="1460"/>
      <c r="V146" s="1460"/>
      <c r="W146" s="1460"/>
    </row>
    <row r="147" spans="2:23" x14ac:dyDescent="0.45">
      <c r="B147" s="26">
        <f t="shared" si="4"/>
        <v>132</v>
      </c>
      <c r="C147" s="25" t="s">
        <v>720</v>
      </c>
      <c r="D147" s="25" t="s">
        <v>37</v>
      </c>
      <c r="E147" s="25" t="s">
        <v>721</v>
      </c>
      <c r="F147" s="25" t="s">
        <v>344</v>
      </c>
      <c r="H147" s="29"/>
      <c r="I147" s="29"/>
      <c r="J147" s="29"/>
      <c r="K147" s="29"/>
      <c r="L147" s="1460" t="s">
        <v>631</v>
      </c>
      <c r="M147" s="1460"/>
      <c r="N147" s="1460"/>
      <c r="O147" s="1460"/>
      <c r="P147" s="1460"/>
      <c r="Q147" s="1460"/>
      <c r="R147" s="1460"/>
      <c r="S147" s="1460"/>
      <c r="T147" s="1460"/>
      <c r="U147" s="1460"/>
      <c r="V147" s="1460"/>
      <c r="W147" s="1460"/>
    </row>
    <row r="148" spans="2:23" x14ac:dyDescent="0.45">
      <c r="B148" s="26">
        <f t="shared" si="4"/>
        <v>133</v>
      </c>
      <c r="C148" s="53" t="s">
        <v>722</v>
      </c>
      <c r="D148" s="53" t="s">
        <v>37</v>
      </c>
      <c r="E148" s="53" t="s">
        <v>723</v>
      </c>
      <c r="F148" s="53" t="s">
        <v>331</v>
      </c>
      <c r="H148" s="29"/>
      <c r="I148" s="29"/>
      <c r="J148" s="29"/>
      <c r="K148" s="29"/>
      <c r="L148" s="1460" t="s">
        <v>587</v>
      </c>
      <c r="M148" s="1460"/>
      <c r="N148" s="1460"/>
      <c r="O148" s="1460"/>
      <c r="P148" s="1460"/>
      <c r="Q148" s="1460"/>
      <c r="R148" s="1460"/>
      <c r="S148" s="1460"/>
      <c r="T148" s="1460"/>
      <c r="U148" s="1460"/>
      <c r="V148" s="1460"/>
      <c r="W148" s="1460"/>
    </row>
    <row r="149" spans="2:23" x14ac:dyDescent="0.45">
      <c r="B149" s="26">
        <f t="shared" si="4"/>
        <v>134</v>
      </c>
      <c r="C149" s="53" t="s">
        <v>724</v>
      </c>
      <c r="D149" s="53" t="s">
        <v>37</v>
      </c>
      <c r="E149" s="53" t="s">
        <v>725</v>
      </c>
      <c r="F149" s="53" t="s">
        <v>331</v>
      </c>
      <c r="H149" s="29"/>
      <c r="I149" s="29"/>
      <c r="J149" s="29"/>
      <c r="K149" s="29"/>
      <c r="L149" s="1460" t="s">
        <v>587</v>
      </c>
      <c r="M149" s="1460"/>
      <c r="N149" s="1460"/>
      <c r="O149" s="1460"/>
      <c r="P149" s="1460"/>
      <c r="Q149" s="1460"/>
      <c r="R149" s="1460"/>
      <c r="S149" s="1460"/>
      <c r="T149" s="1460"/>
      <c r="U149" s="1460"/>
      <c r="V149" s="1460"/>
      <c r="W149" s="1460"/>
    </row>
    <row r="150" spans="2:23" x14ac:dyDescent="0.45">
      <c r="B150" s="26">
        <f t="shared" si="4"/>
        <v>135</v>
      </c>
      <c r="C150" s="53" t="s">
        <v>726</v>
      </c>
      <c r="D150" s="53" t="s">
        <v>37</v>
      </c>
      <c r="E150" s="53" t="s">
        <v>727</v>
      </c>
      <c r="F150" s="53" t="s">
        <v>344</v>
      </c>
      <c r="H150" s="29"/>
      <c r="I150" s="29"/>
      <c r="J150" s="29"/>
      <c r="K150" s="29"/>
      <c r="L150" s="1460" t="s">
        <v>631</v>
      </c>
      <c r="M150" s="1460"/>
      <c r="N150" s="1460"/>
      <c r="O150" s="1460"/>
      <c r="P150" s="1460"/>
      <c r="Q150" s="1460"/>
      <c r="R150" s="1460"/>
      <c r="S150" s="1460"/>
      <c r="T150" s="1460"/>
      <c r="U150" s="1460"/>
      <c r="V150" s="1460"/>
      <c r="W150" s="1460"/>
    </row>
    <row r="151" spans="2:23" x14ac:dyDescent="0.45">
      <c r="B151" s="26">
        <f t="shared" si="4"/>
        <v>136</v>
      </c>
      <c r="C151" s="53" t="s">
        <v>728</v>
      </c>
      <c r="D151" s="53" t="s">
        <v>37</v>
      </c>
      <c r="E151" s="53" t="s">
        <v>729</v>
      </c>
      <c r="F151" s="53" t="s">
        <v>344</v>
      </c>
      <c r="H151" s="29"/>
      <c r="I151" s="29"/>
      <c r="J151" s="29"/>
      <c r="K151" s="29"/>
      <c r="L151" s="1460" t="s">
        <v>631</v>
      </c>
      <c r="M151" s="1460"/>
      <c r="N151" s="1460"/>
      <c r="O151" s="1460"/>
      <c r="P151" s="1460"/>
      <c r="Q151" s="1460"/>
      <c r="R151" s="1460"/>
      <c r="S151" s="1460"/>
      <c r="T151" s="1460"/>
      <c r="U151" s="1460"/>
      <c r="V151" s="1460"/>
      <c r="W151" s="1460"/>
    </row>
    <row r="152" spans="2:23" x14ac:dyDescent="0.45">
      <c r="B152" s="26">
        <f t="shared" si="4"/>
        <v>137</v>
      </c>
      <c r="C152" s="53" t="s">
        <v>730</v>
      </c>
      <c r="D152" s="53" t="s">
        <v>37</v>
      </c>
      <c r="E152" s="53" t="s">
        <v>731</v>
      </c>
      <c r="F152" s="53" t="s">
        <v>344</v>
      </c>
      <c r="H152" s="29"/>
      <c r="I152" s="29"/>
      <c r="J152" s="29"/>
      <c r="K152" s="29"/>
      <c r="L152" s="1460" t="s">
        <v>631</v>
      </c>
      <c r="M152" s="1460"/>
      <c r="N152" s="1460"/>
      <c r="O152" s="1460"/>
      <c r="P152" s="1460"/>
      <c r="Q152" s="1460"/>
      <c r="R152" s="1460"/>
      <c r="S152" s="1460"/>
      <c r="T152" s="1460"/>
      <c r="U152" s="1460"/>
      <c r="V152" s="1460"/>
      <c r="W152" s="1460"/>
    </row>
    <row r="153" spans="2:23" x14ac:dyDescent="0.45">
      <c r="B153" s="26">
        <f t="shared" si="4"/>
        <v>138</v>
      </c>
      <c r="C153" s="53" t="s">
        <v>732</v>
      </c>
      <c r="D153" s="53" t="s">
        <v>37</v>
      </c>
      <c r="E153" s="53" t="s">
        <v>733</v>
      </c>
      <c r="F153" s="53" t="s">
        <v>344</v>
      </c>
      <c r="H153" s="29"/>
      <c r="I153" s="29"/>
      <c r="J153" s="29"/>
      <c r="K153" s="29"/>
      <c r="L153" s="1460" t="s">
        <v>631</v>
      </c>
      <c r="M153" s="1460"/>
      <c r="N153" s="1460"/>
      <c r="O153" s="1460"/>
      <c r="P153" s="1460"/>
      <c r="Q153" s="1460"/>
      <c r="R153" s="1460"/>
      <c r="S153" s="1460"/>
      <c r="T153" s="1460"/>
      <c r="U153" s="1460"/>
      <c r="V153" s="1460"/>
      <c r="W153" s="1460"/>
    </row>
    <row r="154" spans="2:23" x14ac:dyDescent="0.45">
      <c r="B154" s="26">
        <f t="shared" si="4"/>
        <v>139</v>
      </c>
      <c r="C154" s="53" t="s">
        <v>734</v>
      </c>
      <c r="D154" s="53" t="s">
        <v>37</v>
      </c>
      <c r="E154" s="53" t="s">
        <v>735</v>
      </c>
      <c r="F154" s="53" t="s">
        <v>344</v>
      </c>
      <c r="H154" s="29"/>
      <c r="I154" s="29"/>
      <c r="J154" s="29"/>
      <c r="K154" s="29"/>
      <c r="L154" s="1460" t="s">
        <v>631</v>
      </c>
      <c r="M154" s="1460"/>
      <c r="N154" s="1460"/>
      <c r="O154" s="1460"/>
      <c r="P154" s="1460"/>
      <c r="Q154" s="1460"/>
      <c r="R154" s="1460"/>
      <c r="S154" s="1460"/>
      <c r="T154" s="1460"/>
      <c r="U154" s="1460"/>
      <c r="V154" s="1460"/>
      <c r="W154" s="1460"/>
    </row>
    <row r="155" spans="2:23" x14ac:dyDescent="0.45">
      <c r="B155" s="26">
        <f t="shared" si="4"/>
        <v>140</v>
      </c>
      <c r="C155" s="53" t="s">
        <v>736</v>
      </c>
      <c r="D155" s="53" t="s">
        <v>37</v>
      </c>
      <c r="E155" s="53" t="s">
        <v>737</v>
      </c>
      <c r="F155" s="53" t="s">
        <v>344</v>
      </c>
      <c r="H155" s="29"/>
      <c r="I155" s="29"/>
      <c r="J155" s="29"/>
      <c r="K155" s="29"/>
      <c r="L155" s="1460" t="s">
        <v>631</v>
      </c>
      <c r="M155" s="1460"/>
      <c r="N155" s="1460"/>
      <c r="O155" s="1460"/>
      <c r="P155" s="1460"/>
      <c r="Q155" s="1460"/>
      <c r="R155" s="1460"/>
      <c r="S155" s="1460"/>
      <c r="T155" s="1460"/>
      <c r="U155" s="1460"/>
      <c r="V155" s="1460"/>
      <c r="W155" s="1460"/>
    </row>
    <row r="156" spans="2:23" x14ac:dyDescent="0.45">
      <c r="B156" s="26">
        <f t="shared" si="4"/>
        <v>141</v>
      </c>
      <c r="C156" s="25" t="s">
        <v>738</v>
      </c>
      <c r="D156" s="25" t="s">
        <v>37</v>
      </c>
      <c r="E156" s="25" t="s">
        <v>739</v>
      </c>
      <c r="F156" s="25" t="s">
        <v>331</v>
      </c>
      <c r="H156" s="29"/>
      <c r="I156" s="29"/>
      <c r="J156" s="29"/>
      <c r="K156" s="29"/>
      <c r="L156" s="1460" t="s">
        <v>587</v>
      </c>
      <c r="M156" s="1460"/>
      <c r="N156" s="1460"/>
      <c r="O156" s="1460"/>
      <c r="P156" s="1460"/>
      <c r="Q156" s="1460"/>
      <c r="R156" s="1460"/>
      <c r="S156" s="1460"/>
      <c r="T156" s="1460"/>
      <c r="U156" s="1460"/>
      <c r="V156" s="1460"/>
      <c r="W156" s="1460"/>
    </row>
    <row r="157" spans="2:23" x14ac:dyDescent="0.45">
      <c r="B157" s="26">
        <f t="shared" si="4"/>
        <v>142</v>
      </c>
      <c r="C157" s="25" t="s">
        <v>740</v>
      </c>
      <c r="D157" s="25" t="s">
        <v>37</v>
      </c>
      <c r="E157" s="25" t="s">
        <v>741</v>
      </c>
      <c r="F157" s="25" t="s">
        <v>331</v>
      </c>
      <c r="H157" s="29"/>
      <c r="I157" s="29"/>
      <c r="J157" s="29"/>
      <c r="K157" s="29"/>
      <c r="L157" s="1460" t="s">
        <v>587</v>
      </c>
      <c r="M157" s="1460"/>
      <c r="N157" s="1460"/>
      <c r="O157" s="1460"/>
      <c r="P157" s="1460"/>
      <c r="Q157" s="1460"/>
      <c r="R157" s="1460"/>
      <c r="S157" s="1460"/>
      <c r="T157" s="1460"/>
      <c r="U157" s="1460"/>
      <c r="V157" s="1460"/>
      <c r="W157" s="1460"/>
    </row>
    <row r="158" spans="2:23" x14ac:dyDescent="0.45">
      <c r="B158" s="26">
        <f t="shared" si="4"/>
        <v>143</v>
      </c>
      <c r="C158" s="25" t="s">
        <v>742</v>
      </c>
      <c r="D158" s="25" t="s">
        <v>37</v>
      </c>
      <c r="E158" s="25" t="s">
        <v>743</v>
      </c>
      <c r="F158" s="25" t="s">
        <v>344</v>
      </c>
      <c r="H158" s="29"/>
      <c r="I158" s="29"/>
      <c r="J158" s="29"/>
      <c r="K158" s="29"/>
      <c r="L158" s="1460" t="s">
        <v>631</v>
      </c>
      <c r="M158" s="1460"/>
      <c r="N158" s="1460"/>
      <c r="O158" s="1460"/>
      <c r="P158" s="1460"/>
      <c r="Q158" s="1460"/>
      <c r="R158" s="1460"/>
      <c r="S158" s="1460"/>
      <c r="T158" s="1460"/>
      <c r="U158" s="1460"/>
      <c r="V158" s="1460"/>
      <c r="W158" s="1460"/>
    </row>
    <row r="159" spans="2:23" x14ac:dyDescent="0.45">
      <c r="B159" s="26">
        <f t="shared" si="4"/>
        <v>144</v>
      </c>
      <c r="C159" s="25" t="s">
        <v>744</v>
      </c>
      <c r="D159" s="25" t="s">
        <v>37</v>
      </c>
      <c r="E159" s="25" t="s">
        <v>745</v>
      </c>
      <c r="F159" s="25" t="s">
        <v>344</v>
      </c>
      <c r="H159" s="29"/>
      <c r="I159" s="29"/>
      <c r="J159" s="29"/>
      <c r="K159" s="29"/>
      <c r="L159" s="1460" t="s">
        <v>631</v>
      </c>
      <c r="M159" s="1460"/>
      <c r="N159" s="1460"/>
      <c r="O159" s="1460"/>
      <c r="P159" s="1460"/>
      <c r="Q159" s="1460"/>
      <c r="R159" s="1460"/>
      <c r="S159" s="1460"/>
      <c r="T159" s="1460"/>
      <c r="U159" s="1460"/>
      <c r="V159" s="1460"/>
      <c r="W159" s="1460"/>
    </row>
    <row r="160" spans="2:23" x14ac:dyDescent="0.45">
      <c r="B160" s="26">
        <f t="shared" si="4"/>
        <v>145</v>
      </c>
      <c r="C160" s="25" t="s">
        <v>746</v>
      </c>
      <c r="D160" s="25" t="s">
        <v>37</v>
      </c>
      <c r="E160" s="25" t="s">
        <v>747</v>
      </c>
      <c r="F160" s="25" t="s">
        <v>344</v>
      </c>
      <c r="H160" s="29"/>
      <c r="I160" s="29"/>
      <c r="J160" s="29"/>
      <c r="K160" s="29"/>
      <c r="L160" s="1460" t="s">
        <v>631</v>
      </c>
      <c r="M160" s="1460"/>
      <c r="N160" s="1460"/>
      <c r="O160" s="1460"/>
      <c r="P160" s="1460"/>
      <c r="Q160" s="1460"/>
      <c r="R160" s="1460"/>
      <c r="S160" s="1460"/>
      <c r="T160" s="1460"/>
      <c r="U160" s="1460"/>
      <c r="V160" s="1460"/>
      <c r="W160" s="1460"/>
    </row>
    <row r="161" spans="2:23" x14ac:dyDescent="0.45">
      <c r="B161" s="26">
        <f t="shared" si="4"/>
        <v>146</v>
      </c>
      <c r="C161" s="25" t="s">
        <v>748</v>
      </c>
      <c r="D161" s="25" t="s">
        <v>37</v>
      </c>
      <c r="E161" s="25" t="s">
        <v>749</v>
      </c>
      <c r="F161" s="25" t="s">
        <v>344</v>
      </c>
      <c r="H161" s="29"/>
      <c r="I161" s="29"/>
      <c r="J161" s="29"/>
      <c r="K161" s="29"/>
      <c r="L161" s="1460" t="s">
        <v>631</v>
      </c>
      <c r="M161" s="1460"/>
      <c r="N161" s="1460"/>
      <c r="O161" s="1460"/>
      <c r="P161" s="1460"/>
      <c r="Q161" s="1460"/>
      <c r="R161" s="1460"/>
      <c r="S161" s="1460"/>
      <c r="T161" s="1460"/>
      <c r="U161" s="1460"/>
      <c r="V161" s="1460"/>
      <c r="W161" s="1460"/>
    </row>
    <row r="162" spans="2:23" x14ac:dyDescent="0.45">
      <c r="B162" s="26">
        <f t="shared" si="4"/>
        <v>147</v>
      </c>
      <c r="C162" s="25" t="s">
        <v>750</v>
      </c>
      <c r="D162" s="25" t="s">
        <v>37</v>
      </c>
      <c r="E162" s="25" t="s">
        <v>751</v>
      </c>
      <c r="F162" s="25" t="s">
        <v>344</v>
      </c>
      <c r="H162" s="29"/>
      <c r="I162" s="29"/>
      <c r="J162" s="29"/>
      <c r="K162" s="29"/>
      <c r="L162" s="1460" t="s">
        <v>631</v>
      </c>
      <c r="M162" s="1460"/>
      <c r="N162" s="1460"/>
      <c r="O162" s="1460"/>
      <c r="P162" s="1460"/>
      <c r="Q162" s="1460"/>
      <c r="R162" s="1460"/>
      <c r="S162" s="1460"/>
      <c r="T162" s="1460"/>
      <c r="U162" s="1460"/>
      <c r="V162" s="1460"/>
      <c r="W162" s="1460"/>
    </row>
    <row r="163" spans="2:23" x14ac:dyDescent="0.45">
      <c r="B163" s="26">
        <f t="shared" si="4"/>
        <v>148</v>
      </c>
      <c r="C163" s="25" t="s">
        <v>752</v>
      </c>
      <c r="D163" s="25" t="s">
        <v>37</v>
      </c>
      <c r="E163" s="25" t="s">
        <v>753</v>
      </c>
      <c r="F163" s="25" t="s">
        <v>344</v>
      </c>
      <c r="H163" s="29"/>
      <c r="I163" s="29"/>
      <c r="J163" s="29"/>
      <c r="K163" s="29"/>
      <c r="L163" s="1460" t="s">
        <v>631</v>
      </c>
      <c r="M163" s="1460"/>
      <c r="N163" s="1460"/>
      <c r="O163" s="1460"/>
      <c r="P163" s="1460"/>
      <c r="Q163" s="1460"/>
      <c r="R163" s="1460"/>
      <c r="S163" s="1460"/>
      <c r="T163" s="1460"/>
      <c r="U163" s="1460"/>
      <c r="V163" s="1460"/>
      <c r="W163" s="1460"/>
    </row>
    <row r="164" spans="2:23" x14ac:dyDescent="0.45">
      <c r="B164" s="26">
        <f t="shared" si="4"/>
        <v>149</v>
      </c>
      <c r="C164" s="53" t="s">
        <v>754</v>
      </c>
      <c r="D164" s="53" t="s">
        <v>37</v>
      </c>
      <c r="E164" s="53" t="s">
        <v>755</v>
      </c>
      <c r="F164" s="53" t="s">
        <v>331</v>
      </c>
      <c r="H164" s="29"/>
      <c r="I164" s="29"/>
      <c r="J164" s="29"/>
      <c r="K164" s="29"/>
      <c r="L164" s="1460" t="s">
        <v>587</v>
      </c>
      <c r="M164" s="1460"/>
      <c r="N164" s="1460"/>
      <c r="O164" s="1460"/>
      <c r="P164" s="1460"/>
      <c r="Q164" s="1460"/>
      <c r="R164" s="1460"/>
      <c r="S164" s="1460"/>
      <c r="T164" s="1460"/>
      <c r="U164" s="1460"/>
      <c r="V164" s="1460"/>
      <c r="W164" s="1460"/>
    </row>
    <row r="165" spans="2:23" x14ac:dyDescent="0.45">
      <c r="B165" s="26">
        <f t="shared" si="4"/>
        <v>150</v>
      </c>
      <c r="C165" s="53" t="s">
        <v>756</v>
      </c>
      <c r="D165" s="53" t="s">
        <v>37</v>
      </c>
      <c r="E165" s="53" t="s">
        <v>757</v>
      </c>
      <c r="F165" s="53" t="s">
        <v>331</v>
      </c>
      <c r="H165" s="29"/>
      <c r="I165" s="29"/>
      <c r="J165" s="29"/>
      <c r="K165" s="29"/>
      <c r="L165" s="1460" t="s">
        <v>587</v>
      </c>
      <c r="M165" s="1460"/>
      <c r="N165" s="1460"/>
      <c r="O165" s="1460"/>
      <c r="P165" s="1460"/>
      <c r="Q165" s="1460"/>
      <c r="R165" s="1460"/>
      <c r="S165" s="1460"/>
      <c r="T165" s="1460"/>
      <c r="U165" s="1460"/>
      <c r="V165" s="1460"/>
      <c r="W165" s="1460"/>
    </row>
    <row r="166" spans="2:23" x14ac:dyDescent="0.45">
      <c r="B166" s="26">
        <f t="shared" si="4"/>
        <v>151</v>
      </c>
      <c r="C166" s="53" t="s">
        <v>758</v>
      </c>
      <c r="D166" s="53" t="s">
        <v>37</v>
      </c>
      <c r="E166" s="53" t="s">
        <v>759</v>
      </c>
      <c r="F166" s="53" t="s">
        <v>344</v>
      </c>
      <c r="H166" s="29"/>
      <c r="I166" s="29"/>
      <c r="J166" s="29"/>
      <c r="K166" s="29"/>
      <c r="L166" s="1460" t="s">
        <v>631</v>
      </c>
      <c r="M166" s="1460"/>
      <c r="N166" s="1460"/>
      <c r="O166" s="1460"/>
      <c r="P166" s="1460"/>
      <c r="Q166" s="1460"/>
      <c r="R166" s="1460"/>
      <c r="S166" s="1460"/>
      <c r="T166" s="1460"/>
      <c r="U166" s="1460"/>
      <c r="V166" s="1460"/>
      <c r="W166" s="1460"/>
    </row>
    <row r="167" spans="2:23" x14ac:dyDescent="0.45">
      <c r="B167" s="26">
        <f t="shared" si="4"/>
        <v>152</v>
      </c>
      <c r="C167" s="53" t="s">
        <v>760</v>
      </c>
      <c r="D167" s="53" t="s">
        <v>37</v>
      </c>
      <c r="E167" s="53" t="s">
        <v>761</v>
      </c>
      <c r="F167" s="53" t="s">
        <v>344</v>
      </c>
      <c r="H167" s="29"/>
      <c r="I167" s="29"/>
      <c r="J167" s="29"/>
      <c r="K167" s="29"/>
      <c r="L167" s="1460" t="s">
        <v>631</v>
      </c>
      <c r="M167" s="1460"/>
      <c r="N167" s="1460"/>
      <c r="O167" s="1460"/>
      <c r="P167" s="1460"/>
      <c r="Q167" s="1460"/>
      <c r="R167" s="1460"/>
      <c r="S167" s="1460"/>
      <c r="T167" s="1460"/>
      <c r="U167" s="1460"/>
      <c r="V167" s="1460"/>
      <c r="W167" s="1460"/>
    </row>
    <row r="168" spans="2:23" x14ac:dyDescent="0.45">
      <c r="B168" s="26">
        <f t="shared" si="4"/>
        <v>153</v>
      </c>
      <c r="C168" s="53" t="s">
        <v>762</v>
      </c>
      <c r="D168" s="53" t="s">
        <v>37</v>
      </c>
      <c r="E168" s="53" t="s">
        <v>763</v>
      </c>
      <c r="F168" s="53" t="s">
        <v>344</v>
      </c>
      <c r="H168" s="29"/>
      <c r="I168" s="29"/>
      <c r="J168" s="29"/>
      <c r="K168" s="29"/>
      <c r="L168" s="1460" t="s">
        <v>631</v>
      </c>
      <c r="M168" s="1460"/>
      <c r="N168" s="1460"/>
      <c r="O168" s="1460"/>
      <c r="P168" s="1460"/>
      <c r="Q168" s="1460"/>
      <c r="R168" s="1460"/>
      <c r="S168" s="1460"/>
      <c r="T168" s="1460"/>
      <c r="U168" s="1460"/>
      <c r="V168" s="1460"/>
      <c r="W168" s="1460"/>
    </row>
    <row r="169" spans="2:23" x14ac:dyDescent="0.45">
      <c r="B169" s="26">
        <f t="shared" si="4"/>
        <v>154</v>
      </c>
      <c r="C169" s="53" t="s">
        <v>764</v>
      </c>
      <c r="D169" s="53" t="s">
        <v>37</v>
      </c>
      <c r="E169" s="53" t="s">
        <v>765</v>
      </c>
      <c r="F169" s="53" t="s">
        <v>344</v>
      </c>
      <c r="H169" s="29"/>
      <c r="I169" s="29"/>
      <c r="J169" s="29"/>
      <c r="K169" s="29"/>
      <c r="L169" s="1460" t="s">
        <v>631</v>
      </c>
      <c r="M169" s="1460"/>
      <c r="N169" s="1460"/>
      <c r="O169" s="1460"/>
      <c r="P169" s="1460"/>
      <c r="Q169" s="1460"/>
      <c r="R169" s="1460"/>
      <c r="S169" s="1460"/>
      <c r="T169" s="1460"/>
      <c r="U169" s="1460"/>
      <c r="V169" s="1460"/>
      <c r="W169" s="1460"/>
    </row>
    <row r="170" spans="2:23" x14ac:dyDescent="0.45">
      <c r="B170" s="26">
        <f t="shared" si="4"/>
        <v>155</v>
      </c>
      <c r="C170" s="53" t="s">
        <v>766</v>
      </c>
      <c r="D170" s="53" t="s">
        <v>37</v>
      </c>
      <c r="E170" s="53" t="s">
        <v>767</v>
      </c>
      <c r="F170" s="53" t="s">
        <v>344</v>
      </c>
      <c r="H170" s="29"/>
      <c r="I170" s="29"/>
      <c r="J170" s="29"/>
      <c r="K170" s="29"/>
      <c r="L170" s="1460" t="s">
        <v>631</v>
      </c>
      <c r="M170" s="1460"/>
      <c r="N170" s="1460"/>
      <c r="O170" s="1460"/>
      <c r="P170" s="1460"/>
      <c r="Q170" s="1460"/>
      <c r="R170" s="1460"/>
      <c r="S170" s="1460"/>
      <c r="T170" s="1460"/>
      <c r="U170" s="1460"/>
      <c r="V170" s="1460"/>
      <c r="W170" s="1460"/>
    </row>
    <row r="171" spans="2:23" x14ac:dyDescent="0.45">
      <c r="B171" s="26">
        <f t="shared" si="4"/>
        <v>156</v>
      </c>
      <c r="C171" s="53" t="s">
        <v>768</v>
      </c>
      <c r="D171" s="53" t="s">
        <v>37</v>
      </c>
      <c r="E171" s="53" t="s">
        <v>769</v>
      </c>
      <c r="F171" s="53" t="s">
        <v>344</v>
      </c>
      <c r="H171" s="29"/>
      <c r="I171" s="29"/>
      <c r="J171" s="29"/>
      <c r="K171" s="29"/>
      <c r="L171" s="1460" t="s">
        <v>631</v>
      </c>
      <c r="M171" s="1460"/>
      <c r="N171" s="1460"/>
      <c r="O171" s="1460"/>
      <c r="P171" s="1460"/>
      <c r="Q171" s="1460"/>
      <c r="R171" s="1460"/>
      <c r="S171" s="1460"/>
      <c r="T171" s="1460"/>
      <c r="U171" s="1460"/>
      <c r="V171" s="1460"/>
      <c r="W171" s="1460"/>
    </row>
    <row r="172" spans="2:23" x14ac:dyDescent="0.45">
      <c r="B172" s="26">
        <f t="shared" si="4"/>
        <v>157</v>
      </c>
      <c r="C172" s="25" t="s">
        <v>770</v>
      </c>
      <c r="D172" s="25" t="s">
        <v>37</v>
      </c>
      <c r="E172" s="25" t="s">
        <v>771</v>
      </c>
      <c r="F172" s="25" t="s">
        <v>331</v>
      </c>
      <c r="H172" s="29"/>
      <c r="I172" s="29"/>
      <c r="J172" s="29"/>
      <c r="K172" s="29"/>
      <c r="L172" s="1460" t="s">
        <v>587</v>
      </c>
      <c r="M172" s="1460"/>
      <c r="N172" s="1460"/>
      <c r="O172" s="1460"/>
      <c r="P172" s="1460"/>
      <c r="Q172" s="1460"/>
      <c r="R172" s="1460"/>
      <c r="S172" s="1460"/>
      <c r="T172" s="1460"/>
      <c r="U172" s="1460"/>
      <c r="V172" s="1460"/>
      <c r="W172" s="1460"/>
    </row>
    <row r="173" spans="2:23" x14ac:dyDescent="0.45">
      <c r="B173" s="26">
        <f t="shared" si="4"/>
        <v>158</v>
      </c>
      <c r="C173" s="25" t="s">
        <v>772</v>
      </c>
      <c r="D173" s="25" t="s">
        <v>37</v>
      </c>
      <c r="E173" s="25" t="s">
        <v>773</v>
      </c>
      <c r="F173" s="25" t="s">
        <v>331</v>
      </c>
      <c r="H173" s="29"/>
      <c r="I173" s="29"/>
      <c r="J173" s="29"/>
      <c r="K173" s="29"/>
      <c r="L173" s="1460" t="s">
        <v>587</v>
      </c>
      <c r="M173" s="1460"/>
      <c r="N173" s="1460"/>
      <c r="O173" s="1460"/>
      <c r="P173" s="1460"/>
      <c r="Q173" s="1460"/>
      <c r="R173" s="1460"/>
      <c r="S173" s="1460"/>
      <c r="T173" s="1460"/>
      <c r="U173" s="1460"/>
      <c r="V173" s="1460"/>
      <c r="W173" s="1460"/>
    </row>
    <row r="174" spans="2:23" x14ac:dyDescent="0.45">
      <c r="B174" s="26">
        <f t="shared" si="4"/>
        <v>159</v>
      </c>
      <c r="C174" s="25" t="s">
        <v>774</v>
      </c>
      <c r="D174" s="25" t="s">
        <v>37</v>
      </c>
      <c r="E174" s="25" t="s">
        <v>775</v>
      </c>
      <c r="F174" s="25" t="s">
        <v>344</v>
      </c>
      <c r="H174" s="29"/>
      <c r="I174" s="29"/>
      <c r="J174" s="29"/>
      <c r="K174" s="29"/>
      <c r="L174" s="1460" t="s">
        <v>631</v>
      </c>
      <c r="M174" s="1460"/>
      <c r="N174" s="1460"/>
      <c r="O174" s="1460"/>
      <c r="P174" s="1460"/>
      <c r="Q174" s="1460"/>
      <c r="R174" s="1460"/>
      <c r="S174" s="1460"/>
      <c r="T174" s="1460"/>
      <c r="U174" s="1460"/>
      <c r="V174" s="1460"/>
      <c r="W174" s="1460"/>
    </row>
    <row r="175" spans="2:23" x14ac:dyDescent="0.45">
      <c r="B175" s="26">
        <f t="shared" si="4"/>
        <v>160</v>
      </c>
      <c r="C175" s="25" t="s">
        <v>776</v>
      </c>
      <c r="D175" s="25" t="s">
        <v>37</v>
      </c>
      <c r="E175" s="25" t="s">
        <v>777</v>
      </c>
      <c r="F175" s="25" t="s">
        <v>344</v>
      </c>
      <c r="H175" s="29"/>
      <c r="I175" s="29"/>
      <c r="J175" s="29"/>
      <c r="K175" s="29"/>
      <c r="L175" s="1460" t="s">
        <v>631</v>
      </c>
      <c r="M175" s="1460"/>
      <c r="N175" s="1460"/>
      <c r="O175" s="1460"/>
      <c r="P175" s="1460"/>
      <c r="Q175" s="1460"/>
      <c r="R175" s="1460"/>
      <c r="S175" s="1460"/>
      <c r="T175" s="1460"/>
      <c r="U175" s="1460"/>
      <c r="V175" s="1460"/>
      <c r="W175" s="1460"/>
    </row>
    <row r="176" spans="2:23" x14ac:dyDescent="0.45">
      <c r="B176" s="26">
        <f t="shared" si="4"/>
        <v>161</v>
      </c>
      <c r="C176" s="25" t="s">
        <v>778</v>
      </c>
      <c r="D176" s="25" t="s">
        <v>37</v>
      </c>
      <c r="E176" s="25" t="s">
        <v>779</v>
      </c>
      <c r="F176" s="25" t="s">
        <v>344</v>
      </c>
      <c r="H176" s="29"/>
      <c r="I176" s="29"/>
      <c r="J176" s="29"/>
      <c r="K176" s="29"/>
      <c r="L176" s="1460" t="s">
        <v>631</v>
      </c>
      <c r="M176" s="1460"/>
      <c r="N176" s="1460"/>
      <c r="O176" s="1460"/>
      <c r="P176" s="1460"/>
      <c r="Q176" s="1460"/>
      <c r="R176" s="1460"/>
      <c r="S176" s="1460"/>
      <c r="T176" s="1460"/>
      <c r="U176" s="1460"/>
      <c r="V176" s="1460"/>
      <c r="W176" s="1460"/>
    </row>
    <row r="177" spans="2:23" x14ac:dyDescent="0.45">
      <c r="B177" s="26">
        <f t="shared" si="4"/>
        <v>162</v>
      </c>
      <c r="C177" s="25" t="s">
        <v>780</v>
      </c>
      <c r="D177" s="25" t="s">
        <v>37</v>
      </c>
      <c r="E177" s="25" t="s">
        <v>781</v>
      </c>
      <c r="F177" s="25" t="s">
        <v>344</v>
      </c>
      <c r="H177" s="29"/>
      <c r="I177" s="29"/>
      <c r="J177" s="29"/>
      <c r="K177" s="29"/>
      <c r="L177" s="1460" t="s">
        <v>631</v>
      </c>
      <c r="M177" s="1460"/>
      <c r="N177" s="1460"/>
      <c r="O177" s="1460"/>
      <c r="P177" s="1460"/>
      <c r="Q177" s="1460"/>
      <c r="R177" s="1460"/>
      <c r="S177" s="1460"/>
      <c r="T177" s="1460"/>
      <c r="U177" s="1460"/>
      <c r="V177" s="1460"/>
      <c r="W177" s="1460"/>
    </row>
    <row r="178" spans="2:23" x14ac:dyDescent="0.45">
      <c r="B178" s="26">
        <f t="shared" si="4"/>
        <v>163</v>
      </c>
      <c r="C178" s="25" t="s">
        <v>782</v>
      </c>
      <c r="D178" s="25" t="s">
        <v>37</v>
      </c>
      <c r="E178" s="25" t="s">
        <v>783</v>
      </c>
      <c r="F178" s="25" t="s">
        <v>344</v>
      </c>
      <c r="H178" s="29"/>
      <c r="I178" s="29"/>
      <c r="J178" s="29"/>
      <c r="K178" s="29"/>
      <c r="L178" s="1460" t="s">
        <v>631</v>
      </c>
      <c r="M178" s="1460"/>
      <c r="N178" s="1460"/>
      <c r="O178" s="1460"/>
      <c r="P178" s="1460"/>
      <c r="Q178" s="1460"/>
      <c r="R178" s="1460"/>
      <c r="S178" s="1460"/>
      <c r="T178" s="1460"/>
      <c r="U178" s="1460"/>
      <c r="V178" s="1460"/>
      <c r="W178" s="1460"/>
    </row>
    <row r="179" spans="2:23" x14ac:dyDescent="0.45">
      <c r="B179" s="26">
        <f t="shared" si="4"/>
        <v>164</v>
      </c>
      <c r="C179" s="25" t="s">
        <v>784</v>
      </c>
      <c r="D179" s="25" t="s">
        <v>37</v>
      </c>
      <c r="E179" s="25" t="s">
        <v>785</v>
      </c>
      <c r="F179" s="25" t="s">
        <v>344</v>
      </c>
      <c r="H179" s="29"/>
      <c r="I179" s="29"/>
      <c r="J179" s="29"/>
      <c r="K179" s="29"/>
      <c r="L179" s="1460" t="s">
        <v>631</v>
      </c>
      <c r="M179" s="1460"/>
      <c r="N179" s="1460"/>
      <c r="O179" s="1460"/>
      <c r="P179" s="1460"/>
      <c r="Q179" s="1460"/>
      <c r="R179" s="1460"/>
      <c r="S179" s="1460"/>
      <c r="T179" s="1460"/>
      <c r="U179" s="1460"/>
      <c r="V179" s="1460"/>
      <c r="W179" s="1460"/>
    </row>
    <row r="180" spans="2:23" x14ac:dyDescent="0.45">
      <c r="B180" s="26">
        <f t="shared" si="4"/>
        <v>165</v>
      </c>
      <c r="C180" s="53" t="s">
        <v>786</v>
      </c>
      <c r="D180" s="53" t="s">
        <v>37</v>
      </c>
      <c r="E180" s="53" t="s">
        <v>787</v>
      </c>
      <c r="F180" s="53" t="s">
        <v>331</v>
      </c>
      <c r="H180" s="29"/>
      <c r="I180" s="29"/>
      <c r="J180" s="29"/>
      <c r="K180" s="29"/>
      <c r="L180" s="1460" t="s">
        <v>587</v>
      </c>
      <c r="M180" s="1460"/>
      <c r="N180" s="1460"/>
      <c r="O180" s="1460"/>
      <c r="P180" s="1460"/>
      <c r="Q180" s="1460"/>
      <c r="R180" s="1460"/>
      <c r="S180" s="1460"/>
      <c r="T180" s="1460"/>
      <c r="U180" s="1460"/>
      <c r="V180" s="1460"/>
      <c r="W180" s="1460"/>
    </row>
    <row r="181" spans="2:23" x14ac:dyDescent="0.45">
      <c r="B181" s="26">
        <f t="shared" si="4"/>
        <v>166</v>
      </c>
      <c r="C181" s="53" t="s">
        <v>788</v>
      </c>
      <c r="D181" s="53" t="s">
        <v>37</v>
      </c>
      <c r="E181" s="53" t="s">
        <v>789</v>
      </c>
      <c r="F181" s="53" t="s">
        <v>331</v>
      </c>
      <c r="H181" s="29"/>
      <c r="I181" s="29"/>
      <c r="J181" s="29"/>
      <c r="K181" s="29"/>
      <c r="L181" s="1460" t="s">
        <v>587</v>
      </c>
      <c r="M181" s="1460"/>
      <c r="N181" s="1460"/>
      <c r="O181" s="1460"/>
      <c r="P181" s="1460"/>
      <c r="Q181" s="1460"/>
      <c r="R181" s="1460"/>
      <c r="S181" s="1460"/>
      <c r="T181" s="1460"/>
      <c r="U181" s="1460"/>
      <c r="V181" s="1460"/>
      <c r="W181" s="1460"/>
    </row>
    <row r="182" spans="2:23" x14ac:dyDescent="0.45">
      <c r="B182" s="26">
        <f t="shared" si="4"/>
        <v>167</v>
      </c>
      <c r="C182" s="53" t="s">
        <v>790</v>
      </c>
      <c r="D182" s="53" t="s">
        <v>37</v>
      </c>
      <c r="E182" s="53" t="s">
        <v>791</v>
      </c>
      <c r="F182" s="53" t="s">
        <v>344</v>
      </c>
      <c r="H182" s="29"/>
      <c r="I182" s="29"/>
      <c r="J182" s="29"/>
      <c r="K182" s="29"/>
      <c r="L182" s="1460" t="s">
        <v>631</v>
      </c>
      <c r="M182" s="1460"/>
      <c r="N182" s="1460"/>
      <c r="O182" s="1460"/>
      <c r="P182" s="1460"/>
      <c r="Q182" s="1460"/>
      <c r="R182" s="1460"/>
      <c r="S182" s="1460"/>
      <c r="T182" s="1460"/>
      <c r="U182" s="1460"/>
      <c r="V182" s="1460"/>
      <c r="W182" s="1460"/>
    </row>
    <row r="183" spans="2:23" x14ac:dyDescent="0.45">
      <c r="B183" s="26">
        <f t="shared" si="4"/>
        <v>168</v>
      </c>
      <c r="C183" s="53" t="s">
        <v>792</v>
      </c>
      <c r="D183" s="53" t="s">
        <v>37</v>
      </c>
      <c r="E183" s="53" t="s">
        <v>793</v>
      </c>
      <c r="F183" s="53" t="s">
        <v>344</v>
      </c>
      <c r="H183" s="29"/>
      <c r="I183" s="29"/>
      <c r="J183" s="29"/>
      <c r="K183" s="29"/>
      <c r="L183" s="1460" t="s">
        <v>631</v>
      </c>
      <c r="M183" s="1460"/>
      <c r="N183" s="1460"/>
      <c r="O183" s="1460"/>
      <c r="P183" s="1460"/>
      <c r="Q183" s="1460"/>
      <c r="R183" s="1460"/>
      <c r="S183" s="1460"/>
      <c r="T183" s="1460"/>
      <c r="U183" s="1460"/>
      <c r="V183" s="1460"/>
      <c r="W183" s="1460"/>
    </row>
    <row r="184" spans="2:23" x14ac:dyDescent="0.45">
      <c r="B184" s="26">
        <f t="shared" si="4"/>
        <v>169</v>
      </c>
      <c r="C184" s="53" t="s">
        <v>794</v>
      </c>
      <c r="D184" s="53" t="s">
        <v>37</v>
      </c>
      <c r="E184" s="53" t="s">
        <v>795</v>
      </c>
      <c r="F184" s="53" t="s">
        <v>344</v>
      </c>
      <c r="H184" s="29"/>
      <c r="I184" s="29"/>
      <c r="J184" s="29"/>
      <c r="K184" s="29"/>
      <c r="L184" s="1460" t="s">
        <v>631</v>
      </c>
      <c r="M184" s="1460"/>
      <c r="N184" s="1460"/>
      <c r="O184" s="1460"/>
      <c r="P184" s="1460"/>
      <c r="Q184" s="1460"/>
      <c r="R184" s="1460"/>
      <c r="S184" s="1460"/>
      <c r="T184" s="1460"/>
      <c r="U184" s="1460"/>
      <c r="V184" s="1460"/>
      <c r="W184" s="1460"/>
    </row>
    <row r="185" spans="2:23" x14ac:dyDescent="0.45">
      <c r="B185" s="26">
        <f t="shared" si="4"/>
        <v>170</v>
      </c>
      <c r="C185" s="53" t="s">
        <v>796</v>
      </c>
      <c r="D185" s="53" t="s">
        <v>37</v>
      </c>
      <c r="E185" s="53" t="s">
        <v>797</v>
      </c>
      <c r="F185" s="53" t="s">
        <v>344</v>
      </c>
      <c r="H185" s="29"/>
      <c r="I185" s="29"/>
      <c r="J185" s="29"/>
      <c r="K185" s="29"/>
      <c r="L185" s="1460" t="s">
        <v>631</v>
      </c>
      <c r="M185" s="1460"/>
      <c r="N185" s="1460"/>
      <c r="O185" s="1460"/>
      <c r="P185" s="1460"/>
      <c r="Q185" s="1460"/>
      <c r="R185" s="1460"/>
      <c r="S185" s="1460"/>
      <c r="T185" s="1460"/>
      <c r="U185" s="1460"/>
      <c r="V185" s="1460"/>
      <c r="W185" s="1460"/>
    </row>
    <row r="186" spans="2:23" x14ac:dyDescent="0.45">
      <c r="B186" s="26">
        <f t="shared" si="4"/>
        <v>171</v>
      </c>
      <c r="C186" s="53" t="s">
        <v>798</v>
      </c>
      <c r="D186" s="53" t="s">
        <v>37</v>
      </c>
      <c r="E186" s="53" t="s">
        <v>799</v>
      </c>
      <c r="F186" s="53" t="s">
        <v>344</v>
      </c>
      <c r="H186" s="29"/>
      <c r="I186" s="29"/>
      <c r="J186" s="29"/>
      <c r="K186" s="29"/>
      <c r="L186" s="1460" t="s">
        <v>631</v>
      </c>
      <c r="M186" s="1460"/>
      <c r="N186" s="1460"/>
      <c r="O186" s="1460"/>
      <c r="P186" s="1460"/>
      <c r="Q186" s="1460"/>
      <c r="R186" s="1460"/>
      <c r="S186" s="1460"/>
      <c r="T186" s="1460"/>
      <c r="U186" s="1460"/>
      <c r="V186" s="1460"/>
      <c r="W186" s="1460"/>
    </row>
    <row r="187" spans="2:23" x14ac:dyDescent="0.45">
      <c r="B187" s="26">
        <f t="shared" si="4"/>
        <v>172</v>
      </c>
      <c r="C187" s="53" t="s">
        <v>800</v>
      </c>
      <c r="D187" s="53" t="s">
        <v>37</v>
      </c>
      <c r="E187" s="53" t="s">
        <v>801</v>
      </c>
      <c r="F187" s="53" t="s">
        <v>344</v>
      </c>
      <c r="H187" s="29"/>
      <c r="I187" s="29"/>
      <c r="J187" s="29"/>
      <c r="K187" s="29"/>
      <c r="L187" s="1460" t="s">
        <v>631</v>
      </c>
      <c r="M187" s="1460"/>
      <c r="N187" s="1460"/>
      <c r="O187" s="1460"/>
      <c r="P187" s="1460"/>
      <c r="Q187" s="1460"/>
      <c r="R187" s="1460"/>
      <c r="S187" s="1460"/>
      <c r="T187" s="1460"/>
      <c r="U187" s="1460"/>
      <c r="V187" s="1460"/>
      <c r="W187" s="1460"/>
    </row>
    <row r="188" spans="2:23" x14ac:dyDescent="0.45">
      <c r="B188" s="26">
        <f t="shared" si="4"/>
        <v>173</v>
      </c>
      <c r="C188" s="25" t="s">
        <v>802</v>
      </c>
      <c r="D188" s="25" t="s">
        <v>37</v>
      </c>
      <c r="E188" s="25" t="s">
        <v>803</v>
      </c>
      <c r="F188" s="25" t="s">
        <v>331</v>
      </c>
      <c r="H188" s="29"/>
      <c r="I188" s="29"/>
      <c r="J188" s="29"/>
      <c r="K188" s="29"/>
      <c r="L188" s="1460" t="s">
        <v>587</v>
      </c>
      <c r="M188" s="1460"/>
      <c r="N188" s="1460"/>
      <c r="O188" s="1460"/>
      <c r="P188" s="1460"/>
      <c r="Q188" s="1460"/>
      <c r="R188" s="1460"/>
      <c r="S188" s="1460"/>
      <c r="T188" s="1460"/>
      <c r="U188" s="1460"/>
      <c r="V188" s="1460"/>
      <c r="W188" s="1460"/>
    </row>
    <row r="189" spans="2:23" x14ac:dyDescent="0.45">
      <c r="B189" s="26">
        <f t="shared" si="4"/>
        <v>174</v>
      </c>
      <c r="C189" s="25" t="s">
        <v>804</v>
      </c>
      <c r="D189" s="25" t="s">
        <v>37</v>
      </c>
      <c r="E189" s="25" t="s">
        <v>805</v>
      </c>
      <c r="F189" s="25" t="s">
        <v>331</v>
      </c>
      <c r="H189" s="29"/>
      <c r="I189" s="29"/>
      <c r="J189" s="29"/>
      <c r="K189" s="29"/>
      <c r="L189" s="1460" t="s">
        <v>587</v>
      </c>
      <c r="M189" s="1460"/>
      <c r="N189" s="1460"/>
      <c r="O189" s="1460"/>
      <c r="P189" s="1460"/>
      <c r="Q189" s="1460"/>
      <c r="R189" s="1460"/>
      <c r="S189" s="1460"/>
      <c r="T189" s="1460"/>
      <c r="U189" s="1460"/>
      <c r="V189" s="1460"/>
      <c r="W189" s="1460"/>
    </row>
    <row r="190" spans="2:23" x14ac:dyDescent="0.45">
      <c r="B190" s="26">
        <f t="shared" si="4"/>
        <v>175</v>
      </c>
      <c r="C190" s="25" t="s">
        <v>806</v>
      </c>
      <c r="D190" s="25" t="s">
        <v>37</v>
      </c>
      <c r="E190" s="25" t="s">
        <v>807</v>
      </c>
      <c r="F190" s="25" t="s">
        <v>344</v>
      </c>
      <c r="H190" s="29"/>
      <c r="I190" s="29"/>
      <c r="J190" s="29"/>
      <c r="K190" s="29"/>
      <c r="L190" s="1460" t="s">
        <v>631</v>
      </c>
      <c r="M190" s="1460"/>
      <c r="N190" s="1460"/>
      <c r="O190" s="1460"/>
      <c r="P190" s="1460"/>
      <c r="Q190" s="1460"/>
      <c r="R190" s="1460"/>
      <c r="S190" s="1460"/>
      <c r="T190" s="1460"/>
      <c r="U190" s="1460"/>
      <c r="V190" s="1460"/>
      <c r="W190" s="1460"/>
    </row>
    <row r="191" spans="2:23" x14ac:dyDescent="0.45">
      <c r="B191" s="26">
        <f t="shared" si="4"/>
        <v>176</v>
      </c>
      <c r="C191" s="25" t="s">
        <v>808</v>
      </c>
      <c r="D191" s="25" t="s">
        <v>37</v>
      </c>
      <c r="E191" s="25" t="s">
        <v>809</v>
      </c>
      <c r="F191" s="25" t="s">
        <v>344</v>
      </c>
      <c r="H191" s="29"/>
      <c r="I191" s="29"/>
      <c r="J191" s="29"/>
      <c r="K191" s="29"/>
      <c r="L191" s="1460" t="s">
        <v>631</v>
      </c>
      <c r="M191" s="1460"/>
      <c r="N191" s="1460"/>
      <c r="O191" s="1460"/>
      <c r="P191" s="1460"/>
      <c r="Q191" s="1460"/>
      <c r="R191" s="1460"/>
      <c r="S191" s="1460"/>
      <c r="T191" s="1460"/>
      <c r="U191" s="1460"/>
      <c r="V191" s="1460"/>
      <c r="W191" s="1460"/>
    </row>
    <row r="192" spans="2:23" x14ac:dyDescent="0.45">
      <c r="B192" s="26">
        <f t="shared" si="4"/>
        <v>177</v>
      </c>
      <c r="C192" s="25" t="s">
        <v>810</v>
      </c>
      <c r="D192" s="25" t="s">
        <v>37</v>
      </c>
      <c r="E192" s="25" t="s">
        <v>811</v>
      </c>
      <c r="F192" s="25" t="s">
        <v>344</v>
      </c>
      <c r="H192" s="29"/>
      <c r="I192" s="29"/>
      <c r="J192" s="29"/>
      <c r="K192" s="29"/>
      <c r="L192" s="1460" t="s">
        <v>631</v>
      </c>
      <c r="M192" s="1460"/>
      <c r="N192" s="1460"/>
      <c r="O192" s="1460"/>
      <c r="P192" s="1460"/>
      <c r="Q192" s="1460"/>
      <c r="R192" s="1460"/>
      <c r="S192" s="1460"/>
      <c r="T192" s="1460"/>
      <c r="U192" s="1460"/>
      <c r="V192" s="1460"/>
      <c r="W192" s="1460"/>
    </row>
    <row r="193" spans="2:23" x14ac:dyDescent="0.45">
      <c r="B193" s="26">
        <f t="shared" si="4"/>
        <v>178</v>
      </c>
      <c r="C193" s="25" t="s">
        <v>812</v>
      </c>
      <c r="D193" s="25" t="s">
        <v>37</v>
      </c>
      <c r="E193" s="25" t="s">
        <v>813</v>
      </c>
      <c r="F193" s="25" t="s">
        <v>344</v>
      </c>
      <c r="H193" s="29"/>
      <c r="I193" s="29"/>
      <c r="J193" s="29"/>
      <c r="K193" s="29"/>
      <c r="L193" s="1460" t="s">
        <v>631</v>
      </c>
      <c r="M193" s="1460"/>
      <c r="N193" s="1460"/>
      <c r="O193" s="1460"/>
      <c r="P193" s="1460"/>
      <c r="Q193" s="1460"/>
      <c r="R193" s="1460"/>
      <c r="S193" s="1460"/>
      <c r="T193" s="1460"/>
      <c r="U193" s="1460"/>
      <c r="V193" s="1460"/>
      <c r="W193" s="1460"/>
    </row>
    <row r="194" spans="2:23" x14ac:dyDescent="0.45">
      <c r="B194" s="26">
        <f t="shared" si="4"/>
        <v>179</v>
      </c>
      <c r="C194" s="25" t="s">
        <v>814</v>
      </c>
      <c r="D194" s="25" t="s">
        <v>37</v>
      </c>
      <c r="E194" s="25" t="s">
        <v>815</v>
      </c>
      <c r="F194" s="25" t="s">
        <v>344</v>
      </c>
      <c r="H194" s="29"/>
      <c r="I194" s="29"/>
      <c r="J194" s="29"/>
      <c r="K194" s="29"/>
      <c r="L194" s="1460" t="s">
        <v>631</v>
      </c>
      <c r="M194" s="1460"/>
      <c r="N194" s="1460"/>
      <c r="O194" s="1460"/>
      <c r="P194" s="1460"/>
      <c r="Q194" s="1460"/>
      <c r="R194" s="1460"/>
      <c r="S194" s="1460"/>
      <c r="T194" s="1460"/>
      <c r="U194" s="1460"/>
      <c r="V194" s="1460"/>
      <c r="W194" s="1460"/>
    </row>
    <row r="195" spans="2:23" x14ac:dyDescent="0.45">
      <c r="B195" s="26">
        <f t="shared" si="4"/>
        <v>180</v>
      </c>
      <c r="C195" s="25" t="s">
        <v>816</v>
      </c>
      <c r="D195" s="25" t="s">
        <v>37</v>
      </c>
      <c r="E195" s="25" t="s">
        <v>817</v>
      </c>
      <c r="F195" s="25" t="s">
        <v>344</v>
      </c>
      <c r="H195" s="29"/>
      <c r="I195" s="29"/>
      <c r="J195" s="29"/>
      <c r="K195" s="29"/>
      <c r="L195" s="1460" t="s">
        <v>631</v>
      </c>
      <c r="M195" s="1460"/>
      <c r="N195" s="1460"/>
      <c r="O195" s="1460"/>
      <c r="P195" s="1460"/>
      <c r="Q195" s="1460"/>
      <c r="R195" s="1460"/>
      <c r="S195" s="1460"/>
      <c r="T195" s="1460"/>
      <c r="U195" s="1460"/>
      <c r="V195" s="1460"/>
      <c r="W195" s="1460"/>
    </row>
    <row r="196" spans="2:23" x14ac:dyDescent="0.45">
      <c r="B196" s="26">
        <f t="shared" ref="B196:B227" si="5">B195+1</f>
        <v>181</v>
      </c>
      <c r="C196" s="53" t="s">
        <v>818</v>
      </c>
      <c r="D196" s="53" t="s">
        <v>37</v>
      </c>
      <c r="E196" s="53" t="s">
        <v>819</v>
      </c>
      <c r="F196" s="53" t="s">
        <v>331</v>
      </c>
      <c r="H196" s="29"/>
      <c r="I196" s="29"/>
      <c r="J196" s="29"/>
      <c r="K196" s="29"/>
      <c r="L196" s="1460" t="s">
        <v>587</v>
      </c>
      <c r="M196" s="1460"/>
      <c r="N196" s="1460"/>
      <c r="O196" s="1460"/>
      <c r="P196" s="1460"/>
      <c r="Q196" s="1460"/>
      <c r="R196" s="1460"/>
      <c r="S196" s="1460"/>
      <c r="T196" s="1460"/>
      <c r="U196" s="1460"/>
      <c r="V196" s="1460"/>
      <c r="W196" s="1460"/>
    </row>
    <row r="197" spans="2:23" x14ac:dyDescent="0.45">
      <c r="B197" s="26">
        <f t="shared" si="5"/>
        <v>182</v>
      </c>
      <c r="C197" s="53" t="s">
        <v>820</v>
      </c>
      <c r="D197" s="53" t="s">
        <v>37</v>
      </c>
      <c r="E197" s="53" t="s">
        <v>821</v>
      </c>
      <c r="F197" s="53" t="s">
        <v>331</v>
      </c>
      <c r="H197" s="29"/>
      <c r="I197" s="29"/>
      <c r="J197" s="29"/>
      <c r="K197" s="29"/>
      <c r="L197" s="1460" t="s">
        <v>587</v>
      </c>
      <c r="M197" s="1460"/>
      <c r="N197" s="1460"/>
      <c r="O197" s="1460"/>
      <c r="P197" s="1460"/>
      <c r="Q197" s="1460"/>
      <c r="R197" s="1460"/>
      <c r="S197" s="1460"/>
      <c r="T197" s="1460"/>
      <c r="U197" s="1460"/>
      <c r="V197" s="1460"/>
      <c r="W197" s="1460"/>
    </row>
    <row r="198" spans="2:23" x14ac:dyDescent="0.45">
      <c r="B198" s="26">
        <f t="shared" si="5"/>
        <v>183</v>
      </c>
      <c r="C198" s="53" t="s">
        <v>822</v>
      </c>
      <c r="D198" s="53" t="s">
        <v>37</v>
      </c>
      <c r="E198" s="53" t="s">
        <v>823</v>
      </c>
      <c r="F198" s="53" t="s">
        <v>344</v>
      </c>
      <c r="H198" s="29"/>
      <c r="I198" s="29"/>
      <c r="J198" s="29"/>
      <c r="K198" s="29"/>
      <c r="L198" s="1460" t="s">
        <v>631</v>
      </c>
      <c r="M198" s="1460"/>
      <c r="N198" s="1460"/>
      <c r="O198" s="1460"/>
      <c r="P198" s="1460"/>
      <c r="Q198" s="1460"/>
      <c r="R198" s="1460"/>
      <c r="S198" s="1460"/>
      <c r="T198" s="1460"/>
      <c r="U198" s="1460"/>
      <c r="V198" s="1460"/>
      <c r="W198" s="1460"/>
    </row>
    <row r="199" spans="2:23" x14ac:dyDescent="0.45">
      <c r="B199" s="26">
        <f t="shared" si="5"/>
        <v>184</v>
      </c>
      <c r="C199" s="53" t="s">
        <v>824</v>
      </c>
      <c r="D199" s="53" t="s">
        <v>37</v>
      </c>
      <c r="E199" s="53" t="s">
        <v>825</v>
      </c>
      <c r="F199" s="53" t="s">
        <v>344</v>
      </c>
      <c r="H199" s="29"/>
      <c r="I199" s="29"/>
      <c r="J199" s="29"/>
      <c r="K199" s="29"/>
      <c r="L199" s="1460" t="s">
        <v>631</v>
      </c>
      <c r="M199" s="1460"/>
      <c r="N199" s="1460"/>
      <c r="O199" s="1460"/>
      <c r="P199" s="1460"/>
      <c r="Q199" s="1460"/>
      <c r="R199" s="1460"/>
      <c r="S199" s="1460"/>
      <c r="T199" s="1460"/>
      <c r="U199" s="1460"/>
      <c r="V199" s="1460"/>
      <c r="W199" s="1460"/>
    </row>
    <row r="200" spans="2:23" x14ac:dyDescent="0.45">
      <c r="B200" s="26">
        <f t="shared" si="5"/>
        <v>185</v>
      </c>
      <c r="C200" s="53" t="s">
        <v>826</v>
      </c>
      <c r="D200" s="53" t="s">
        <v>37</v>
      </c>
      <c r="E200" s="53" t="s">
        <v>827</v>
      </c>
      <c r="F200" s="53" t="s">
        <v>344</v>
      </c>
      <c r="H200" s="29"/>
      <c r="I200" s="29"/>
      <c r="J200" s="29"/>
      <c r="K200" s="29"/>
      <c r="L200" s="1460" t="s">
        <v>631</v>
      </c>
      <c r="M200" s="1460"/>
      <c r="N200" s="1460"/>
      <c r="O200" s="1460"/>
      <c r="P200" s="1460"/>
      <c r="Q200" s="1460"/>
      <c r="R200" s="1460"/>
      <c r="S200" s="1460"/>
      <c r="T200" s="1460"/>
      <c r="U200" s="1460"/>
      <c r="V200" s="1460"/>
      <c r="W200" s="1460"/>
    </row>
    <row r="201" spans="2:23" x14ac:dyDescent="0.45">
      <c r="B201" s="26">
        <f t="shared" si="5"/>
        <v>186</v>
      </c>
      <c r="C201" s="53" t="s">
        <v>828</v>
      </c>
      <c r="D201" s="53" t="s">
        <v>37</v>
      </c>
      <c r="E201" s="53" t="s">
        <v>829</v>
      </c>
      <c r="F201" s="53" t="s">
        <v>344</v>
      </c>
      <c r="H201" s="29"/>
      <c r="I201" s="29"/>
      <c r="J201" s="29"/>
      <c r="K201" s="29"/>
      <c r="L201" s="1460" t="s">
        <v>631</v>
      </c>
      <c r="M201" s="1460"/>
      <c r="N201" s="1460"/>
      <c r="O201" s="1460"/>
      <c r="P201" s="1460"/>
      <c r="Q201" s="1460"/>
      <c r="R201" s="1460"/>
      <c r="S201" s="1460"/>
      <c r="T201" s="1460"/>
      <c r="U201" s="1460"/>
      <c r="V201" s="1460"/>
      <c r="W201" s="1460"/>
    </row>
    <row r="202" spans="2:23" x14ac:dyDescent="0.45">
      <c r="B202" s="26">
        <f t="shared" si="5"/>
        <v>187</v>
      </c>
      <c r="C202" s="53" t="s">
        <v>830</v>
      </c>
      <c r="D202" s="53" t="s">
        <v>37</v>
      </c>
      <c r="E202" s="53" t="s">
        <v>831</v>
      </c>
      <c r="F202" s="53" t="s">
        <v>344</v>
      </c>
      <c r="H202" s="29"/>
      <c r="I202" s="29"/>
      <c r="J202" s="29"/>
      <c r="K202" s="29"/>
      <c r="L202" s="1460" t="s">
        <v>631</v>
      </c>
      <c r="M202" s="1460"/>
      <c r="N202" s="1460"/>
      <c r="O202" s="1460"/>
      <c r="P202" s="1460"/>
      <c r="Q202" s="1460"/>
      <c r="R202" s="1460"/>
      <c r="S202" s="1460"/>
      <c r="T202" s="1460"/>
      <c r="U202" s="1460"/>
      <c r="V202" s="1460"/>
      <c r="W202" s="1460"/>
    </row>
    <row r="203" spans="2:23" x14ac:dyDescent="0.45">
      <c r="B203" s="26">
        <f t="shared" si="5"/>
        <v>188</v>
      </c>
      <c r="C203" s="53" t="s">
        <v>832</v>
      </c>
      <c r="D203" s="53" t="s">
        <v>37</v>
      </c>
      <c r="E203" s="53" t="s">
        <v>833</v>
      </c>
      <c r="F203" s="53" t="s">
        <v>344</v>
      </c>
      <c r="H203" s="29"/>
      <c r="I203" s="29"/>
      <c r="J203" s="29"/>
      <c r="K203" s="29"/>
      <c r="L203" s="1460" t="s">
        <v>631</v>
      </c>
      <c r="M203" s="1460"/>
      <c r="N203" s="1460"/>
      <c r="O203" s="1460"/>
      <c r="P203" s="1460"/>
      <c r="Q203" s="1460"/>
      <c r="R203" s="1460"/>
      <c r="S203" s="1460"/>
      <c r="T203" s="1460"/>
      <c r="U203" s="1460"/>
      <c r="V203" s="1460"/>
      <c r="W203" s="1460"/>
    </row>
    <row r="204" spans="2:23" x14ac:dyDescent="0.45">
      <c r="B204" s="26">
        <f t="shared" si="5"/>
        <v>189</v>
      </c>
      <c r="C204" s="25" t="s">
        <v>834</v>
      </c>
      <c r="D204" s="25" t="s">
        <v>37</v>
      </c>
      <c r="E204" s="25" t="s">
        <v>835</v>
      </c>
      <c r="F204" s="25" t="s">
        <v>331</v>
      </c>
      <c r="H204" s="29"/>
      <c r="I204" s="29"/>
      <c r="J204" s="29"/>
      <c r="K204" s="29"/>
      <c r="L204" s="1460" t="s">
        <v>587</v>
      </c>
      <c r="M204" s="1460"/>
      <c r="N204" s="1460"/>
      <c r="O204" s="1460"/>
      <c r="P204" s="1460"/>
      <c r="Q204" s="1460"/>
      <c r="R204" s="1460"/>
      <c r="S204" s="1460"/>
      <c r="T204" s="1460"/>
      <c r="U204" s="1460"/>
      <c r="V204" s="1460"/>
      <c r="W204" s="1460"/>
    </row>
    <row r="205" spans="2:23" x14ac:dyDescent="0.45">
      <c r="B205" s="26">
        <f t="shared" si="5"/>
        <v>190</v>
      </c>
      <c r="C205" s="25" t="s">
        <v>836</v>
      </c>
      <c r="D205" s="25" t="s">
        <v>37</v>
      </c>
      <c r="E205" s="25" t="s">
        <v>837</v>
      </c>
      <c r="F205" s="25" t="s">
        <v>331</v>
      </c>
      <c r="H205" s="29"/>
      <c r="I205" s="29"/>
      <c r="J205" s="29"/>
      <c r="K205" s="29"/>
      <c r="L205" s="1460" t="s">
        <v>587</v>
      </c>
      <c r="M205" s="1460"/>
      <c r="N205" s="1460"/>
      <c r="O205" s="1460"/>
      <c r="P205" s="1460"/>
      <c r="Q205" s="1460"/>
      <c r="R205" s="1460"/>
      <c r="S205" s="1460"/>
      <c r="T205" s="1460"/>
      <c r="U205" s="1460"/>
      <c r="V205" s="1460"/>
      <c r="W205" s="1460"/>
    </row>
    <row r="206" spans="2:23" x14ac:dyDescent="0.45">
      <c r="B206" s="26">
        <f t="shared" si="5"/>
        <v>191</v>
      </c>
      <c r="C206" s="25" t="s">
        <v>838</v>
      </c>
      <c r="D206" s="25" t="s">
        <v>37</v>
      </c>
      <c r="E206" s="25" t="s">
        <v>839</v>
      </c>
      <c r="F206" s="25" t="s">
        <v>344</v>
      </c>
      <c r="H206" s="29"/>
      <c r="I206" s="29"/>
      <c r="J206" s="29"/>
      <c r="K206" s="29"/>
      <c r="L206" s="1460" t="s">
        <v>631</v>
      </c>
      <c r="M206" s="1460"/>
      <c r="N206" s="1460"/>
      <c r="O206" s="1460"/>
      <c r="P206" s="1460"/>
      <c r="Q206" s="1460"/>
      <c r="R206" s="1460"/>
      <c r="S206" s="1460"/>
      <c r="T206" s="1460"/>
      <c r="U206" s="1460"/>
      <c r="V206" s="1460"/>
      <c r="W206" s="1460"/>
    </row>
    <row r="207" spans="2:23" x14ac:dyDescent="0.45">
      <c r="B207" s="26">
        <f t="shared" si="5"/>
        <v>192</v>
      </c>
      <c r="C207" s="25" t="s">
        <v>840</v>
      </c>
      <c r="D207" s="25" t="s">
        <v>37</v>
      </c>
      <c r="E207" s="25" t="s">
        <v>841</v>
      </c>
      <c r="F207" s="25" t="s">
        <v>344</v>
      </c>
      <c r="H207" s="29"/>
      <c r="I207" s="29"/>
      <c r="J207" s="29"/>
      <c r="K207" s="29"/>
      <c r="L207" s="1460" t="s">
        <v>631</v>
      </c>
      <c r="M207" s="1460"/>
      <c r="N207" s="1460"/>
      <c r="O207" s="1460"/>
      <c r="P207" s="1460"/>
      <c r="Q207" s="1460"/>
      <c r="R207" s="1460"/>
      <c r="S207" s="1460"/>
      <c r="T207" s="1460"/>
      <c r="U207" s="1460"/>
      <c r="V207" s="1460"/>
      <c r="W207" s="1460"/>
    </row>
    <row r="208" spans="2:23" x14ac:dyDescent="0.45">
      <c r="B208" s="26">
        <f t="shared" si="5"/>
        <v>193</v>
      </c>
      <c r="C208" s="25" t="s">
        <v>842</v>
      </c>
      <c r="D208" s="25" t="s">
        <v>37</v>
      </c>
      <c r="E208" s="25" t="s">
        <v>843</v>
      </c>
      <c r="F208" s="25" t="s">
        <v>344</v>
      </c>
      <c r="H208" s="29"/>
      <c r="I208" s="29"/>
      <c r="J208" s="29"/>
      <c r="K208" s="29"/>
      <c r="L208" s="1460" t="s">
        <v>631</v>
      </c>
      <c r="M208" s="1460"/>
      <c r="N208" s="1460"/>
      <c r="O208" s="1460"/>
      <c r="P208" s="1460"/>
      <c r="Q208" s="1460"/>
      <c r="R208" s="1460"/>
      <c r="S208" s="1460"/>
      <c r="T208" s="1460"/>
      <c r="U208" s="1460"/>
      <c r="V208" s="1460"/>
      <c r="W208" s="1460"/>
    </row>
    <row r="209" spans="2:23" x14ac:dyDescent="0.45">
      <c r="B209" s="26">
        <f t="shared" si="5"/>
        <v>194</v>
      </c>
      <c r="C209" s="25" t="s">
        <v>844</v>
      </c>
      <c r="D209" s="25" t="s">
        <v>37</v>
      </c>
      <c r="E209" s="25" t="s">
        <v>845</v>
      </c>
      <c r="F209" s="25" t="s">
        <v>344</v>
      </c>
      <c r="H209" s="29"/>
      <c r="I209" s="29"/>
      <c r="J209" s="29"/>
      <c r="K209" s="29"/>
      <c r="L209" s="1460" t="s">
        <v>631</v>
      </c>
      <c r="M209" s="1460"/>
      <c r="N209" s="1460"/>
      <c r="O209" s="1460"/>
      <c r="P209" s="1460"/>
      <c r="Q209" s="1460"/>
      <c r="R209" s="1460"/>
      <c r="S209" s="1460"/>
      <c r="T209" s="1460"/>
      <c r="U209" s="1460"/>
      <c r="V209" s="1460"/>
      <c r="W209" s="1460"/>
    </row>
    <row r="210" spans="2:23" x14ac:dyDescent="0.45">
      <c r="B210" s="26">
        <f t="shared" si="5"/>
        <v>195</v>
      </c>
      <c r="C210" s="25" t="s">
        <v>846</v>
      </c>
      <c r="D210" s="25" t="s">
        <v>37</v>
      </c>
      <c r="E210" s="25" t="s">
        <v>847</v>
      </c>
      <c r="F210" s="25" t="s">
        <v>344</v>
      </c>
      <c r="H210" s="29"/>
      <c r="I210" s="29"/>
      <c r="J210" s="29"/>
      <c r="K210" s="29"/>
      <c r="L210" s="1460" t="s">
        <v>631</v>
      </c>
      <c r="M210" s="1460"/>
      <c r="N210" s="1460"/>
      <c r="O210" s="1460"/>
      <c r="P210" s="1460"/>
      <c r="Q210" s="1460"/>
      <c r="R210" s="1460"/>
      <c r="S210" s="1460"/>
      <c r="T210" s="1460"/>
      <c r="U210" s="1460"/>
      <c r="V210" s="1460"/>
      <c r="W210" s="1460"/>
    </row>
    <row r="211" spans="2:23" x14ac:dyDescent="0.45">
      <c r="B211" s="26">
        <f t="shared" si="5"/>
        <v>196</v>
      </c>
      <c r="C211" s="25" t="s">
        <v>848</v>
      </c>
      <c r="D211" s="25" t="s">
        <v>37</v>
      </c>
      <c r="E211" s="25" t="s">
        <v>849</v>
      </c>
      <c r="F211" s="25" t="s">
        <v>344</v>
      </c>
      <c r="H211" s="29"/>
      <c r="I211" s="29"/>
      <c r="J211" s="29"/>
      <c r="K211" s="29"/>
      <c r="L211" s="1460" t="s">
        <v>631</v>
      </c>
      <c r="M211" s="1460"/>
      <c r="N211" s="1460"/>
      <c r="O211" s="1460"/>
      <c r="P211" s="1460"/>
      <c r="Q211" s="1460"/>
      <c r="R211" s="1460"/>
      <c r="S211" s="1460"/>
      <c r="T211" s="1460"/>
      <c r="U211" s="1460"/>
      <c r="V211" s="1460"/>
      <c r="W211" s="1460"/>
    </row>
    <row r="212" spans="2:23" x14ac:dyDescent="0.45">
      <c r="B212" s="26">
        <f t="shared" si="5"/>
        <v>197</v>
      </c>
      <c r="C212" s="53" t="s">
        <v>850</v>
      </c>
      <c r="D212" s="53" t="s">
        <v>37</v>
      </c>
      <c r="E212" s="53" t="s">
        <v>851</v>
      </c>
      <c r="F212" s="53" t="s">
        <v>331</v>
      </c>
      <c r="H212" s="29"/>
      <c r="I212" s="29"/>
      <c r="J212" s="29"/>
      <c r="K212" s="29"/>
      <c r="L212" s="1460" t="s">
        <v>587</v>
      </c>
      <c r="M212" s="1460"/>
      <c r="N212" s="1460"/>
      <c r="O212" s="1460"/>
      <c r="P212" s="1460"/>
      <c r="Q212" s="1460"/>
      <c r="R212" s="1460"/>
      <c r="S212" s="1460"/>
      <c r="T212" s="1460"/>
      <c r="U212" s="1460"/>
      <c r="V212" s="1460"/>
      <c r="W212" s="1460"/>
    </row>
    <row r="213" spans="2:23" x14ac:dyDescent="0.45">
      <c r="B213" s="26">
        <f t="shared" si="5"/>
        <v>198</v>
      </c>
      <c r="C213" s="53" t="s">
        <v>852</v>
      </c>
      <c r="D213" s="53" t="s">
        <v>37</v>
      </c>
      <c r="E213" s="53" t="s">
        <v>853</v>
      </c>
      <c r="F213" s="53" t="s">
        <v>331</v>
      </c>
      <c r="H213" s="29"/>
      <c r="I213" s="29"/>
      <c r="J213" s="29"/>
      <c r="K213" s="29"/>
      <c r="L213" s="1460" t="s">
        <v>587</v>
      </c>
      <c r="M213" s="1460"/>
      <c r="N213" s="1460"/>
      <c r="O213" s="1460"/>
      <c r="P213" s="1460"/>
      <c r="Q213" s="1460"/>
      <c r="R213" s="1460"/>
      <c r="S213" s="1460"/>
      <c r="T213" s="1460"/>
      <c r="U213" s="1460"/>
      <c r="V213" s="1460"/>
      <c r="W213" s="1460"/>
    </row>
    <row r="214" spans="2:23" x14ac:dyDescent="0.45">
      <c r="B214" s="26">
        <f t="shared" si="5"/>
        <v>199</v>
      </c>
      <c r="C214" s="53" t="s">
        <v>854</v>
      </c>
      <c r="D214" s="53" t="s">
        <v>37</v>
      </c>
      <c r="E214" s="53" t="s">
        <v>855</v>
      </c>
      <c r="F214" s="53" t="s">
        <v>344</v>
      </c>
      <c r="H214" s="29"/>
      <c r="I214" s="29"/>
      <c r="J214" s="29"/>
      <c r="K214" s="29"/>
      <c r="L214" s="1460" t="s">
        <v>631</v>
      </c>
      <c r="M214" s="1460"/>
      <c r="N214" s="1460"/>
      <c r="O214" s="1460"/>
      <c r="P214" s="1460"/>
      <c r="Q214" s="1460"/>
      <c r="R214" s="1460"/>
      <c r="S214" s="1460"/>
      <c r="T214" s="1460"/>
      <c r="U214" s="1460"/>
      <c r="V214" s="1460"/>
      <c r="W214" s="1460"/>
    </row>
    <row r="215" spans="2:23" x14ac:dyDescent="0.45">
      <c r="B215" s="26">
        <f t="shared" si="5"/>
        <v>200</v>
      </c>
      <c r="C215" s="53" t="s">
        <v>856</v>
      </c>
      <c r="D215" s="53" t="s">
        <v>37</v>
      </c>
      <c r="E215" s="53" t="s">
        <v>857</v>
      </c>
      <c r="F215" s="53" t="s">
        <v>344</v>
      </c>
      <c r="H215" s="29"/>
      <c r="I215" s="29"/>
      <c r="J215" s="29"/>
      <c r="K215" s="29"/>
      <c r="L215" s="1460" t="s">
        <v>631</v>
      </c>
      <c r="M215" s="1460"/>
      <c r="N215" s="1460"/>
      <c r="O215" s="1460"/>
      <c r="P215" s="1460"/>
      <c r="Q215" s="1460"/>
      <c r="R215" s="1460"/>
      <c r="S215" s="1460"/>
      <c r="T215" s="1460"/>
      <c r="U215" s="1460"/>
      <c r="V215" s="1460"/>
      <c r="W215" s="1460"/>
    </row>
    <row r="216" spans="2:23" x14ac:dyDescent="0.45">
      <c r="B216" s="26">
        <f t="shared" si="5"/>
        <v>201</v>
      </c>
      <c r="C216" s="53" t="s">
        <v>858</v>
      </c>
      <c r="D216" s="53" t="s">
        <v>37</v>
      </c>
      <c r="E216" s="53" t="s">
        <v>859</v>
      </c>
      <c r="F216" s="53" t="s">
        <v>344</v>
      </c>
      <c r="H216" s="29"/>
      <c r="I216" s="29"/>
      <c r="J216" s="29"/>
      <c r="K216" s="29"/>
      <c r="L216" s="1460" t="s">
        <v>631</v>
      </c>
      <c r="M216" s="1460"/>
      <c r="N216" s="1460"/>
      <c r="O216" s="1460"/>
      <c r="P216" s="1460"/>
      <c r="Q216" s="1460"/>
      <c r="R216" s="1460"/>
      <c r="S216" s="1460"/>
      <c r="T216" s="1460"/>
      <c r="U216" s="1460"/>
      <c r="V216" s="1460"/>
      <c r="W216" s="1460"/>
    </row>
    <row r="217" spans="2:23" x14ac:dyDescent="0.45">
      <c r="B217" s="26">
        <f t="shared" si="5"/>
        <v>202</v>
      </c>
      <c r="C217" s="53" t="s">
        <v>860</v>
      </c>
      <c r="D217" s="53" t="s">
        <v>37</v>
      </c>
      <c r="E217" s="53" t="s">
        <v>861</v>
      </c>
      <c r="F217" s="53" t="s">
        <v>344</v>
      </c>
      <c r="H217" s="29"/>
      <c r="I217" s="29"/>
      <c r="J217" s="29"/>
      <c r="K217" s="29"/>
      <c r="L217" s="1460" t="s">
        <v>631</v>
      </c>
      <c r="M217" s="1460"/>
      <c r="N217" s="1460"/>
      <c r="O217" s="1460"/>
      <c r="P217" s="1460"/>
      <c r="Q217" s="1460"/>
      <c r="R217" s="1460"/>
      <c r="S217" s="1460"/>
      <c r="T217" s="1460"/>
      <c r="U217" s="1460"/>
      <c r="V217" s="1460"/>
      <c r="W217" s="1460"/>
    </row>
    <row r="218" spans="2:23" x14ac:dyDescent="0.45">
      <c r="B218" s="26">
        <f t="shared" si="5"/>
        <v>203</v>
      </c>
      <c r="C218" s="53" t="s">
        <v>862</v>
      </c>
      <c r="D218" s="53" t="s">
        <v>37</v>
      </c>
      <c r="E218" s="53" t="s">
        <v>863</v>
      </c>
      <c r="F218" s="53" t="s">
        <v>344</v>
      </c>
      <c r="H218" s="29"/>
      <c r="I218" s="29"/>
      <c r="J218" s="29"/>
      <c r="K218" s="29"/>
      <c r="L218" s="1460" t="s">
        <v>631</v>
      </c>
      <c r="M218" s="1460"/>
      <c r="N218" s="1460"/>
      <c r="O218" s="1460"/>
      <c r="P218" s="1460"/>
      <c r="Q218" s="1460"/>
      <c r="R218" s="1460"/>
      <c r="S218" s="1460"/>
      <c r="T218" s="1460"/>
      <c r="U218" s="1460"/>
      <c r="V218" s="1460"/>
      <c r="W218" s="1460"/>
    </row>
    <row r="219" spans="2:23" x14ac:dyDescent="0.45">
      <c r="B219" s="26">
        <f t="shared" si="5"/>
        <v>204</v>
      </c>
      <c r="C219" s="53" t="s">
        <v>864</v>
      </c>
      <c r="D219" s="53" t="s">
        <v>37</v>
      </c>
      <c r="E219" s="53" t="s">
        <v>865</v>
      </c>
      <c r="F219" s="53" t="s">
        <v>344</v>
      </c>
      <c r="H219" s="29"/>
      <c r="I219" s="29"/>
      <c r="J219" s="29"/>
      <c r="K219" s="29"/>
      <c r="L219" s="1460" t="s">
        <v>631</v>
      </c>
      <c r="M219" s="1460"/>
      <c r="N219" s="1460"/>
      <c r="O219" s="1460"/>
      <c r="P219" s="1460"/>
      <c r="Q219" s="1460"/>
      <c r="R219" s="1460"/>
      <c r="S219" s="1460"/>
      <c r="T219" s="1460"/>
      <c r="U219" s="1460"/>
      <c r="V219" s="1460"/>
      <c r="W219" s="1460"/>
    </row>
    <row r="220" spans="2:23" x14ac:dyDescent="0.45">
      <c r="B220" s="26">
        <f t="shared" si="5"/>
        <v>205</v>
      </c>
      <c r="C220" s="25" t="s">
        <v>866</v>
      </c>
      <c r="D220" s="25" t="s">
        <v>37</v>
      </c>
      <c r="E220" s="25" t="s">
        <v>867</v>
      </c>
      <c r="F220" s="25" t="s">
        <v>331</v>
      </c>
      <c r="H220" s="29"/>
      <c r="I220" s="29"/>
      <c r="J220" s="29"/>
      <c r="K220" s="29"/>
      <c r="L220" s="1460" t="s">
        <v>587</v>
      </c>
      <c r="M220" s="1460"/>
      <c r="N220" s="1460"/>
      <c r="O220" s="1460"/>
      <c r="P220" s="1460"/>
      <c r="Q220" s="1460"/>
      <c r="R220" s="1460"/>
      <c r="S220" s="1460"/>
      <c r="T220" s="1460"/>
      <c r="U220" s="1460"/>
      <c r="V220" s="1460"/>
      <c r="W220" s="1460"/>
    </row>
    <row r="221" spans="2:23" x14ac:dyDescent="0.45">
      <c r="B221" s="26">
        <f t="shared" si="5"/>
        <v>206</v>
      </c>
      <c r="C221" s="25" t="s">
        <v>868</v>
      </c>
      <c r="D221" s="25" t="s">
        <v>37</v>
      </c>
      <c r="E221" s="25" t="s">
        <v>869</v>
      </c>
      <c r="F221" s="25" t="s">
        <v>331</v>
      </c>
      <c r="H221" s="29"/>
      <c r="I221" s="29"/>
      <c r="J221" s="29"/>
      <c r="K221" s="29"/>
      <c r="L221" s="1460" t="s">
        <v>587</v>
      </c>
      <c r="M221" s="1460"/>
      <c r="N221" s="1460"/>
      <c r="O221" s="1460"/>
      <c r="P221" s="1460"/>
      <c r="Q221" s="1460"/>
      <c r="R221" s="1460"/>
      <c r="S221" s="1460"/>
      <c r="T221" s="1460"/>
      <c r="U221" s="1460"/>
      <c r="V221" s="1460"/>
      <c r="W221" s="1460"/>
    </row>
    <row r="222" spans="2:23" x14ac:dyDescent="0.45">
      <c r="B222" s="26">
        <f t="shared" si="5"/>
        <v>207</v>
      </c>
      <c r="C222" s="25" t="s">
        <v>870</v>
      </c>
      <c r="D222" s="25" t="s">
        <v>37</v>
      </c>
      <c r="E222" s="25" t="s">
        <v>871</v>
      </c>
      <c r="F222" s="25" t="s">
        <v>344</v>
      </c>
      <c r="H222" s="29"/>
      <c r="I222" s="29"/>
      <c r="J222" s="29"/>
      <c r="K222" s="29"/>
      <c r="L222" s="1460" t="s">
        <v>631</v>
      </c>
      <c r="M222" s="1460"/>
      <c r="N222" s="1460"/>
      <c r="O222" s="1460"/>
      <c r="P222" s="1460"/>
      <c r="Q222" s="1460"/>
      <c r="R222" s="1460"/>
      <c r="S222" s="1460"/>
      <c r="T222" s="1460"/>
      <c r="U222" s="1460"/>
      <c r="V222" s="1460"/>
      <c r="W222" s="1460"/>
    </row>
    <row r="223" spans="2:23" x14ac:dyDescent="0.45">
      <c r="B223" s="26">
        <f t="shared" si="5"/>
        <v>208</v>
      </c>
      <c r="C223" s="25" t="s">
        <v>872</v>
      </c>
      <c r="D223" s="25" t="s">
        <v>37</v>
      </c>
      <c r="E223" s="25" t="s">
        <v>873</v>
      </c>
      <c r="F223" s="25" t="s">
        <v>344</v>
      </c>
      <c r="H223" s="29"/>
      <c r="I223" s="29"/>
      <c r="J223" s="29"/>
      <c r="K223" s="29"/>
      <c r="L223" s="1460" t="s">
        <v>631</v>
      </c>
      <c r="M223" s="1460"/>
      <c r="N223" s="1460"/>
      <c r="O223" s="1460"/>
      <c r="P223" s="1460"/>
      <c r="Q223" s="1460"/>
      <c r="R223" s="1460"/>
      <c r="S223" s="1460"/>
      <c r="T223" s="1460"/>
      <c r="U223" s="1460"/>
      <c r="V223" s="1460"/>
      <c r="W223" s="1460"/>
    </row>
    <row r="224" spans="2:23" x14ac:dyDescent="0.45">
      <c r="B224" s="26">
        <f t="shared" si="5"/>
        <v>209</v>
      </c>
      <c r="C224" s="25" t="s">
        <v>874</v>
      </c>
      <c r="D224" s="25" t="s">
        <v>37</v>
      </c>
      <c r="E224" s="25" t="s">
        <v>875</v>
      </c>
      <c r="F224" s="25" t="s">
        <v>344</v>
      </c>
      <c r="H224" s="29"/>
      <c r="I224" s="29"/>
      <c r="J224" s="29"/>
      <c r="K224" s="29"/>
      <c r="L224" s="1460" t="s">
        <v>631</v>
      </c>
      <c r="M224" s="1460"/>
      <c r="N224" s="1460"/>
      <c r="O224" s="1460"/>
      <c r="P224" s="1460"/>
      <c r="Q224" s="1460"/>
      <c r="R224" s="1460"/>
      <c r="S224" s="1460"/>
      <c r="T224" s="1460"/>
      <c r="U224" s="1460"/>
      <c r="V224" s="1460"/>
      <c r="W224" s="1460"/>
    </row>
    <row r="225" spans="1:35" x14ac:dyDescent="0.45">
      <c r="B225" s="26">
        <f t="shared" si="5"/>
        <v>210</v>
      </c>
      <c r="C225" s="25" t="s">
        <v>876</v>
      </c>
      <c r="D225" s="25" t="s">
        <v>37</v>
      </c>
      <c r="E225" s="25" t="s">
        <v>877</v>
      </c>
      <c r="F225" s="25" t="s">
        <v>344</v>
      </c>
      <c r="H225" s="29"/>
      <c r="I225" s="29"/>
      <c r="J225" s="29"/>
      <c r="K225" s="29"/>
      <c r="L225" s="1460" t="s">
        <v>631</v>
      </c>
      <c r="M225" s="1460"/>
      <c r="N225" s="1460"/>
      <c r="O225" s="1460"/>
      <c r="P225" s="1460"/>
      <c r="Q225" s="1460"/>
      <c r="R225" s="1460"/>
      <c r="S225" s="1460"/>
      <c r="T225" s="1460"/>
      <c r="U225" s="1460"/>
      <c r="V225" s="1460"/>
      <c r="W225" s="1460"/>
    </row>
    <row r="226" spans="1:35" x14ac:dyDescent="0.45">
      <c r="B226" s="26">
        <f t="shared" si="5"/>
        <v>211</v>
      </c>
      <c r="C226" s="25" t="s">
        <v>878</v>
      </c>
      <c r="D226" s="25" t="s">
        <v>37</v>
      </c>
      <c r="E226" s="25" t="s">
        <v>879</v>
      </c>
      <c r="F226" s="25" t="s">
        <v>344</v>
      </c>
      <c r="H226" s="29"/>
      <c r="I226" s="29"/>
      <c r="J226" s="29"/>
      <c r="K226" s="29"/>
      <c r="L226" s="1460" t="s">
        <v>631</v>
      </c>
      <c r="M226" s="1460"/>
      <c r="N226" s="1460"/>
      <c r="O226" s="1460"/>
      <c r="P226" s="1460"/>
      <c r="Q226" s="1460"/>
      <c r="R226" s="1460"/>
      <c r="S226" s="1460"/>
      <c r="T226" s="1460"/>
      <c r="U226" s="1460"/>
      <c r="V226" s="1460"/>
      <c r="W226" s="1460"/>
    </row>
    <row r="227" spans="1:35" x14ac:dyDescent="0.45">
      <c r="B227" s="26">
        <f t="shared" si="5"/>
        <v>212</v>
      </c>
      <c r="C227" s="25" t="s">
        <v>880</v>
      </c>
      <c r="D227" s="25" t="s">
        <v>37</v>
      </c>
      <c r="E227" s="25" t="s">
        <v>881</v>
      </c>
      <c r="F227" s="25" t="s">
        <v>344</v>
      </c>
      <c r="H227" s="29"/>
      <c r="I227" s="29"/>
      <c r="J227" s="29"/>
      <c r="K227" s="29"/>
      <c r="L227" s="1460" t="s">
        <v>631</v>
      </c>
      <c r="M227" s="1460"/>
      <c r="N227" s="1460"/>
      <c r="O227" s="1460"/>
      <c r="P227" s="1460"/>
      <c r="Q227" s="1460"/>
      <c r="R227" s="1460"/>
      <c r="S227" s="1460"/>
      <c r="T227" s="1460"/>
      <c r="U227" s="1460"/>
      <c r="V227" s="1460"/>
      <c r="W227" s="1460"/>
    </row>
    <row r="228" spans="1:35" x14ac:dyDescent="0.45">
      <c r="A228" s="55"/>
      <c r="B228" s="26"/>
    </row>
    <row r="229" spans="1:35" x14ac:dyDescent="0.45">
      <c r="B229" s="26"/>
      <c r="C229" s="77" t="s">
        <v>966</v>
      </c>
      <c r="X229" s="23"/>
    </row>
    <row r="230" spans="1:35" s="31" customFormat="1" x14ac:dyDescent="0.45">
      <c r="B230" s="118">
        <f>B227+1</f>
        <v>213</v>
      </c>
      <c r="C230" s="126" t="s">
        <v>1067</v>
      </c>
      <c r="D230" s="126" t="s">
        <v>37</v>
      </c>
      <c r="E230" s="126" t="s">
        <v>936</v>
      </c>
      <c r="F230" s="126" t="s">
        <v>331</v>
      </c>
      <c r="G230" s="126"/>
      <c r="H230" s="205" t="s">
        <v>108</v>
      </c>
      <c r="I230" s="127"/>
      <c r="J230" s="127"/>
      <c r="K230" s="127"/>
      <c r="L230" s="127"/>
      <c r="M230" s="127"/>
      <c r="N230" s="127"/>
      <c r="O230" s="205" t="s">
        <v>1107</v>
      </c>
      <c r="P230" s="127"/>
      <c r="Q230" s="127"/>
      <c r="R230" s="127"/>
      <c r="S230" s="205" t="s">
        <v>1072</v>
      </c>
      <c r="T230" s="127"/>
      <c r="U230" s="127"/>
      <c r="V230" s="127"/>
      <c r="W230" s="205" t="s">
        <v>991</v>
      </c>
      <c r="X230" s="129"/>
      <c r="Y230" s="206"/>
      <c r="Z230" s="206"/>
      <c r="AA230" s="206"/>
      <c r="AB230" s="206"/>
      <c r="AC230" s="206"/>
      <c r="AD230" s="206"/>
      <c r="AE230" s="206"/>
      <c r="AF230" s="206"/>
      <c r="AG230" s="206"/>
      <c r="AH230" s="206"/>
      <c r="AI230" s="206"/>
    </row>
    <row r="231" spans="1:35" s="126" customFormat="1" x14ac:dyDescent="0.45">
      <c r="A231" s="31"/>
      <c r="B231" s="118">
        <f>B230+1</f>
        <v>214</v>
      </c>
      <c r="C231" s="126" t="s">
        <v>975</v>
      </c>
      <c r="D231" s="126" t="s">
        <v>37</v>
      </c>
      <c r="E231" s="126" t="s">
        <v>937</v>
      </c>
      <c r="F231" s="126" t="s">
        <v>935</v>
      </c>
      <c r="H231" s="1305" t="s">
        <v>974</v>
      </c>
      <c r="I231" s="1306"/>
      <c r="J231" s="1306"/>
      <c r="K231" s="1306"/>
      <c r="L231" s="1306"/>
      <c r="M231" s="1306"/>
      <c r="N231" s="1306"/>
      <c r="O231" s="1306"/>
      <c r="P231" s="1306"/>
      <c r="Q231" s="1306"/>
      <c r="R231" s="1306"/>
      <c r="S231" s="1306"/>
      <c r="T231" s="1306"/>
      <c r="U231" s="1306"/>
      <c r="V231" s="1306"/>
      <c r="W231" s="1307"/>
      <c r="X231" s="129"/>
    </row>
    <row r="232" spans="1:35" s="31" customFormat="1" x14ac:dyDescent="0.45">
      <c r="B232" s="118">
        <f t="shared" ref="B232:B234" si="6">B231+1</f>
        <v>215</v>
      </c>
      <c r="C232" s="126" t="s">
        <v>116</v>
      </c>
      <c r="D232" s="126" t="s">
        <v>37</v>
      </c>
      <c r="E232" s="126" t="s">
        <v>938</v>
      </c>
      <c r="F232" s="126" t="s">
        <v>1104</v>
      </c>
      <c r="G232" s="126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305" t="s">
        <v>119</v>
      </c>
      <c r="U232" s="1306"/>
      <c r="V232" s="1306"/>
      <c r="W232" s="1307"/>
      <c r="X232" s="129"/>
    </row>
    <row r="233" spans="1:35" s="126" customFormat="1" x14ac:dyDescent="0.45">
      <c r="A233" s="31"/>
      <c r="B233" s="118">
        <f t="shared" si="6"/>
        <v>216</v>
      </c>
      <c r="C233" s="126" t="s">
        <v>120</v>
      </c>
      <c r="D233" s="126" t="s">
        <v>37</v>
      </c>
      <c r="E233" s="126" t="s">
        <v>939</v>
      </c>
      <c r="F233" s="126" t="s">
        <v>331</v>
      </c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205" t="s">
        <v>122</v>
      </c>
      <c r="W233" s="205" t="s">
        <v>123</v>
      </c>
      <c r="X233" s="129"/>
    </row>
    <row r="234" spans="1:35" s="126" customFormat="1" x14ac:dyDescent="0.45">
      <c r="A234" s="31"/>
      <c r="B234" s="118">
        <f t="shared" si="6"/>
        <v>217</v>
      </c>
      <c r="C234" s="126" t="s">
        <v>124</v>
      </c>
      <c r="D234" s="126" t="s">
        <v>37</v>
      </c>
      <c r="E234" s="126" t="s">
        <v>940</v>
      </c>
      <c r="F234" s="126" t="s">
        <v>973</v>
      </c>
      <c r="H234" s="127"/>
      <c r="I234" s="127"/>
      <c r="J234" s="127"/>
      <c r="K234" s="127"/>
      <c r="L234" s="1305" t="s">
        <v>126</v>
      </c>
      <c r="M234" s="1306"/>
      <c r="N234" s="1306"/>
      <c r="O234" s="1306"/>
      <c r="P234" s="1306"/>
      <c r="Q234" s="1306"/>
      <c r="R234" s="1306"/>
      <c r="S234" s="1306"/>
      <c r="T234" s="1306"/>
      <c r="U234" s="1306"/>
      <c r="V234" s="1306"/>
      <c r="W234" s="1307"/>
      <c r="X234" s="129"/>
    </row>
    <row r="235" spans="1:35" s="126" customFormat="1" x14ac:dyDescent="0.45">
      <c r="A235" s="31"/>
      <c r="B235" s="118"/>
      <c r="X235" s="129"/>
    </row>
    <row r="236" spans="1:35" s="126" customFormat="1" x14ac:dyDescent="0.45">
      <c r="A236" s="31"/>
      <c r="B236" s="118"/>
      <c r="C236" s="132" t="s">
        <v>967</v>
      </c>
      <c r="X236" s="129"/>
    </row>
    <row r="237" spans="1:35" s="126" customFormat="1" x14ac:dyDescent="0.45">
      <c r="A237" s="31"/>
      <c r="B237" s="118">
        <f>B234+1</f>
        <v>218</v>
      </c>
      <c r="C237" s="126" t="s">
        <v>976</v>
      </c>
      <c r="D237" s="126" t="s">
        <v>37</v>
      </c>
      <c r="E237" s="126" t="s">
        <v>1074</v>
      </c>
      <c r="F237" s="126" t="s">
        <v>1105</v>
      </c>
      <c r="H237" s="127"/>
      <c r="I237" s="1305" t="s">
        <v>969</v>
      </c>
      <c r="J237" s="1306"/>
      <c r="K237" s="1306"/>
      <c r="L237" s="1306"/>
      <c r="M237" s="1306"/>
      <c r="N237" s="1306"/>
      <c r="O237" s="1307"/>
      <c r="P237" s="127"/>
      <c r="Q237" s="127"/>
      <c r="R237" s="127"/>
      <c r="S237" s="127"/>
      <c r="T237" s="1305" t="s">
        <v>968</v>
      </c>
      <c r="U237" s="1306"/>
      <c r="V237" s="1306"/>
      <c r="W237" s="1307"/>
      <c r="X237" s="129"/>
    </row>
    <row r="238" spans="1:35" s="31" customFormat="1" x14ac:dyDescent="0.45">
      <c r="B238" s="118">
        <f>B237+1</f>
        <v>219</v>
      </c>
      <c r="C238" s="126" t="s">
        <v>977</v>
      </c>
      <c r="D238" s="126" t="s">
        <v>37</v>
      </c>
      <c r="E238" s="126" t="s">
        <v>972</v>
      </c>
      <c r="F238" s="126" t="s">
        <v>1106</v>
      </c>
      <c r="G238" s="126"/>
      <c r="H238" s="127"/>
      <c r="I238" s="127"/>
      <c r="J238" s="1305" t="s">
        <v>970</v>
      </c>
      <c r="K238" s="1306"/>
      <c r="L238" s="1306"/>
      <c r="M238" s="1306"/>
      <c r="N238" s="1306"/>
      <c r="O238" s="1307"/>
      <c r="P238" s="1305" t="s">
        <v>971</v>
      </c>
      <c r="Q238" s="1306"/>
      <c r="R238" s="1306"/>
      <c r="S238" s="1306"/>
      <c r="T238" s="1306"/>
      <c r="U238" s="1306"/>
      <c r="V238" s="1306"/>
      <c r="W238" s="1307"/>
      <c r="X238" s="129"/>
    </row>
    <row r="239" spans="1:35" s="31" customFormat="1" x14ac:dyDescent="0.45">
      <c r="B239" s="118">
        <f t="shared" ref="B239" si="7">B238+1</f>
        <v>220</v>
      </c>
      <c r="C239" s="126" t="s">
        <v>993</v>
      </c>
      <c r="D239" s="126" t="s">
        <v>37</v>
      </c>
      <c r="E239" s="126" t="s">
        <v>941</v>
      </c>
      <c r="F239" s="126" t="s">
        <v>331</v>
      </c>
      <c r="G239" s="126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305" t="s">
        <v>1098</v>
      </c>
      <c r="S239" s="1306"/>
      <c r="T239" s="1306"/>
      <c r="U239" s="1306"/>
      <c r="V239" s="1306"/>
      <c r="W239" s="1307"/>
      <c r="X239" s="129"/>
    </row>
  </sheetData>
  <mergeCells count="295"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20:W20"/>
    <mergeCell ref="H21:O21"/>
    <mergeCell ref="O13:W13"/>
    <mergeCell ref="R14:W14"/>
    <mergeCell ref="J15:O15"/>
    <mergeCell ref="R15:W15"/>
    <mergeCell ref="J16:O16"/>
    <mergeCell ref="R16:W16"/>
    <mergeCell ref="I31:O31"/>
    <mergeCell ref="Q31:W31"/>
    <mergeCell ref="I33:K33"/>
    <mergeCell ref="M33:O33"/>
    <mergeCell ref="Q33:S33"/>
    <mergeCell ref="U33:W33"/>
    <mergeCell ref="I22:O22"/>
    <mergeCell ref="Q22:W22"/>
    <mergeCell ref="H29:O29"/>
    <mergeCell ref="P29:Q29"/>
    <mergeCell ref="I30:K30"/>
    <mergeCell ref="N30:O30"/>
    <mergeCell ref="P30:Q30"/>
    <mergeCell ref="R30:S30"/>
    <mergeCell ref="I39:M39"/>
    <mergeCell ref="N39:R39"/>
    <mergeCell ref="S39:W39"/>
    <mergeCell ref="I40:M40"/>
    <mergeCell ref="N40:R40"/>
    <mergeCell ref="S40:W40"/>
    <mergeCell ref="H35:O35"/>
    <mergeCell ref="P35:W35"/>
    <mergeCell ref="I37:M37"/>
    <mergeCell ref="N37:R37"/>
    <mergeCell ref="S37:W37"/>
    <mergeCell ref="I38:M38"/>
    <mergeCell ref="N38:R38"/>
    <mergeCell ref="S38:W38"/>
    <mergeCell ref="I43:M43"/>
    <mergeCell ref="N43:R43"/>
    <mergeCell ref="S43:W43"/>
    <mergeCell ref="I44:M44"/>
    <mergeCell ref="N44:R44"/>
    <mergeCell ref="S44:W44"/>
    <mergeCell ref="I41:M41"/>
    <mergeCell ref="N41:R41"/>
    <mergeCell ref="S41:W41"/>
    <mergeCell ref="I42:M42"/>
    <mergeCell ref="N42:R42"/>
    <mergeCell ref="S42:W42"/>
    <mergeCell ref="I48:M48"/>
    <mergeCell ref="N48:R48"/>
    <mergeCell ref="S48:W48"/>
    <mergeCell ref="I49:M49"/>
    <mergeCell ref="N49:R49"/>
    <mergeCell ref="S49:W49"/>
    <mergeCell ref="I46:M46"/>
    <mergeCell ref="N46:R46"/>
    <mergeCell ref="S46:W46"/>
    <mergeCell ref="I47:M47"/>
    <mergeCell ref="N47:R47"/>
    <mergeCell ref="S47:W47"/>
    <mergeCell ref="I52:M52"/>
    <mergeCell ref="N52:R52"/>
    <mergeCell ref="S52:W52"/>
    <mergeCell ref="I53:M53"/>
    <mergeCell ref="N53:R53"/>
    <mergeCell ref="S53:W53"/>
    <mergeCell ref="I50:M50"/>
    <mergeCell ref="N50:R50"/>
    <mergeCell ref="S50:W50"/>
    <mergeCell ref="I51:M51"/>
    <mergeCell ref="N51:R51"/>
    <mergeCell ref="S51:W51"/>
    <mergeCell ref="H57:O57"/>
    <mergeCell ref="P57:W57"/>
    <mergeCell ref="H58:O58"/>
    <mergeCell ref="P58:W58"/>
    <mergeCell ref="H59:O59"/>
    <mergeCell ref="P59:W59"/>
    <mergeCell ref="H54:O54"/>
    <mergeCell ref="P54:W54"/>
    <mergeCell ref="H55:O55"/>
    <mergeCell ref="P55:W55"/>
    <mergeCell ref="H56:O56"/>
    <mergeCell ref="P56:W56"/>
    <mergeCell ref="H63:O63"/>
    <mergeCell ref="P63:W63"/>
    <mergeCell ref="H64:O64"/>
    <mergeCell ref="P64:W64"/>
    <mergeCell ref="H65:O65"/>
    <mergeCell ref="P65:W65"/>
    <mergeCell ref="H60:O60"/>
    <mergeCell ref="P60:W60"/>
    <mergeCell ref="H61:O61"/>
    <mergeCell ref="P61:W61"/>
    <mergeCell ref="H62:O62"/>
    <mergeCell ref="P62:W62"/>
    <mergeCell ref="H76:P76"/>
    <mergeCell ref="Q76:W76"/>
    <mergeCell ref="I77:O77"/>
    <mergeCell ref="Q77:W77"/>
    <mergeCell ref="O78:W78"/>
    <mergeCell ref="H79:P79"/>
    <mergeCell ref="Q79:W79"/>
    <mergeCell ref="H68:I68"/>
    <mergeCell ref="K68:O68"/>
    <mergeCell ref="L72:W72"/>
    <mergeCell ref="L73:W73"/>
    <mergeCell ref="L74:W74"/>
    <mergeCell ref="H75:M75"/>
    <mergeCell ref="N75:R75"/>
    <mergeCell ref="S75:W75"/>
    <mergeCell ref="L84:W84"/>
    <mergeCell ref="P85:S85"/>
    <mergeCell ref="T85:W85"/>
    <mergeCell ref="H86:W86"/>
    <mergeCell ref="H87:O87"/>
    <mergeCell ref="Q87:W87"/>
    <mergeCell ref="H80:K80"/>
    <mergeCell ref="O80:W80"/>
    <mergeCell ref="H81:Q81"/>
    <mergeCell ref="R81:W81"/>
    <mergeCell ref="H82:W82"/>
    <mergeCell ref="L83:W83"/>
    <mergeCell ref="H93:K93"/>
    <mergeCell ref="L93:O93"/>
    <mergeCell ref="P93:S93"/>
    <mergeCell ref="T93:W93"/>
    <mergeCell ref="H94:K94"/>
    <mergeCell ref="L94:O94"/>
    <mergeCell ref="P94:S94"/>
    <mergeCell ref="T94:W94"/>
    <mergeCell ref="L88:W88"/>
    <mergeCell ref="L91:W91"/>
    <mergeCell ref="H92:K92"/>
    <mergeCell ref="L92:O92"/>
    <mergeCell ref="P92:S92"/>
    <mergeCell ref="T92:W92"/>
    <mergeCell ref="H97:K97"/>
    <mergeCell ref="L97:O97"/>
    <mergeCell ref="P97:S97"/>
    <mergeCell ref="T97:W97"/>
    <mergeCell ref="L100:W100"/>
    <mergeCell ref="L101:W101"/>
    <mergeCell ref="H95:K95"/>
    <mergeCell ref="L95:O95"/>
    <mergeCell ref="P95:S95"/>
    <mergeCell ref="T95:W95"/>
    <mergeCell ref="H96:K96"/>
    <mergeCell ref="L96:O96"/>
    <mergeCell ref="P96:S96"/>
    <mergeCell ref="T96:W96"/>
    <mergeCell ref="L108:W108"/>
    <mergeCell ref="L109:W109"/>
    <mergeCell ref="L110:W110"/>
    <mergeCell ref="L111:W111"/>
    <mergeCell ref="L112:W112"/>
    <mergeCell ref="L113:W113"/>
    <mergeCell ref="L102:W102"/>
    <mergeCell ref="L103:W103"/>
    <mergeCell ref="L104:W104"/>
    <mergeCell ref="L105:W105"/>
    <mergeCell ref="L106:W106"/>
    <mergeCell ref="L107:W107"/>
    <mergeCell ref="L120:W120"/>
    <mergeCell ref="L121:W121"/>
    <mergeCell ref="L122:W122"/>
    <mergeCell ref="L123:W123"/>
    <mergeCell ref="L124:W124"/>
    <mergeCell ref="L125:W125"/>
    <mergeCell ref="L114:W114"/>
    <mergeCell ref="L115:W115"/>
    <mergeCell ref="L116:W116"/>
    <mergeCell ref="L117:W117"/>
    <mergeCell ref="L118:W118"/>
    <mergeCell ref="L119:W119"/>
    <mergeCell ref="L132:W132"/>
    <mergeCell ref="L133:W133"/>
    <mergeCell ref="L134:W134"/>
    <mergeCell ref="L135:W135"/>
    <mergeCell ref="L136:W136"/>
    <mergeCell ref="L137:W137"/>
    <mergeCell ref="L126:W126"/>
    <mergeCell ref="L127:W127"/>
    <mergeCell ref="L128:W128"/>
    <mergeCell ref="L129:W129"/>
    <mergeCell ref="L130:W130"/>
    <mergeCell ref="L131:W131"/>
    <mergeCell ref="L144:W144"/>
    <mergeCell ref="L145:W145"/>
    <mergeCell ref="L146:W146"/>
    <mergeCell ref="L147:W147"/>
    <mergeCell ref="L148:W148"/>
    <mergeCell ref="L149:W149"/>
    <mergeCell ref="L138:W138"/>
    <mergeCell ref="L139:W139"/>
    <mergeCell ref="L140:W140"/>
    <mergeCell ref="L141:W141"/>
    <mergeCell ref="L142:W142"/>
    <mergeCell ref="L143:W143"/>
    <mergeCell ref="L156:W156"/>
    <mergeCell ref="L157:W157"/>
    <mergeCell ref="L158:W158"/>
    <mergeCell ref="L159:W159"/>
    <mergeCell ref="L160:W160"/>
    <mergeCell ref="L161:W161"/>
    <mergeCell ref="L150:W150"/>
    <mergeCell ref="L151:W151"/>
    <mergeCell ref="L152:W152"/>
    <mergeCell ref="L153:W153"/>
    <mergeCell ref="L154:W154"/>
    <mergeCell ref="L155:W155"/>
    <mergeCell ref="L168:W168"/>
    <mergeCell ref="L169:W169"/>
    <mergeCell ref="L170:W170"/>
    <mergeCell ref="L171:W171"/>
    <mergeCell ref="L172:W172"/>
    <mergeCell ref="L173:W173"/>
    <mergeCell ref="L162:W162"/>
    <mergeCell ref="L163:W163"/>
    <mergeCell ref="L164:W164"/>
    <mergeCell ref="L165:W165"/>
    <mergeCell ref="L166:W166"/>
    <mergeCell ref="L167:W167"/>
    <mergeCell ref="L180:W180"/>
    <mergeCell ref="L181:W181"/>
    <mergeCell ref="L182:W182"/>
    <mergeCell ref="L183:W183"/>
    <mergeCell ref="L184:W184"/>
    <mergeCell ref="L185:W185"/>
    <mergeCell ref="L174:W174"/>
    <mergeCell ref="L175:W175"/>
    <mergeCell ref="L176:W176"/>
    <mergeCell ref="L177:W177"/>
    <mergeCell ref="L178:W178"/>
    <mergeCell ref="L179:W179"/>
    <mergeCell ref="L192:W192"/>
    <mergeCell ref="L193:W193"/>
    <mergeCell ref="L194:W194"/>
    <mergeCell ref="L195:W195"/>
    <mergeCell ref="L196:W196"/>
    <mergeCell ref="L197:W197"/>
    <mergeCell ref="L186:W186"/>
    <mergeCell ref="L187:W187"/>
    <mergeCell ref="L188:W188"/>
    <mergeCell ref="L189:W189"/>
    <mergeCell ref="L190:W190"/>
    <mergeCell ref="L191:W191"/>
    <mergeCell ref="L204:W204"/>
    <mergeCell ref="L205:W205"/>
    <mergeCell ref="L206:W206"/>
    <mergeCell ref="L207:W207"/>
    <mergeCell ref="L208:W208"/>
    <mergeCell ref="L209:W209"/>
    <mergeCell ref="L198:W198"/>
    <mergeCell ref="L199:W199"/>
    <mergeCell ref="L200:W200"/>
    <mergeCell ref="L201:W201"/>
    <mergeCell ref="L202:W202"/>
    <mergeCell ref="L203:W203"/>
    <mergeCell ref="L216:W216"/>
    <mergeCell ref="L217:W217"/>
    <mergeCell ref="L218:W218"/>
    <mergeCell ref="L219:W219"/>
    <mergeCell ref="L220:W220"/>
    <mergeCell ref="L221:W221"/>
    <mergeCell ref="L210:W210"/>
    <mergeCell ref="L211:W211"/>
    <mergeCell ref="L212:W212"/>
    <mergeCell ref="L213:W213"/>
    <mergeCell ref="L214:W214"/>
    <mergeCell ref="L215:W215"/>
    <mergeCell ref="R239:W239"/>
    <mergeCell ref="H231:W231"/>
    <mergeCell ref="T232:W232"/>
    <mergeCell ref="L234:W234"/>
    <mergeCell ref="I237:O237"/>
    <mergeCell ref="T237:W237"/>
    <mergeCell ref="J238:O238"/>
    <mergeCell ref="P238:W238"/>
    <mergeCell ref="L222:W222"/>
    <mergeCell ref="L223:W223"/>
    <mergeCell ref="L224:W224"/>
    <mergeCell ref="L225:W225"/>
    <mergeCell ref="L226:W226"/>
    <mergeCell ref="L227:W22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D9ED-9693-458E-A924-D2379ECECEAF}">
  <sheetPr>
    <tabColor theme="7" tint="0.79998168889431442"/>
  </sheetPr>
  <dimension ref="A1:V86"/>
  <sheetViews>
    <sheetView showGridLines="0" zoomScaleNormal="100" workbookViewId="0"/>
  </sheetViews>
  <sheetFormatPr defaultColWidth="8.58203125" defaultRowHeight="17" x14ac:dyDescent="0.45"/>
  <cols>
    <col min="1" max="1" width="8.58203125" style="31" customWidth="1"/>
    <col min="2" max="2" width="3.08203125" style="31" bestFit="1" customWidth="1"/>
    <col min="3" max="3" width="18.08203125" style="55" bestFit="1" customWidth="1"/>
    <col min="4" max="4" width="6.33203125" style="126" bestFit="1" customWidth="1"/>
    <col min="5" max="5" width="7.58203125" style="126" bestFit="1" customWidth="1"/>
    <col min="6" max="6" width="6.83203125" style="126" bestFit="1" customWidth="1"/>
    <col min="7" max="7" width="1.58203125" style="126" customWidth="1"/>
    <col min="8" max="8" width="13.83203125" style="126" bestFit="1" customWidth="1"/>
    <col min="9" max="9" width="13.58203125" style="126" bestFit="1" customWidth="1"/>
    <col min="10" max="10" width="8.58203125" style="126" bestFit="1" customWidth="1"/>
    <col min="11" max="11" width="13.58203125" style="126" bestFit="1" customWidth="1"/>
    <col min="12" max="12" width="14.5" style="126" bestFit="1" customWidth="1"/>
    <col min="13" max="13" width="14.08203125" style="126" bestFit="1" customWidth="1"/>
    <col min="14" max="14" width="10.5" style="126" bestFit="1" customWidth="1"/>
    <col min="15" max="15" width="9" style="126" bestFit="1" customWidth="1"/>
    <col min="16" max="16" width="9.08203125" style="126" bestFit="1" customWidth="1"/>
    <col min="17" max="17" width="10.58203125" style="126" bestFit="1" customWidth="1"/>
    <col min="18" max="19" width="9.58203125" style="126" bestFit="1" customWidth="1"/>
    <col min="20" max="20" width="88.58203125" style="212" bestFit="1" customWidth="1"/>
    <col min="21" max="21" width="66.83203125" style="211" bestFit="1" customWidth="1"/>
    <col min="22" max="22" width="66.83203125" style="31" bestFit="1" customWidth="1"/>
    <col min="23" max="16384" width="8.58203125" style="31"/>
  </cols>
  <sheetData>
    <row r="1" spans="2:22" x14ac:dyDescent="0.45">
      <c r="D1" s="55"/>
      <c r="E1" s="55"/>
      <c r="F1" s="55"/>
    </row>
    <row r="2" spans="2:22" x14ac:dyDescent="0.45">
      <c r="B2" s="118"/>
      <c r="C2" s="120" t="s">
        <v>19</v>
      </c>
      <c r="D2" s="213" t="s">
        <v>20</v>
      </c>
      <c r="E2" s="213" t="s">
        <v>21</v>
      </c>
      <c r="F2" s="213" t="s">
        <v>22</v>
      </c>
      <c r="G2" s="213"/>
      <c r="H2" s="213" t="s">
        <v>23</v>
      </c>
      <c r="I2" s="213" t="s">
        <v>24</v>
      </c>
      <c r="J2" s="213" t="s">
        <v>25</v>
      </c>
      <c r="K2" s="213" t="s">
        <v>26</v>
      </c>
      <c r="L2" s="213" t="s">
        <v>27</v>
      </c>
      <c r="M2" s="213" t="s">
        <v>28</v>
      </c>
      <c r="N2" s="213" t="s">
        <v>29</v>
      </c>
      <c r="O2" s="213" t="s">
        <v>30</v>
      </c>
      <c r="P2" s="213" t="s">
        <v>31</v>
      </c>
      <c r="Q2" s="213" t="s">
        <v>32</v>
      </c>
      <c r="R2" s="213" t="s">
        <v>33</v>
      </c>
      <c r="S2" s="213" t="s">
        <v>34</v>
      </c>
      <c r="T2" s="214" t="s">
        <v>35</v>
      </c>
      <c r="U2" s="214" t="s">
        <v>36</v>
      </c>
    </row>
    <row r="3" spans="2:22" ht="68" x14ac:dyDescent="0.45">
      <c r="B3" s="118">
        <v>1</v>
      </c>
      <c r="C3" s="55" t="s">
        <v>898</v>
      </c>
      <c r="D3" s="126" t="s">
        <v>37</v>
      </c>
      <c r="E3" s="126" t="s">
        <v>38</v>
      </c>
      <c r="F3" s="126" t="s">
        <v>39</v>
      </c>
      <c r="H3" s="205" t="s">
        <v>174</v>
      </c>
      <c r="I3" s="205" t="s">
        <v>1146</v>
      </c>
      <c r="J3" s="205" t="s">
        <v>1145</v>
      </c>
      <c r="K3" s="1476" t="s">
        <v>1223</v>
      </c>
      <c r="L3" s="1477"/>
      <c r="M3" s="127"/>
      <c r="N3" s="127"/>
      <c r="O3" s="1342" t="s">
        <v>40</v>
      </c>
      <c r="P3" s="1343"/>
      <c r="Q3" s="1343"/>
      <c r="R3" s="1343"/>
      <c r="S3" s="1344"/>
      <c r="T3" s="215" t="s">
        <v>1147</v>
      </c>
      <c r="U3" s="216"/>
    </row>
    <row r="4" spans="2:22" ht="119" x14ac:dyDescent="0.45">
      <c r="B4" s="118">
        <f>B3+1</f>
        <v>2</v>
      </c>
      <c r="C4" s="55" t="s">
        <v>897</v>
      </c>
      <c r="D4" s="126" t="s">
        <v>37</v>
      </c>
      <c r="E4" s="126" t="s">
        <v>41</v>
      </c>
      <c r="F4" s="126" t="s">
        <v>39</v>
      </c>
      <c r="H4" s="1305" t="s">
        <v>45</v>
      </c>
      <c r="I4" s="1306"/>
      <c r="J4" s="1306"/>
      <c r="K4" s="1307"/>
      <c r="L4" s="1345" t="s">
        <v>916</v>
      </c>
      <c r="M4" s="1347"/>
      <c r="N4" s="1478" t="s">
        <v>218</v>
      </c>
      <c r="O4" s="1479"/>
      <c r="P4" s="1480"/>
      <c r="Q4" s="217" t="s">
        <v>176</v>
      </c>
      <c r="R4" s="217" t="s">
        <v>175</v>
      </c>
      <c r="S4" s="217" t="s">
        <v>42</v>
      </c>
      <c r="T4" s="215" t="s">
        <v>1210</v>
      </c>
      <c r="U4" s="215" t="s">
        <v>241</v>
      </c>
    </row>
    <row r="5" spans="2:22" x14ac:dyDescent="0.45">
      <c r="B5" s="118">
        <f t="shared" ref="B5:B25" si="0">B4+1</f>
        <v>3</v>
      </c>
      <c r="C5" s="55" t="s">
        <v>180</v>
      </c>
      <c r="D5" s="126" t="s">
        <v>37</v>
      </c>
      <c r="E5" s="126" t="s">
        <v>133</v>
      </c>
      <c r="F5" s="126" t="s">
        <v>39</v>
      </c>
      <c r="H5" s="127"/>
      <c r="I5" s="127"/>
      <c r="J5" s="127"/>
      <c r="K5" s="127"/>
      <c r="L5" s="1305" t="s">
        <v>1144</v>
      </c>
      <c r="M5" s="1306"/>
      <c r="N5" s="1306"/>
      <c r="O5" s="1306"/>
      <c r="P5" s="1306"/>
      <c r="Q5" s="1306"/>
      <c r="R5" s="1306"/>
      <c r="S5" s="1307"/>
      <c r="T5" s="218" t="s">
        <v>884</v>
      </c>
      <c r="U5" s="215" t="s">
        <v>179</v>
      </c>
    </row>
    <row r="6" spans="2:22" x14ac:dyDescent="0.45">
      <c r="B6" s="118">
        <f t="shared" si="0"/>
        <v>4</v>
      </c>
      <c r="C6" s="55" t="s">
        <v>51</v>
      </c>
      <c r="D6" s="126" t="s">
        <v>37</v>
      </c>
      <c r="E6" s="126" t="s">
        <v>43</v>
      </c>
      <c r="F6" s="126" t="s">
        <v>39</v>
      </c>
      <c r="H6" s="219" t="s">
        <v>53</v>
      </c>
      <c r="I6" s="219" t="s">
        <v>54</v>
      </c>
      <c r="J6" s="219" t="s">
        <v>55</v>
      </c>
      <c r="K6" s="219" t="s">
        <v>56</v>
      </c>
      <c r="L6" s="219" t="s">
        <v>57</v>
      </c>
      <c r="M6" s="219" t="s">
        <v>58</v>
      </c>
      <c r="N6" s="219" t="s">
        <v>59</v>
      </c>
      <c r="O6" s="219" t="s">
        <v>60</v>
      </c>
      <c r="P6" s="219" t="s">
        <v>61</v>
      </c>
      <c r="Q6" s="219" t="s">
        <v>62</v>
      </c>
      <c r="R6" s="219" t="s">
        <v>63</v>
      </c>
      <c r="S6" s="219" t="s">
        <v>64</v>
      </c>
      <c r="T6" s="220"/>
      <c r="U6" s="216"/>
    </row>
    <row r="7" spans="2:22" x14ac:dyDescent="0.45">
      <c r="B7" s="118"/>
      <c r="C7" s="55" t="s">
        <v>207</v>
      </c>
      <c r="E7" s="126" t="s">
        <v>44</v>
      </c>
      <c r="T7" s="126"/>
      <c r="U7" s="126"/>
    </row>
    <row r="8" spans="2:22" ht="102" x14ac:dyDescent="0.45">
      <c r="B8" s="118">
        <f>B6+1</f>
        <v>5</v>
      </c>
      <c r="C8" s="55" t="s">
        <v>65</v>
      </c>
      <c r="D8" s="126" t="s">
        <v>66</v>
      </c>
      <c r="E8" s="126" t="s">
        <v>137</v>
      </c>
      <c r="F8" s="126" t="s">
        <v>47</v>
      </c>
      <c r="H8" s="205" t="s">
        <v>216</v>
      </c>
      <c r="I8" s="127"/>
      <c r="J8" s="205" t="s">
        <v>1108</v>
      </c>
      <c r="K8" s="205" t="s">
        <v>1109</v>
      </c>
      <c r="L8" s="127"/>
      <c r="M8" s="127"/>
      <c r="N8" s="127"/>
      <c r="O8" s="127"/>
      <c r="P8" s="219" t="s">
        <v>68</v>
      </c>
      <c r="Q8" s="205" t="s">
        <v>69</v>
      </c>
      <c r="R8" s="205" t="s">
        <v>70</v>
      </c>
      <c r="S8" s="219" t="s">
        <v>15</v>
      </c>
      <c r="T8" s="220" t="s">
        <v>892</v>
      </c>
      <c r="U8" s="221" t="s">
        <v>244</v>
      </c>
    </row>
    <row r="9" spans="2:22" x14ac:dyDescent="0.45">
      <c r="B9" s="118">
        <f t="shared" si="0"/>
        <v>6</v>
      </c>
      <c r="C9" s="55" t="s">
        <v>71</v>
      </c>
      <c r="D9" s="126" t="s">
        <v>37</v>
      </c>
      <c r="E9" s="126" t="s">
        <v>46</v>
      </c>
      <c r="F9" s="126" t="s">
        <v>47</v>
      </c>
      <c r="H9" s="127"/>
      <c r="I9" s="1348" t="s">
        <v>73</v>
      </c>
      <c r="J9" s="1474"/>
      <c r="K9" s="1475"/>
      <c r="L9" s="127"/>
      <c r="M9" s="1348" t="s">
        <v>74</v>
      </c>
      <c r="N9" s="1349"/>
      <c r="O9" s="1350"/>
      <c r="P9" s="410" t="s">
        <v>1350</v>
      </c>
      <c r="Q9" s="1308" t="s">
        <v>75</v>
      </c>
      <c r="R9" s="1309"/>
      <c r="S9" s="1310"/>
      <c r="T9" s="215"/>
      <c r="U9" s="216"/>
    </row>
    <row r="10" spans="2:22" ht="187" x14ac:dyDescent="0.45">
      <c r="B10" s="118">
        <f t="shared" si="0"/>
        <v>7</v>
      </c>
      <c r="C10" s="55" t="s">
        <v>219</v>
      </c>
      <c r="D10" s="126" t="s">
        <v>37</v>
      </c>
      <c r="E10" s="126" t="s">
        <v>140</v>
      </c>
      <c r="F10" s="126" t="s">
        <v>77</v>
      </c>
      <c r="H10" s="205" t="s">
        <v>225</v>
      </c>
      <c r="I10" s="205" t="s">
        <v>1110</v>
      </c>
      <c r="J10" s="127"/>
      <c r="K10" s="205" t="s">
        <v>215</v>
      </c>
      <c r="L10" s="205" t="s">
        <v>217</v>
      </c>
      <c r="M10" s="205" t="s">
        <v>220</v>
      </c>
      <c r="N10" s="205" t="s">
        <v>224</v>
      </c>
      <c r="O10" s="205" t="s">
        <v>893</v>
      </c>
      <c r="P10" s="205" t="s">
        <v>325</v>
      </c>
      <c r="Q10" s="219" t="s">
        <v>223</v>
      </c>
      <c r="R10" s="219" t="s">
        <v>222</v>
      </c>
      <c r="S10" s="205" t="s">
        <v>221</v>
      </c>
      <c r="T10" s="215" t="s">
        <v>1211</v>
      </c>
      <c r="U10" s="222" t="s">
        <v>1212</v>
      </c>
      <c r="V10" s="222" t="s">
        <v>1213</v>
      </c>
    </row>
    <row r="11" spans="2:22" x14ac:dyDescent="0.45">
      <c r="B11" s="118">
        <f t="shared" si="0"/>
        <v>8</v>
      </c>
      <c r="C11" s="55" t="s">
        <v>48</v>
      </c>
      <c r="D11" s="126" t="s">
        <v>37</v>
      </c>
      <c r="E11" s="126" t="s">
        <v>49</v>
      </c>
      <c r="F11" s="126" t="s">
        <v>47</v>
      </c>
      <c r="H11" s="1342" t="s">
        <v>50</v>
      </c>
      <c r="I11" s="1343"/>
      <c r="J11" s="1343"/>
      <c r="K11" s="1343"/>
      <c r="L11" s="1343"/>
      <c r="M11" s="1343"/>
      <c r="N11" s="1343"/>
      <c r="O11" s="1343"/>
      <c r="P11" s="1343"/>
      <c r="Q11" s="1343"/>
      <c r="R11" s="1343"/>
      <c r="S11" s="1344"/>
      <c r="T11" s="215"/>
      <c r="U11" s="215" t="s">
        <v>179</v>
      </c>
    </row>
    <row r="12" spans="2:22" x14ac:dyDescent="0.45">
      <c r="B12" s="118">
        <f t="shared" si="0"/>
        <v>9</v>
      </c>
      <c r="C12" s="55" t="s">
        <v>208</v>
      </c>
      <c r="D12" s="126" t="s">
        <v>37</v>
      </c>
      <c r="E12" s="126" t="s">
        <v>52</v>
      </c>
      <c r="F12" s="126" t="s">
        <v>47</v>
      </c>
      <c r="H12" s="1305" t="s">
        <v>200</v>
      </c>
      <c r="I12" s="1307"/>
      <c r="J12" s="1305" t="s">
        <v>199</v>
      </c>
      <c r="K12" s="1307"/>
      <c r="L12" s="1305" t="s">
        <v>198</v>
      </c>
      <c r="M12" s="1307"/>
      <c r="N12" s="1305" t="s">
        <v>197</v>
      </c>
      <c r="O12" s="1307"/>
      <c r="P12" s="1305" t="s">
        <v>196</v>
      </c>
      <c r="Q12" s="1307"/>
      <c r="R12" s="1305" t="s">
        <v>195</v>
      </c>
      <c r="S12" s="1307"/>
      <c r="T12" s="223" t="s">
        <v>182</v>
      </c>
      <c r="U12" s="216"/>
    </row>
    <row r="13" spans="2:22" x14ac:dyDescent="0.45">
      <c r="B13" s="118">
        <f t="shared" si="0"/>
        <v>10</v>
      </c>
      <c r="C13" s="55" t="s">
        <v>209</v>
      </c>
      <c r="D13" s="126" t="s">
        <v>37</v>
      </c>
      <c r="E13" s="126" t="s">
        <v>144</v>
      </c>
      <c r="F13" s="126" t="s">
        <v>47</v>
      </c>
      <c r="H13" s="1305" t="s">
        <v>206</v>
      </c>
      <c r="I13" s="1307"/>
      <c r="J13" s="1305" t="s">
        <v>205</v>
      </c>
      <c r="K13" s="1307"/>
      <c r="L13" s="1305" t="s">
        <v>204</v>
      </c>
      <c r="M13" s="1307"/>
      <c r="N13" s="1305" t="s">
        <v>203</v>
      </c>
      <c r="O13" s="1307"/>
      <c r="P13" s="1305" t="s">
        <v>202</v>
      </c>
      <c r="Q13" s="1307"/>
      <c r="R13" s="1305" t="s">
        <v>201</v>
      </c>
      <c r="S13" s="1307"/>
      <c r="T13" s="215"/>
      <c r="U13" s="216"/>
    </row>
    <row r="14" spans="2:22" x14ac:dyDescent="0.45">
      <c r="B14" s="118">
        <f t="shared" si="0"/>
        <v>11</v>
      </c>
      <c r="C14" s="55" t="s">
        <v>78</v>
      </c>
      <c r="D14" s="126" t="s">
        <v>37</v>
      </c>
      <c r="E14" s="126" t="s">
        <v>67</v>
      </c>
      <c r="F14" s="126" t="s">
        <v>47</v>
      </c>
      <c r="H14" s="1305" t="s">
        <v>183</v>
      </c>
      <c r="I14" s="1306"/>
      <c r="J14" s="1306"/>
      <c r="K14" s="1306"/>
      <c r="L14" s="1306"/>
      <c r="M14" s="1306"/>
      <c r="N14" s="1306"/>
      <c r="O14" s="1306"/>
      <c r="P14" s="1306"/>
      <c r="Q14" s="1306"/>
      <c r="R14" s="1306"/>
      <c r="S14" s="1307"/>
      <c r="T14" s="223"/>
      <c r="U14" s="216"/>
    </row>
    <row r="15" spans="2:22" x14ac:dyDescent="0.45">
      <c r="B15" s="118">
        <f t="shared" si="0"/>
        <v>12</v>
      </c>
      <c r="C15" s="55" t="s">
        <v>80</v>
      </c>
      <c r="D15" s="126" t="s">
        <v>37</v>
      </c>
      <c r="E15" s="126" t="s">
        <v>72</v>
      </c>
      <c r="F15" s="126" t="s">
        <v>47</v>
      </c>
      <c r="H15" s="1305" t="s">
        <v>184</v>
      </c>
      <c r="I15" s="1306"/>
      <c r="J15" s="1306"/>
      <c r="K15" s="1306"/>
      <c r="L15" s="1306"/>
      <c r="M15" s="1306"/>
      <c r="N15" s="1306"/>
      <c r="O15" s="1306"/>
      <c r="P15" s="1306"/>
      <c r="Q15" s="1306"/>
      <c r="R15" s="1306"/>
      <c r="S15" s="1307"/>
      <c r="T15" s="223"/>
      <c r="U15" s="216"/>
    </row>
    <row r="16" spans="2:22" x14ac:dyDescent="0.45">
      <c r="B16" s="118">
        <f t="shared" si="0"/>
        <v>13</v>
      </c>
      <c r="C16" s="55" t="s">
        <v>82</v>
      </c>
      <c r="D16" s="126" t="s">
        <v>37</v>
      </c>
      <c r="E16" s="126" t="s">
        <v>76</v>
      </c>
      <c r="F16" s="126" t="s">
        <v>47</v>
      </c>
      <c r="H16" s="1305" t="s">
        <v>185</v>
      </c>
      <c r="I16" s="1306"/>
      <c r="J16" s="1306"/>
      <c r="K16" s="1306"/>
      <c r="L16" s="1306"/>
      <c r="M16" s="1306"/>
      <c r="N16" s="1306"/>
      <c r="O16" s="1306"/>
      <c r="P16" s="1306"/>
      <c r="Q16" s="1306"/>
      <c r="R16" s="1306"/>
      <c r="S16" s="1307"/>
      <c r="T16" s="223"/>
      <c r="U16" s="216"/>
    </row>
    <row r="17" spans="2:21" x14ac:dyDescent="0.45">
      <c r="B17" s="118">
        <f t="shared" si="0"/>
        <v>14</v>
      </c>
      <c r="C17" s="55" t="s">
        <v>84</v>
      </c>
      <c r="D17" s="126" t="s">
        <v>37</v>
      </c>
      <c r="E17" s="126" t="s">
        <v>79</v>
      </c>
      <c r="F17" s="126" t="s">
        <v>47</v>
      </c>
      <c r="H17" s="1305" t="s">
        <v>186</v>
      </c>
      <c r="I17" s="1306"/>
      <c r="J17" s="1306"/>
      <c r="K17" s="1306"/>
      <c r="L17" s="1306"/>
      <c r="M17" s="1306"/>
      <c r="N17" s="1306"/>
      <c r="O17" s="1306"/>
      <c r="P17" s="1306"/>
      <c r="Q17" s="1306"/>
      <c r="R17" s="1306"/>
      <c r="S17" s="1307"/>
      <c r="T17" s="223"/>
      <c r="U17" s="216"/>
    </row>
    <row r="18" spans="2:21" x14ac:dyDescent="0.45">
      <c r="B18" s="118">
        <f t="shared" si="0"/>
        <v>15</v>
      </c>
      <c r="C18" s="55" t="s">
        <v>85</v>
      </c>
      <c r="D18" s="126" t="s">
        <v>37</v>
      </c>
      <c r="E18" s="126" t="s">
        <v>81</v>
      </c>
      <c r="F18" s="126" t="s">
        <v>47</v>
      </c>
      <c r="H18" s="1305" t="s">
        <v>187</v>
      </c>
      <c r="I18" s="1306"/>
      <c r="J18" s="1306"/>
      <c r="K18" s="1306"/>
      <c r="L18" s="1306"/>
      <c r="M18" s="1306"/>
      <c r="N18" s="1306"/>
      <c r="O18" s="1306"/>
      <c r="P18" s="1306"/>
      <c r="Q18" s="1306"/>
      <c r="R18" s="1306"/>
      <c r="S18" s="1307"/>
      <c r="T18" s="223"/>
      <c r="U18" s="216"/>
    </row>
    <row r="19" spans="2:21" x14ac:dyDescent="0.45">
      <c r="B19" s="118">
        <f t="shared" si="0"/>
        <v>16</v>
      </c>
      <c r="C19" s="55" t="s">
        <v>87</v>
      </c>
      <c r="D19" s="126" t="s">
        <v>37</v>
      </c>
      <c r="E19" s="126" t="s">
        <v>83</v>
      </c>
      <c r="F19" s="126" t="s">
        <v>47</v>
      </c>
      <c r="H19" s="1305" t="s">
        <v>188</v>
      </c>
      <c r="I19" s="1306"/>
      <c r="J19" s="1306"/>
      <c r="K19" s="1306"/>
      <c r="L19" s="1306"/>
      <c r="M19" s="1306"/>
      <c r="N19" s="1306"/>
      <c r="O19" s="1306"/>
      <c r="P19" s="1306"/>
      <c r="Q19" s="1306"/>
      <c r="R19" s="1306"/>
      <c r="S19" s="1307"/>
      <c r="T19" s="223"/>
      <c r="U19" s="216"/>
    </row>
    <row r="20" spans="2:21" x14ac:dyDescent="0.45">
      <c r="B20" s="118">
        <f t="shared" si="0"/>
        <v>17</v>
      </c>
      <c r="C20" s="55" t="s">
        <v>89</v>
      </c>
      <c r="D20" s="126" t="s">
        <v>37</v>
      </c>
      <c r="E20" s="126" t="s">
        <v>210</v>
      </c>
      <c r="F20" s="126" t="s">
        <v>47</v>
      </c>
      <c r="H20" s="1305" t="s">
        <v>189</v>
      </c>
      <c r="I20" s="1306"/>
      <c r="J20" s="1306"/>
      <c r="K20" s="1306"/>
      <c r="L20" s="1306"/>
      <c r="M20" s="1306"/>
      <c r="N20" s="1306"/>
      <c r="O20" s="1306"/>
      <c r="P20" s="1306"/>
      <c r="Q20" s="1306"/>
      <c r="R20" s="1306"/>
      <c r="S20" s="1307"/>
      <c r="T20" s="223"/>
      <c r="U20" s="216"/>
    </row>
    <row r="21" spans="2:21" x14ac:dyDescent="0.45">
      <c r="B21" s="118">
        <f t="shared" si="0"/>
        <v>18</v>
      </c>
      <c r="C21" s="55" t="s">
        <v>91</v>
      </c>
      <c r="D21" s="126" t="s">
        <v>37</v>
      </c>
      <c r="E21" s="126" t="s">
        <v>86</v>
      </c>
      <c r="F21" s="126" t="s">
        <v>47</v>
      </c>
      <c r="H21" s="1305" t="s">
        <v>190</v>
      </c>
      <c r="I21" s="1306"/>
      <c r="J21" s="1306"/>
      <c r="K21" s="1306"/>
      <c r="L21" s="1306"/>
      <c r="M21" s="1306"/>
      <c r="N21" s="1306"/>
      <c r="O21" s="1306"/>
      <c r="P21" s="1306"/>
      <c r="Q21" s="1306"/>
      <c r="R21" s="1306"/>
      <c r="S21" s="1307"/>
      <c r="T21" s="223"/>
      <c r="U21" s="216"/>
    </row>
    <row r="22" spans="2:21" x14ac:dyDescent="0.45">
      <c r="B22" s="118">
        <f t="shared" si="0"/>
        <v>19</v>
      </c>
      <c r="C22" s="55" t="s">
        <v>93</v>
      </c>
      <c r="D22" s="126" t="s">
        <v>37</v>
      </c>
      <c r="E22" s="126" t="s">
        <v>88</v>
      </c>
      <c r="F22" s="126" t="s">
        <v>47</v>
      </c>
      <c r="H22" s="1305" t="s">
        <v>191</v>
      </c>
      <c r="I22" s="1306"/>
      <c r="J22" s="1306"/>
      <c r="K22" s="1306"/>
      <c r="L22" s="1306"/>
      <c r="M22" s="1306"/>
      <c r="N22" s="1306"/>
      <c r="O22" s="1306"/>
      <c r="P22" s="1306"/>
      <c r="Q22" s="1306"/>
      <c r="R22" s="1306"/>
      <c r="S22" s="1307"/>
      <c r="T22" s="223"/>
      <c r="U22" s="216"/>
    </row>
    <row r="23" spans="2:21" x14ac:dyDescent="0.45">
      <c r="B23" s="118">
        <f t="shared" si="0"/>
        <v>20</v>
      </c>
      <c r="C23" s="55" t="s">
        <v>95</v>
      </c>
      <c r="D23" s="126" t="s">
        <v>37</v>
      </c>
      <c r="E23" s="126" t="s">
        <v>90</v>
      </c>
      <c r="F23" s="126" t="s">
        <v>47</v>
      </c>
      <c r="H23" s="1305" t="s">
        <v>192</v>
      </c>
      <c r="I23" s="1306"/>
      <c r="J23" s="1306"/>
      <c r="K23" s="1306"/>
      <c r="L23" s="1306"/>
      <c r="M23" s="1306"/>
      <c r="N23" s="1306"/>
      <c r="O23" s="1306"/>
      <c r="P23" s="1306"/>
      <c r="Q23" s="1306"/>
      <c r="R23" s="1306"/>
      <c r="S23" s="1307"/>
      <c r="T23" s="223"/>
      <c r="U23" s="216"/>
    </row>
    <row r="24" spans="2:21" x14ac:dyDescent="0.45">
      <c r="B24" s="118">
        <f t="shared" si="0"/>
        <v>21</v>
      </c>
      <c r="C24" s="55" t="s">
        <v>96</v>
      </c>
      <c r="D24" s="126" t="s">
        <v>37</v>
      </c>
      <c r="E24" s="126" t="s">
        <v>92</v>
      </c>
      <c r="F24" s="126" t="s">
        <v>47</v>
      </c>
      <c r="H24" s="1305" t="s">
        <v>193</v>
      </c>
      <c r="I24" s="1306"/>
      <c r="J24" s="1306"/>
      <c r="K24" s="1306"/>
      <c r="L24" s="1306"/>
      <c r="M24" s="1306"/>
      <c r="N24" s="1306"/>
      <c r="O24" s="1306"/>
      <c r="P24" s="1306"/>
      <c r="Q24" s="1306"/>
      <c r="R24" s="1306"/>
      <c r="S24" s="1307"/>
      <c r="T24" s="223"/>
      <c r="U24" s="216"/>
    </row>
    <row r="25" spans="2:21" x14ac:dyDescent="0.45">
      <c r="B25" s="118">
        <f t="shared" si="0"/>
        <v>22</v>
      </c>
      <c r="C25" s="55" t="s">
        <v>97</v>
      </c>
      <c r="D25" s="126" t="s">
        <v>37</v>
      </c>
      <c r="E25" s="126" t="s">
        <v>94</v>
      </c>
      <c r="F25" s="126" t="s">
        <v>47</v>
      </c>
      <c r="H25" s="1305" t="s">
        <v>194</v>
      </c>
      <c r="I25" s="1306"/>
      <c r="J25" s="1306"/>
      <c r="K25" s="1306"/>
      <c r="L25" s="1306"/>
      <c r="M25" s="1306"/>
      <c r="N25" s="1306"/>
      <c r="O25" s="1306"/>
      <c r="P25" s="1306"/>
      <c r="Q25" s="1306"/>
      <c r="R25" s="1306"/>
      <c r="S25" s="1307"/>
      <c r="T25" s="223"/>
      <c r="U25" s="216"/>
    </row>
    <row r="26" spans="2:21" x14ac:dyDescent="0.45">
      <c r="B26" s="118"/>
      <c r="C26" s="55" t="s">
        <v>207</v>
      </c>
      <c r="E26" s="126" t="s">
        <v>211</v>
      </c>
      <c r="T26" s="129"/>
      <c r="U26" s="126"/>
    </row>
    <row r="27" spans="2:21" x14ac:dyDescent="0.45">
      <c r="B27" s="118">
        <f>B25+1</f>
        <v>23</v>
      </c>
      <c r="C27" s="55" t="s">
        <v>214</v>
      </c>
      <c r="D27" s="126" t="s">
        <v>37</v>
      </c>
      <c r="E27" s="126" t="s">
        <v>172</v>
      </c>
      <c r="F27" s="126" t="s">
        <v>888</v>
      </c>
      <c r="H27" s="1305" t="s">
        <v>890</v>
      </c>
      <c r="I27" s="1306"/>
      <c r="J27" s="1306"/>
      <c r="K27" s="1306"/>
      <c r="L27" s="1306"/>
      <c r="M27" s="1307"/>
      <c r="N27" s="1305" t="s">
        <v>891</v>
      </c>
      <c r="O27" s="1306"/>
      <c r="P27" s="1306"/>
      <c r="Q27" s="1306"/>
      <c r="R27" s="1306"/>
      <c r="S27" s="1307"/>
      <c r="T27" s="215" t="s">
        <v>887</v>
      </c>
      <c r="U27" s="216"/>
    </row>
    <row r="28" spans="2:21" ht="34" x14ac:dyDescent="0.45">
      <c r="B28" s="118">
        <f>B27+1</f>
        <v>24</v>
      </c>
      <c r="C28" s="55" t="s">
        <v>324</v>
      </c>
      <c r="D28" s="126" t="s">
        <v>37</v>
      </c>
      <c r="E28" s="126" t="s">
        <v>328</v>
      </c>
      <c r="F28" s="126" t="s">
        <v>1152</v>
      </c>
      <c r="H28" s="127"/>
      <c r="I28" s="127"/>
      <c r="J28" s="127"/>
      <c r="K28" s="127"/>
      <c r="L28" s="1305" t="s">
        <v>1150</v>
      </c>
      <c r="M28" s="1306"/>
      <c r="N28" s="1306"/>
      <c r="O28" s="1306"/>
      <c r="P28" s="1306"/>
      <c r="Q28" s="1306"/>
      <c r="R28" s="1306"/>
      <c r="S28" s="1307"/>
      <c r="T28" s="222" t="s">
        <v>894</v>
      </c>
      <c r="U28" s="222"/>
    </row>
    <row r="29" spans="2:21" x14ac:dyDescent="0.45">
      <c r="B29" s="118">
        <f t="shared" ref="B29:B30" si="1">B28+1</f>
        <v>25</v>
      </c>
      <c r="C29" s="55" t="s">
        <v>212</v>
      </c>
      <c r="D29" s="126" t="s">
        <v>37</v>
      </c>
      <c r="E29" s="126" t="s">
        <v>99</v>
      </c>
      <c r="F29" s="126" t="s">
        <v>883</v>
      </c>
      <c r="H29" s="1305" t="s">
        <v>102</v>
      </c>
      <c r="I29" s="1306"/>
      <c r="J29" s="1306"/>
      <c r="K29" s="1306"/>
      <c r="L29" s="1306"/>
      <c r="M29" s="1306"/>
      <c r="N29" s="1306"/>
      <c r="O29" s="1306"/>
      <c r="P29" s="1306"/>
      <c r="Q29" s="1306"/>
      <c r="R29" s="1306"/>
      <c r="S29" s="1307"/>
      <c r="T29" s="215" t="s">
        <v>882</v>
      </c>
      <c r="U29" s="215"/>
    </row>
    <row r="30" spans="2:21" ht="34" x14ac:dyDescent="0.45">
      <c r="B30" s="118">
        <f t="shared" si="1"/>
        <v>26</v>
      </c>
      <c r="C30" s="55" t="s">
        <v>213</v>
      </c>
      <c r="D30" s="126" t="s">
        <v>37</v>
      </c>
      <c r="E30" s="126" t="s">
        <v>101</v>
      </c>
      <c r="F30" s="126" t="s">
        <v>992</v>
      </c>
      <c r="H30" s="205" t="s">
        <v>104</v>
      </c>
      <c r="I30" s="127"/>
      <c r="J30" s="1305" t="s">
        <v>905</v>
      </c>
      <c r="K30" s="1307"/>
      <c r="L30" s="1305" t="s">
        <v>181</v>
      </c>
      <c r="M30" s="1306"/>
      <c r="N30" s="1306"/>
      <c r="O30" s="1306"/>
      <c r="P30" s="1306"/>
      <c r="Q30" s="1306"/>
      <c r="R30" s="1306"/>
      <c r="S30" s="1307"/>
      <c r="T30" s="215" t="s">
        <v>895</v>
      </c>
      <c r="U30" s="215"/>
    </row>
    <row r="31" spans="2:21" x14ac:dyDescent="0.45">
      <c r="B31" s="118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215" t="s">
        <v>1151</v>
      </c>
      <c r="U31" s="215"/>
    </row>
    <row r="32" spans="2:21" x14ac:dyDescent="0.45">
      <c r="B32" s="118">
        <f>B30+1</f>
        <v>27</v>
      </c>
      <c r="C32" s="55" t="s">
        <v>327</v>
      </c>
      <c r="D32" s="126" t="s">
        <v>37</v>
      </c>
      <c r="E32" s="126" t="s">
        <v>326</v>
      </c>
      <c r="F32" s="126" t="s">
        <v>909</v>
      </c>
      <c r="H32" s="1305" t="s">
        <v>100</v>
      </c>
      <c r="I32" s="1306"/>
      <c r="J32" s="1306"/>
      <c r="K32" s="1307"/>
      <c r="L32" s="127"/>
      <c r="M32" s="205" t="s">
        <v>906</v>
      </c>
      <c r="N32" s="1305" t="s">
        <v>907</v>
      </c>
      <c r="O32" s="1307"/>
      <c r="P32" s="127"/>
      <c r="Q32" s="127"/>
      <c r="R32" s="1305" t="s">
        <v>229</v>
      </c>
      <c r="S32" s="1307"/>
      <c r="T32" s="215">
        <f>HEX2DEC(T31)</f>
        <v>200</v>
      </c>
      <c r="U32" s="215"/>
    </row>
    <row r="33" spans="2:21" x14ac:dyDescent="0.45">
      <c r="B33" s="118">
        <f>B32+1</f>
        <v>28</v>
      </c>
      <c r="C33" s="55" t="s">
        <v>230</v>
      </c>
      <c r="D33" s="126" t="s">
        <v>37</v>
      </c>
      <c r="E33" s="126" t="s">
        <v>103</v>
      </c>
      <c r="F33" s="126" t="s">
        <v>39</v>
      </c>
      <c r="H33" s="1305" t="s">
        <v>227</v>
      </c>
      <c r="I33" s="1306"/>
      <c r="J33" s="1306"/>
      <c r="K33" s="1306"/>
      <c r="L33" s="1306"/>
      <c r="M33" s="1306"/>
      <c r="N33" s="1306"/>
      <c r="O33" s="1306"/>
      <c r="P33" s="1306"/>
      <c r="Q33" s="1306"/>
      <c r="R33" s="1306"/>
      <c r="S33" s="1307"/>
      <c r="T33" s="222"/>
      <c r="U33" s="222"/>
    </row>
    <row r="34" spans="2:21" x14ac:dyDescent="0.45">
      <c r="B34" s="118">
        <f t="shared" ref="B34:B37" si="2">B33+1</f>
        <v>29</v>
      </c>
      <c r="C34" s="55" t="s">
        <v>231</v>
      </c>
      <c r="D34" s="126" t="s">
        <v>37</v>
      </c>
      <c r="E34" s="126" t="s">
        <v>105</v>
      </c>
      <c r="F34" s="126" t="s">
        <v>904</v>
      </c>
      <c r="H34" s="205" t="s">
        <v>228</v>
      </c>
      <c r="I34" s="127"/>
      <c r="J34" s="127"/>
      <c r="K34" s="127"/>
      <c r="L34" s="127"/>
      <c r="M34" s="127"/>
      <c r="N34" s="127"/>
      <c r="O34" s="127"/>
      <c r="P34" s="1305" t="s">
        <v>889</v>
      </c>
      <c r="Q34" s="1306"/>
      <c r="R34" s="1306"/>
      <c r="S34" s="1307"/>
      <c r="T34" s="222"/>
      <c r="U34" s="222"/>
    </row>
    <row r="35" spans="2:21" x14ac:dyDescent="0.45">
      <c r="B35" s="118">
        <f t="shared" si="2"/>
        <v>30</v>
      </c>
      <c r="C35" s="55" t="s">
        <v>911</v>
      </c>
      <c r="D35" s="126" t="s">
        <v>912</v>
      </c>
      <c r="E35" s="126" t="s">
        <v>913</v>
      </c>
      <c r="F35" s="126" t="s">
        <v>39</v>
      </c>
      <c r="H35" s="224"/>
      <c r="I35" s="224"/>
      <c r="J35" s="224"/>
      <c r="K35" s="224"/>
      <c r="L35" s="224"/>
      <c r="M35" s="1473" t="s">
        <v>914</v>
      </c>
      <c r="N35" s="1473"/>
      <c r="O35" s="1473"/>
      <c r="P35" s="1473"/>
      <c r="Q35" s="1473"/>
      <c r="R35" s="1473"/>
      <c r="S35" s="1473"/>
      <c r="T35" s="212" t="s">
        <v>915</v>
      </c>
    </row>
    <row r="36" spans="2:21" x14ac:dyDescent="0.45">
      <c r="B36" s="118">
        <f t="shared" si="2"/>
        <v>31</v>
      </c>
      <c r="C36" s="55" t="s">
        <v>1148</v>
      </c>
      <c r="D36" s="126" t="s">
        <v>37</v>
      </c>
      <c r="E36" s="126" t="s">
        <v>988</v>
      </c>
      <c r="F36" s="126" t="s">
        <v>1155</v>
      </c>
      <c r="H36" s="205" t="s">
        <v>1153</v>
      </c>
      <c r="I36" s="228" t="s">
        <v>1154</v>
      </c>
      <c r="J36" s="1305" t="s">
        <v>1149</v>
      </c>
      <c r="K36" s="1306"/>
      <c r="L36" s="1306"/>
      <c r="M36" s="1306"/>
      <c r="N36" s="1306"/>
      <c r="O36" s="1306"/>
      <c r="P36" s="1306"/>
      <c r="Q36" s="1306"/>
      <c r="R36" s="1306"/>
      <c r="S36" s="1307"/>
      <c r="T36" s="223"/>
      <c r="U36" s="216"/>
    </row>
    <row r="37" spans="2:21" x14ac:dyDescent="0.45">
      <c r="B37" s="118">
        <f t="shared" si="2"/>
        <v>32</v>
      </c>
      <c r="C37" s="55" t="s">
        <v>1111</v>
      </c>
      <c r="D37" s="126" t="s">
        <v>37</v>
      </c>
      <c r="E37" s="126" t="s">
        <v>1113</v>
      </c>
      <c r="F37" s="126" t="s">
        <v>39</v>
      </c>
      <c r="H37" s="1345" t="s">
        <v>1112</v>
      </c>
      <c r="I37" s="1346"/>
      <c r="J37" s="1346"/>
      <c r="K37" s="1346"/>
      <c r="L37" s="1346"/>
      <c r="M37" s="1346"/>
      <c r="N37" s="1346"/>
      <c r="O37" s="1346"/>
      <c r="P37" s="1346"/>
      <c r="Q37" s="1346"/>
      <c r="R37" s="1346"/>
      <c r="S37" s="1347"/>
      <c r="T37" s="215" t="s">
        <v>1114</v>
      </c>
      <c r="U37" s="215"/>
    </row>
    <row r="38" spans="2:21" x14ac:dyDescent="0.45">
      <c r="B38" s="118"/>
    </row>
    <row r="39" spans="2:21" ht="170" x14ac:dyDescent="0.45">
      <c r="B39" s="118">
        <v>1</v>
      </c>
      <c r="C39" s="55" t="s">
        <v>106</v>
      </c>
      <c r="D39" s="126" t="s">
        <v>37</v>
      </c>
      <c r="E39" s="225" t="s">
        <v>107</v>
      </c>
      <c r="F39" s="126" t="s">
        <v>39</v>
      </c>
      <c r="H39" s="205" t="s">
        <v>108</v>
      </c>
      <c r="I39" s="205" t="s">
        <v>990</v>
      </c>
      <c r="J39" s="1305" t="s">
        <v>908</v>
      </c>
      <c r="K39" s="1307"/>
      <c r="L39" s="127"/>
      <c r="M39" s="205" t="s">
        <v>177</v>
      </c>
      <c r="N39" s="205" t="s">
        <v>991</v>
      </c>
      <c r="O39" s="205" t="s">
        <v>178</v>
      </c>
      <c r="P39" s="127"/>
      <c r="Q39" s="127"/>
      <c r="R39" s="127"/>
      <c r="S39" s="205" t="s">
        <v>109</v>
      </c>
      <c r="T39" s="215" t="s">
        <v>1214</v>
      </c>
      <c r="U39" s="215"/>
    </row>
    <row r="40" spans="2:21" x14ac:dyDescent="0.45">
      <c r="B40" s="118">
        <f>B39+1</f>
        <v>2</v>
      </c>
      <c r="C40" s="55" t="s">
        <v>110</v>
      </c>
      <c r="D40" s="126" t="s">
        <v>37</v>
      </c>
      <c r="E40" s="225" t="s">
        <v>111</v>
      </c>
      <c r="F40" s="126" t="s">
        <v>39</v>
      </c>
      <c r="H40" s="127"/>
      <c r="I40" s="127"/>
      <c r="J40" s="127"/>
      <c r="K40" s="127"/>
      <c r="L40" s="127"/>
      <c r="M40" s="127"/>
      <c r="N40" s="127"/>
      <c r="O40" s="127"/>
      <c r="P40" s="1305" t="s">
        <v>112</v>
      </c>
      <c r="Q40" s="1306"/>
      <c r="R40" s="1306"/>
      <c r="S40" s="1307"/>
      <c r="U40" s="216"/>
    </row>
    <row r="41" spans="2:21" x14ac:dyDescent="0.45">
      <c r="B41" s="118">
        <f t="shared" ref="B41:B44" si="3">B40+1</f>
        <v>3</v>
      </c>
      <c r="C41" s="55" t="s">
        <v>113</v>
      </c>
      <c r="D41" s="126" t="s">
        <v>37</v>
      </c>
      <c r="E41" s="225" t="s">
        <v>114</v>
      </c>
      <c r="F41" s="126" t="s">
        <v>323</v>
      </c>
      <c r="H41" s="1305" t="s">
        <v>115</v>
      </c>
      <c r="I41" s="1306"/>
      <c r="J41" s="1306"/>
      <c r="K41" s="1306"/>
      <c r="L41" s="1306"/>
      <c r="M41" s="1306"/>
      <c r="N41" s="1306"/>
      <c r="O41" s="1306"/>
      <c r="P41" s="1306"/>
      <c r="Q41" s="1306"/>
      <c r="R41" s="1306"/>
      <c r="S41" s="1307"/>
      <c r="T41" s="226"/>
      <c r="U41" s="216"/>
    </row>
    <row r="42" spans="2:21" x14ac:dyDescent="0.45">
      <c r="B42" s="118">
        <f t="shared" si="3"/>
        <v>4</v>
      </c>
      <c r="C42" s="55" t="s">
        <v>116</v>
      </c>
      <c r="D42" s="126" t="s">
        <v>37</v>
      </c>
      <c r="E42" s="225" t="s">
        <v>117</v>
      </c>
      <c r="F42" s="126" t="s">
        <v>118</v>
      </c>
      <c r="H42" s="127"/>
      <c r="I42" s="127"/>
      <c r="J42" s="127"/>
      <c r="K42" s="127"/>
      <c r="L42" s="127"/>
      <c r="M42" s="127"/>
      <c r="N42" s="127"/>
      <c r="O42" s="127"/>
      <c r="P42" s="1305" t="s">
        <v>119</v>
      </c>
      <c r="Q42" s="1306"/>
      <c r="R42" s="1306"/>
      <c r="S42" s="1307"/>
      <c r="T42" s="223"/>
      <c r="U42" s="216"/>
    </row>
    <row r="43" spans="2:21" x14ac:dyDescent="0.45">
      <c r="B43" s="118">
        <f t="shared" si="3"/>
        <v>5</v>
      </c>
      <c r="C43" s="55" t="s">
        <v>120</v>
      </c>
      <c r="D43" s="126" t="s">
        <v>37</v>
      </c>
      <c r="E43" s="225" t="s">
        <v>121</v>
      </c>
      <c r="F43" s="126" t="s">
        <v>39</v>
      </c>
      <c r="H43" s="231" t="s">
        <v>1222</v>
      </c>
      <c r="I43" s="127"/>
      <c r="J43" s="127"/>
      <c r="K43" s="127"/>
      <c r="L43" s="127"/>
      <c r="M43" s="127"/>
      <c r="N43" s="127"/>
      <c r="O43" s="127"/>
      <c r="P43" s="127"/>
      <c r="Q43" s="127"/>
      <c r="R43" s="205" t="s">
        <v>122</v>
      </c>
      <c r="S43" s="205" t="s">
        <v>123</v>
      </c>
      <c r="T43" s="226" t="s">
        <v>896</v>
      </c>
      <c r="U43" s="216"/>
    </row>
    <row r="44" spans="2:21" x14ac:dyDescent="0.45">
      <c r="B44" s="118">
        <f t="shared" si="3"/>
        <v>6</v>
      </c>
      <c r="C44" s="55" t="s">
        <v>124</v>
      </c>
      <c r="D44" s="126" t="s">
        <v>37</v>
      </c>
      <c r="E44" s="225" t="s">
        <v>125</v>
      </c>
      <c r="F44" s="126" t="s">
        <v>899</v>
      </c>
      <c r="H44" s="1305" t="s">
        <v>126</v>
      </c>
      <c r="I44" s="1306"/>
      <c r="J44" s="1306"/>
      <c r="K44" s="1306"/>
      <c r="L44" s="1306"/>
      <c r="M44" s="1306"/>
      <c r="N44" s="1306"/>
      <c r="O44" s="1306"/>
      <c r="P44" s="1306"/>
      <c r="Q44" s="1306"/>
      <c r="R44" s="1306"/>
      <c r="S44" s="1307"/>
      <c r="T44" s="226"/>
      <c r="U44" s="216"/>
    </row>
    <row r="45" spans="2:21" x14ac:dyDescent="0.45">
      <c r="B45" s="118"/>
      <c r="C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223"/>
      <c r="U45" s="216"/>
    </row>
    <row r="46" spans="2:21" x14ac:dyDescent="0.45">
      <c r="B46" s="118">
        <v>1</v>
      </c>
      <c r="C46" s="55" t="s">
        <v>127</v>
      </c>
      <c r="D46" s="126" t="s">
        <v>37</v>
      </c>
      <c r="E46" s="126" t="s">
        <v>38</v>
      </c>
      <c r="F46" s="126" t="s">
        <v>39</v>
      </c>
      <c r="H46" s="127"/>
      <c r="I46" s="127"/>
      <c r="J46" s="127"/>
      <c r="K46" s="127"/>
      <c r="L46" s="1336" t="s">
        <v>128</v>
      </c>
      <c r="M46" s="1337"/>
      <c r="N46" s="1337"/>
      <c r="O46" s="1337"/>
      <c r="P46" s="1337"/>
      <c r="Q46" s="1337"/>
      <c r="R46" s="1337"/>
      <c r="S46" s="1338"/>
      <c r="T46" s="223"/>
      <c r="U46" s="216"/>
    </row>
    <row r="47" spans="2:21" x14ac:dyDescent="0.45">
      <c r="B47" s="118">
        <f>B46+1</f>
        <v>2</v>
      </c>
      <c r="C47" s="55" t="s">
        <v>129</v>
      </c>
      <c r="D47" s="126" t="s">
        <v>37</v>
      </c>
      <c r="E47" s="126" t="s">
        <v>130</v>
      </c>
      <c r="F47" s="126" t="s">
        <v>1246</v>
      </c>
      <c r="H47" s="229" t="s">
        <v>1218</v>
      </c>
      <c r="I47" s="229" t="s">
        <v>1219</v>
      </c>
      <c r="J47" s="229" t="s">
        <v>1220</v>
      </c>
      <c r="K47" s="229" t="s">
        <v>1221</v>
      </c>
      <c r="L47" s="1336" t="s">
        <v>1217</v>
      </c>
      <c r="M47" s="1338"/>
      <c r="N47" s="1336" t="s">
        <v>242</v>
      </c>
      <c r="O47" s="1337"/>
      <c r="P47" s="1337"/>
      <c r="Q47" s="1337"/>
      <c r="R47" s="1337"/>
      <c r="S47" s="1338"/>
      <c r="T47" s="223"/>
      <c r="U47" s="216"/>
    </row>
    <row r="48" spans="2:21" x14ac:dyDescent="0.45">
      <c r="B48" s="118">
        <f t="shared" ref="B48:B73" si="4">B47+1</f>
        <v>3</v>
      </c>
      <c r="C48" s="55" t="s">
        <v>132</v>
      </c>
      <c r="D48" s="126" t="s">
        <v>37</v>
      </c>
      <c r="E48" s="126" t="s">
        <v>133</v>
      </c>
      <c r="F48" s="126" t="s">
        <v>226</v>
      </c>
      <c r="H48" s="127"/>
      <c r="I48" s="127"/>
      <c r="J48" s="127"/>
      <c r="K48" s="127"/>
      <c r="L48" s="127"/>
      <c r="M48" s="127"/>
      <c r="N48" s="1336" t="s">
        <v>243</v>
      </c>
      <c r="O48" s="1337"/>
      <c r="P48" s="1337"/>
      <c r="Q48" s="1337"/>
      <c r="R48" s="1337"/>
      <c r="S48" s="1338"/>
      <c r="T48" s="223"/>
      <c r="U48" s="216"/>
    </row>
    <row r="49" spans="2:21" s="129" customFormat="1" x14ac:dyDescent="0.45">
      <c r="B49" s="118">
        <f t="shared" si="4"/>
        <v>4</v>
      </c>
      <c r="C49" s="55" t="s">
        <v>134</v>
      </c>
      <c r="D49" s="126" t="s">
        <v>37</v>
      </c>
      <c r="E49" s="126" t="s">
        <v>43</v>
      </c>
      <c r="F49" s="126" t="s">
        <v>226</v>
      </c>
      <c r="G49" s="126"/>
      <c r="H49" s="127"/>
      <c r="I49" s="127"/>
      <c r="J49" s="127"/>
      <c r="K49" s="127"/>
      <c r="L49" s="127"/>
      <c r="M49" s="127"/>
      <c r="N49" s="1336" t="s">
        <v>1216</v>
      </c>
      <c r="O49" s="1337"/>
      <c r="P49" s="1337"/>
      <c r="Q49" s="1337"/>
      <c r="R49" s="1337"/>
      <c r="S49" s="1338"/>
      <c r="T49" s="223"/>
      <c r="U49" s="216"/>
    </row>
    <row r="50" spans="2:21" s="129" customFormat="1" x14ac:dyDescent="0.45">
      <c r="B50" s="118">
        <f t="shared" si="4"/>
        <v>5</v>
      </c>
      <c r="C50" s="55" t="s">
        <v>135</v>
      </c>
      <c r="D50" s="126" t="s">
        <v>37</v>
      </c>
      <c r="E50" s="126" t="s">
        <v>44</v>
      </c>
      <c r="F50" s="126" t="s">
        <v>1247</v>
      </c>
      <c r="G50" s="126"/>
      <c r="H50" s="127"/>
      <c r="I50" s="127"/>
      <c r="J50" s="127"/>
      <c r="K50" s="127"/>
      <c r="L50" s="127"/>
      <c r="M50" s="127"/>
      <c r="N50" s="1336" t="s">
        <v>1224</v>
      </c>
      <c r="O50" s="1337"/>
      <c r="P50" s="1337"/>
      <c r="Q50" s="1337"/>
      <c r="R50" s="1337"/>
      <c r="S50" s="1338"/>
      <c r="T50" s="223"/>
      <c r="U50" s="216"/>
    </row>
    <row r="51" spans="2:21" s="129" customFormat="1" x14ac:dyDescent="0.45">
      <c r="B51" s="118">
        <f t="shared" si="4"/>
        <v>6</v>
      </c>
      <c r="C51" s="55" t="s">
        <v>136</v>
      </c>
      <c r="D51" s="126" t="s">
        <v>37</v>
      </c>
      <c r="E51" s="126" t="s">
        <v>137</v>
      </c>
      <c r="F51" s="126" t="s">
        <v>1247</v>
      </c>
      <c r="G51" s="126"/>
      <c r="H51" s="127"/>
      <c r="I51" s="127"/>
      <c r="J51" s="127"/>
      <c r="K51" s="127"/>
      <c r="L51" s="127"/>
      <c r="M51" s="127"/>
      <c r="N51" s="1336" t="s">
        <v>1225</v>
      </c>
      <c r="O51" s="1337"/>
      <c r="P51" s="1337"/>
      <c r="Q51" s="1337"/>
      <c r="R51" s="1337"/>
      <c r="S51" s="1338"/>
      <c r="T51" s="223"/>
      <c r="U51" s="216"/>
    </row>
    <row r="52" spans="2:21" s="129" customFormat="1" x14ac:dyDescent="0.45">
      <c r="B52" s="118">
        <f t="shared" si="4"/>
        <v>7</v>
      </c>
      <c r="C52" s="55" t="s">
        <v>138</v>
      </c>
      <c r="D52" s="126" t="s">
        <v>37</v>
      </c>
      <c r="E52" s="126" t="s">
        <v>46</v>
      </c>
      <c r="F52" s="126" t="s">
        <v>1247</v>
      </c>
      <c r="G52" s="126"/>
      <c r="H52" s="127"/>
      <c r="I52" s="127"/>
      <c r="J52" s="127"/>
      <c r="K52" s="127"/>
      <c r="L52" s="127"/>
      <c r="M52" s="127"/>
      <c r="N52" s="1336" t="s">
        <v>1226</v>
      </c>
      <c r="O52" s="1337"/>
      <c r="P52" s="1337"/>
      <c r="Q52" s="1337"/>
      <c r="R52" s="1337"/>
      <c r="S52" s="1338"/>
      <c r="T52" s="223"/>
      <c r="U52" s="216"/>
    </row>
    <row r="53" spans="2:21" s="129" customFormat="1" x14ac:dyDescent="0.45">
      <c r="B53" s="118">
        <f t="shared" si="4"/>
        <v>8</v>
      </c>
      <c r="C53" s="55" t="s">
        <v>139</v>
      </c>
      <c r="D53" s="126" t="s">
        <v>37</v>
      </c>
      <c r="E53" s="126" t="s">
        <v>140</v>
      </c>
      <c r="F53" s="126" t="s">
        <v>1247</v>
      </c>
      <c r="G53" s="126"/>
      <c r="H53" s="127"/>
      <c r="I53" s="127"/>
      <c r="J53" s="127"/>
      <c r="K53" s="127"/>
      <c r="L53" s="127"/>
      <c r="M53" s="127"/>
      <c r="N53" s="1336" t="s">
        <v>1227</v>
      </c>
      <c r="O53" s="1337"/>
      <c r="P53" s="1337"/>
      <c r="Q53" s="1337"/>
      <c r="R53" s="1337"/>
      <c r="S53" s="1338"/>
      <c r="T53" s="223"/>
      <c r="U53" s="216"/>
    </row>
    <row r="54" spans="2:21" s="129" customFormat="1" x14ac:dyDescent="0.45">
      <c r="B54" s="118">
        <f t="shared" si="4"/>
        <v>9</v>
      </c>
      <c r="C54" s="55" t="s">
        <v>141</v>
      </c>
      <c r="D54" s="126" t="s">
        <v>37</v>
      </c>
      <c r="E54" s="126" t="s">
        <v>49</v>
      </c>
      <c r="F54" s="126" t="s">
        <v>1247</v>
      </c>
      <c r="G54" s="126"/>
      <c r="H54" s="127"/>
      <c r="I54" s="127"/>
      <c r="J54" s="127"/>
      <c r="K54" s="127"/>
      <c r="L54" s="127"/>
      <c r="M54" s="127"/>
      <c r="N54" s="1336" t="s">
        <v>1228</v>
      </c>
      <c r="O54" s="1337"/>
      <c r="P54" s="1337"/>
      <c r="Q54" s="1337"/>
      <c r="R54" s="1337"/>
      <c r="S54" s="1338"/>
      <c r="T54" s="223"/>
      <c r="U54" s="216"/>
    </row>
    <row r="55" spans="2:21" s="129" customFormat="1" x14ac:dyDescent="0.45">
      <c r="B55" s="118">
        <f t="shared" si="4"/>
        <v>10</v>
      </c>
      <c r="C55" s="55" t="s">
        <v>142</v>
      </c>
      <c r="D55" s="126" t="s">
        <v>37</v>
      </c>
      <c r="E55" s="126" t="s">
        <v>52</v>
      </c>
      <c r="F55" s="126" t="s">
        <v>1247</v>
      </c>
      <c r="G55" s="126"/>
      <c r="H55" s="127"/>
      <c r="I55" s="127"/>
      <c r="J55" s="127"/>
      <c r="K55" s="127"/>
      <c r="L55" s="127"/>
      <c r="M55" s="127"/>
      <c r="N55" s="1336" t="s">
        <v>1229</v>
      </c>
      <c r="O55" s="1337"/>
      <c r="P55" s="1337"/>
      <c r="Q55" s="1337"/>
      <c r="R55" s="1337"/>
      <c r="S55" s="1338"/>
      <c r="T55" s="223"/>
      <c r="U55" s="216"/>
    </row>
    <row r="56" spans="2:21" s="129" customFormat="1" x14ac:dyDescent="0.45">
      <c r="B56" s="118">
        <f t="shared" si="4"/>
        <v>11</v>
      </c>
      <c r="C56" s="55" t="s">
        <v>143</v>
      </c>
      <c r="D56" s="126" t="s">
        <v>37</v>
      </c>
      <c r="E56" s="126" t="s">
        <v>144</v>
      </c>
      <c r="F56" s="126" t="s">
        <v>1247</v>
      </c>
      <c r="G56" s="126"/>
      <c r="H56" s="127"/>
      <c r="I56" s="127"/>
      <c r="J56" s="127"/>
      <c r="K56" s="127"/>
      <c r="L56" s="127"/>
      <c r="M56" s="127"/>
      <c r="N56" s="1336" t="s">
        <v>1230</v>
      </c>
      <c r="O56" s="1337"/>
      <c r="P56" s="1337"/>
      <c r="Q56" s="1337"/>
      <c r="R56" s="1337"/>
      <c r="S56" s="1338"/>
      <c r="T56" s="223"/>
      <c r="U56" s="216"/>
    </row>
    <row r="57" spans="2:21" s="129" customFormat="1" x14ac:dyDescent="0.45">
      <c r="B57" s="118">
        <f t="shared" si="4"/>
        <v>12</v>
      </c>
      <c r="C57" s="55" t="s">
        <v>145</v>
      </c>
      <c r="D57" s="126" t="s">
        <v>37</v>
      </c>
      <c r="E57" s="126" t="s">
        <v>67</v>
      </c>
      <c r="F57" s="126" t="s">
        <v>1247</v>
      </c>
      <c r="G57" s="126"/>
      <c r="H57" s="127"/>
      <c r="I57" s="127"/>
      <c r="J57" s="127"/>
      <c r="K57" s="127"/>
      <c r="L57" s="127"/>
      <c r="M57" s="127"/>
      <c r="N57" s="1336" t="s">
        <v>1231</v>
      </c>
      <c r="O57" s="1337"/>
      <c r="P57" s="1337"/>
      <c r="Q57" s="1337"/>
      <c r="R57" s="1337"/>
      <c r="S57" s="1338"/>
      <c r="T57" s="223"/>
      <c r="U57" s="216"/>
    </row>
    <row r="58" spans="2:21" s="129" customFormat="1" x14ac:dyDescent="0.45">
      <c r="B58" s="118">
        <f t="shared" si="4"/>
        <v>13</v>
      </c>
      <c r="C58" s="55" t="s">
        <v>146</v>
      </c>
      <c r="D58" s="126" t="s">
        <v>37</v>
      </c>
      <c r="E58" s="126" t="s">
        <v>72</v>
      </c>
      <c r="F58" s="126" t="s">
        <v>1247</v>
      </c>
      <c r="G58" s="126"/>
      <c r="H58" s="127"/>
      <c r="I58" s="127"/>
      <c r="J58" s="127"/>
      <c r="K58" s="127"/>
      <c r="L58" s="127"/>
      <c r="M58" s="127"/>
      <c r="N58" s="1336" t="s">
        <v>1232</v>
      </c>
      <c r="O58" s="1337"/>
      <c r="P58" s="1337"/>
      <c r="Q58" s="1337"/>
      <c r="R58" s="1337"/>
      <c r="S58" s="1338"/>
      <c r="T58" s="223"/>
      <c r="U58" s="216"/>
    </row>
    <row r="59" spans="2:21" s="129" customFormat="1" x14ac:dyDescent="0.45">
      <c r="B59" s="118">
        <f t="shared" si="4"/>
        <v>14</v>
      </c>
      <c r="C59" s="55" t="s">
        <v>147</v>
      </c>
      <c r="D59" s="126" t="s">
        <v>37</v>
      </c>
      <c r="E59" s="126" t="s">
        <v>76</v>
      </c>
      <c r="F59" s="126" t="s">
        <v>1247</v>
      </c>
      <c r="G59" s="126"/>
      <c r="H59" s="127"/>
      <c r="I59" s="127"/>
      <c r="J59" s="127"/>
      <c r="K59" s="127"/>
      <c r="L59" s="127"/>
      <c r="M59" s="127"/>
      <c r="N59" s="1336" t="s">
        <v>1233</v>
      </c>
      <c r="O59" s="1337"/>
      <c r="P59" s="1337"/>
      <c r="Q59" s="1337"/>
      <c r="R59" s="1337"/>
      <c r="S59" s="1338"/>
      <c r="T59" s="223"/>
      <c r="U59" s="216"/>
    </row>
    <row r="60" spans="2:21" s="129" customFormat="1" x14ac:dyDescent="0.45">
      <c r="B60" s="118">
        <f t="shared" si="4"/>
        <v>15</v>
      </c>
      <c r="C60" s="55" t="s">
        <v>148</v>
      </c>
      <c r="D60" s="126" t="s">
        <v>37</v>
      </c>
      <c r="E60" s="126" t="s">
        <v>79</v>
      </c>
      <c r="F60" s="126" t="s">
        <v>1247</v>
      </c>
      <c r="G60" s="126"/>
      <c r="H60" s="127"/>
      <c r="I60" s="127"/>
      <c r="J60" s="127"/>
      <c r="K60" s="127"/>
      <c r="L60" s="127"/>
      <c r="M60" s="127"/>
      <c r="N60" s="1336" t="s">
        <v>1234</v>
      </c>
      <c r="O60" s="1337"/>
      <c r="P60" s="1337"/>
      <c r="Q60" s="1337"/>
      <c r="R60" s="1337"/>
      <c r="S60" s="1338"/>
      <c r="T60" s="223"/>
      <c r="U60" s="216"/>
    </row>
    <row r="61" spans="2:21" s="129" customFormat="1" x14ac:dyDescent="0.45">
      <c r="B61" s="118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223"/>
      <c r="U61" s="216"/>
    </row>
    <row r="62" spans="2:21" s="129" customFormat="1" x14ac:dyDescent="0.45">
      <c r="B62" s="118">
        <f>B60+1</f>
        <v>16</v>
      </c>
      <c r="C62" s="55" t="s">
        <v>149</v>
      </c>
      <c r="D62" s="126" t="s">
        <v>37</v>
      </c>
      <c r="E62" s="126" t="s">
        <v>150</v>
      </c>
      <c r="F62" s="126" t="s">
        <v>151</v>
      </c>
      <c r="G62" s="126"/>
      <c r="H62" s="127"/>
      <c r="I62" s="127"/>
      <c r="J62" s="127"/>
      <c r="K62" s="127"/>
      <c r="L62" s="127"/>
      <c r="M62" s="1336" t="s">
        <v>1215</v>
      </c>
      <c r="N62" s="1337"/>
      <c r="O62" s="1337"/>
      <c r="P62" s="1337"/>
      <c r="Q62" s="1337"/>
      <c r="R62" s="1337"/>
      <c r="S62" s="1338"/>
      <c r="T62" s="223"/>
      <c r="U62" s="216"/>
    </row>
    <row r="63" spans="2:21" s="129" customFormat="1" x14ac:dyDescent="0.45">
      <c r="B63" s="118">
        <f t="shared" si="4"/>
        <v>17</v>
      </c>
      <c r="C63" s="55" t="s">
        <v>152</v>
      </c>
      <c r="D63" s="126" t="s">
        <v>37</v>
      </c>
      <c r="E63" s="126" t="s">
        <v>153</v>
      </c>
      <c r="F63" s="126" t="s">
        <v>151</v>
      </c>
      <c r="G63" s="126"/>
      <c r="H63" s="127"/>
      <c r="I63" s="127"/>
      <c r="J63" s="127"/>
      <c r="K63" s="127"/>
      <c r="L63" s="127"/>
      <c r="M63" s="1336" t="s">
        <v>1235</v>
      </c>
      <c r="N63" s="1337"/>
      <c r="O63" s="1337"/>
      <c r="P63" s="1337"/>
      <c r="Q63" s="1337"/>
      <c r="R63" s="1337"/>
      <c r="S63" s="1338"/>
      <c r="T63" s="223"/>
      <c r="U63" s="216"/>
    </row>
    <row r="64" spans="2:21" s="129" customFormat="1" x14ac:dyDescent="0.45">
      <c r="B64" s="118">
        <f t="shared" si="4"/>
        <v>18</v>
      </c>
      <c r="C64" s="55" t="s">
        <v>154</v>
      </c>
      <c r="D64" s="126" t="s">
        <v>37</v>
      </c>
      <c r="E64" s="126" t="s">
        <v>155</v>
      </c>
      <c r="F64" s="126" t="s">
        <v>151</v>
      </c>
      <c r="G64" s="126"/>
      <c r="H64" s="127"/>
      <c r="I64" s="127"/>
      <c r="J64" s="127"/>
      <c r="K64" s="127"/>
      <c r="L64" s="127"/>
      <c r="M64" s="1336" t="s">
        <v>1236</v>
      </c>
      <c r="N64" s="1337"/>
      <c r="O64" s="1337"/>
      <c r="P64" s="1337"/>
      <c r="Q64" s="1337"/>
      <c r="R64" s="1337"/>
      <c r="S64" s="1338"/>
      <c r="T64" s="223"/>
      <c r="U64" s="216"/>
    </row>
    <row r="65" spans="1:21" s="129" customFormat="1" x14ac:dyDescent="0.45">
      <c r="B65" s="118">
        <f t="shared" si="4"/>
        <v>19</v>
      </c>
      <c r="C65" s="55" t="s">
        <v>156</v>
      </c>
      <c r="D65" s="126" t="s">
        <v>37</v>
      </c>
      <c r="E65" s="126" t="s">
        <v>157</v>
      </c>
      <c r="F65" s="126" t="s">
        <v>151</v>
      </c>
      <c r="G65" s="126"/>
      <c r="H65" s="127"/>
      <c r="I65" s="127"/>
      <c r="J65" s="127"/>
      <c r="K65" s="127"/>
      <c r="L65" s="127"/>
      <c r="M65" s="1336" t="s">
        <v>1237</v>
      </c>
      <c r="N65" s="1337"/>
      <c r="O65" s="1337"/>
      <c r="P65" s="1337"/>
      <c r="Q65" s="1337"/>
      <c r="R65" s="1337"/>
      <c r="S65" s="1338"/>
      <c r="T65" s="223"/>
      <c r="U65" s="216"/>
    </row>
    <row r="66" spans="1:21" s="129" customFormat="1" x14ac:dyDescent="0.45">
      <c r="B66" s="118">
        <f t="shared" si="4"/>
        <v>20</v>
      </c>
      <c r="C66" s="55" t="s">
        <v>158</v>
      </c>
      <c r="D66" s="126" t="s">
        <v>37</v>
      </c>
      <c r="E66" s="126" t="s">
        <v>159</v>
      </c>
      <c r="F66" s="126" t="s">
        <v>151</v>
      </c>
      <c r="G66" s="126"/>
      <c r="H66" s="127"/>
      <c r="I66" s="127"/>
      <c r="J66" s="127"/>
      <c r="K66" s="127"/>
      <c r="L66" s="127"/>
      <c r="M66" s="1336" t="s">
        <v>1238</v>
      </c>
      <c r="N66" s="1337"/>
      <c r="O66" s="1337"/>
      <c r="P66" s="1337"/>
      <c r="Q66" s="1337"/>
      <c r="R66" s="1337"/>
      <c r="S66" s="1338"/>
      <c r="T66" s="223"/>
      <c r="U66" s="216"/>
    </row>
    <row r="67" spans="1:21" s="129" customFormat="1" x14ac:dyDescent="0.45">
      <c r="B67" s="118">
        <f t="shared" si="4"/>
        <v>21</v>
      </c>
      <c r="C67" s="55" t="s">
        <v>160</v>
      </c>
      <c r="D67" s="126" t="s">
        <v>37</v>
      </c>
      <c r="E67" s="126" t="s">
        <v>161</v>
      </c>
      <c r="F67" s="126" t="s">
        <v>151</v>
      </c>
      <c r="G67" s="126"/>
      <c r="H67" s="127"/>
      <c r="I67" s="127"/>
      <c r="J67" s="127"/>
      <c r="K67" s="127"/>
      <c r="L67" s="127"/>
      <c r="M67" s="1336" t="s">
        <v>1239</v>
      </c>
      <c r="N67" s="1337"/>
      <c r="O67" s="1337"/>
      <c r="P67" s="1337"/>
      <c r="Q67" s="1337"/>
      <c r="R67" s="1337"/>
      <c r="S67" s="1338"/>
      <c r="T67" s="223"/>
      <c r="U67" s="216"/>
    </row>
    <row r="68" spans="1:21" s="129" customFormat="1" x14ac:dyDescent="0.45">
      <c r="A68" s="129" t="s">
        <v>162</v>
      </c>
      <c r="B68" s="118">
        <f t="shared" si="4"/>
        <v>22</v>
      </c>
      <c r="C68" s="55" t="s">
        <v>163</v>
      </c>
      <c r="D68" s="126" t="s">
        <v>37</v>
      </c>
      <c r="E68" s="126" t="s">
        <v>164</v>
      </c>
      <c r="F68" s="126" t="s">
        <v>151</v>
      </c>
      <c r="G68" s="126"/>
      <c r="H68" s="127"/>
      <c r="I68" s="127"/>
      <c r="J68" s="127"/>
      <c r="K68" s="127"/>
      <c r="L68" s="127"/>
      <c r="M68" s="1336" t="s">
        <v>1240</v>
      </c>
      <c r="N68" s="1337"/>
      <c r="O68" s="1337"/>
      <c r="P68" s="1337"/>
      <c r="Q68" s="1337"/>
      <c r="R68" s="1337"/>
      <c r="S68" s="1338"/>
      <c r="T68" s="223"/>
      <c r="U68" s="216"/>
    </row>
    <row r="69" spans="1:21" s="129" customFormat="1" x14ac:dyDescent="0.45">
      <c r="B69" s="118">
        <f t="shared" si="4"/>
        <v>23</v>
      </c>
      <c r="C69" s="55" t="s">
        <v>165</v>
      </c>
      <c r="D69" s="126" t="s">
        <v>37</v>
      </c>
      <c r="E69" s="126" t="s">
        <v>166</v>
      </c>
      <c r="F69" s="126" t="s">
        <v>151</v>
      </c>
      <c r="G69" s="126"/>
      <c r="H69" s="127"/>
      <c r="I69" s="127"/>
      <c r="J69" s="127"/>
      <c r="K69" s="127"/>
      <c r="L69" s="127"/>
      <c r="M69" s="1336" t="s">
        <v>1241</v>
      </c>
      <c r="N69" s="1337"/>
      <c r="O69" s="1337"/>
      <c r="P69" s="1337"/>
      <c r="Q69" s="1337"/>
      <c r="R69" s="1337"/>
      <c r="S69" s="1338"/>
      <c r="T69" s="223"/>
      <c r="U69" s="216"/>
    </row>
    <row r="70" spans="1:21" s="129" customFormat="1" x14ac:dyDescent="0.45">
      <c r="B70" s="118">
        <f t="shared" si="4"/>
        <v>24</v>
      </c>
      <c r="C70" s="55" t="s">
        <v>167</v>
      </c>
      <c r="D70" s="126" t="s">
        <v>37</v>
      </c>
      <c r="E70" s="126" t="s">
        <v>168</v>
      </c>
      <c r="F70" s="126" t="s">
        <v>151</v>
      </c>
      <c r="G70" s="126"/>
      <c r="H70" s="127"/>
      <c r="I70" s="127"/>
      <c r="J70" s="127"/>
      <c r="K70" s="127"/>
      <c r="L70" s="127"/>
      <c r="M70" s="1336" t="s">
        <v>1242</v>
      </c>
      <c r="N70" s="1337"/>
      <c r="O70" s="1337"/>
      <c r="P70" s="1337"/>
      <c r="Q70" s="1337"/>
      <c r="R70" s="1337"/>
      <c r="S70" s="1338"/>
      <c r="T70" s="223"/>
      <c r="U70" s="216"/>
    </row>
    <row r="71" spans="1:21" s="129" customFormat="1" x14ac:dyDescent="0.45">
      <c r="B71" s="118">
        <f t="shared" si="4"/>
        <v>25</v>
      </c>
      <c r="C71" s="55" t="s">
        <v>169</v>
      </c>
      <c r="D71" s="126" t="s">
        <v>37</v>
      </c>
      <c r="E71" s="126" t="s">
        <v>170</v>
      </c>
      <c r="F71" s="126" t="s">
        <v>151</v>
      </c>
      <c r="G71" s="126"/>
      <c r="H71" s="127"/>
      <c r="I71" s="127"/>
      <c r="J71" s="127"/>
      <c r="K71" s="127"/>
      <c r="L71" s="127"/>
      <c r="M71" s="1336" t="s">
        <v>1243</v>
      </c>
      <c r="N71" s="1337"/>
      <c r="O71" s="1337"/>
      <c r="P71" s="1337"/>
      <c r="Q71" s="1337"/>
      <c r="R71" s="1337"/>
      <c r="S71" s="1338"/>
      <c r="T71" s="223"/>
      <c r="U71" s="216"/>
    </row>
    <row r="72" spans="1:21" x14ac:dyDescent="0.45">
      <c r="B72" s="118">
        <f t="shared" si="4"/>
        <v>26</v>
      </c>
      <c r="C72" s="55" t="s">
        <v>171</v>
      </c>
      <c r="D72" s="126" t="s">
        <v>37</v>
      </c>
      <c r="E72" s="126" t="s">
        <v>172</v>
      </c>
      <c r="F72" s="126" t="s">
        <v>131</v>
      </c>
      <c r="H72" s="127"/>
      <c r="I72" s="127"/>
      <c r="J72" s="127"/>
      <c r="K72" s="127"/>
      <c r="L72" s="127"/>
      <c r="M72" s="1336" t="s">
        <v>1244</v>
      </c>
      <c r="N72" s="1337"/>
      <c r="O72" s="1337"/>
      <c r="P72" s="1337"/>
      <c r="Q72" s="1337"/>
      <c r="R72" s="1337"/>
      <c r="S72" s="1338"/>
      <c r="T72" s="223"/>
      <c r="U72" s="216"/>
    </row>
    <row r="73" spans="1:21" x14ac:dyDescent="0.45">
      <c r="B73" s="118">
        <f t="shared" si="4"/>
        <v>27</v>
      </c>
      <c r="C73" s="55" t="s">
        <v>173</v>
      </c>
      <c r="D73" s="126" t="s">
        <v>37</v>
      </c>
      <c r="E73" s="126" t="s">
        <v>98</v>
      </c>
      <c r="F73" s="126" t="s">
        <v>131</v>
      </c>
      <c r="H73" s="127"/>
      <c r="I73" s="127"/>
      <c r="J73" s="127"/>
      <c r="K73" s="127"/>
      <c r="L73" s="127"/>
      <c r="M73" s="1336" t="s">
        <v>1245</v>
      </c>
      <c r="N73" s="1337"/>
      <c r="O73" s="1337"/>
      <c r="P73" s="1337"/>
      <c r="Q73" s="1337"/>
      <c r="R73" s="1337"/>
      <c r="S73" s="1338"/>
      <c r="T73" s="223"/>
      <c r="U73" s="216"/>
    </row>
    <row r="74" spans="1:21" x14ac:dyDescent="0.45">
      <c r="U74" s="216"/>
    </row>
    <row r="82" spans="1:21" s="126" customFormat="1" x14ac:dyDescent="0.45">
      <c r="A82" s="31"/>
      <c r="B82" s="31"/>
      <c r="C82" s="55"/>
      <c r="H82" s="227"/>
      <c r="T82" s="212"/>
      <c r="U82" s="211"/>
    </row>
    <row r="84" spans="1:21" s="126" customFormat="1" x14ac:dyDescent="0.45">
      <c r="A84" s="31"/>
      <c r="B84" s="31"/>
      <c r="H84" s="227"/>
      <c r="T84" s="212"/>
      <c r="U84" s="211"/>
    </row>
    <row r="85" spans="1:21" x14ac:dyDescent="0.45">
      <c r="C85" s="126"/>
    </row>
    <row r="86" spans="1:21" x14ac:dyDescent="0.45">
      <c r="C86" s="126"/>
    </row>
  </sheetData>
  <mergeCells count="81">
    <mergeCell ref="L5:S5"/>
    <mergeCell ref="K3:L3"/>
    <mergeCell ref="O3:S3"/>
    <mergeCell ref="H4:K4"/>
    <mergeCell ref="L4:M4"/>
    <mergeCell ref="N4:P4"/>
    <mergeCell ref="R13:S13"/>
    <mergeCell ref="I9:K9"/>
    <mergeCell ref="M9:O9"/>
    <mergeCell ref="Q9:S9"/>
    <mergeCell ref="H11:S11"/>
    <mergeCell ref="H12:I12"/>
    <mergeCell ref="J12:K12"/>
    <mergeCell ref="L12:M12"/>
    <mergeCell ref="N12:O12"/>
    <mergeCell ref="P12:Q12"/>
    <mergeCell ref="R12:S12"/>
    <mergeCell ref="H13:I13"/>
    <mergeCell ref="J13:K13"/>
    <mergeCell ref="L13:M13"/>
    <mergeCell ref="N13:O13"/>
    <mergeCell ref="P13:Q13"/>
    <mergeCell ref="H25:S25"/>
    <mergeCell ref="H14:S14"/>
    <mergeCell ref="H15:S15"/>
    <mergeCell ref="H16:S16"/>
    <mergeCell ref="H17:S17"/>
    <mergeCell ref="H18:S18"/>
    <mergeCell ref="H19:S19"/>
    <mergeCell ref="H20:S20"/>
    <mergeCell ref="H21:S21"/>
    <mergeCell ref="H22:S22"/>
    <mergeCell ref="H23:S23"/>
    <mergeCell ref="H24:S24"/>
    <mergeCell ref="H27:M27"/>
    <mergeCell ref="N27:S27"/>
    <mergeCell ref="L28:S28"/>
    <mergeCell ref="H29:S29"/>
    <mergeCell ref="J30:K30"/>
    <mergeCell ref="L30:S30"/>
    <mergeCell ref="P42:S42"/>
    <mergeCell ref="H32:K32"/>
    <mergeCell ref="N32:O32"/>
    <mergeCell ref="R32:S32"/>
    <mergeCell ref="H33:S33"/>
    <mergeCell ref="P34:S34"/>
    <mergeCell ref="M35:S35"/>
    <mergeCell ref="J36:S36"/>
    <mergeCell ref="H37:S37"/>
    <mergeCell ref="J39:K39"/>
    <mergeCell ref="P40:S40"/>
    <mergeCell ref="H41:S41"/>
    <mergeCell ref="N55:S55"/>
    <mergeCell ref="H44:S44"/>
    <mergeCell ref="L46:S46"/>
    <mergeCell ref="L47:M47"/>
    <mergeCell ref="N47:S47"/>
    <mergeCell ref="N48:S48"/>
    <mergeCell ref="N49:S49"/>
    <mergeCell ref="N50:S50"/>
    <mergeCell ref="N51:S51"/>
    <mergeCell ref="N52:S52"/>
    <mergeCell ref="N53:S53"/>
    <mergeCell ref="N54:S54"/>
    <mergeCell ref="M68:S68"/>
    <mergeCell ref="N56:S56"/>
    <mergeCell ref="N57:S57"/>
    <mergeCell ref="N58:S58"/>
    <mergeCell ref="N59:S59"/>
    <mergeCell ref="N60:S60"/>
    <mergeCell ref="M62:S62"/>
    <mergeCell ref="M63:S63"/>
    <mergeCell ref="M64:S64"/>
    <mergeCell ref="M65:S65"/>
    <mergeCell ref="M66:S66"/>
    <mergeCell ref="M67:S67"/>
    <mergeCell ref="M69:S69"/>
    <mergeCell ref="M70:S70"/>
    <mergeCell ref="M71:S71"/>
    <mergeCell ref="M72:S72"/>
    <mergeCell ref="M73:S73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415-277F-451F-B395-8F192FD7DFDB}">
  <sheetPr>
    <tabColor theme="7" tint="0.79998168889431442"/>
  </sheetPr>
  <dimension ref="A1:V86"/>
  <sheetViews>
    <sheetView showGridLines="0" zoomScaleNormal="100" workbookViewId="0"/>
  </sheetViews>
  <sheetFormatPr defaultColWidth="8.58203125" defaultRowHeight="17" x14ac:dyDescent="0.45"/>
  <cols>
    <col min="1" max="1" width="8.58203125" style="31" customWidth="1"/>
    <col min="2" max="2" width="3.08203125" style="31" bestFit="1" customWidth="1"/>
    <col min="3" max="3" width="18.08203125" style="55" bestFit="1" customWidth="1"/>
    <col min="4" max="4" width="6.33203125" style="126" bestFit="1" customWidth="1"/>
    <col min="5" max="5" width="7.58203125" style="126" bestFit="1" customWidth="1"/>
    <col min="6" max="6" width="6.83203125" style="126" bestFit="1" customWidth="1"/>
    <col min="7" max="7" width="1.58203125" style="126" customWidth="1"/>
    <col min="8" max="8" width="13.83203125" style="126" bestFit="1" customWidth="1"/>
    <col min="9" max="9" width="13.58203125" style="126" bestFit="1" customWidth="1"/>
    <col min="10" max="10" width="8.58203125" style="126" bestFit="1" customWidth="1"/>
    <col min="11" max="11" width="13.58203125" style="126" bestFit="1" customWidth="1"/>
    <col min="12" max="12" width="14.5" style="126" bestFit="1" customWidth="1"/>
    <col min="13" max="13" width="14.08203125" style="126" bestFit="1" customWidth="1"/>
    <col min="14" max="14" width="10.5" style="126" bestFit="1" customWidth="1"/>
    <col min="15" max="15" width="9" style="126" bestFit="1" customWidth="1"/>
    <col min="16" max="16" width="9.08203125" style="126" bestFit="1" customWidth="1"/>
    <col min="17" max="17" width="10.58203125" style="126" bestFit="1" customWidth="1"/>
    <col min="18" max="19" width="9.58203125" style="126" bestFit="1" customWidth="1"/>
    <col min="20" max="20" width="88.58203125" style="212" bestFit="1" customWidth="1"/>
    <col min="21" max="21" width="66.83203125" style="211" bestFit="1" customWidth="1"/>
    <col min="22" max="22" width="66.83203125" style="31" bestFit="1" customWidth="1"/>
    <col min="23" max="16384" width="8.58203125" style="31"/>
  </cols>
  <sheetData>
    <row r="1" spans="2:22" x14ac:dyDescent="0.45">
      <c r="D1" s="55"/>
      <c r="E1" s="55"/>
      <c r="F1" s="55"/>
    </row>
    <row r="2" spans="2:22" x14ac:dyDescent="0.45">
      <c r="B2" s="118"/>
      <c r="C2" s="120" t="s">
        <v>19</v>
      </c>
      <c r="D2" s="213" t="s">
        <v>20</v>
      </c>
      <c r="E2" s="213" t="s">
        <v>21</v>
      </c>
      <c r="F2" s="213" t="s">
        <v>22</v>
      </c>
      <c r="G2" s="213"/>
      <c r="H2" s="213" t="s">
        <v>23</v>
      </c>
      <c r="I2" s="213" t="s">
        <v>24</v>
      </c>
      <c r="J2" s="213" t="s">
        <v>25</v>
      </c>
      <c r="K2" s="213" t="s">
        <v>26</v>
      </c>
      <c r="L2" s="213" t="s">
        <v>27</v>
      </c>
      <c r="M2" s="213" t="s">
        <v>28</v>
      </c>
      <c r="N2" s="213" t="s">
        <v>29</v>
      </c>
      <c r="O2" s="213" t="s">
        <v>30</v>
      </c>
      <c r="P2" s="213" t="s">
        <v>31</v>
      </c>
      <c r="Q2" s="213" t="s">
        <v>32</v>
      </c>
      <c r="R2" s="213" t="s">
        <v>33</v>
      </c>
      <c r="S2" s="213" t="s">
        <v>34</v>
      </c>
      <c r="T2" s="214" t="s">
        <v>35</v>
      </c>
      <c r="U2" s="214" t="s">
        <v>36</v>
      </c>
    </row>
    <row r="3" spans="2:22" ht="102" x14ac:dyDescent="0.45">
      <c r="B3" s="118">
        <v>1</v>
      </c>
      <c r="C3" s="55" t="s">
        <v>898</v>
      </c>
      <c r="D3" s="126" t="s">
        <v>37</v>
      </c>
      <c r="E3" s="126" t="s">
        <v>38</v>
      </c>
      <c r="F3" s="126" t="s">
        <v>39</v>
      </c>
      <c r="H3" s="205" t="s">
        <v>174</v>
      </c>
      <c r="I3" s="205" t="s">
        <v>1146</v>
      </c>
      <c r="J3" s="205" t="s">
        <v>1145</v>
      </c>
      <c r="K3" s="1476" t="s">
        <v>1223</v>
      </c>
      <c r="L3" s="1477"/>
      <c r="M3" s="871" t="s">
        <v>2047</v>
      </c>
      <c r="N3" s="871" t="s">
        <v>2046</v>
      </c>
      <c r="O3" s="1342" t="s">
        <v>40</v>
      </c>
      <c r="P3" s="1343"/>
      <c r="Q3" s="1343"/>
      <c r="R3" s="1343"/>
      <c r="S3" s="1344"/>
      <c r="T3" s="215" t="s">
        <v>2048</v>
      </c>
      <c r="U3" s="216"/>
    </row>
    <row r="4" spans="2:22" ht="119" x14ac:dyDescent="0.45">
      <c r="B4" s="118">
        <f>B3+1</f>
        <v>2</v>
      </c>
      <c r="C4" s="55" t="s">
        <v>897</v>
      </c>
      <c r="D4" s="126" t="s">
        <v>37</v>
      </c>
      <c r="E4" s="126" t="s">
        <v>41</v>
      </c>
      <c r="F4" s="126" t="s">
        <v>39</v>
      </c>
      <c r="H4" s="1305" t="s">
        <v>45</v>
      </c>
      <c r="I4" s="1306"/>
      <c r="J4" s="1306"/>
      <c r="K4" s="1307"/>
      <c r="L4" s="1345" t="s">
        <v>916</v>
      </c>
      <c r="M4" s="1347"/>
      <c r="N4" s="1478" t="s">
        <v>218</v>
      </c>
      <c r="O4" s="1479"/>
      <c r="P4" s="1480"/>
      <c r="Q4" s="217" t="s">
        <v>176</v>
      </c>
      <c r="R4" s="217" t="s">
        <v>175</v>
      </c>
      <c r="S4" s="217" t="s">
        <v>42</v>
      </c>
      <c r="T4" s="215" t="s">
        <v>1210</v>
      </c>
      <c r="U4" s="215" t="s">
        <v>241</v>
      </c>
    </row>
    <row r="5" spans="2:22" x14ac:dyDescent="0.45">
      <c r="B5" s="118">
        <f t="shared" ref="B5:B25" si="0">B4+1</f>
        <v>3</v>
      </c>
      <c r="C5" s="55" t="s">
        <v>180</v>
      </c>
      <c r="D5" s="126" t="s">
        <v>37</v>
      </c>
      <c r="E5" s="126" t="s">
        <v>133</v>
      </c>
      <c r="F5" s="126" t="s">
        <v>39</v>
      </c>
      <c r="H5" s="127"/>
      <c r="I5" s="127"/>
      <c r="J5" s="127"/>
      <c r="K5" s="127"/>
      <c r="L5" s="1305" t="s">
        <v>1144</v>
      </c>
      <c r="M5" s="1306"/>
      <c r="N5" s="1306"/>
      <c r="O5" s="1306"/>
      <c r="P5" s="1306"/>
      <c r="Q5" s="1306"/>
      <c r="R5" s="1306"/>
      <c r="S5" s="1307"/>
      <c r="T5" s="218" t="s">
        <v>884</v>
      </c>
      <c r="U5" s="215" t="s">
        <v>179</v>
      </c>
    </row>
    <row r="6" spans="2:22" x14ac:dyDescent="0.45">
      <c r="B6" s="118">
        <f t="shared" si="0"/>
        <v>4</v>
      </c>
      <c r="C6" s="55" t="s">
        <v>51</v>
      </c>
      <c r="D6" s="126" t="s">
        <v>37</v>
      </c>
      <c r="E6" s="126" t="s">
        <v>43</v>
      </c>
      <c r="F6" s="126" t="s">
        <v>39</v>
      </c>
      <c r="H6" s="219" t="s">
        <v>53</v>
      </c>
      <c r="I6" s="219" t="s">
        <v>54</v>
      </c>
      <c r="J6" s="219" t="s">
        <v>55</v>
      </c>
      <c r="K6" s="219" t="s">
        <v>56</v>
      </c>
      <c r="L6" s="219" t="s">
        <v>57</v>
      </c>
      <c r="M6" s="219" t="s">
        <v>58</v>
      </c>
      <c r="N6" s="219" t="s">
        <v>59</v>
      </c>
      <c r="O6" s="219" t="s">
        <v>60</v>
      </c>
      <c r="P6" s="219" t="s">
        <v>61</v>
      </c>
      <c r="Q6" s="219" t="s">
        <v>62</v>
      </c>
      <c r="R6" s="219" t="s">
        <v>63</v>
      </c>
      <c r="S6" s="219" t="s">
        <v>64</v>
      </c>
      <c r="T6" s="220"/>
      <c r="U6" s="216"/>
    </row>
    <row r="7" spans="2:22" x14ac:dyDescent="0.45">
      <c r="B7" s="118"/>
      <c r="C7" s="55" t="s">
        <v>207</v>
      </c>
      <c r="E7" s="126" t="s">
        <v>44</v>
      </c>
      <c r="T7" s="126"/>
      <c r="U7" s="126"/>
    </row>
    <row r="8" spans="2:22" ht="102" x14ac:dyDescent="0.45">
      <c r="B8" s="118">
        <f>B6+1</f>
        <v>5</v>
      </c>
      <c r="C8" s="55" t="s">
        <v>65</v>
      </c>
      <c r="D8" s="126" t="s">
        <v>66</v>
      </c>
      <c r="E8" s="126" t="s">
        <v>137</v>
      </c>
      <c r="F8" s="126" t="s">
        <v>47</v>
      </c>
      <c r="H8" s="205" t="s">
        <v>216</v>
      </c>
      <c r="I8" s="127"/>
      <c r="J8" s="205" t="s">
        <v>1108</v>
      </c>
      <c r="K8" s="205" t="s">
        <v>1109</v>
      </c>
      <c r="L8" s="127"/>
      <c r="M8" s="127"/>
      <c r="N8" s="127"/>
      <c r="O8" s="127"/>
      <c r="P8" s="219" t="s">
        <v>68</v>
      </c>
      <c r="Q8" s="205" t="s">
        <v>69</v>
      </c>
      <c r="R8" s="205" t="s">
        <v>70</v>
      </c>
      <c r="S8" s="219" t="s">
        <v>15</v>
      </c>
      <c r="T8" s="220" t="s">
        <v>892</v>
      </c>
      <c r="U8" s="221" t="s">
        <v>244</v>
      </c>
    </row>
    <row r="9" spans="2:22" x14ac:dyDescent="0.45">
      <c r="B9" s="118">
        <f t="shared" si="0"/>
        <v>6</v>
      </c>
      <c r="C9" s="55" t="s">
        <v>71</v>
      </c>
      <c r="D9" s="126" t="s">
        <v>37</v>
      </c>
      <c r="E9" s="126" t="s">
        <v>46</v>
      </c>
      <c r="F9" s="126" t="s">
        <v>47</v>
      </c>
      <c r="H9" s="127"/>
      <c r="I9" s="1348" t="s">
        <v>73</v>
      </c>
      <c r="J9" s="1474"/>
      <c r="K9" s="1475"/>
      <c r="L9" s="127"/>
      <c r="M9" s="1348" t="s">
        <v>74</v>
      </c>
      <c r="N9" s="1349"/>
      <c r="O9" s="1350"/>
      <c r="P9" s="230"/>
      <c r="Q9" s="1308" t="s">
        <v>75</v>
      </c>
      <c r="R9" s="1309"/>
      <c r="S9" s="1310"/>
      <c r="T9" s="215"/>
      <c r="U9" s="216"/>
    </row>
    <row r="10" spans="2:22" ht="187" x14ac:dyDescent="0.45">
      <c r="B10" s="118">
        <f t="shared" si="0"/>
        <v>7</v>
      </c>
      <c r="C10" s="55" t="s">
        <v>219</v>
      </c>
      <c r="D10" s="126" t="s">
        <v>37</v>
      </c>
      <c r="E10" s="126" t="s">
        <v>140</v>
      </c>
      <c r="F10" s="126" t="s">
        <v>77</v>
      </c>
      <c r="H10" s="205" t="s">
        <v>225</v>
      </c>
      <c r="I10" s="205" t="s">
        <v>1110</v>
      </c>
      <c r="J10" s="127"/>
      <c r="K10" s="205" t="s">
        <v>215</v>
      </c>
      <c r="L10" s="205" t="s">
        <v>217</v>
      </c>
      <c r="M10" s="205" t="s">
        <v>220</v>
      </c>
      <c r="N10" s="205" t="s">
        <v>224</v>
      </c>
      <c r="O10" s="205" t="s">
        <v>893</v>
      </c>
      <c r="P10" s="205" t="s">
        <v>325</v>
      </c>
      <c r="Q10" s="219" t="s">
        <v>223</v>
      </c>
      <c r="R10" s="219" t="s">
        <v>222</v>
      </c>
      <c r="S10" s="205" t="s">
        <v>221</v>
      </c>
      <c r="T10" s="215" t="s">
        <v>1211</v>
      </c>
      <c r="U10" s="222" t="s">
        <v>1212</v>
      </c>
      <c r="V10" s="222" t="s">
        <v>1213</v>
      </c>
    </row>
    <row r="11" spans="2:22" x14ac:dyDescent="0.45">
      <c r="B11" s="118">
        <f t="shared" si="0"/>
        <v>8</v>
      </c>
      <c r="C11" s="55" t="s">
        <v>48</v>
      </c>
      <c r="D11" s="126" t="s">
        <v>37</v>
      </c>
      <c r="E11" s="126" t="s">
        <v>49</v>
      </c>
      <c r="F11" s="126" t="s">
        <v>47</v>
      </c>
      <c r="H11" s="1342" t="s">
        <v>50</v>
      </c>
      <c r="I11" s="1343"/>
      <c r="J11" s="1343"/>
      <c r="K11" s="1343"/>
      <c r="L11" s="1343"/>
      <c r="M11" s="1343"/>
      <c r="N11" s="1343"/>
      <c r="O11" s="1343"/>
      <c r="P11" s="1343"/>
      <c r="Q11" s="1343"/>
      <c r="R11" s="1343"/>
      <c r="S11" s="1344"/>
      <c r="T11" s="215"/>
      <c r="U11" s="215" t="s">
        <v>179</v>
      </c>
    </row>
    <row r="12" spans="2:22" x14ac:dyDescent="0.45">
      <c r="B12" s="118">
        <f t="shared" si="0"/>
        <v>9</v>
      </c>
      <c r="C12" s="55" t="s">
        <v>208</v>
      </c>
      <c r="D12" s="126" t="s">
        <v>37</v>
      </c>
      <c r="E12" s="126" t="s">
        <v>52</v>
      </c>
      <c r="F12" s="126" t="s">
        <v>47</v>
      </c>
      <c r="H12" s="1305" t="s">
        <v>200</v>
      </c>
      <c r="I12" s="1307"/>
      <c r="J12" s="1305" t="s">
        <v>199</v>
      </c>
      <c r="K12" s="1307"/>
      <c r="L12" s="1305" t="s">
        <v>198</v>
      </c>
      <c r="M12" s="1307"/>
      <c r="N12" s="1305" t="s">
        <v>197</v>
      </c>
      <c r="O12" s="1307"/>
      <c r="P12" s="1305" t="s">
        <v>196</v>
      </c>
      <c r="Q12" s="1307"/>
      <c r="R12" s="1305" t="s">
        <v>195</v>
      </c>
      <c r="S12" s="1307"/>
      <c r="T12" s="223" t="s">
        <v>182</v>
      </c>
      <c r="U12" s="216"/>
    </row>
    <row r="13" spans="2:22" x14ac:dyDescent="0.45">
      <c r="B13" s="118">
        <f t="shared" si="0"/>
        <v>10</v>
      </c>
      <c r="C13" s="55" t="s">
        <v>209</v>
      </c>
      <c r="D13" s="126" t="s">
        <v>37</v>
      </c>
      <c r="E13" s="126" t="s">
        <v>144</v>
      </c>
      <c r="F13" s="126" t="s">
        <v>47</v>
      </c>
      <c r="H13" s="1305" t="s">
        <v>206</v>
      </c>
      <c r="I13" s="1307"/>
      <c r="J13" s="1305" t="s">
        <v>205</v>
      </c>
      <c r="K13" s="1307"/>
      <c r="L13" s="1305" t="s">
        <v>204</v>
      </c>
      <c r="M13" s="1307"/>
      <c r="N13" s="1305" t="s">
        <v>203</v>
      </c>
      <c r="O13" s="1307"/>
      <c r="P13" s="1305" t="s">
        <v>202</v>
      </c>
      <c r="Q13" s="1307"/>
      <c r="R13" s="1305" t="s">
        <v>201</v>
      </c>
      <c r="S13" s="1307"/>
      <c r="T13" s="215"/>
      <c r="U13" s="216"/>
    </row>
    <row r="14" spans="2:22" x14ac:dyDescent="0.45">
      <c r="B14" s="118">
        <f t="shared" si="0"/>
        <v>11</v>
      </c>
      <c r="C14" s="55" t="s">
        <v>78</v>
      </c>
      <c r="D14" s="126" t="s">
        <v>37</v>
      </c>
      <c r="E14" s="126" t="s">
        <v>67</v>
      </c>
      <c r="F14" s="126" t="s">
        <v>47</v>
      </c>
      <c r="H14" s="1305" t="s">
        <v>183</v>
      </c>
      <c r="I14" s="1306"/>
      <c r="J14" s="1306"/>
      <c r="K14" s="1306"/>
      <c r="L14" s="1306"/>
      <c r="M14" s="1306"/>
      <c r="N14" s="1306"/>
      <c r="O14" s="1306"/>
      <c r="P14" s="1306"/>
      <c r="Q14" s="1306"/>
      <c r="R14" s="1306"/>
      <c r="S14" s="1307"/>
      <c r="T14" s="223"/>
      <c r="U14" s="216"/>
    </row>
    <row r="15" spans="2:22" x14ac:dyDescent="0.45">
      <c r="B15" s="118">
        <f t="shared" si="0"/>
        <v>12</v>
      </c>
      <c r="C15" s="55" t="s">
        <v>80</v>
      </c>
      <c r="D15" s="126" t="s">
        <v>37</v>
      </c>
      <c r="E15" s="126" t="s">
        <v>72</v>
      </c>
      <c r="F15" s="126" t="s">
        <v>47</v>
      </c>
      <c r="H15" s="1305" t="s">
        <v>184</v>
      </c>
      <c r="I15" s="1306"/>
      <c r="J15" s="1306"/>
      <c r="K15" s="1306"/>
      <c r="L15" s="1306"/>
      <c r="M15" s="1306"/>
      <c r="N15" s="1306"/>
      <c r="O15" s="1306"/>
      <c r="P15" s="1306"/>
      <c r="Q15" s="1306"/>
      <c r="R15" s="1306"/>
      <c r="S15" s="1307"/>
      <c r="T15" s="223"/>
      <c r="U15" s="216"/>
    </row>
    <row r="16" spans="2:22" x14ac:dyDescent="0.45">
      <c r="B16" s="118">
        <f t="shared" si="0"/>
        <v>13</v>
      </c>
      <c r="C16" s="55" t="s">
        <v>82</v>
      </c>
      <c r="D16" s="126" t="s">
        <v>37</v>
      </c>
      <c r="E16" s="126" t="s">
        <v>76</v>
      </c>
      <c r="F16" s="126" t="s">
        <v>47</v>
      </c>
      <c r="H16" s="1305" t="s">
        <v>185</v>
      </c>
      <c r="I16" s="1306"/>
      <c r="J16" s="1306"/>
      <c r="K16" s="1306"/>
      <c r="L16" s="1306"/>
      <c r="M16" s="1306"/>
      <c r="N16" s="1306"/>
      <c r="O16" s="1306"/>
      <c r="P16" s="1306"/>
      <c r="Q16" s="1306"/>
      <c r="R16" s="1306"/>
      <c r="S16" s="1307"/>
      <c r="T16" s="223"/>
      <c r="U16" s="216"/>
    </row>
    <row r="17" spans="2:21" x14ac:dyDescent="0.45">
      <c r="B17" s="118">
        <f t="shared" si="0"/>
        <v>14</v>
      </c>
      <c r="C17" s="55" t="s">
        <v>84</v>
      </c>
      <c r="D17" s="126" t="s">
        <v>37</v>
      </c>
      <c r="E17" s="126" t="s">
        <v>79</v>
      </c>
      <c r="F17" s="126" t="s">
        <v>47</v>
      </c>
      <c r="H17" s="1305" t="s">
        <v>186</v>
      </c>
      <c r="I17" s="1306"/>
      <c r="J17" s="1306"/>
      <c r="K17" s="1306"/>
      <c r="L17" s="1306"/>
      <c r="M17" s="1306"/>
      <c r="N17" s="1306"/>
      <c r="O17" s="1306"/>
      <c r="P17" s="1306"/>
      <c r="Q17" s="1306"/>
      <c r="R17" s="1306"/>
      <c r="S17" s="1307"/>
      <c r="T17" s="223"/>
      <c r="U17" s="216"/>
    </row>
    <row r="18" spans="2:21" x14ac:dyDescent="0.45">
      <c r="B18" s="118">
        <f t="shared" si="0"/>
        <v>15</v>
      </c>
      <c r="C18" s="55" t="s">
        <v>85</v>
      </c>
      <c r="D18" s="126" t="s">
        <v>37</v>
      </c>
      <c r="E18" s="126" t="s">
        <v>81</v>
      </c>
      <c r="F18" s="126" t="s">
        <v>47</v>
      </c>
      <c r="H18" s="1305" t="s">
        <v>187</v>
      </c>
      <c r="I18" s="1306"/>
      <c r="J18" s="1306"/>
      <c r="K18" s="1306"/>
      <c r="L18" s="1306"/>
      <c r="M18" s="1306"/>
      <c r="N18" s="1306"/>
      <c r="O18" s="1306"/>
      <c r="P18" s="1306"/>
      <c r="Q18" s="1306"/>
      <c r="R18" s="1306"/>
      <c r="S18" s="1307"/>
      <c r="T18" s="223"/>
      <c r="U18" s="216"/>
    </row>
    <row r="19" spans="2:21" x14ac:dyDescent="0.45">
      <c r="B19" s="118">
        <f t="shared" si="0"/>
        <v>16</v>
      </c>
      <c r="C19" s="55" t="s">
        <v>87</v>
      </c>
      <c r="D19" s="126" t="s">
        <v>37</v>
      </c>
      <c r="E19" s="126" t="s">
        <v>83</v>
      </c>
      <c r="F19" s="126" t="s">
        <v>47</v>
      </c>
      <c r="H19" s="1305" t="s">
        <v>188</v>
      </c>
      <c r="I19" s="1306"/>
      <c r="J19" s="1306"/>
      <c r="K19" s="1306"/>
      <c r="L19" s="1306"/>
      <c r="M19" s="1306"/>
      <c r="N19" s="1306"/>
      <c r="O19" s="1306"/>
      <c r="P19" s="1306"/>
      <c r="Q19" s="1306"/>
      <c r="R19" s="1306"/>
      <c r="S19" s="1307"/>
      <c r="T19" s="223"/>
      <c r="U19" s="216"/>
    </row>
    <row r="20" spans="2:21" x14ac:dyDescent="0.45">
      <c r="B20" s="118">
        <f t="shared" si="0"/>
        <v>17</v>
      </c>
      <c r="C20" s="55" t="s">
        <v>89</v>
      </c>
      <c r="D20" s="126" t="s">
        <v>37</v>
      </c>
      <c r="E20" s="126" t="s">
        <v>210</v>
      </c>
      <c r="F20" s="126" t="s">
        <v>47</v>
      </c>
      <c r="H20" s="1305" t="s">
        <v>189</v>
      </c>
      <c r="I20" s="1306"/>
      <c r="J20" s="1306"/>
      <c r="K20" s="1306"/>
      <c r="L20" s="1306"/>
      <c r="M20" s="1306"/>
      <c r="N20" s="1306"/>
      <c r="O20" s="1306"/>
      <c r="P20" s="1306"/>
      <c r="Q20" s="1306"/>
      <c r="R20" s="1306"/>
      <c r="S20" s="1307"/>
      <c r="T20" s="223"/>
      <c r="U20" s="216"/>
    </row>
    <row r="21" spans="2:21" x14ac:dyDescent="0.45">
      <c r="B21" s="118">
        <f t="shared" si="0"/>
        <v>18</v>
      </c>
      <c r="C21" s="55" t="s">
        <v>91</v>
      </c>
      <c r="D21" s="126" t="s">
        <v>37</v>
      </c>
      <c r="E21" s="126" t="s">
        <v>86</v>
      </c>
      <c r="F21" s="126" t="s">
        <v>47</v>
      </c>
      <c r="H21" s="1305" t="s">
        <v>190</v>
      </c>
      <c r="I21" s="1306"/>
      <c r="J21" s="1306"/>
      <c r="K21" s="1306"/>
      <c r="L21" s="1306"/>
      <c r="M21" s="1306"/>
      <c r="N21" s="1306"/>
      <c r="O21" s="1306"/>
      <c r="P21" s="1306"/>
      <c r="Q21" s="1306"/>
      <c r="R21" s="1306"/>
      <c r="S21" s="1307"/>
      <c r="T21" s="223"/>
      <c r="U21" s="216"/>
    </row>
    <row r="22" spans="2:21" x14ac:dyDescent="0.45">
      <c r="B22" s="118">
        <f t="shared" si="0"/>
        <v>19</v>
      </c>
      <c r="C22" s="55" t="s">
        <v>93</v>
      </c>
      <c r="D22" s="126" t="s">
        <v>37</v>
      </c>
      <c r="E22" s="126" t="s">
        <v>88</v>
      </c>
      <c r="F22" s="126" t="s">
        <v>47</v>
      </c>
      <c r="H22" s="1305" t="s">
        <v>191</v>
      </c>
      <c r="I22" s="1306"/>
      <c r="J22" s="1306"/>
      <c r="K22" s="1306"/>
      <c r="L22" s="1306"/>
      <c r="M22" s="1306"/>
      <c r="N22" s="1306"/>
      <c r="O22" s="1306"/>
      <c r="P22" s="1306"/>
      <c r="Q22" s="1306"/>
      <c r="R22" s="1306"/>
      <c r="S22" s="1307"/>
      <c r="T22" s="223"/>
      <c r="U22" s="216"/>
    </row>
    <row r="23" spans="2:21" x14ac:dyDescent="0.45">
      <c r="B23" s="118">
        <f t="shared" si="0"/>
        <v>20</v>
      </c>
      <c r="C23" s="55" t="s">
        <v>95</v>
      </c>
      <c r="D23" s="126" t="s">
        <v>37</v>
      </c>
      <c r="E23" s="126" t="s">
        <v>90</v>
      </c>
      <c r="F23" s="126" t="s">
        <v>47</v>
      </c>
      <c r="H23" s="1305" t="s">
        <v>192</v>
      </c>
      <c r="I23" s="1306"/>
      <c r="J23" s="1306"/>
      <c r="K23" s="1306"/>
      <c r="L23" s="1306"/>
      <c r="M23" s="1306"/>
      <c r="N23" s="1306"/>
      <c r="O23" s="1306"/>
      <c r="P23" s="1306"/>
      <c r="Q23" s="1306"/>
      <c r="R23" s="1306"/>
      <c r="S23" s="1307"/>
      <c r="T23" s="223"/>
      <c r="U23" s="216"/>
    </row>
    <row r="24" spans="2:21" x14ac:dyDescent="0.45">
      <c r="B24" s="118">
        <f t="shared" si="0"/>
        <v>21</v>
      </c>
      <c r="C24" s="55" t="s">
        <v>96</v>
      </c>
      <c r="D24" s="126" t="s">
        <v>37</v>
      </c>
      <c r="E24" s="126" t="s">
        <v>92</v>
      </c>
      <c r="F24" s="126" t="s">
        <v>47</v>
      </c>
      <c r="H24" s="1305" t="s">
        <v>193</v>
      </c>
      <c r="I24" s="1306"/>
      <c r="J24" s="1306"/>
      <c r="K24" s="1306"/>
      <c r="L24" s="1306"/>
      <c r="M24" s="1306"/>
      <c r="N24" s="1306"/>
      <c r="O24" s="1306"/>
      <c r="P24" s="1306"/>
      <c r="Q24" s="1306"/>
      <c r="R24" s="1306"/>
      <c r="S24" s="1307"/>
      <c r="T24" s="223"/>
      <c r="U24" s="216"/>
    </row>
    <row r="25" spans="2:21" x14ac:dyDescent="0.45">
      <c r="B25" s="118">
        <f t="shared" si="0"/>
        <v>22</v>
      </c>
      <c r="C25" s="55" t="s">
        <v>97</v>
      </c>
      <c r="D25" s="126" t="s">
        <v>37</v>
      </c>
      <c r="E25" s="126" t="s">
        <v>94</v>
      </c>
      <c r="F25" s="126" t="s">
        <v>47</v>
      </c>
      <c r="H25" s="1305" t="s">
        <v>194</v>
      </c>
      <c r="I25" s="1306"/>
      <c r="J25" s="1306"/>
      <c r="K25" s="1306"/>
      <c r="L25" s="1306"/>
      <c r="M25" s="1306"/>
      <c r="N25" s="1306"/>
      <c r="O25" s="1306"/>
      <c r="P25" s="1306"/>
      <c r="Q25" s="1306"/>
      <c r="R25" s="1306"/>
      <c r="S25" s="1307"/>
      <c r="T25" s="223"/>
      <c r="U25" s="216"/>
    </row>
    <row r="26" spans="2:21" x14ac:dyDescent="0.45">
      <c r="B26" s="118"/>
      <c r="C26" s="55" t="s">
        <v>207</v>
      </c>
      <c r="E26" s="126" t="s">
        <v>211</v>
      </c>
      <c r="T26" s="129"/>
      <c r="U26" s="126"/>
    </row>
    <row r="27" spans="2:21" x14ac:dyDescent="0.45">
      <c r="B27" s="118">
        <f>B25+1</f>
        <v>23</v>
      </c>
      <c r="C27" s="55" t="s">
        <v>214</v>
      </c>
      <c r="D27" s="126" t="s">
        <v>37</v>
      </c>
      <c r="E27" s="126" t="s">
        <v>172</v>
      </c>
      <c r="F27" s="126" t="s">
        <v>888</v>
      </c>
      <c r="H27" s="1305" t="s">
        <v>890</v>
      </c>
      <c r="I27" s="1306"/>
      <c r="J27" s="1306"/>
      <c r="K27" s="1306"/>
      <c r="L27" s="1306"/>
      <c r="M27" s="1307"/>
      <c r="N27" s="1305" t="s">
        <v>891</v>
      </c>
      <c r="O27" s="1306"/>
      <c r="P27" s="1306"/>
      <c r="Q27" s="1306"/>
      <c r="R27" s="1306"/>
      <c r="S27" s="1307"/>
      <c r="T27" s="215" t="s">
        <v>887</v>
      </c>
      <c r="U27" s="216"/>
    </row>
    <row r="28" spans="2:21" ht="34" x14ac:dyDescent="0.45">
      <c r="B28" s="118">
        <f>B27+1</f>
        <v>24</v>
      </c>
      <c r="C28" s="55" t="s">
        <v>324</v>
      </c>
      <c r="D28" s="126" t="s">
        <v>37</v>
      </c>
      <c r="E28" s="126" t="s">
        <v>328</v>
      </c>
      <c r="F28" s="126" t="s">
        <v>1152</v>
      </c>
      <c r="H28" s="1481" t="s">
        <v>2049</v>
      </c>
      <c r="I28" s="1482"/>
      <c r="J28" s="1482"/>
      <c r="K28" s="1483"/>
      <c r="L28" s="1305" t="s">
        <v>1150</v>
      </c>
      <c r="M28" s="1306"/>
      <c r="N28" s="1306"/>
      <c r="O28" s="1306"/>
      <c r="P28" s="1306"/>
      <c r="Q28" s="1306"/>
      <c r="R28" s="1306"/>
      <c r="S28" s="1307"/>
      <c r="T28" s="222" t="s">
        <v>894</v>
      </c>
      <c r="U28" s="222"/>
    </row>
    <row r="29" spans="2:21" x14ac:dyDescent="0.45">
      <c r="B29" s="118">
        <f t="shared" ref="B29:B30" si="1">B28+1</f>
        <v>25</v>
      </c>
      <c r="C29" s="55" t="s">
        <v>212</v>
      </c>
      <c r="D29" s="126" t="s">
        <v>37</v>
      </c>
      <c r="E29" s="126" t="s">
        <v>99</v>
      </c>
      <c r="F29" s="126" t="s">
        <v>883</v>
      </c>
      <c r="H29" s="1305" t="s">
        <v>102</v>
      </c>
      <c r="I29" s="1306"/>
      <c r="J29" s="1306"/>
      <c r="K29" s="1306"/>
      <c r="L29" s="1306"/>
      <c r="M29" s="1306"/>
      <c r="N29" s="1306"/>
      <c r="O29" s="1306"/>
      <c r="P29" s="1306"/>
      <c r="Q29" s="1306"/>
      <c r="R29" s="1306"/>
      <c r="S29" s="1307"/>
      <c r="T29" s="215" t="s">
        <v>882</v>
      </c>
      <c r="U29" s="215"/>
    </row>
    <row r="30" spans="2:21" ht="34" x14ac:dyDescent="0.45">
      <c r="B30" s="118">
        <f t="shared" si="1"/>
        <v>26</v>
      </c>
      <c r="C30" s="55" t="s">
        <v>213</v>
      </c>
      <c r="D30" s="126" t="s">
        <v>37</v>
      </c>
      <c r="E30" s="126" t="s">
        <v>101</v>
      </c>
      <c r="F30" s="126" t="s">
        <v>992</v>
      </c>
      <c r="H30" s="205" t="s">
        <v>104</v>
      </c>
      <c r="I30" s="127"/>
      <c r="J30" s="1305" t="s">
        <v>905</v>
      </c>
      <c r="K30" s="1307"/>
      <c r="L30" s="1305" t="s">
        <v>181</v>
      </c>
      <c r="M30" s="1306"/>
      <c r="N30" s="1306"/>
      <c r="O30" s="1306"/>
      <c r="P30" s="1306"/>
      <c r="Q30" s="1306"/>
      <c r="R30" s="1306"/>
      <c r="S30" s="1307"/>
      <c r="T30" s="215" t="s">
        <v>895</v>
      </c>
      <c r="U30" s="215"/>
    </row>
    <row r="31" spans="2:21" x14ac:dyDescent="0.45">
      <c r="B31" s="118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215" t="s">
        <v>1151</v>
      </c>
      <c r="U31" s="215"/>
    </row>
    <row r="32" spans="2:21" x14ac:dyDescent="0.45">
      <c r="B32" s="118">
        <f>B30+1</f>
        <v>27</v>
      </c>
      <c r="C32" s="55" t="s">
        <v>327</v>
      </c>
      <c r="D32" s="126" t="s">
        <v>37</v>
      </c>
      <c r="E32" s="126" t="s">
        <v>326</v>
      </c>
      <c r="F32" s="126" t="s">
        <v>909</v>
      </c>
      <c r="H32" s="1305" t="s">
        <v>100</v>
      </c>
      <c r="I32" s="1306"/>
      <c r="J32" s="1306"/>
      <c r="K32" s="1307"/>
      <c r="L32" s="127"/>
      <c r="M32" s="205" t="s">
        <v>906</v>
      </c>
      <c r="N32" s="1305" t="s">
        <v>907</v>
      </c>
      <c r="O32" s="1307"/>
      <c r="P32" s="127"/>
      <c r="Q32" s="127"/>
      <c r="R32" s="1305" t="s">
        <v>229</v>
      </c>
      <c r="S32" s="1307"/>
      <c r="T32" s="215">
        <f>HEX2DEC(T31)</f>
        <v>200</v>
      </c>
      <c r="U32" s="215"/>
    </row>
    <row r="33" spans="2:21" x14ac:dyDescent="0.45">
      <c r="B33" s="118">
        <f>B32+1</f>
        <v>28</v>
      </c>
      <c r="C33" s="55" t="s">
        <v>230</v>
      </c>
      <c r="D33" s="126" t="s">
        <v>37</v>
      </c>
      <c r="E33" s="126" t="s">
        <v>103</v>
      </c>
      <c r="F33" s="126" t="s">
        <v>39</v>
      </c>
      <c r="H33" s="1305" t="s">
        <v>227</v>
      </c>
      <c r="I33" s="1306"/>
      <c r="J33" s="1306"/>
      <c r="K33" s="1306"/>
      <c r="L33" s="1306"/>
      <c r="M33" s="1306"/>
      <c r="N33" s="1306"/>
      <c r="O33" s="1306"/>
      <c r="P33" s="1306"/>
      <c r="Q33" s="1306"/>
      <c r="R33" s="1306"/>
      <c r="S33" s="1307"/>
      <c r="T33" s="222"/>
      <c r="U33" s="222"/>
    </row>
    <row r="34" spans="2:21" x14ac:dyDescent="0.45">
      <c r="B34" s="118">
        <f t="shared" ref="B34:B37" si="2">B33+1</f>
        <v>29</v>
      </c>
      <c r="C34" s="55" t="s">
        <v>231</v>
      </c>
      <c r="D34" s="126" t="s">
        <v>37</v>
      </c>
      <c r="E34" s="126" t="s">
        <v>105</v>
      </c>
      <c r="F34" s="126" t="s">
        <v>904</v>
      </c>
      <c r="H34" s="205" t="s">
        <v>228</v>
      </c>
      <c r="I34" s="127"/>
      <c r="J34" s="127"/>
      <c r="K34" s="127"/>
      <c r="L34" s="127"/>
      <c r="M34" s="127"/>
      <c r="N34" s="127"/>
      <c r="O34" s="127"/>
      <c r="P34" s="1305" t="s">
        <v>889</v>
      </c>
      <c r="Q34" s="1306"/>
      <c r="R34" s="1306"/>
      <c r="S34" s="1307"/>
      <c r="T34" s="222"/>
      <c r="U34" s="222"/>
    </row>
    <row r="35" spans="2:21" x14ac:dyDescent="0.45">
      <c r="B35" s="118">
        <f t="shared" si="2"/>
        <v>30</v>
      </c>
      <c r="C35" s="55" t="s">
        <v>911</v>
      </c>
      <c r="D35" s="126" t="s">
        <v>912</v>
      </c>
      <c r="E35" s="126" t="s">
        <v>913</v>
      </c>
      <c r="F35" s="126" t="s">
        <v>39</v>
      </c>
      <c r="H35" s="224"/>
      <c r="I35" s="224"/>
      <c r="J35" s="224"/>
      <c r="K35" s="224"/>
      <c r="L35" s="224"/>
      <c r="M35" s="1473" t="s">
        <v>914</v>
      </c>
      <c r="N35" s="1473"/>
      <c r="O35" s="1473"/>
      <c r="P35" s="1473"/>
      <c r="Q35" s="1473"/>
      <c r="R35" s="1473"/>
      <c r="S35" s="1473"/>
      <c r="T35" s="212" t="s">
        <v>915</v>
      </c>
    </row>
    <row r="36" spans="2:21" x14ac:dyDescent="0.45">
      <c r="B36" s="118">
        <f t="shared" si="2"/>
        <v>31</v>
      </c>
      <c r="C36" s="55" t="s">
        <v>1148</v>
      </c>
      <c r="D36" s="126" t="s">
        <v>37</v>
      </c>
      <c r="E36" s="126" t="s">
        <v>988</v>
      </c>
      <c r="F36" s="126" t="s">
        <v>1155</v>
      </c>
      <c r="H36" s="205" t="s">
        <v>1153</v>
      </c>
      <c r="I36" s="228" t="s">
        <v>1154</v>
      </c>
      <c r="J36" s="1305" t="s">
        <v>1149</v>
      </c>
      <c r="K36" s="1306"/>
      <c r="L36" s="1306"/>
      <c r="M36" s="1306"/>
      <c r="N36" s="1306"/>
      <c r="O36" s="1306"/>
      <c r="P36" s="1306"/>
      <c r="Q36" s="1306"/>
      <c r="R36" s="1306"/>
      <c r="S36" s="1307"/>
      <c r="T36" s="223"/>
      <c r="U36" s="216"/>
    </row>
    <row r="37" spans="2:21" x14ac:dyDescent="0.45">
      <c r="B37" s="118">
        <f t="shared" si="2"/>
        <v>32</v>
      </c>
      <c r="C37" s="55" t="s">
        <v>1111</v>
      </c>
      <c r="D37" s="126" t="s">
        <v>37</v>
      </c>
      <c r="E37" s="126" t="s">
        <v>1113</v>
      </c>
      <c r="F37" s="126" t="s">
        <v>39</v>
      </c>
      <c r="H37" s="1345" t="s">
        <v>1112</v>
      </c>
      <c r="I37" s="1346"/>
      <c r="J37" s="1346"/>
      <c r="K37" s="1346"/>
      <c r="L37" s="1346"/>
      <c r="M37" s="1346"/>
      <c r="N37" s="1346"/>
      <c r="O37" s="1346"/>
      <c r="P37" s="1346"/>
      <c r="Q37" s="1346"/>
      <c r="R37" s="1346"/>
      <c r="S37" s="1347"/>
      <c r="T37" s="215" t="s">
        <v>1114</v>
      </c>
      <c r="U37" s="215"/>
    </row>
    <row r="38" spans="2:21" x14ac:dyDescent="0.45">
      <c r="B38" s="118"/>
    </row>
    <row r="39" spans="2:21" ht="170" x14ac:dyDescent="0.45">
      <c r="B39" s="118">
        <v>1</v>
      </c>
      <c r="C39" s="55" t="s">
        <v>106</v>
      </c>
      <c r="D39" s="126" t="s">
        <v>37</v>
      </c>
      <c r="E39" s="225" t="s">
        <v>107</v>
      </c>
      <c r="F39" s="126" t="s">
        <v>39</v>
      </c>
      <c r="H39" s="205" t="s">
        <v>108</v>
      </c>
      <c r="I39" s="205" t="s">
        <v>990</v>
      </c>
      <c r="J39" s="1305" t="s">
        <v>908</v>
      </c>
      <c r="K39" s="1307"/>
      <c r="L39" s="127"/>
      <c r="M39" s="205" t="s">
        <v>177</v>
      </c>
      <c r="N39" s="205" t="s">
        <v>991</v>
      </c>
      <c r="O39" s="205" t="s">
        <v>178</v>
      </c>
      <c r="P39" s="127"/>
      <c r="Q39" s="127"/>
      <c r="R39" s="127"/>
      <c r="S39" s="205" t="s">
        <v>109</v>
      </c>
      <c r="T39" s="215" t="s">
        <v>1214</v>
      </c>
      <c r="U39" s="215"/>
    </row>
    <row r="40" spans="2:21" x14ac:dyDescent="0.45">
      <c r="B40" s="118">
        <f>B39+1</f>
        <v>2</v>
      </c>
      <c r="C40" s="55" t="s">
        <v>110</v>
      </c>
      <c r="D40" s="126" t="s">
        <v>37</v>
      </c>
      <c r="E40" s="225" t="s">
        <v>111</v>
      </c>
      <c r="F40" s="126" t="s">
        <v>39</v>
      </c>
      <c r="H40" s="127"/>
      <c r="I40" s="127"/>
      <c r="J40" s="127"/>
      <c r="K40" s="127"/>
      <c r="L40" s="127"/>
      <c r="M40" s="127"/>
      <c r="N40" s="127"/>
      <c r="O40" s="127"/>
      <c r="P40" s="1305" t="s">
        <v>112</v>
      </c>
      <c r="Q40" s="1306"/>
      <c r="R40" s="1306"/>
      <c r="S40" s="1307"/>
      <c r="U40" s="216"/>
    </row>
    <row r="41" spans="2:21" x14ac:dyDescent="0.45">
      <c r="B41" s="118">
        <f t="shared" ref="B41:B44" si="3">B40+1</f>
        <v>3</v>
      </c>
      <c r="C41" s="55" t="s">
        <v>113</v>
      </c>
      <c r="D41" s="126" t="s">
        <v>37</v>
      </c>
      <c r="E41" s="225" t="s">
        <v>114</v>
      </c>
      <c r="F41" s="126" t="s">
        <v>323</v>
      </c>
      <c r="H41" s="1305" t="s">
        <v>115</v>
      </c>
      <c r="I41" s="1306"/>
      <c r="J41" s="1306"/>
      <c r="K41" s="1306"/>
      <c r="L41" s="1306"/>
      <c r="M41" s="1306"/>
      <c r="N41" s="1306"/>
      <c r="O41" s="1306"/>
      <c r="P41" s="1306"/>
      <c r="Q41" s="1306"/>
      <c r="R41" s="1306"/>
      <c r="S41" s="1307"/>
      <c r="T41" s="226"/>
      <c r="U41" s="216"/>
    </row>
    <row r="42" spans="2:21" x14ac:dyDescent="0.45">
      <c r="B42" s="118">
        <f t="shared" si="3"/>
        <v>4</v>
      </c>
      <c r="C42" s="55" t="s">
        <v>116</v>
      </c>
      <c r="D42" s="126" t="s">
        <v>37</v>
      </c>
      <c r="E42" s="225" t="s">
        <v>117</v>
      </c>
      <c r="F42" s="126" t="s">
        <v>118</v>
      </c>
      <c r="H42" s="127"/>
      <c r="I42" s="127"/>
      <c r="J42" s="127"/>
      <c r="K42" s="127"/>
      <c r="L42" s="127"/>
      <c r="M42" s="127"/>
      <c r="N42" s="127"/>
      <c r="O42" s="127"/>
      <c r="P42" s="1305" t="s">
        <v>119</v>
      </c>
      <c r="Q42" s="1306"/>
      <c r="R42" s="1306"/>
      <c r="S42" s="1307"/>
      <c r="T42" s="223"/>
      <c r="U42" s="216"/>
    </row>
    <row r="43" spans="2:21" x14ac:dyDescent="0.45">
      <c r="B43" s="118">
        <f t="shared" si="3"/>
        <v>5</v>
      </c>
      <c r="C43" s="55" t="s">
        <v>120</v>
      </c>
      <c r="D43" s="126" t="s">
        <v>37</v>
      </c>
      <c r="E43" s="225" t="s">
        <v>121</v>
      </c>
      <c r="F43" s="126" t="s">
        <v>39</v>
      </c>
      <c r="H43" s="231" t="s">
        <v>1222</v>
      </c>
      <c r="I43" s="127"/>
      <c r="J43" s="127"/>
      <c r="K43" s="127"/>
      <c r="L43" s="127"/>
      <c r="M43" s="127"/>
      <c r="N43" s="127"/>
      <c r="O43" s="127"/>
      <c r="P43" s="127"/>
      <c r="Q43" s="127"/>
      <c r="R43" s="205" t="s">
        <v>122</v>
      </c>
      <c r="S43" s="205" t="s">
        <v>123</v>
      </c>
      <c r="T43" s="226" t="s">
        <v>896</v>
      </c>
      <c r="U43" s="216"/>
    </row>
    <row r="44" spans="2:21" x14ac:dyDescent="0.45">
      <c r="B44" s="118">
        <f t="shared" si="3"/>
        <v>6</v>
      </c>
      <c r="C44" s="55" t="s">
        <v>124</v>
      </c>
      <c r="D44" s="126" t="s">
        <v>37</v>
      </c>
      <c r="E44" s="225" t="s">
        <v>125</v>
      </c>
      <c r="F44" s="126" t="s">
        <v>899</v>
      </c>
      <c r="H44" s="1305" t="s">
        <v>126</v>
      </c>
      <c r="I44" s="1306"/>
      <c r="J44" s="1306"/>
      <c r="K44" s="1306"/>
      <c r="L44" s="1306"/>
      <c r="M44" s="1306"/>
      <c r="N44" s="1306"/>
      <c r="O44" s="1306"/>
      <c r="P44" s="1306"/>
      <c r="Q44" s="1306"/>
      <c r="R44" s="1306"/>
      <c r="S44" s="1307"/>
      <c r="T44" s="226"/>
      <c r="U44" s="216"/>
    </row>
    <row r="45" spans="2:21" x14ac:dyDescent="0.45">
      <c r="B45" s="118"/>
      <c r="C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223"/>
      <c r="U45" s="216"/>
    </row>
    <row r="46" spans="2:21" x14ac:dyDescent="0.45">
      <c r="B46" s="118">
        <v>1</v>
      </c>
      <c r="C46" s="55" t="s">
        <v>127</v>
      </c>
      <c r="D46" s="126" t="s">
        <v>37</v>
      </c>
      <c r="E46" s="126" t="s">
        <v>38</v>
      </c>
      <c r="F46" s="126" t="s">
        <v>39</v>
      </c>
      <c r="H46" s="127"/>
      <c r="I46" s="127"/>
      <c r="J46" s="127"/>
      <c r="K46" s="127"/>
      <c r="L46" s="1336" t="s">
        <v>128</v>
      </c>
      <c r="M46" s="1337"/>
      <c r="N46" s="1337"/>
      <c r="O46" s="1337"/>
      <c r="P46" s="1337"/>
      <c r="Q46" s="1337"/>
      <c r="R46" s="1337"/>
      <c r="S46" s="1338"/>
      <c r="T46" s="223"/>
      <c r="U46" s="216"/>
    </row>
    <row r="47" spans="2:21" x14ac:dyDescent="0.45">
      <c r="B47" s="118">
        <f>B46+1</f>
        <v>2</v>
      </c>
      <c r="C47" s="55" t="s">
        <v>129</v>
      </c>
      <c r="D47" s="126" t="s">
        <v>37</v>
      </c>
      <c r="E47" s="126" t="s">
        <v>130</v>
      </c>
      <c r="F47" s="126" t="s">
        <v>1246</v>
      </c>
      <c r="H47" s="229" t="s">
        <v>1218</v>
      </c>
      <c r="I47" s="229" t="s">
        <v>1219</v>
      </c>
      <c r="J47" s="229" t="s">
        <v>1220</v>
      </c>
      <c r="K47" s="229" t="s">
        <v>1221</v>
      </c>
      <c r="L47" s="1336" t="s">
        <v>1217</v>
      </c>
      <c r="M47" s="1338"/>
      <c r="N47" s="1336" t="s">
        <v>242</v>
      </c>
      <c r="O47" s="1337"/>
      <c r="P47" s="1337"/>
      <c r="Q47" s="1337"/>
      <c r="R47" s="1337"/>
      <c r="S47" s="1338"/>
      <c r="T47" s="223"/>
      <c r="U47" s="216"/>
    </row>
    <row r="48" spans="2:21" x14ac:dyDescent="0.45">
      <c r="B48" s="118">
        <f t="shared" ref="B48:B73" si="4">B47+1</f>
        <v>3</v>
      </c>
      <c r="C48" s="55" t="s">
        <v>132</v>
      </c>
      <c r="D48" s="126" t="s">
        <v>37</v>
      </c>
      <c r="E48" s="126" t="s">
        <v>133</v>
      </c>
      <c r="F48" s="126" t="s">
        <v>226</v>
      </c>
      <c r="H48" s="127"/>
      <c r="I48" s="127"/>
      <c r="J48" s="127"/>
      <c r="K48" s="127"/>
      <c r="L48" s="127"/>
      <c r="M48" s="127"/>
      <c r="N48" s="1336" t="s">
        <v>243</v>
      </c>
      <c r="O48" s="1337"/>
      <c r="P48" s="1337"/>
      <c r="Q48" s="1337"/>
      <c r="R48" s="1337"/>
      <c r="S48" s="1338"/>
      <c r="T48" s="223"/>
      <c r="U48" s="216"/>
    </row>
    <row r="49" spans="2:21" s="129" customFormat="1" x14ac:dyDescent="0.45">
      <c r="B49" s="118">
        <f t="shared" si="4"/>
        <v>4</v>
      </c>
      <c r="C49" s="55" t="s">
        <v>134</v>
      </c>
      <c r="D49" s="126" t="s">
        <v>37</v>
      </c>
      <c r="E49" s="126" t="s">
        <v>43</v>
      </c>
      <c r="F49" s="126" t="s">
        <v>226</v>
      </c>
      <c r="G49" s="126"/>
      <c r="H49" s="127"/>
      <c r="I49" s="127"/>
      <c r="J49" s="127"/>
      <c r="K49" s="127"/>
      <c r="L49" s="127"/>
      <c r="M49" s="127"/>
      <c r="N49" s="1336" t="s">
        <v>1216</v>
      </c>
      <c r="O49" s="1337"/>
      <c r="P49" s="1337"/>
      <c r="Q49" s="1337"/>
      <c r="R49" s="1337"/>
      <c r="S49" s="1338"/>
      <c r="T49" s="223"/>
      <c r="U49" s="216"/>
    </row>
    <row r="50" spans="2:21" s="129" customFormat="1" x14ac:dyDescent="0.45">
      <c r="B50" s="118">
        <f t="shared" si="4"/>
        <v>5</v>
      </c>
      <c r="C50" s="55" t="s">
        <v>135</v>
      </c>
      <c r="D50" s="126" t="s">
        <v>37</v>
      </c>
      <c r="E50" s="126" t="s">
        <v>44</v>
      </c>
      <c r="F50" s="126" t="s">
        <v>1247</v>
      </c>
      <c r="G50" s="126"/>
      <c r="H50" s="127"/>
      <c r="I50" s="127"/>
      <c r="J50" s="127"/>
      <c r="K50" s="127"/>
      <c r="L50" s="127"/>
      <c r="M50" s="127"/>
      <c r="N50" s="1336" t="s">
        <v>1224</v>
      </c>
      <c r="O50" s="1337"/>
      <c r="P50" s="1337"/>
      <c r="Q50" s="1337"/>
      <c r="R50" s="1337"/>
      <c r="S50" s="1338"/>
      <c r="T50" s="223"/>
      <c r="U50" s="216"/>
    </row>
    <row r="51" spans="2:21" s="129" customFormat="1" x14ac:dyDescent="0.45">
      <c r="B51" s="118">
        <f t="shared" si="4"/>
        <v>6</v>
      </c>
      <c r="C51" s="55" t="s">
        <v>136</v>
      </c>
      <c r="D51" s="126" t="s">
        <v>37</v>
      </c>
      <c r="E51" s="126" t="s">
        <v>137</v>
      </c>
      <c r="F51" s="126" t="s">
        <v>1247</v>
      </c>
      <c r="G51" s="126"/>
      <c r="H51" s="127"/>
      <c r="I51" s="127"/>
      <c r="J51" s="127"/>
      <c r="K51" s="127"/>
      <c r="L51" s="127"/>
      <c r="M51" s="127"/>
      <c r="N51" s="1336" t="s">
        <v>1225</v>
      </c>
      <c r="O51" s="1337"/>
      <c r="P51" s="1337"/>
      <c r="Q51" s="1337"/>
      <c r="R51" s="1337"/>
      <c r="S51" s="1338"/>
      <c r="T51" s="223"/>
      <c r="U51" s="216"/>
    </row>
    <row r="52" spans="2:21" s="129" customFormat="1" x14ac:dyDescent="0.45">
      <c r="B52" s="118">
        <f t="shared" si="4"/>
        <v>7</v>
      </c>
      <c r="C52" s="55" t="s">
        <v>138</v>
      </c>
      <c r="D52" s="126" t="s">
        <v>37</v>
      </c>
      <c r="E52" s="126" t="s">
        <v>46</v>
      </c>
      <c r="F52" s="126" t="s">
        <v>1247</v>
      </c>
      <c r="G52" s="126"/>
      <c r="H52" s="127"/>
      <c r="I52" s="127"/>
      <c r="J52" s="127"/>
      <c r="K52" s="127"/>
      <c r="L52" s="127"/>
      <c r="M52" s="127"/>
      <c r="N52" s="1336" t="s">
        <v>1226</v>
      </c>
      <c r="O52" s="1337"/>
      <c r="P52" s="1337"/>
      <c r="Q52" s="1337"/>
      <c r="R52" s="1337"/>
      <c r="S52" s="1338"/>
      <c r="T52" s="223"/>
      <c r="U52" s="216"/>
    </row>
    <row r="53" spans="2:21" s="129" customFormat="1" x14ac:dyDescent="0.45">
      <c r="B53" s="118">
        <f t="shared" si="4"/>
        <v>8</v>
      </c>
      <c r="C53" s="55" t="s">
        <v>139</v>
      </c>
      <c r="D53" s="126" t="s">
        <v>37</v>
      </c>
      <c r="E53" s="126" t="s">
        <v>140</v>
      </c>
      <c r="F53" s="126" t="s">
        <v>1247</v>
      </c>
      <c r="G53" s="126"/>
      <c r="H53" s="127"/>
      <c r="I53" s="127"/>
      <c r="J53" s="127"/>
      <c r="K53" s="127"/>
      <c r="L53" s="127"/>
      <c r="M53" s="127"/>
      <c r="N53" s="1336" t="s">
        <v>1227</v>
      </c>
      <c r="O53" s="1337"/>
      <c r="P53" s="1337"/>
      <c r="Q53" s="1337"/>
      <c r="R53" s="1337"/>
      <c r="S53" s="1338"/>
      <c r="T53" s="223"/>
      <c r="U53" s="216"/>
    </row>
    <row r="54" spans="2:21" s="129" customFormat="1" x14ac:dyDescent="0.45">
      <c r="B54" s="118">
        <f t="shared" si="4"/>
        <v>9</v>
      </c>
      <c r="C54" s="55" t="s">
        <v>141</v>
      </c>
      <c r="D54" s="126" t="s">
        <v>37</v>
      </c>
      <c r="E54" s="126" t="s">
        <v>49</v>
      </c>
      <c r="F54" s="126" t="s">
        <v>1247</v>
      </c>
      <c r="G54" s="126"/>
      <c r="H54" s="127"/>
      <c r="I54" s="127"/>
      <c r="J54" s="127"/>
      <c r="K54" s="127"/>
      <c r="L54" s="127"/>
      <c r="M54" s="127"/>
      <c r="N54" s="1336" t="s">
        <v>1228</v>
      </c>
      <c r="O54" s="1337"/>
      <c r="P54" s="1337"/>
      <c r="Q54" s="1337"/>
      <c r="R54" s="1337"/>
      <c r="S54" s="1338"/>
      <c r="T54" s="223"/>
      <c r="U54" s="216"/>
    </row>
    <row r="55" spans="2:21" s="129" customFormat="1" x14ac:dyDescent="0.45">
      <c r="B55" s="118">
        <f t="shared" si="4"/>
        <v>10</v>
      </c>
      <c r="C55" s="55" t="s">
        <v>142</v>
      </c>
      <c r="D55" s="126" t="s">
        <v>37</v>
      </c>
      <c r="E55" s="126" t="s">
        <v>52</v>
      </c>
      <c r="F55" s="126" t="s">
        <v>1247</v>
      </c>
      <c r="G55" s="126"/>
      <c r="H55" s="127"/>
      <c r="I55" s="127"/>
      <c r="J55" s="127"/>
      <c r="K55" s="127"/>
      <c r="L55" s="127"/>
      <c r="M55" s="127"/>
      <c r="N55" s="1336" t="s">
        <v>1229</v>
      </c>
      <c r="O55" s="1337"/>
      <c r="P55" s="1337"/>
      <c r="Q55" s="1337"/>
      <c r="R55" s="1337"/>
      <c r="S55" s="1338"/>
      <c r="T55" s="223"/>
      <c r="U55" s="216"/>
    </row>
    <row r="56" spans="2:21" s="129" customFormat="1" x14ac:dyDescent="0.45">
      <c r="B56" s="118">
        <f t="shared" si="4"/>
        <v>11</v>
      </c>
      <c r="C56" s="55" t="s">
        <v>143</v>
      </c>
      <c r="D56" s="126" t="s">
        <v>37</v>
      </c>
      <c r="E56" s="126" t="s">
        <v>144</v>
      </c>
      <c r="F56" s="126" t="s">
        <v>1247</v>
      </c>
      <c r="G56" s="126"/>
      <c r="H56" s="127"/>
      <c r="I56" s="127"/>
      <c r="J56" s="127"/>
      <c r="K56" s="127"/>
      <c r="L56" s="127"/>
      <c r="M56" s="127"/>
      <c r="N56" s="1336" t="s">
        <v>1230</v>
      </c>
      <c r="O56" s="1337"/>
      <c r="P56" s="1337"/>
      <c r="Q56" s="1337"/>
      <c r="R56" s="1337"/>
      <c r="S56" s="1338"/>
      <c r="T56" s="223"/>
      <c r="U56" s="216"/>
    </row>
    <row r="57" spans="2:21" s="129" customFormat="1" x14ac:dyDescent="0.45">
      <c r="B57" s="118">
        <f t="shared" si="4"/>
        <v>12</v>
      </c>
      <c r="C57" s="55" t="s">
        <v>145</v>
      </c>
      <c r="D57" s="126" t="s">
        <v>37</v>
      </c>
      <c r="E57" s="126" t="s">
        <v>67</v>
      </c>
      <c r="F57" s="126" t="s">
        <v>1247</v>
      </c>
      <c r="G57" s="126"/>
      <c r="H57" s="127"/>
      <c r="I57" s="127"/>
      <c r="J57" s="127"/>
      <c r="K57" s="127"/>
      <c r="L57" s="127"/>
      <c r="M57" s="127"/>
      <c r="N57" s="1336" t="s">
        <v>1231</v>
      </c>
      <c r="O57" s="1337"/>
      <c r="P57" s="1337"/>
      <c r="Q57" s="1337"/>
      <c r="R57" s="1337"/>
      <c r="S57" s="1338"/>
      <c r="T57" s="223"/>
      <c r="U57" s="216"/>
    </row>
    <row r="58" spans="2:21" s="129" customFormat="1" x14ac:dyDescent="0.45">
      <c r="B58" s="118">
        <f t="shared" si="4"/>
        <v>13</v>
      </c>
      <c r="C58" s="55" t="s">
        <v>146</v>
      </c>
      <c r="D58" s="126" t="s">
        <v>37</v>
      </c>
      <c r="E58" s="126" t="s">
        <v>72</v>
      </c>
      <c r="F58" s="126" t="s">
        <v>1247</v>
      </c>
      <c r="G58" s="126"/>
      <c r="H58" s="127"/>
      <c r="I58" s="127"/>
      <c r="J58" s="127"/>
      <c r="K58" s="127"/>
      <c r="L58" s="127"/>
      <c r="M58" s="127"/>
      <c r="N58" s="1336" t="s">
        <v>1232</v>
      </c>
      <c r="O58" s="1337"/>
      <c r="P58" s="1337"/>
      <c r="Q58" s="1337"/>
      <c r="R58" s="1337"/>
      <c r="S58" s="1338"/>
      <c r="T58" s="223"/>
      <c r="U58" s="216"/>
    </row>
    <row r="59" spans="2:21" s="129" customFormat="1" x14ac:dyDescent="0.45">
      <c r="B59" s="118">
        <f t="shared" si="4"/>
        <v>14</v>
      </c>
      <c r="C59" s="55" t="s">
        <v>147</v>
      </c>
      <c r="D59" s="126" t="s">
        <v>37</v>
      </c>
      <c r="E59" s="126" t="s">
        <v>76</v>
      </c>
      <c r="F59" s="126" t="s">
        <v>1247</v>
      </c>
      <c r="G59" s="126"/>
      <c r="H59" s="127"/>
      <c r="I59" s="127"/>
      <c r="J59" s="127"/>
      <c r="K59" s="127"/>
      <c r="L59" s="127"/>
      <c r="M59" s="127"/>
      <c r="N59" s="1336" t="s">
        <v>1233</v>
      </c>
      <c r="O59" s="1337"/>
      <c r="P59" s="1337"/>
      <c r="Q59" s="1337"/>
      <c r="R59" s="1337"/>
      <c r="S59" s="1338"/>
      <c r="T59" s="223"/>
      <c r="U59" s="216"/>
    </row>
    <row r="60" spans="2:21" s="129" customFormat="1" x14ac:dyDescent="0.45">
      <c r="B60" s="118">
        <f t="shared" si="4"/>
        <v>15</v>
      </c>
      <c r="C60" s="55" t="s">
        <v>148</v>
      </c>
      <c r="D60" s="126" t="s">
        <v>37</v>
      </c>
      <c r="E60" s="126" t="s">
        <v>79</v>
      </c>
      <c r="F60" s="126" t="s">
        <v>1247</v>
      </c>
      <c r="G60" s="126"/>
      <c r="H60" s="127"/>
      <c r="I60" s="127"/>
      <c r="J60" s="127"/>
      <c r="K60" s="127"/>
      <c r="L60" s="127"/>
      <c r="M60" s="127"/>
      <c r="N60" s="1336" t="s">
        <v>1234</v>
      </c>
      <c r="O60" s="1337"/>
      <c r="P60" s="1337"/>
      <c r="Q60" s="1337"/>
      <c r="R60" s="1337"/>
      <c r="S60" s="1338"/>
      <c r="T60" s="223"/>
      <c r="U60" s="216"/>
    </row>
    <row r="61" spans="2:21" s="129" customFormat="1" x14ac:dyDescent="0.45">
      <c r="B61" s="118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223"/>
      <c r="U61" s="216"/>
    </row>
    <row r="62" spans="2:21" s="129" customFormat="1" x14ac:dyDescent="0.45">
      <c r="B62" s="118">
        <f>B60+1</f>
        <v>16</v>
      </c>
      <c r="C62" s="55" t="s">
        <v>149</v>
      </c>
      <c r="D62" s="126" t="s">
        <v>37</v>
      </c>
      <c r="E62" s="126" t="s">
        <v>150</v>
      </c>
      <c r="F62" s="126" t="s">
        <v>151</v>
      </c>
      <c r="G62" s="126"/>
      <c r="H62" s="127"/>
      <c r="I62" s="127"/>
      <c r="J62" s="127"/>
      <c r="K62" s="127"/>
      <c r="L62" s="127"/>
      <c r="M62" s="1336" t="s">
        <v>1215</v>
      </c>
      <c r="N62" s="1337"/>
      <c r="O62" s="1337"/>
      <c r="P62" s="1337"/>
      <c r="Q62" s="1337"/>
      <c r="R62" s="1337"/>
      <c r="S62" s="1338"/>
      <c r="T62" s="223"/>
      <c r="U62" s="216"/>
    </row>
    <row r="63" spans="2:21" s="129" customFormat="1" x14ac:dyDescent="0.45">
      <c r="B63" s="118">
        <f t="shared" si="4"/>
        <v>17</v>
      </c>
      <c r="C63" s="55" t="s">
        <v>152</v>
      </c>
      <c r="D63" s="126" t="s">
        <v>37</v>
      </c>
      <c r="E63" s="126" t="s">
        <v>153</v>
      </c>
      <c r="F63" s="126" t="s">
        <v>151</v>
      </c>
      <c r="G63" s="126"/>
      <c r="H63" s="127"/>
      <c r="I63" s="127"/>
      <c r="J63" s="127"/>
      <c r="K63" s="127"/>
      <c r="L63" s="127"/>
      <c r="M63" s="1336" t="s">
        <v>1235</v>
      </c>
      <c r="N63" s="1337"/>
      <c r="O63" s="1337"/>
      <c r="P63" s="1337"/>
      <c r="Q63" s="1337"/>
      <c r="R63" s="1337"/>
      <c r="S63" s="1338"/>
      <c r="T63" s="223"/>
      <c r="U63" s="216"/>
    </row>
    <row r="64" spans="2:21" s="129" customFormat="1" x14ac:dyDescent="0.45">
      <c r="B64" s="118">
        <f t="shared" si="4"/>
        <v>18</v>
      </c>
      <c r="C64" s="55" t="s">
        <v>154</v>
      </c>
      <c r="D64" s="126" t="s">
        <v>37</v>
      </c>
      <c r="E64" s="126" t="s">
        <v>155</v>
      </c>
      <c r="F64" s="126" t="s">
        <v>151</v>
      </c>
      <c r="G64" s="126"/>
      <c r="H64" s="127"/>
      <c r="I64" s="127"/>
      <c r="J64" s="127"/>
      <c r="K64" s="127"/>
      <c r="L64" s="127"/>
      <c r="M64" s="1336" t="s">
        <v>1236</v>
      </c>
      <c r="N64" s="1337"/>
      <c r="O64" s="1337"/>
      <c r="P64" s="1337"/>
      <c r="Q64" s="1337"/>
      <c r="R64" s="1337"/>
      <c r="S64" s="1338"/>
      <c r="T64" s="223"/>
      <c r="U64" s="216"/>
    </row>
    <row r="65" spans="1:21" s="129" customFormat="1" x14ac:dyDescent="0.45">
      <c r="B65" s="118">
        <f t="shared" si="4"/>
        <v>19</v>
      </c>
      <c r="C65" s="55" t="s">
        <v>156</v>
      </c>
      <c r="D65" s="126" t="s">
        <v>37</v>
      </c>
      <c r="E65" s="126" t="s">
        <v>157</v>
      </c>
      <c r="F65" s="126" t="s">
        <v>151</v>
      </c>
      <c r="G65" s="126"/>
      <c r="H65" s="127"/>
      <c r="I65" s="127"/>
      <c r="J65" s="127"/>
      <c r="K65" s="127"/>
      <c r="L65" s="127"/>
      <c r="M65" s="1336" t="s">
        <v>1237</v>
      </c>
      <c r="N65" s="1337"/>
      <c r="O65" s="1337"/>
      <c r="P65" s="1337"/>
      <c r="Q65" s="1337"/>
      <c r="R65" s="1337"/>
      <c r="S65" s="1338"/>
      <c r="T65" s="223"/>
      <c r="U65" s="216"/>
    </row>
    <row r="66" spans="1:21" s="129" customFormat="1" x14ac:dyDescent="0.45">
      <c r="B66" s="118">
        <f t="shared" si="4"/>
        <v>20</v>
      </c>
      <c r="C66" s="55" t="s">
        <v>158</v>
      </c>
      <c r="D66" s="126" t="s">
        <v>37</v>
      </c>
      <c r="E66" s="126" t="s">
        <v>159</v>
      </c>
      <c r="F66" s="126" t="s">
        <v>151</v>
      </c>
      <c r="G66" s="126"/>
      <c r="H66" s="127"/>
      <c r="I66" s="127"/>
      <c r="J66" s="127"/>
      <c r="K66" s="127"/>
      <c r="L66" s="127"/>
      <c r="M66" s="1336" t="s">
        <v>1238</v>
      </c>
      <c r="N66" s="1337"/>
      <c r="O66" s="1337"/>
      <c r="P66" s="1337"/>
      <c r="Q66" s="1337"/>
      <c r="R66" s="1337"/>
      <c r="S66" s="1338"/>
      <c r="T66" s="223"/>
      <c r="U66" s="216"/>
    </row>
    <row r="67" spans="1:21" s="129" customFormat="1" x14ac:dyDescent="0.45">
      <c r="B67" s="118">
        <f t="shared" si="4"/>
        <v>21</v>
      </c>
      <c r="C67" s="55" t="s">
        <v>160</v>
      </c>
      <c r="D67" s="126" t="s">
        <v>37</v>
      </c>
      <c r="E67" s="126" t="s">
        <v>161</v>
      </c>
      <c r="F67" s="126" t="s">
        <v>151</v>
      </c>
      <c r="G67" s="126"/>
      <c r="H67" s="127"/>
      <c r="I67" s="127"/>
      <c r="J67" s="127"/>
      <c r="K67" s="127"/>
      <c r="L67" s="127"/>
      <c r="M67" s="1336" t="s">
        <v>1239</v>
      </c>
      <c r="N67" s="1337"/>
      <c r="O67" s="1337"/>
      <c r="P67" s="1337"/>
      <c r="Q67" s="1337"/>
      <c r="R67" s="1337"/>
      <c r="S67" s="1338"/>
      <c r="T67" s="223"/>
      <c r="U67" s="216"/>
    </row>
    <row r="68" spans="1:21" s="129" customFormat="1" x14ac:dyDescent="0.45">
      <c r="A68" s="129" t="s">
        <v>162</v>
      </c>
      <c r="B68" s="118">
        <f t="shared" si="4"/>
        <v>22</v>
      </c>
      <c r="C68" s="55" t="s">
        <v>163</v>
      </c>
      <c r="D68" s="126" t="s">
        <v>37</v>
      </c>
      <c r="E68" s="126" t="s">
        <v>164</v>
      </c>
      <c r="F68" s="126" t="s">
        <v>151</v>
      </c>
      <c r="G68" s="126"/>
      <c r="H68" s="127"/>
      <c r="I68" s="127"/>
      <c r="J68" s="127"/>
      <c r="K68" s="127"/>
      <c r="L68" s="127"/>
      <c r="M68" s="1336" t="s">
        <v>1240</v>
      </c>
      <c r="N68" s="1337"/>
      <c r="O68" s="1337"/>
      <c r="P68" s="1337"/>
      <c r="Q68" s="1337"/>
      <c r="R68" s="1337"/>
      <c r="S68" s="1338"/>
      <c r="T68" s="223"/>
      <c r="U68" s="216"/>
    </row>
    <row r="69" spans="1:21" s="129" customFormat="1" x14ac:dyDescent="0.45">
      <c r="B69" s="118">
        <f t="shared" si="4"/>
        <v>23</v>
      </c>
      <c r="C69" s="55" t="s">
        <v>165</v>
      </c>
      <c r="D69" s="126" t="s">
        <v>37</v>
      </c>
      <c r="E69" s="126" t="s">
        <v>166</v>
      </c>
      <c r="F69" s="126" t="s">
        <v>151</v>
      </c>
      <c r="G69" s="126"/>
      <c r="H69" s="127"/>
      <c r="I69" s="127"/>
      <c r="J69" s="127"/>
      <c r="K69" s="127"/>
      <c r="L69" s="127"/>
      <c r="M69" s="1336" t="s">
        <v>1241</v>
      </c>
      <c r="N69" s="1337"/>
      <c r="O69" s="1337"/>
      <c r="P69" s="1337"/>
      <c r="Q69" s="1337"/>
      <c r="R69" s="1337"/>
      <c r="S69" s="1338"/>
      <c r="T69" s="223"/>
      <c r="U69" s="216"/>
    </row>
    <row r="70" spans="1:21" s="129" customFormat="1" x14ac:dyDescent="0.45">
      <c r="B70" s="118">
        <f t="shared" si="4"/>
        <v>24</v>
      </c>
      <c r="C70" s="55" t="s">
        <v>167</v>
      </c>
      <c r="D70" s="126" t="s">
        <v>37</v>
      </c>
      <c r="E70" s="126" t="s">
        <v>168</v>
      </c>
      <c r="F70" s="126" t="s">
        <v>151</v>
      </c>
      <c r="G70" s="126"/>
      <c r="H70" s="127"/>
      <c r="I70" s="127"/>
      <c r="J70" s="127"/>
      <c r="K70" s="127"/>
      <c r="L70" s="127"/>
      <c r="M70" s="1336" t="s">
        <v>1242</v>
      </c>
      <c r="N70" s="1337"/>
      <c r="O70" s="1337"/>
      <c r="P70" s="1337"/>
      <c r="Q70" s="1337"/>
      <c r="R70" s="1337"/>
      <c r="S70" s="1338"/>
      <c r="T70" s="223"/>
      <c r="U70" s="216"/>
    </row>
    <row r="71" spans="1:21" s="129" customFormat="1" x14ac:dyDescent="0.45">
      <c r="B71" s="118">
        <f t="shared" si="4"/>
        <v>25</v>
      </c>
      <c r="C71" s="55" t="s">
        <v>169</v>
      </c>
      <c r="D71" s="126" t="s">
        <v>37</v>
      </c>
      <c r="E71" s="126" t="s">
        <v>170</v>
      </c>
      <c r="F71" s="126" t="s">
        <v>151</v>
      </c>
      <c r="G71" s="126"/>
      <c r="H71" s="127"/>
      <c r="I71" s="127"/>
      <c r="J71" s="127"/>
      <c r="K71" s="127"/>
      <c r="L71" s="127"/>
      <c r="M71" s="1336" t="s">
        <v>1243</v>
      </c>
      <c r="N71" s="1337"/>
      <c r="O71" s="1337"/>
      <c r="P71" s="1337"/>
      <c r="Q71" s="1337"/>
      <c r="R71" s="1337"/>
      <c r="S71" s="1338"/>
      <c r="T71" s="223"/>
      <c r="U71" s="216"/>
    </row>
    <row r="72" spans="1:21" x14ac:dyDescent="0.45">
      <c r="B72" s="118">
        <f t="shared" si="4"/>
        <v>26</v>
      </c>
      <c r="C72" s="55" t="s">
        <v>171</v>
      </c>
      <c r="D72" s="126" t="s">
        <v>37</v>
      </c>
      <c r="E72" s="126" t="s">
        <v>172</v>
      </c>
      <c r="F72" s="126" t="s">
        <v>131</v>
      </c>
      <c r="H72" s="127"/>
      <c r="I72" s="127"/>
      <c r="J72" s="127"/>
      <c r="K72" s="127"/>
      <c r="L72" s="127"/>
      <c r="M72" s="1336" t="s">
        <v>1244</v>
      </c>
      <c r="N72" s="1337"/>
      <c r="O72" s="1337"/>
      <c r="P72" s="1337"/>
      <c r="Q72" s="1337"/>
      <c r="R72" s="1337"/>
      <c r="S72" s="1338"/>
      <c r="T72" s="223"/>
      <c r="U72" s="216"/>
    </row>
    <row r="73" spans="1:21" x14ac:dyDescent="0.45">
      <c r="B73" s="118">
        <f t="shared" si="4"/>
        <v>27</v>
      </c>
      <c r="C73" s="55" t="s">
        <v>173</v>
      </c>
      <c r="D73" s="126" t="s">
        <v>37</v>
      </c>
      <c r="E73" s="126" t="s">
        <v>98</v>
      </c>
      <c r="F73" s="126" t="s">
        <v>131</v>
      </c>
      <c r="H73" s="127"/>
      <c r="I73" s="127"/>
      <c r="J73" s="127"/>
      <c r="K73" s="127"/>
      <c r="L73" s="127"/>
      <c r="M73" s="1336" t="s">
        <v>1245</v>
      </c>
      <c r="N73" s="1337"/>
      <c r="O73" s="1337"/>
      <c r="P73" s="1337"/>
      <c r="Q73" s="1337"/>
      <c r="R73" s="1337"/>
      <c r="S73" s="1338"/>
      <c r="T73" s="223"/>
      <c r="U73" s="216"/>
    </row>
    <row r="74" spans="1:21" x14ac:dyDescent="0.45">
      <c r="U74" s="216"/>
    </row>
    <row r="82" spans="1:21" s="126" customFormat="1" x14ac:dyDescent="0.45">
      <c r="A82" s="31"/>
      <c r="B82" s="31"/>
      <c r="C82" s="55"/>
      <c r="H82" s="227"/>
      <c r="T82" s="212"/>
      <c r="U82" s="211"/>
    </row>
    <row r="84" spans="1:21" s="126" customFormat="1" x14ac:dyDescent="0.45">
      <c r="A84" s="31"/>
      <c r="B84" s="31"/>
      <c r="H84" s="227"/>
      <c r="T84" s="212"/>
      <c r="U84" s="211"/>
    </row>
    <row r="85" spans="1:21" x14ac:dyDescent="0.45">
      <c r="C85" s="126"/>
    </row>
    <row r="86" spans="1:21" x14ac:dyDescent="0.45">
      <c r="C86" s="126"/>
    </row>
  </sheetData>
  <mergeCells count="82">
    <mergeCell ref="M70:S70"/>
    <mergeCell ref="M71:S71"/>
    <mergeCell ref="M72:S72"/>
    <mergeCell ref="M73:S73"/>
    <mergeCell ref="N49:S49"/>
    <mergeCell ref="M64:S64"/>
    <mergeCell ref="M65:S65"/>
    <mergeCell ref="M66:S66"/>
    <mergeCell ref="M67:S67"/>
    <mergeCell ref="M68:S68"/>
    <mergeCell ref="M69:S69"/>
    <mergeCell ref="M62:S62"/>
    <mergeCell ref="M63:S63"/>
    <mergeCell ref="N57:S57"/>
    <mergeCell ref="N58:S58"/>
    <mergeCell ref="N59:S59"/>
    <mergeCell ref="N60:S60"/>
    <mergeCell ref="N54:S54"/>
    <mergeCell ref="N55:S55"/>
    <mergeCell ref="N56:S56"/>
    <mergeCell ref="H44:S44"/>
    <mergeCell ref="L46:S46"/>
    <mergeCell ref="N47:S47"/>
    <mergeCell ref="N48:S48"/>
    <mergeCell ref="L47:M47"/>
    <mergeCell ref="N50:S50"/>
    <mergeCell ref="N51:S51"/>
    <mergeCell ref="N52:S52"/>
    <mergeCell ref="N53:S53"/>
    <mergeCell ref="P42:S42"/>
    <mergeCell ref="H32:K32"/>
    <mergeCell ref="N32:O32"/>
    <mergeCell ref="R32:S32"/>
    <mergeCell ref="H33:S33"/>
    <mergeCell ref="P34:S34"/>
    <mergeCell ref="M35:S35"/>
    <mergeCell ref="J36:S36"/>
    <mergeCell ref="H37:S37"/>
    <mergeCell ref="J39:K39"/>
    <mergeCell ref="P40:S40"/>
    <mergeCell ref="H41:S41"/>
    <mergeCell ref="H27:M27"/>
    <mergeCell ref="N27:S27"/>
    <mergeCell ref="L28:S28"/>
    <mergeCell ref="H29:S29"/>
    <mergeCell ref="J30:K30"/>
    <mergeCell ref="L30:S30"/>
    <mergeCell ref="H28:K28"/>
    <mergeCell ref="H25:S25"/>
    <mergeCell ref="H14:S14"/>
    <mergeCell ref="H15:S15"/>
    <mergeCell ref="H16:S16"/>
    <mergeCell ref="H17:S17"/>
    <mergeCell ref="H18:S18"/>
    <mergeCell ref="H19:S19"/>
    <mergeCell ref="H20:S20"/>
    <mergeCell ref="H21:S21"/>
    <mergeCell ref="H22:S22"/>
    <mergeCell ref="H23:S23"/>
    <mergeCell ref="H24:S24"/>
    <mergeCell ref="R13:S13"/>
    <mergeCell ref="H11:S11"/>
    <mergeCell ref="H12:I12"/>
    <mergeCell ref="J12:K12"/>
    <mergeCell ref="L12:M12"/>
    <mergeCell ref="N12:O12"/>
    <mergeCell ref="P12:Q12"/>
    <mergeCell ref="R12:S12"/>
    <mergeCell ref="H13:I13"/>
    <mergeCell ref="J13:K13"/>
    <mergeCell ref="L13:M13"/>
    <mergeCell ref="N13:O13"/>
    <mergeCell ref="P13:Q13"/>
    <mergeCell ref="I9:K9"/>
    <mergeCell ref="M9:O9"/>
    <mergeCell ref="Q9:S9"/>
    <mergeCell ref="K3:L3"/>
    <mergeCell ref="O3:S3"/>
    <mergeCell ref="H4:K4"/>
    <mergeCell ref="L4:M4"/>
    <mergeCell ref="N4:P4"/>
    <mergeCell ref="L5:S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B21-EA91-4164-9B9A-0ABDAD9957B9}">
  <dimension ref="B2:N75"/>
  <sheetViews>
    <sheetView showGridLines="0" zoomScaleNormal="100" workbookViewId="0"/>
  </sheetViews>
  <sheetFormatPr defaultRowHeight="17" x14ac:dyDescent="0.45"/>
  <cols>
    <col min="4" max="4" width="8.58203125" customWidth="1"/>
    <col min="23" max="23" width="3.08203125" bestFit="1" customWidth="1"/>
    <col min="24" max="27" width="5.08203125" bestFit="1" customWidth="1"/>
    <col min="28" max="28" width="15.08203125" bestFit="1" customWidth="1"/>
  </cols>
  <sheetData>
    <row r="2" spans="2:2" x14ac:dyDescent="0.45">
      <c r="B2" s="66" t="s">
        <v>927</v>
      </c>
    </row>
    <row r="24" spans="4:5" x14ac:dyDescent="0.45">
      <c r="D24" t="s">
        <v>235</v>
      </c>
    </row>
    <row r="25" spans="4:5" x14ac:dyDescent="0.45">
      <c r="D25">
        <v>1</v>
      </c>
      <c r="E25" s="23" t="s">
        <v>885</v>
      </c>
    </row>
    <row r="26" spans="4:5" x14ac:dyDescent="0.45">
      <c r="D26">
        <v>2</v>
      </c>
      <c r="E26" t="s">
        <v>238</v>
      </c>
    </row>
    <row r="27" spans="4:5" x14ac:dyDescent="0.45">
      <c r="D27">
        <v>3</v>
      </c>
      <c r="E27" t="s">
        <v>239</v>
      </c>
    </row>
    <row r="28" spans="4:5" x14ac:dyDescent="0.45">
      <c r="E28" t="s">
        <v>240</v>
      </c>
    </row>
    <row r="30" spans="4:5" x14ac:dyDescent="0.45">
      <c r="D30" t="s">
        <v>232</v>
      </c>
    </row>
    <row r="31" spans="4:5" x14ac:dyDescent="0.45">
      <c r="D31">
        <v>1</v>
      </c>
      <c r="E31" t="s">
        <v>236</v>
      </c>
    </row>
    <row r="32" spans="4:5" x14ac:dyDescent="0.45">
      <c r="E32" s="31" t="s">
        <v>910</v>
      </c>
    </row>
    <row r="33" spans="2:14" x14ac:dyDescent="0.45">
      <c r="D33" s="1"/>
      <c r="E33" s="54" t="s">
        <v>886</v>
      </c>
      <c r="F33" s="21"/>
      <c r="G33" s="21"/>
      <c r="H33" s="21"/>
      <c r="I33" s="21"/>
      <c r="J33" s="21"/>
      <c r="K33" s="21"/>
      <c r="L33" s="21"/>
      <c r="M33" s="21"/>
      <c r="N33" s="21"/>
    </row>
    <row r="34" spans="2:14" x14ac:dyDescent="0.45">
      <c r="D34">
        <v>2</v>
      </c>
      <c r="E34" t="s">
        <v>322</v>
      </c>
    </row>
    <row r="35" spans="2:14" x14ac:dyDescent="0.45">
      <c r="D35">
        <v>3</v>
      </c>
      <c r="E35" t="s">
        <v>237</v>
      </c>
    </row>
    <row r="37" spans="2:14" x14ac:dyDescent="0.45">
      <c r="B37" s="66" t="s">
        <v>934</v>
      </c>
    </row>
    <row r="60" spans="3:11" ht="26" x14ac:dyDescent="0.45">
      <c r="C60" s="21" t="s">
        <v>926</v>
      </c>
      <c r="D60" s="21"/>
      <c r="E60" s="65" t="s">
        <v>931</v>
      </c>
    </row>
    <row r="61" spans="3:11" ht="26" x14ac:dyDescent="0.45">
      <c r="C61" s="21" t="s">
        <v>928</v>
      </c>
      <c r="D61" s="21"/>
      <c r="E61" s="67" t="s">
        <v>930</v>
      </c>
    </row>
    <row r="62" spans="3:11" x14ac:dyDescent="0.45">
      <c r="C62" s="21" t="s">
        <v>917</v>
      </c>
      <c r="D62" s="21"/>
      <c r="E62" s="67" t="s">
        <v>929</v>
      </c>
    </row>
    <row r="64" spans="3:11" x14ac:dyDescent="0.45">
      <c r="F64" s="69" t="s">
        <v>916</v>
      </c>
      <c r="G64" s="69" t="s">
        <v>234</v>
      </c>
      <c r="H64" s="69" t="s">
        <v>233</v>
      </c>
      <c r="I64" s="69" t="s">
        <v>918</v>
      </c>
      <c r="J64" s="69" t="s">
        <v>917</v>
      </c>
      <c r="K64" s="69" t="s">
        <v>924</v>
      </c>
    </row>
    <row r="65" spans="3:11" x14ac:dyDescent="0.45">
      <c r="F65" s="70" t="s">
        <v>919</v>
      </c>
      <c r="G65" s="1" t="s">
        <v>923</v>
      </c>
      <c r="H65" s="1" t="s">
        <v>923</v>
      </c>
      <c r="I65" s="1" t="s">
        <v>923</v>
      </c>
      <c r="J65" s="1" t="s">
        <v>923</v>
      </c>
      <c r="K65" s="72" t="s">
        <v>932</v>
      </c>
    </row>
    <row r="66" spans="3:11" x14ac:dyDescent="0.45">
      <c r="F66" s="70" t="s">
        <v>920</v>
      </c>
      <c r="G66" s="1" t="s">
        <v>923</v>
      </c>
      <c r="H66" s="1" t="s">
        <v>923</v>
      </c>
      <c r="I66" s="71" t="s">
        <v>925</v>
      </c>
      <c r="J66" s="71" t="s">
        <v>925</v>
      </c>
      <c r="K66" s="1"/>
    </row>
    <row r="67" spans="3:11" x14ac:dyDescent="0.45">
      <c r="F67" s="70" t="s">
        <v>921</v>
      </c>
      <c r="G67" s="71" t="s">
        <v>925</v>
      </c>
      <c r="H67" s="71" t="s">
        <v>925</v>
      </c>
      <c r="I67" s="1" t="s">
        <v>923</v>
      </c>
      <c r="J67" s="1" t="s">
        <v>923</v>
      </c>
      <c r="K67" s="1"/>
    </row>
    <row r="68" spans="3:11" x14ac:dyDescent="0.45">
      <c r="F68" s="70" t="s">
        <v>922</v>
      </c>
      <c r="G68" s="1" t="s">
        <v>923</v>
      </c>
      <c r="H68" s="71" t="s">
        <v>925</v>
      </c>
      <c r="I68" s="71" t="s">
        <v>925</v>
      </c>
      <c r="J68" s="1" t="s">
        <v>923</v>
      </c>
      <c r="K68" s="1"/>
    </row>
    <row r="71" spans="3:11" x14ac:dyDescent="0.45">
      <c r="C71">
        <v>120</v>
      </c>
    </row>
    <row r="72" spans="3:11" x14ac:dyDescent="0.45">
      <c r="C72">
        <f>1/14.75</f>
        <v>6.7796610169491525E-2</v>
      </c>
    </row>
    <row r="73" spans="3:11" x14ac:dyDescent="0.45">
      <c r="C73">
        <f>C71*C72</f>
        <v>8.1355932203389827</v>
      </c>
    </row>
    <row r="74" spans="3:11" x14ac:dyDescent="0.45">
      <c r="C74">
        <v>0.04</v>
      </c>
    </row>
    <row r="75" spans="3:11" x14ac:dyDescent="0.45">
      <c r="C75">
        <f>C73/C74</f>
        <v>203.38983050847457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F65:F6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34</vt:i4>
      </vt:variant>
    </vt:vector>
  </HeadingPairs>
  <TitlesOfParts>
    <vt:vector size="34" baseType="lpstr">
      <vt:lpstr>전류사양</vt:lpstr>
      <vt:lpstr>r_thruput_spi</vt:lpstr>
      <vt:lpstr>fb_control HW_final(old)</vt:lpstr>
      <vt:lpstr>xcr_fb_dac_control (old)</vt:lpstr>
      <vt:lpstr>mclk(rgb)_(old)</vt:lpstr>
      <vt:lpstr>mclk(rgb)2_(old)</vt:lpstr>
      <vt:lpstr>mclk(r,gb)1</vt:lpstr>
      <vt:lpstr>mclk(r,gb)1 TEST</vt:lpstr>
      <vt:lpstr>application</vt:lpstr>
      <vt:lpstr>reg depth</vt:lpstr>
      <vt:lpstr>xcr_수정</vt:lpstr>
      <vt:lpstr>xcr_fb_dac_control (new)</vt:lpstr>
      <vt:lpstr>xcr_fb_dac_control (fpga)</vt:lpstr>
      <vt:lpstr>xdr_수정</vt:lpstr>
      <vt:lpstr>dimming1</vt:lpstr>
      <vt:lpstr>dimming2</vt:lpstr>
      <vt:lpstr>xcr24_reg</vt:lpstr>
      <vt:lpstr>modification</vt:lpstr>
      <vt:lpstr>xdr12_reg(rev)</vt:lpstr>
      <vt:lpstr>xdr12_reg_final</vt:lpstr>
      <vt:lpstr>xdr_t_table</vt:lpstr>
      <vt:lpstr>xdr12_reg</vt:lpstr>
      <vt:lpstr>package1</vt:lpstr>
      <vt:lpstr>package2</vt:lpstr>
      <vt:lpstr>xd12_headroom</vt:lpstr>
      <vt:lpstr>mclk_old</vt:lpstr>
      <vt:lpstr>mclkcnt calc@fpga</vt:lpstr>
      <vt:lpstr>mclk_transition_sequence_VD</vt:lpstr>
      <vt:lpstr>fbi_fbo</vt:lpstr>
      <vt:lpstr>xc(mp)_reg</vt:lpstr>
      <vt:lpstr>xc(mp)_reg (2)</vt:lpstr>
      <vt:lpstr>xd12_pwm(mp)_reg(nextA7) (2)</vt:lpstr>
      <vt:lpstr>xd12_pwm(mp)_reg(nextA7)</vt:lpstr>
      <vt:lpstr>ext_vs&amp;fb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예 창희</cp:lastModifiedBy>
  <cp:lastPrinted>2025-02-19T04:50:07Z</cp:lastPrinted>
  <dcterms:created xsi:type="dcterms:W3CDTF">2024-08-08T02:03:23Z</dcterms:created>
  <dcterms:modified xsi:type="dcterms:W3CDTF">2026-03-09T06:34:26Z</dcterms:modified>
</cp:coreProperties>
</file>