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dere_o_northeastern_edu/Documents/"/>
    </mc:Choice>
  </mc:AlternateContent>
  <xr:revisionPtr revIDLastSave="0" documentId="8_{214885BF-E7D1-4779-AB1E-1811A12C3EEC}" xr6:coauthVersionLast="47" xr6:coauthVersionMax="47" xr10:uidLastSave="{00000000-0000-0000-0000-000000000000}"/>
  <bookViews>
    <workbookView xWindow="0" yWindow="0" windowWidth="28800" windowHeight="18000" firstSheet="8" activeTab="7" xr2:uid="{0424D47D-FAD1-AB48-9C10-1E2AA056E7C0}"/>
  </bookViews>
  <sheets>
    <sheet name="Problem Statement" sheetId="8" r:id="rId1"/>
    <sheet name="Step 1" sheetId="1" r:id="rId2"/>
    <sheet name="Step 2" sheetId="3" r:id="rId3"/>
    <sheet name="Step 3 " sheetId="4" r:id="rId4"/>
    <sheet name="Step 4" sheetId="5" r:id="rId5"/>
    <sheet name="Step 5" sheetId="2" r:id="rId6"/>
    <sheet name="Step 6" sheetId="6" r:id="rId7"/>
    <sheet name="Step 7" sheetId="7" r:id="rId8"/>
    <sheet name="Conclusion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B25" i="5"/>
  <c r="B24" i="5"/>
  <c r="C5" i="2"/>
  <c r="G21" i="7" l="1"/>
  <c r="G22" i="7"/>
  <c r="G23" i="7"/>
  <c r="G24" i="7"/>
  <c r="H24" i="7" s="1"/>
  <c r="G25" i="7"/>
  <c r="G26" i="7"/>
  <c r="G27" i="7"/>
  <c r="G28" i="7"/>
  <c r="G29" i="7"/>
  <c r="G20" i="7"/>
  <c r="H20" i="7" s="1"/>
  <c r="H19" i="7"/>
  <c r="H12" i="7"/>
  <c r="L21" i="7" l="1"/>
  <c r="L20" i="7"/>
  <c r="M20" i="7"/>
  <c r="N20" i="7" s="1"/>
  <c r="I31" i="6"/>
  <c r="I30" i="6"/>
  <c r="I29" i="6"/>
  <c r="I28" i="6"/>
  <c r="I27" i="6"/>
  <c r="I26" i="6"/>
  <c r="I25" i="6"/>
  <c r="I24" i="6"/>
  <c r="I23" i="6"/>
  <c r="I22" i="6"/>
  <c r="H22" i="6"/>
  <c r="C28" i="4"/>
  <c r="B18" i="4"/>
  <c r="B20" i="1"/>
  <c r="E20" i="1" l="1"/>
  <c r="E21" i="1" s="1"/>
  <c r="E18" i="1" l="1"/>
  <c r="B19" i="1"/>
  <c r="B23" i="1" s="1"/>
  <c r="H29" i="7"/>
  <c r="H28" i="7"/>
  <c r="H27" i="7"/>
  <c r="H26" i="7"/>
  <c r="H25" i="7"/>
  <c r="H21" i="7" l="1"/>
  <c r="H22" i="7"/>
  <c r="H23" i="7"/>
  <c r="B3" i="3"/>
  <c r="B4" i="3" s="1"/>
  <c r="L23" i="7" l="1"/>
  <c r="M23" i="7" s="1"/>
  <c r="N23" i="7" s="1"/>
  <c r="O23" i="7" s="1"/>
  <c r="M21" i="7"/>
  <c r="N21" i="7" s="1"/>
  <c r="O21" i="7" s="1"/>
  <c r="L28" i="7"/>
  <c r="M28" i="7" s="1"/>
  <c r="N28" i="7" s="1"/>
  <c r="O28" i="7" s="1"/>
  <c r="L27" i="7"/>
  <c r="M27" i="7" s="1"/>
  <c r="N27" i="7" s="1"/>
  <c r="O27" i="7" s="1"/>
  <c r="L26" i="7"/>
  <c r="M26" i="7" s="1"/>
  <c r="N26" i="7" s="1"/>
  <c r="O26" i="7" s="1"/>
  <c r="O20" i="7"/>
  <c r="L25" i="7"/>
  <c r="M25" i="7" s="1"/>
  <c r="N25" i="7" s="1"/>
  <c r="O25" i="7" s="1"/>
  <c r="O19" i="7"/>
  <c r="L22" i="7"/>
  <c r="M22" i="7" s="1"/>
  <c r="N22" i="7" s="1"/>
  <c r="O22" i="7" s="1"/>
  <c r="L24" i="7"/>
  <c r="M24" i="7" s="1"/>
  <c r="N24" i="7" s="1"/>
  <c r="O24" i="7" s="1"/>
  <c r="L29" i="7"/>
  <c r="M29" i="7" s="1"/>
  <c r="N29" i="7" s="1"/>
  <c r="O29" i="7" s="1"/>
  <c r="B32" i="7" l="1"/>
  <c r="B33" i="7"/>
  <c r="B31" i="7"/>
  <c r="H31" i="6"/>
  <c r="H30" i="6"/>
  <c r="H29" i="6"/>
  <c r="H28" i="6"/>
  <c r="H27" i="6"/>
  <c r="H26" i="6"/>
  <c r="H25" i="6"/>
  <c r="H24" i="6"/>
  <c r="H23" i="6"/>
  <c r="G22" i="6"/>
  <c r="G23" i="6"/>
  <c r="G24" i="6"/>
  <c r="G25" i="6"/>
  <c r="G26" i="6"/>
  <c r="G27" i="6"/>
  <c r="G28" i="6"/>
  <c r="G29" i="6"/>
  <c r="G30" i="6"/>
  <c r="G31" i="6"/>
  <c r="G21" i="6"/>
  <c r="G18" i="4"/>
  <c r="D28" i="4"/>
  <c r="D27" i="4"/>
  <c r="D26" i="4"/>
  <c r="D25" i="4"/>
  <c r="D24" i="4"/>
  <c r="D23" i="4"/>
  <c r="D22" i="4"/>
  <c r="D21" i="4"/>
  <c r="D20" i="4"/>
  <c r="D19" i="4"/>
  <c r="I28" i="4" l="1"/>
  <c r="I27" i="4"/>
  <c r="I26" i="4"/>
  <c r="I25" i="4"/>
  <c r="I24" i="4"/>
  <c r="I23" i="4"/>
  <c r="I22" i="4"/>
  <c r="I21" i="4"/>
  <c r="I20" i="4"/>
  <c r="I19" i="4"/>
  <c r="K23" i="6"/>
  <c r="K22" i="6"/>
  <c r="N21" i="6"/>
  <c r="K31" i="6"/>
  <c r="K30" i="6"/>
  <c r="K29" i="6"/>
  <c r="K28" i="6"/>
  <c r="K27" i="6"/>
  <c r="K26" i="6"/>
  <c r="K25" i="6"/>
  <c r="K24" i="6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N25" i="6" s="1"/>
  <c r="L24" i="6"/>
  <c r="M24" i="6" s="1"/>
  <c r="N24" i="6" s="1"/>
  <c r="L23" i="6"/>
  <c r="M23" i="6" s="1"/>
  <c r="L22" i="6"/>
  <c r="N29" i="6"/>
  <c r="N23" i="6"/>
  <c r="N30" i="6"/>
  <c r="N31" i="6"/>
  <c r="N27" i="6"/>
  <c r="N26" i="6"/>
  <c r="N28" i="6"/>
  <c r="C27" i="4"/>
  <c r="C26" i="4"/>
  <c r="C25" i="4"/>
  <c r="C24" i="4"/>
  <c r="C23" i="4"/>
  <c r="C22" i="4"/>
  <c r="C21" i="4"/>
  <c r="C20" i="4"/>
  <c r="C19" i="4"/>
  <c r="E28" i="4"/>
  <c r="G28" i="4" s="1"/>
  <c r="J28" i="4" s="1"/>
  <c r="E27" i="4"/>
  <c r="E26" i="4"/>
  <c r="E25" i="4"/>
  <c r="E24" i="4"/>
  <c r="E23" i="4"/>
  <c r="E22" i="4"/>
  <c r="E21" i="4"/>
  <c r="E20" i="4"/>
  <c r="E19" i="4"/>
  <c r="G19" i="4" l="1"/>
  <c r="J19" i="4" s="1"/>
  <c r="G20" i="4"/>
  <c r="J20" i="4" s="1"/>
  <c r="G21" i="4"/>
  <c r="J21" i="4" s="1"/>
  <c r="G22" i="4"/>
  <c r="J22" i="4" s="1"/>
  <c r="G23" i="4"/>
  <c r="J23" i="4" s="1"/>
  <c r="G24" i="4"/>
  <c r="J24" i="4" s="1"/>
  <c r="G25" i="4"/>
  <c r="J25" i="4" s="1"/>
  <c r="G26" i="4"/>
  <c r="J26" i="4" s="1"/>
  <c r="G27" i="4"/>
  <c r="J27" i="4" s="1"/>
  <c r="M22" i="6"/>
  <c r="N22" i="6" s="1"/>
  <c r="B33" i="6" s="1"/>
  <c r="B34" i="6" s="1"/>
  <c r="B35" i="6"/>
</calcChain>
</file>

<file path=xl/sharedStrings.xml><?xml version="1.0" encoding="utf-8"?>
<sst xmlns="http://schemas.openxmlformats.org/spreadsheetml/2006/main" count="266" uniqueCount="139">
  <si>
    <t>Full Name</t>
  </si>
  <si>
    <t>Capital Source</t>
  </si>
  <si>
    <t>Machine</t>
  </si>
  <si>
    <t>Tax Rate</t>
  </si>
  <si>
    <t>Inflation</t>
  </si>
  <si>
    <t>Source 1</t>
  </si>
  <si>
    <t>Source 2</t>
  </si>
  <si>
    <t>Ojasvi Pravin Dere</t>
  </si>
  <si>
    <t xml:space="preserve">Investment </t>
  </si>
  <si>
    <t>Options</t>
  </si>
  <si>
    <t>Capital sources</t>
  </si>
  <si>
    <t>Description</t>
  </si>
  <si>
    <r>
      <rPr>
        <b/>
        <sz val="11"/>
        <color rgb="FF000000"/>
        <rFont val="Calibri"/>
        <family val="2"/>
        <scheme val="minor"/>
      </rPr>
      <t>Salvage Value</t>
    </r>
    <r>
      <rPr>
        <sz val="11"/>
        <color rgb="FF000000"/>
        <rFont val="Calibri"/>
        <family val="2"/>
        <scheme val="minor"/>
      </rPr>
      <t xml:space="preserve"> </t>
    </r>
  </si>
  <si>
    <t>Loan</t>
  </si>
  <si>
    <t>Interest Rate : 8%,
Compound semi annually payback period : plan 3</t>
  </si>
  <si>
    <t>Planning Horizon period (Years)</t>
  </si>
  <si>
    <t>Preferred stock</t>
  </si>
  <si>
    <t>Dividend = $7
Price = $100
Brokerage Fee = $3</t>
  </si>
  <si>
    <t>Common stock</t>
  </si>
  <si>
    <t>Dividend = $5
Price = $100
Growth rate = 4%</t>
  </si>
  <si>
    <t>Retained earning</t>
  </si>
  <si>
    <t>-</t>
  </si>
  <si>
    <t>Source : 1</t>
  </si>
  <si>
    <t>Source : 2</t>
  </si>
  <si>
    <t xml:space="preserve">Option : 2 Preferred Stock </t>
  </si>
  <si>
    <t>Option : 1 Loan</t>
  </si>
  <si>
    <t>Dividend</t>
  </si>
  <si>
    <t>Interest rate</t>
  </si>
  <si>
    <t>Price</t>
  </si>
  <si>
    <t>Compounded type</t>
  </si>
  <si>
    <t>Semi Annually</t>
  </si>
  <si>
    <t>Brokerage Fee</t>
  </si>
  <si>
    <t>Payback plan</t>
  </si>
  <si>
    <t>Plan 3</t>
  </si>
  <si>
    <t>Amount</t>
  </si>
  <si>
    <t>Total Investment</t>
  </si>
  <si>
    <t>Weight</t>
  </si>
  <si>
    <t>Tax Amount</t>
  </si>
  <si>
    <t>Effective interest rate</t>
  </si>
  <si>
    <t xml:space="preserve">Effective Interest </t>
  </si>
  <si>
    <t>Effective Interest (After Tax)</t>
  </si>
  <si>
    <t>Weighted Average Cost Calculation</t>
  </si>
  <si>
    <t>Step 1: Choose the Capital Sources and calculate WACC</t>
  </si>
  <si>
    <t>We start to initiate the cash flow by first calculating the value of WACC (Weighted Average Cost of Capital).</t>
  </si>
  <si>
    <t xml:space="preserve">Two capital sources of income, source 1 being Preferred Stock and source 2 being Loan have been </t>
  </si>
  <si>
    <t xml:space="preserve">considered. Individually the sources can give $4M as capital investment and in total it would be </t>
  </si>
  <si>
    <t xml:space="preserve">$8M. The effective Interest Rate is 7% for Preferred Stock and 8.16% for Loan. </t>
  </si>
  <si>
    <t>The effective Interest Rate after tax for loan is 6.04%.</t>
  </si>
  <si>
    <t>As both the sources give half of total investment theire weight is 50% each.</t>
  </si>
  <si>
    <t>From these values we obtain the WACC which is 6.52% approximately 7%.</t>
  </si>
  <si>
    <t>The salvage value is $0 and the planning horizon for this new production line is 10 years.</t>
  </si>
  <si>
    <t>The tax amount of 26% is considered from the value obtained in Step 5.</t>
  </si>
  <si>
    <t>Step 2</t>
  </si>
  <si>
    <t>WACC</t>
  </si>
  <si>
    <t>WACC (rounded up)</t>
  </si>
  <si>
    <t xml:space="preserve">MARR </t>
  </si>
  <si>
    <t xml:space="preserve">Step 2 Calculate MARR </t>
  </si>
  <si>
    <t>The obtained value of WACC (Weighted Average Cost of Capital)</t>
  </si>
  <si>
    <t xml:space="preserve">from Step 1 and rounding it, we obtain 7%. Adding 4% to rounded off </t>
  </si>
  <si>
    <t>WACC, we get MARR which is 11%.</t>
  </si>
  <si>
    <t>Machine 3</t>
  </si>
  <si>
    <t>No of machines</t>
  </si>
  <si>
    <t>First cost</t>
  </si>
  <si>
    <t>Operating cost / Hr</t>
  </si>
  <si>
    <t>Revenue/ Hr.</t>
  </si>
  <si>
    <t>Hr./Year</t>
  </si>
  <si>
    <t>Useful Life</t>
  </si>
  <si>
    <t>Depriciation (Macrs)</t>
  </si>
  <si>
    <t>MARR</t>
  </si>
  <si>
    <t>Period</t>
  </si>
  <si>
    <t>Intial Cost</t>
  </si>
  <si>
    <t>Revenue</t>
  </si>
  <si>
    <t>Loan Amount</t>
  </si>
  <si>
    <t>Operating Cost</t>
  </si>
  <si>
    <t>Salvage Value</t>
  </si>
  <si>
    <t>Before Tax cash Flow</t>
  </si>
  <si>
    <t>Depriciation rate</t>
  </si>
  <si>
    <t xml:space="preserve">DWO </t>
  </si>
  <si>
    <t>TI</t>
  </si>
  <si>
    <t>Step 3: Choose the type of Machine and calculate Before Tax Cash Flow</t>
  </si>
  <si>
    <t>There are total 20 machines with the operating cost of $170 per hour and $210 as the revenue generated per hour.</t>
  </si>
  <si>
    <t xml:space="preserve">The initial cost is $300,000. Hence the total cost for the machines would be $60,00,000. As the requirement is met </t>
  </si>
  <si>
    <t>by allocating 50% by preferred stocks and 50% by loan, hence each of them give$30,00,000.</t>
  </si>
  <si>
    <t>Using the Macrs method for 7 years, the depriciation values has been calculated for these years with refering the depriciation rates from the textbook.</t>
  </si>
  <si>
    <t>The annual operating cost is $6,120,000 and the revenue is $7,560,000 considering zero salvage value.</t>
  </si>
  <si>
    <t>The DWO and TI are calculated from the depriciation rate. The before tax cash flow is $989,679.69.</t>
  </si>
  <si>
    <t>The payback plan yields $450,320.31 annually over 10 years time frame.</t>
  </si>
  <si>
    <t xml:space="preserve">Present Worth </t>
  </si>
  <si>
    <t>DPBP</t>
  </si>
  <si>
    <t>IRR</t>
  </si>
  <si>
    <t>Step 4: Economic Worth Calculation</t>
  </si>
  <si>
    <t>To calculate Economic Growth, the Present Worth, DPBP( discounted payback period) and IRR(Internal Rate of Return) have to be calculated.</t>
  </si>
  <si>
    <t>The Present Worth  is $171,546.69, the DPBP is 10.53 and IRR is 10%.</t>
  </si>
  <si>
    <t>These values were calculated using the Before Tax Cash Flow of the cash flow as stated in the table above and MARR value.</t>
  </si>
  <si>
    <t>Option : 1</t>
  </si>
  <si>
    <t>State Tax Rate</t>
  </si>
  <si>
    <t>Federal Tax rate</t>
  </si>
  <si>
    <t>Income Tax Rate</t>
  </si>
  <si>
    <t>Step 5: Tax Rate</t>
  </si>
  <si>
    <t>In Step 5, we have to calculate the Income Tax Rate.</t>
  </si>
  <si>
    <t>This is done using State Tax Rate and Federal Tax Rate.</t>
  </si>
  <si>
    <t>For Option 1, the State Tax Rate is 8% and Federal Tax Rate is 20%.</t>
  </si>
  <si>
    <t>Hence the Income Tax Rate is 26.40%</t>
  </si>
  <si>
    <t>Effective Interest rate</t>
  </si>
  <si>
    <t>Income Tax</t>
  </si>
  <si>
    <t>PPMT</t>
  </si>
  <si>
    <t>IPMT</t>
  </si>
  <si>
    <t>Tax</t>
  </si>
  <si>
    <t>After Tax Cash flow</t>
  </si>
  <si>
    <t>Annual Worth</t>
  </si>
  <si>
    <t>Step 6: After Tax Calculation</t>
  </si>
  <si>
    <t>Deducting Taxes from Before Tax Cash Flow result in After Tax Cash Flow.</t>
  </si>
  <si>
    <t>The DWO has been calculated from BTCF and Depriciation rates and the TI (Taxable Income)</t>
  </si>
  <si>
    <t>has been calculated by subtracting  from BTCF,IPMT and DWO.</t>
  </si>
  <si>
    <t xml:space="preserve">We obtain the After Tax Cash Flow by subtracting the tax,PPMT,IPMT from borrowed loan amount </t>
  </si>
  <si>
    <t>and then this value is deducted from Before Tax Cash Flow to obtain the After Tax Cash Flow.</t>
  </si>
  <si>
    <t>The After Tax Cash Flow Present Worth  is $11,574.81 and Annual Worth is $1965.42</t>
  </si>
  <si>
    <t>and the Internal Rate of Return is 11%.</t>
  </si>
  <si>
    <t>Inflated MARR</t>
  </si>
  <si>
    <t>BTCF &amp; LCF</t>
  </si>
  <si>
    <t>ERR</t>
  </si>
  <si>
    <t>Step 7 : Choose Inflation and Calculate ATCF</t>
  </si>
  <si>
    <t>Considering inflation rate as 4% and Inflated MARR as 15%.</t>
  </si>
  <si>
    <t>The BTCF and LCF were calculated considering the Inflation rate.</t>
  </si>
  <si>
    <t xml:space="preserve">The Present Worth considering Inflation is $333,021.82, the IRR is 18% </t>
  </si>
  <si>
    <t>and ERR is 16%.</t>
  </si>
  <si>
    <t>The ATCF has been calculated from the BTCF and LCF with inflation factor considered.</t>
  </si>
  <si>
    <t>This is the last step in the Case Study Analysis.</t>
  </si>
  <si>
    <t>Conclusion</t>
  </si>
  <si>
    <r>
      <t>•</t>
    </r>
    <r>
      <rPr>
        <sz val="14"/>
        <color rgb="FF000000"/>
        <rFont val="Calibri"/>
        <family val="2"/>
        <scheme val="minor"/>
      </rPr>
      <t xml:space="preserve">Calculations for Present Worth have been done in different scenarios </t>
    </r>
  </si>
  <si>
    <r>
      <t>1.</t>
    </r>
    <r>
      <rPr>
        <sz val="14"/>
        <color rgb="FF000000"/>
        <rFont val="Calibri"/>
        <family val="2"/>
        <scheme val="minor"/>
      </rPr>
      <t xml:space="preserve">      Before Tax Cash Flow</t>
    </r>
  </si>
  <si>
    <r>
      <t>2.</t>
    </r>
    <r>
      <rPr>
        <sz val="14"/>
        <color rgb="FF000000"/>
        <rFont val="Calibri"/>
        <family val="2"/>
        <scheme val="minor"/>
      </rPr>
      <t xml:space="preserve">      After Tax Cash Flow </t>
    </r>
  </si>
  <si>
    <r>
      <t>3.</t>
    </r>
    <r>
      <rPr>
        <sz val="14"/>
        <color rgb="FF000000"/>
        <rFont val="Calibri"/>
        <family val="2"/>
        <scheme val="minor"/>
      </rPr>
      <t xml:space="preserve">      Inflation</t>
    </r>
  </si>
  <si>
    <r>
      <t>•</t>
    </r>
    <r>
      <rPr>
        <sz val="14"/>
        <color rgb="FF000000"/>
        <rFont val="Calibri"/>
        <family val="2"/>
        <scheme val="minor"/>
      </rPr>
      <t xml:space="preserve">All the values for present worth in different cases are positive. This depicts that </t>
    </r>
  </si>
  <si>
    <t xml:space="preserve">     the business’s are efficient, profitable and viable.</t>
  </si>
  <si>
    <r>
      <t>•</t>
    </r>
    <r>
      <rPr>
        <sz val="14"/>
        <color rgb="FF000000"/>
        <rFont val="Calibri"/>
        <family val="2"/>
        <scheme val="minor"/>
      </rPr>
      <t xml:space="preserve">The percentage values of Economic Rate of Return (ERR) and Internal Rate </t>
    </r>
  </si>
  <si>
    <t xml:space="preserve">      of Return (IRR) are greater than MARR and WACC.</t>
  </si>
  <si>
    <r>
      <t>•</t>
    </r>
    <r>
      <rPr>
        <sz val="14"/>
        <color rgb="FF000000"/>
        <rFont val="Calibri"/>
        <family val="2"/>
        <scheme val="minor"/>
      </rPr>
      <t>These factors justify that the project is economically justified and a new product</t>
    </r>
  </si>
  <si>
    <t xml:space="preserve">      line can be introduced.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</si>
</sst>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0.000000%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 (Body)"/>
    </font>
    <font>
      <b/>
      <sz val="11"/>
      <color theme="0"/>
      <name val="Calibri (Body)"/>
    </font>
    <font>
      <sz val="12"/>
      <color theme="0"/>
      <name val="Calibri (Body)"/>
    </font>
    <font>
      <sz val="12"/>
      <color rgb="FFFFFFFF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 (Body)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rgb="FFD9D9D9"/>
      </left>
      <right style="thin">
        <color theme="1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theme="1"/>
      </left>
      <right style="thin">
        <color theme="1"/>
      </right>
      <top style="thin">
        <color rgb="FFD9D9D9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rgb="FFD9D9D9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9D9D9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right" vertical="center"/>
    </xf>
    <xf numFmtId="9" fontId="2" fillId="0" borderId="4" xfId="0" applyNumberFormat="1" applyFont="1" applyBorder="1" applyAlignment="1">
      <alignment horizontal="right" vertical="center"/>
    </xf>
    <xf numFmtId="6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0" fontId="2" fillId="0" borderId="4" xfId="0" applyNumberFormat="1" applyFont="1" applyBorder="1" applyAlignment="1">
      <alignment horizontal="right" vertical="center"/>
    </xf>
    <xf numFmtId="10" fontId="2" fillId="0" borderId="4" xfId="0" applyNumberFormat="1" applyFont="1" applyBorder="1"/>
    <xf numFmtId="9" fontId="2" fillId="0" borderId="4" xfId="0" applyNumberFormat="1" applyFont="1" applyBorder="1"/>
    <xf numFmtId="0" fontId="2" fillId="0" borderId="3" xfId="0" applyFont="1" applyBorder="1" applyAlignment="1">
      <alignment horizontal="right" vertical="center"/>
    </xf>
    <xf numFmtId="8" fontId="2" fillId="0" borderId="4" xfId="0" applyNumberFormat="1" applyFont="1" applyBorder="1" applyAlignment="1">
      <alignment horizontal="right" vertical="center"/>
    </xf>
    <xf numFmtId="8" fontId="2" fillId="0" borderId="3" xfId="0" applyNumberFormat="1" applyFont="1" applyBorder="1"/>
    <xf numFmtId="8" fontId="2" fillId="0" borderId="3" xfId="0" applyNumberFormat="1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8" fontId="2" fillId="0" borderId="4" xfId="0" applyNumberFormat="1" applyFont="1" applyBorder="1"/>
    <xf numFmtId="10" fontId="2" fillId="0" borderId="1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0" fontId="6" fillId="6" borderId="8" xfId="0" applyFont="1" applyFill="1" applyBorder="1"/>
    <xf numFmtId="0" fontId="0" fillId="0" borderId="8" xfId="0" applyBorder="1"/>
    <xf numFmtId="0" fontId="6" fillId="8" borderId="8" xfId="0" applyFont="1" applyFill="1" applyBorder="1"/>
    <xf numFmtId="0" fontId="0" fillId="0" borderId="10" xfId="0" applyBorder="1"/>
    <xf numFmtId="0" fontId="0" fillId="7" borderId="8" xfId="0" applyFill="1" applyBorder="1"/>
    <xf numFmtId="0" fontId="6" fillId="9" borderId="14" xfId="0" applyFont="1" applyFill="1" applyBorder="1"/>
    <xf numFmtId="0" fontId="6" fillId="3" borderId="12" xfId="0" applyFont="1" applyFill="1" applyBorder="1"/>
    <xf numFmtId="0" fontId="6" fillId="3" borderId="14" xfId="0" applyFont="1" applyFill="1" applyBorder="1"/>
    <xf numFmtId="0" fontId="2" fillId="10" borderId="3" xfId="0" applyFont="1" applyFill="1" applyBorder="1"/>
    <xf numFmtId="164" fontId="2" fillId="7" borderId="2" xfId="0" applyNumberFormat="1" applyFont="1" applyFill="1" applyBorder="1"/>
    <xf numFmtId="164" fontId="2" fillId="7" borderId="4" xfId="0" applyNumberFormat="1" applyFont="1" applyFill="1" applyBorder="1"/>
    <xf numFmtId="0" fontId="2" fillId="7" borderId="4" xfId="0" applyFont="1" applyFill="1" applyBorder="1"/>
    <xf numFmtId="0" fontId="3" fillId="11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2" fillId="14" borderId="0" xfId="0" applyFont="1" applyFill="1" applyAlignment="1">
      <alignment horizontal="center" vertical="center"/>
    </xf>
    <xf numFmtId="10" fontId="2" fillId="4" borderId="4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14" borderId="20" xfId="0" applyFont="1" applyFill="1" applyBorder="1" applyAlignment="1">
      <alignment horizontal="center" vertical="center"/>
    </xf>
    <xf numFmtId="0" fontId="0" fillId="0" borderId="24" xfId="0" applyBorder="1"/>
    <xf numFmtId="0" fontId="6" fillId="9" borderId="26" xfId="0" applyFont="1" applyFill="1" applyBorder="1"/>
    <xf numFmtId="0" fontId="6" fillId="3" borderId="27" xfId="0" applyFont="1" applyFill="1" applyBorder="1"/>
    <xf numFmtId="0" fontId="6" fillId="3" borderId="28" xfId="0" applyFont="1" applyFill="1" applyBorder="1"/>
    <xf numFmtId="0" fontId="0" fillId="0" borderId="29" xfId="0" applyBorder="1"/>
    <xf numFmtId="0" fontId="6" fillId="9" borderId="30" xfId="0" applyFont="1" applyFill="1" applyBorder="1"/>
    <xf numFmtId="0" fontId="6" fillId="3" borderId="30" xfId="0" applyFont="1" applyFill="1" applyBorder="1"/>
    <xf numFmtId="0" fontId="6" fillId="3" borderId="32" xfId="0" applyFont="1" applyFill="1" applyBorder="1"/>
    <xf numFmtId="0" fontId="0" fillId="0" borderId="32" xfId="0" applyBorder="1"/>
    <xf numFmtId="0" fontId="2" fillId="16" borderId="34" xfId="0" applyFont="1" applyFill="1" applyBorder="1" applyAlignment="1">
      <alignment horizontal="center" vertical="center"/>
    </xf>
    <xf numFmtId="165" fontId="0" fillId="16" borderId="30" xfId="0" applyNumberFormat="1" applyFill="1" applyBorder="1"/>
    <xf numFmtId="0" fontId="4" fillId="10" borderId="1" xfId="0" applyFont="1" applyFill="1" applyBorder="1"/>
    <xf numFmtId="0" fontId="4" fillId="10" borderId="3" xfId="0" applyFont="1" applyFill="1" applyBorder="1"/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2" fillId="18" borderId="3" xfId="0" applyFont="1" applyFill="1" applyBorder="1"/>
    <xf numFmtId="9" fontId="2" fillId="18" borderId="4" xfId="0" applyNumberFormat="1" applyFont="1" applyFill="1" applyBorder="1"/>
    <xf numFmtId="0" fontId="2" fillId="19" borderId="1" xfId="0" applyFont="1" applyFill="1" applyBorder="1"/>
    <xf numFmtId="0" fontId="2" fillId="19" borderId="3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7" fillId="21" borderId="1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10" fontId="7" fillId="21" borderId="2" xfId="0" applyNumberFormat="1" applyFont="1" applyFill="1" applyBorder="1" applyAlignment="1">
      <alignment horizontal="center" vertical="center"/>
    </xf>
    <xf numFmtId="8" fontId="2" fillId="4" borderId="4" xfId="0" applyNumberFormat="1" applyFont="1" applyFill="1" applyBorder="1" applyAlignment="1">
      <alignment horizontal="right" vertical="center"/>
    </xf>
    <xf numFmtId="0" fontId="4" fillId="4" borderId="1" xfId="0" applyFont="1" applyFill="1" applyBorder="1"/>
    <xf numFmtId="0" fontId="4" fillId="4" borderId="3" xfId="0" applyFont="1" applyFill="1" applyBorder="1"/>
    <xf numFmtId="0" fontId="9" fillId="21" borderId="2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4" fillId="4" borderId="35" xfId="0" applyFont="1" applyFill="1" applyBorder="1"/>
    <xf numFmtId="0" fontId="2" fillId="16" borderId="26" xfId="0" applyFont="1" applyFill="1" applyBorder="1"/>
    <xf numFmtId="9" fontId="6" fillId="16" borderId="26" xfId="0" applyNumberFormat="1" applyFont="1" applyFill="1" applyBorder="1"/>
    <xf numFmtId="9" fontId="0" fillId="16" borderId="26" xfId="0" applyNumberFormat="1" applyFill="1" applyBorder="1"/>
    <xf numFmtId="8" fontId="2" fillId="0" borderId="37" xfId="0" applyNumberFormat="1" applyFont="1" applyBorder="1" applyAlignment="1">
      <alignment horizontal="right" vertical="center"/>
    </xf>
    <xf numFmtId="0" fontId="0" fillId="0" borderId="36" xfId="0" applyBorder="1"/>
    <xf numFmtId="8" fontId="2" fillId="0" borderId="38" xfId="0" applyNumberFormat="1" applyFont="1" applyBorder="1" applyAlignment="1">
      <alignment horizontal="right" vertical="center"/>
    </xf>
    <xf numFmtId="0" fontId="0" fillId="0" borderId="37" xfId="0" applyBorder="1"/>
    <xf numFmtId="8" fontId="2" fillId="0" borderId="0" xfId="0" applyNumberFormat="1" applyFont="1" applyAlignment="1">
      <alignment horizontal="right" vertical="center"/>
    </xf>
    <xf numFmtId="8" fontId="2" fillId="0" borderId="9" xfId="0" applyNumberFormat="1" applyFont="1" applyBorder="1" applyAlignment="1">
      <alignment horizontal="right" vertical="center"/>
    </xf>
    <xf numFmtId="0" fontId="0" fillId="0" borderId="39" xfId="0" applyBorder="1"/>
    <xf numFmtId="0" fontId="0" fillId="0" borderId="40" xfId="0" applyBorder="1"/>
    <xf numFmtId="10" fontId="2" fillId="4" borderId="3" xfId="0" applyNumberFormat="1" applyFont="1" applyFill="1" applyBorder="1"/>
    <xf numFmtId="10" fontId="2" fillId="4" borderId="4" xfId="0" applyNumberFormat="1" applyFont="1" applyFill="1" applyBorder="1"/>
    <xf numFmtId="0" fontId="2" fillId="23" borderId="1" xfId="0" applyFont="1" applyFill="1" applyBorder="1"/>
    <xf numFmtId="0" fontId="2" fillId="23" borderId="2" xfId="0" applyFont="1" applyFill="1" applyBorder="1"/>
    <xf numFmtId="0" fontId="1" fillId="0" borderId="38" xfId="0" applyFont="1" applyBorder="1"/>
    <xf numFmtId="9" fontId="2" fillId="0" borderId="41" xfId="0" applyNumberFormat="1" applyFont="1" applyBorder="1" applyAlignment="1">
      <alignment horizontal="right" vertical="center"/>
    </xf>
    <xf numFmtId="0" fontId="2" fillId="24" borderId="1" xfId="0" applyFont="1" applyFill="1" applyBorder="1"/>
    <xf numFmtId="0" fontId="2" fillId="25" borderId="2" xfId="0" applyFont="1" applyFill="1" applyBorder="1"/>
    <xf numFmtId="0" fontId="2" fillId="24" borderId="3" xfId="0" applyFont="1" applyFill="1" applyBorder="1"/>
    <xf numFmtId="0" fontId="2" fillId="25" borderId="4" xfId="0" applyFont="1" applyFill="1" applyBorder="1"/>
    <xf numFmtId="10" fontId="0" fillId="16" borderId="26" xfId="0" applyNumberFormat="1" applyFill="1" applyBorder="1"/>
    <xf numFmtId="8" fontId="2" fillId="4" borderId="4" xfId="0" applyNumberFormat="1" applyFont="1" applyFill="1" applyBorder="1"/>
    <xf numFmtId="8" fontId="4" fillId="4" borderId="2" xfId="0" applyNumberFormat="1" applyFont="1" applyFill="1" applyBorder="1"/>
    <xf numFmtId="9" fontId="4" fillId="4" borderId="4" xfId="0" applyNumberFormat="1" applyFont="1" applyFill="1" applyBorder="1"/>
    <xf numFmtId="0" fontId="2" fillId="18" borderId="1" xfId="0" applyFont="1" applyFill="1" applyBorder="1"/>
    <xf numFmtId="9" fontId="2" fillId="18" borderId="2" xfId="0" applyNumberFormat="1" applyFont="1" applyFill="1" applyBorder="1"/>
    <xf numFmtId="10" fontId="2" fillId="18" borderId="4" xfId="0" applyNumberFormat="1" applyFont="1" applyFill="1" applyBorder="1"/>
    <xf numFmtId="0" fontId="2" fillId="24" borderId="42" xfId="0" applyFont="1" applyFill="1" applyBorder="1"/>
    <xf numFmtId="8" fontId="1" fillId="0" borderId="26" xfId="0" applyNumberFormat="1" applyFont="1" applyBorder="1"/>
    <xf numFmtId="9" fontId="1" fillId="0" borderId="26" xfId="0" applyNumberFormat="1" applyFont="1" applyBorder="1"/>
    <xf numFmtId="0" fontId="1" fillId="0" borderId="26" xfId="0" applyFont="1" applyBorder="1"/>
    <xf numFmtId="0" fontId="0" fillId="26" borderId="0" xfId="0" applyFill="1"/>
    <xf numFmtId="0" fontId="10" fillId="5" borderId="0" xfId="0" applyFont="1" applyFill="1"/>
    <xf numFmtId="0" fontId="11" fillId="27" borderId="0" xfId="0" applyFont="1" applyFill="1"/>
    <xf numFmtId="164" fontId="0" fillId="26" borderId="0" xfId="0" applyNumberFormat="1" applyFill="1"/>
    <xf numFmtId="0" fontId="0" fillId="26" borderId="16" xfId="0" applyFill="1" applyBorder="1"/>
    <xf numFmtId="0" fontId="7" fillId="2" borderId="8" xfId="0" applyFont="1" applyFill="1" applyBorder="1" applyAlignment="1">
      <alignment horizontal="center" vertical="center"/>
    </xf>
    <xf numFmtId="8" fontId="2" fillId="26" borderId="37" xfId="0" applyNumberFormat="1" applyFont="1" applyFill="1" applyBorder="1" applyAlignment="1">
      <alignment horizontal="right" vertical="center"/>
    </xf>
    <xf numFmtId="0" fontId="0" fillId="26" borderId="36" xfId="0" applyFill="1" applyBorder="1"/>
    <xf numFmtId="0" fontId="12" fillId="26" borderId="0" xfId="0" applyFont="1" applyFill="1"/>
    <xf numFmtId="8" fontId="2" fillId="26" borderId="9" xfId="0" applyNumberFormat="1" applyFont="1" applyFill="1" applyBorder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7" fillId="26" borderId="0" xfId="0" applyFont="1" applyFill="1"/>
    <xf numFmtId="0" fontId="15" fillId="26" borderId="0" xfId="0" applyFont="1" applyFill="1" applyAlignment="1">
      <alignment horizontal="left" vertical="center" indent="5" readingOrder="1"/>
    </xf>
    <xf numFmtId="0" fontId="15" fillId="26" borderId="0" xfId="0" applyFont="1" applyFill="1"/>
    <xf numFmtId="0" fontId="14" fillId="26" borderId="0" xfId="0" applyFont="1" applyFill="1"/>
    <xf numFmtId="0" fontId="15" fillId="26" borderId="0" xfId="0" applyFont="1" applyFill="1" applyAlignment="1">
      <alignment horizontal="left" vertical="center" indent="6" readingOrder="1"/>
    </xf>
    <xf numFmtId="0" fontId="16" fillId="26" borderId="0" xfId="0" applyFont="1" applyFill="1" applyAlignment="1">
      <alignment horizontal="left" vertical="center" readingOrder="1"/>
    </xf>
    <xf numFmtId="0" fontId="18" fillId="26" borderId="0" xfId="0" applyFont="1" applyFill="1"/>
    <xf numFmtId="0" fontId="6" fillId="6" borderId="8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5" fillId="22" borderId="6" xfId="0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114300</xdr:rowOff>
    </xdr:from>
    <xdr:to>
      <xdr:col>10</xdr:col>
      <xdr:colOff>364315</xdr:colOff>
      <xdr:row>54</xdr:row>
      <xdr:rowOff>108418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E6B8F-A2D7-1F47-A2D9-A0C3DCEF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78300"/>
          <a:ext cx="9609915" cy="69029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20928</xdr:rowOff>
    </xdr:from>
    <xdr:to>
      <xdr:col>10</xdr:col>
      <xdr:colOff>355600</xdr:colOff>
      <xdr:row>20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F6FAF-EC93-B648-B130-218A0FB2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728"/>
          <a:ext cx="9601200" cy="33318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88899</xdr:rowOff>
    </xdr:from>
    <xdr:to>
      <xdr:col>10</xdr:col>
      <xdr:colOff>419100</xdr:colOff>
      <xdr:row>90</xdr:row>
      <xdr:rowOff>36888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FC6819-09E2-7E4A-8C13-58F183495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61699"/>
          <a:ext cx="9664700" cy="726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57D3-988B-F240-ACF9-495C7F378530}">
  <dimension ref="A1:F10"/>
  <sheetViews>
    <sheetView workbookViewId="0">
      <selection activeCell="L97" sqref="L97"/>
    </sheetView>
  </sheetViews>
  <sheetFormatPr defaultColWidth="11" defaultRowHeight="15.95"/>
  <cols>
    <col min="1" max="1" width="23.625" customWidth="1"/>
    <col min="8" max="8" width="11" customWidth="1"/>
  </cols>
  <sheetData>
    <row r="1" spans="1:6">
      <c r="A1" s="127" t="s">
        <v>0</v>
      </c>
      <c r="B1" s="127" t="s">
        <v>1</v>
      </c>
      <c r="C1" s="127"/>
      <c r="D1" s="127" t="s">
        <v>2</v>
      </c>
      <c r="E1" s="127" t="s">
        <v>3</v>
      </c>
      <c r="F1" s="127" t="s">
        <v>4</v>
      </c>
    </row>
    <row r="2" spans="1:6">
      <c r="A2" s="127"/>
      <c r="B2" s="20" t="s">
        <v>5</v>
      </c>
      <c r="C2" s="20" t="s">
        <v>6</v>
      </c>
      <c r="D2" s="127"/>
      <c r="E2" s="127"/>
      <c r="F2" s="127"/>
    </row>
    <row r="3" spans="1:6">
      <c r="A3" s="22" t="s">
        <v>7</v>
      </c>
      <c r="B3" s="22">
        <v>2</v>
      </c>
      <c r="C3" s="22">
        <v>1</v>
      </c>
      <c r="D3" s="22">
        <v>3</v>
      </c>
      <c r="E3" s="22">
        <v>1</v>
      </c>
      <c r="F3" s="22">
        <v>1</v>
      </c>
    </row>
    <row r="4" spans="1:6">
      <c r="D4" s="23"/>
      <c r="E4" s="24"/>
    </row>
    <row r="10" spans="1:6">
      <c r="C10" s="2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CC86-F866-AB4C-A57A-B9E9641A6472}">
  <dimension ref="A1:J38"/>
  <sheetViews>
    <sheetView topLeftCell="A13" workbookViewId="0">
      <selection activeCell="C22" sqref="C22"/>
    </sheetView>
  </sheetViews>
  <sheetFormatPr defaultColWidth="11" defaultRowHeight="15.95"/>
  <cols>
    <col min="1" max="1" width="37.5" customWidth="1"/>
    <col min="2" max="2" width="14.625" customWidth="1"/>
    <col min="3" max="3" width="14.125" customWidth="1"/>
    <col min="4" max="4" width="32" customWidth="1"/>
    <col min="5" max="5" width="15.375" customWidth="1"/>
    <col min="6" max="6" width="25.125" customWidth="1"/>
  </cols>
  <sheetData>
    <row r="1" spans="1:7">
      <c r="A1" s="129" t="s">
        <v>0</v>
      </c>
      <c r="B1" s="128" t="s">
        <v>1</v>
      </c>
      <c r="C1" s="128"/>
      <c r="D1" s="131" t="s">
        <v>2</v>
      </c>
      <c r="E1" s="128" t="s">
        <v>3</v>
      </c>
      <c r="F1" s="131" t="s">
        <v>4</v>
      </c>
    </row>
    <row r="2" spans="1:7">
      <c r="A2" s="130"/>
      <c r="B2" s="47" t="s">
        <v>5</v>
      </c>
      <c r="C2" s="51" t="s">
        <v>6</v>
      </c>
      <c r="D2" s="132"/>
      <c r="E2" s="133"/>
      <c r="F2" s="134"/>
    </row>
    <row r="3" spans="1:7">
      <c r="A3" s="48" t="s">
        <v>7</v>
      </c>
      <c r="B3" s="49">
        <v>2</v>
      </c>
      <c r="C3" s="49">
        <v>1</v>
      </c>
      <c r="D3" s="52">
        <v>3</v>
      </c>
      <c r="E3" s="49">
        <v>1</v>
      </c>
      <c r="F3" s="53">
        <v>1</v>
      </c>
      <c r="G3" s="54"/>
    </row>
    <row r="4" spans="1:7">
      <c r="A4" s="46"/>
      <c r="C4" s="50"/>
      <c r="D4" s="46"/>
      <c r="F4" s="46"/>
    </row>
    <row r="5" spans="1:7">
      <c r="A5" s="57" t="s">
        <v>8</v>
      </c>
      <c r="B5" s="29">
        <v>8000000</v>
      </c>
      <c r="D5" s="36" t="s">
        <v>9</v>
      </c>
      <c r="E5" s="59" t="s">
        <v>10</v>
      </c>
      <c r="F5" s="60" t="s">
        <v>11</v>
      </c>
    </row>
    <row r="6" spans="1:7" ht="48">
      <c r="A6" s="28" t="s">
        <v>12</v>
      </c>
      <c r="B6" s="30">
        <v>0</v>
      </c>
      <c r="D6" s="32">
        <v>1</v>
      </c>
      <c r="E6" s="33" t="s">
        <v>13</v>
      </c>
      <c r="F6" s="34" t="s">
        <v>14</v>
      </c>
    </row>
    <row r="7" spans="1:7" ht="48">
      <c r="A7" s="58" t="s">
        <v>15</v>
      </c>
      <c r="B7" s="31">
        <v>10</v>
      </c>
      <c r="D7" s="32">
        <v>2</v>
      </c>
      <c r="E7" s="33" t="s">
        <v>16</v>
      </c>
      <c r="F7" s="34" t="s">
        <v>17</v>
      </c>
    </row>
    <row r="8" spans="1:7" ht="48">
      <c r="D8" s="32">
        <v>3</v>
      </c>
      <c r="E8" s="33" t="s">
        <v>18</v>
      </c>
      <c r="F8" s="34" t="s">
        <v>19</v>
      </c>
    </row>
    <row r="9" spans="1:7">
      <c r="D9" s="32">
        <v>4</v>
      </c>
      <c r="E9" s="33" t="s">
        <v>20</v>
      </c>
      <c r="F9" s="35" t="s">
        <v>21</v>
      </c>
    </row>
    <row r="11" spans="1:7">
      <c r="D11" s="43"/>
    </row>
    <row r="12" spans="1:7">
      <c r="A12" s="45" t="s">
        <v>22</v>
      </c>
      <c r="B12" s="3"/>
      <c r="C12" s="42"/>
      <c r="D12" s="37" t="s">
        <v>23</v>
      </c>
      <c r="E12" s="44"/>
    </row>
    <row r="13" spans="1:7">
      <c r="A13" s="135" t="s">
        <v>24</v>
      </c>
      <c r="B13" s="136"/>
      <c r="D13" s="135" t="s">
        <v>25</v>
      </c>
      <c r="E13" s="136"/>
    </row>
    <row r="14" spans="1:7">
      <c r="A14" s="4" t="s">
        <v>26</v>
      </c>
      <c r="B14" s="5">
        <v>7</v>
      </c>
      <c r="D14" s="4" t="s">
        <v>27</v>
      </c>
      <c r="E14" s="6">
        <v>0.08</v>
      </c>
    </row>
    <row r="15" spans="1:7">
      <c r="A15" s="4" t="s">
        <v>28</v>
      </c>
      <c r="B15" s="5">
        <v>100</v>
      </c>
      <c r="D15" s="4" t="s">
        <v>29</v>
      </c>
      <c r="E15" s="8" t="s">
        <v>30</v>
      </c>
    </row>
    <row r="16" spans="1:7">
      <c r="A16" s="4" t="s">
        <v>31</v>
      </c>
      <c r="B16" s="7">
        <v>3</v>
      </c>
      <c r="D16" s="4" t="s">
        <v>32</v>
      </c>
      <c r="E16" s="8" t="s">
        <v>33</v>
      </c>
    </row>
    <row r="17" spans="1:10">
      <c r="A17" s="4" t="s">
        <v>34</v>
      </c>
      <c r="B17" s="5">
        <v>4000000</v>
      </c>
      <c r="D17" s="4" t="s">
        <v>34</v>
      </c>
      <c r="E17" s="5">
        <v>4000000</v>
      </c>
    </row>
    <row r="18" spans="1:10">
      <c r="A18" s="4" t="s">
        <v>35</v>
      </c>
      <c r="B18" s="5">
        <v>8000000</v>
      </c>
      <c r="D18" s="4" t="s">
        <v>36</v>
      </c>
      <c r="E18" s="92">
        <f>E17/B18</f>
        <v>0.5</v>
      </c>
      <c r="F18" s="91"/>
    </row>
    <row r="19" spans="1:10">
      <c r="A19" s="4" t="s">
        <v>36</v>
      </c>
      <c r="B19" s="6">
        <f>B17/B18</f>
        <v>0.5</v>
      </c>
      <c r="D19" s="4" t="s">
        <v>37</v>
      </c>
      <c r="E19" s="9">
        <v>0.26</v>
      </c>
    </row>
    <row r="20" spans="1:10">
      <c r="A20" s="4" t="s">
        <v>38</v>
      </c>
      <c r="B20" s="38">
        <f>B14/B15</f>
        <v>7.0000000000000007E-2</v>
      </c>
      <c r="D20" s="39" t="s">
        <v>39</v>
      </c>
      <c r="E20" s="38">
        <f>EFFECT(E14,2)</f>
        <v>8.1600000000000117E-2</v>
      </c>
    </row>
    <row r="21" spans="1:10">
      <c r="C21" s="42"/>
      <c r="D21" s="40" t="s">
        <v>40</v>
      </c>
      <c r="E21" s="38">
        <f>E20*(1-E19)</f>
        <v>6.0384000000000083E-2</v>
      </c>
    </row>
    <row r="22" spans="1:10">
      <c r="C22" s="41"/>
    </row>
    <row r="23" spans="1:10">
      <c r="A23" s="55" t="s">
        <v>41</v>
      </c>
      <c r="B23" s="56">
        <f>(B19*B20)+(E18*E21)</f>
        <v>6.5192000000000042E-2</v>
      </c>
      <c r="C23" s="54"/>
    </row>
    <row r="24" spans="1:10">
      <c r="A24" s="50"/>
      <c r="B24" s="50"/>
    </row>
    <row r="26" spans="1:10" ht="26.1">
      <c r="B26" s="21"/>
      <c r="D26" s="108"/>
      <c r="E26" s="116" t="s">
        <v>42</v>
      </c>
      <c r="F26" s="108"/>
      <c r="G26" s="108"/>
      <c r="H26" s="108"/>
      <c r="I26" s="108"/>
      <c r="J26" s="108"/>
    </row>
    <row r="27" spans="1:10">
      <c r="D27" s="108"/>
      <c r="E27" s="108"/>
      <c r="F27" s="108"/>
      <c r="G27" s="108"/>
      <c r="H27" s="108"/>
      <c r="I27" s="108"/>
      <c r="J27" s="108"/>
    </row>
    <row r="28" spans="1:10">
      <c r="D28" s="108" t="s">
        <v>43</v>
      </c>
      <c r="E28" s="108"/>
      <c r="F28" s="108"/>
      <c r="G28" s="108"/>
      <c r="H28" s="108"/>
      <c r="I28" s="108"/>
      <c r="J28" s="108"/>
    </row>
    <row r="29" spans="1:10">
      <c r="D29" s="108" t="s">
        <v>44</v>
      </c>
      <c r="E29" s="108"/>
      <c r="F29" s="108"/>
      <c r="G29" s="108"/>
      <c r="H29" s="108"/>
      <c r="I29" s="108"/>
      <c r="J29" s="108"/>
    </row>
    <row r="30" spans="1:10">
      <c r="D30" s="108" t="s">
        <v>45</v>
      </c>
      <c r="E30" s="108"/>
      <c r="F30" s="108"/>
      <c r="G30" s="108"/>
      <c r="H30" s="108"/>
      <c r="I30" s="108"/>
      <c r="J30" s="108"/>
    </row>
    <row r="31" spans="1:10">
      <c r="D31" s="108" t="s">
        <v>46</v>
      </c>
      <c r="E31" s="108"/>
      <c r="F31" s="108"/>
      <c r="G31" s="108"/>
      <c r="H31" s="108"/>
      <c r="I31" s="108"/>
      <c r="J31" s="108"/>
    </row>
    <row r="32" spans="1:10">
      <c r="D32" s="108" t="s">
        <v>47</v>
      </c>
      <c r="E32" s="108"/>
      <c r="F32" s="108"/>
      <c r="G32" s="108"/>
      <c r="H32" s="108"/>
      <c r="I32" s="108"/>
      <c r="J32" s="108"/>
    </row>
    <row r="33" spans="4:10">
      <c r="D33" s="108" t="s">
        <v>48</v>
      </c>
      <c r="E33" s="108"/>
      <c r="F33" s="108"/>
      <c r="G33" s="108"/>
      <c r="H33" s="108"/>
      <c r="I33" s="108"/>
      <c r="J33" s="108"/>
    </row>
    <row r="34" spans="4:10">
      <c r="D34" s="108" t="s">
        <v>49</v>
      </c>
      <c r="E34" s="108"/>
      <c r="F34" s="108"/>
      <c r="G34" s="108"/>
      <c r="H34" s="108"/>
      <c r="I34" s="108"/>
      <c r="J34" s="108"/>
    </row>
    <row r="35" spans="4:10">
      <c r="D35" s="108" t="s">
        <v>50</v>
      </c>
      <c r="E35" s="108"/>
      <c r="F35" s="108"/>
      <c r="G35" s="108"/>
      <c r="H35" s="108"/>
      <c r="I35" s="108"/>
      <c r="J35" s="108"/>
    </row>
    <row r="36" spans="4:10">
      <c r="D36" s="108" t="s">
        <v>51</v>
      </c>
      <c r="E36" s="108"/>
      <c r="F36" s="108"/>
      <c r="G36" s="108"/>
      <c r="H36" s="108"/>
      <c r="I36" s="108"/>
      <c r="J36" s="108"/>
    </row>
    <row r="37" spans="4:10">
      <c r="D37" s="108"/>
      <c r="E37" s="108"/>
      <c r="F37" s="108"/>
      <c r="G37" s="108"/>
      <c r="H37" s="108"/>
      <c r="I37" s="108"/>
      <c r="J37" s="108"/>
    </row>
    <row r="38" spans="4:10">
      <c r="D38" s="108"/>
      <c r="E38" s="108"/>
      <c r="F38" s="108"/>
      <c r="G38" s="108"/>
      <c r="H38" s="108"/>
      <c r="I38" s="108"/>
      <c r="J38" s="108"/>
    </row>
  </sheetData>
  <mergeCells count="7">
    <mergeCell ref="A13:B13"/>
    <mergeCell ref="D13:E13"/>
    <mergeCell ref="B1:C1"/>
    <mergeCell ref="A1:A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5114-5826-C04F-8C21-2E511774BDC9}">
  <dimension ref="A1:H10"/>
  <sheetViews>
    <sheetView workbookViewId="0">
      <selection activeCell="B11" sqref="B11"/>
    </sheetView>
  </sheetViews>
  <sheetFormatPr defaultColWidth="11" defaultRowHeight="15.95"/>
  <cols>
    <col min="1" max="2" width="16.5" customWidth="1"/>
  </cols>
  <sheetData>
    <row r="1" spans="1:8">
      <c r="A1" s="137" t="s">
        <v>52</v>
      </c>
      <c r="B1" s="137"/>
    </row>
    <row r="2" spans="1:8">
      <c r="A2" s="1" t="s">
        <v>53</v>
      </c>
      <c r="B2" s="10">
        <v>6.5192E-2</v>
      </c>
    </row>
    <row r="3" spans="1:8">
      <c r="A3" s="1" t="s">
        <v>54</v>
      </c>
      <c r="B3" s="11">
        <f>ROUND(B2,2)</f>
        <v>7.0000000000000007E-2</v>
      </c>
    </row>
    <row r="4" spans="1:8">
      <c r="A4" s="61" t="s">
        <v>55</v>
      </c>
      <c r="B4" s="62">
        <f>B3+4%</f>
        <v>0.11000000000000001</v>
      </c>
    </row>
    <row r="6" spans="1:8" ht="21">
      <c r="C6" s="108"/>
      <c r="D6" s="126" t="s">
        <v>56</v>
      </c>
      <c r="E6" s="108"/>
      <c r="F6" s="108"/>
      <c r="G6" s="108"/>
      <c r="H6" s="108"/>
    </row>
    <row r="7" spans="1:8">
      <c r="C7" s="108"/>
      <c r="D7" s="108"/>
      <c r="E7" s="108"/>
      <c r="F7" s="108"/>
      <c r="G7" s="108"/>
      <c r="H7" s="108"/>
    </row>
    <row r="8" spans="1:8">
      <c r="C8" s="108" t="s">
        <v>57</v>
      </c>
      <c r="D8" s="108"/>
      <c r="E8" s="108"/>
      <c r="F8" s="108"/>
      <c r="G8" s="108"/>
      <c r="H8" s="108"/>
    </row>
    <row r="9" spans="1:8">
      <c r="C9" s="108" t="s">
        <v>58</v>
      </c>
      <c r="D9" s="108"/>
      <c r="E9" s="108"/>
      <c r="F9" s="108"/>
      <c r="G9" s="108"/>
      <c r="H9" s="108"/>
    </row>
    <row r="10" spans="1:8">
      <c r="C10" s="108" t="s">
        <v>59</v>
      </c>
      <c r="D10" s="108"/>
      <c r="E10" s="108"/>
      <c r="F10" s="108"/>
      <c r="G10" s="108"/>
      <c r="H10" s="108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50F7-C553-DF4E-B81E-F28EE6483A9C}">
  <dimension ref="A1:J43"/>
  <sheetViews>
    <sheetView topLeftCell="B17" zoomScale="125" workbookViewId="0">
      <selection activeCell="J28" sqref="J28"/>
    </sheetView>
  </sheetViews>
  <sheetFormatPr defaultColWidth="11" defaultRowHeight="15.95"/>
  <cols>
    <col min="1" max="1" width="17.875" customWidth="1"/>
    <col min="2" max="2" width="13.625" bestFit="1" customWidth="1"/>
    <col min="3" max="3" width="16" customWidth="1"/>
    <col min="4" max="4" width="21" customWidth="1"/>
    <col min="5" max="5" width="21.125" customWidth="1"/>
    <col min="6" max="6" width="19.375" customWidth="1"/>
    <col min="7" max="7" width="17" customWidth="1"/>
    <col min="8" max="8" width="22.375" customWidth="1"/>
    <col min="9" max="9" width="15.5" customWidth="1"/>
    <col min="10" max="10" width="16.625" customWidth="1"/>
  </cols>
  <sheetData>
    <row r="1" spans="1:6">
      <c r="A1" s="138" t="s">
        <v>0</v>
      </c>
      <c r="B1" s="140" t="s">
        <v>1</v>
      </c>
      <c r="C1" s="141"/>
      <c r="D1" s="138" t="s">
        <v>2</v>
      </c>
      <c r="E1" s="138" t="s">
        <v>3</v>
      </c>
      <c r="F1" s="138" t="s">
        <v>4</v>
      </c>
    </row>
    <row r="2" spans="1:6">
      <c r="A2" s="139"/>
      <c r="B2" s="25" t="s">
        <v>5</v>
      </c>
      <c r="C2" s="25" t="s">
        <v>6</v>
      </c>
      <c r="D2" s="139"/>
      <c r="E2" s="139"/>
      <c r="F2" s="139"/>
    </row>
    <row r="3" spans="1:6">
      <c r="A3" s="26" t="s">
        <v>7</v>
      </c>
      <c r="B3" s="27">
        <v>2</v>
      </c>
      <c r="C3" s="27">
        <v>1</v>
      </c>
      <c r="D3" s="27">
        <v>3</v>
      </c>
      <c r="E3" s="27">
        <v>1</v>
      </c>
      <c r="F3" s="27">
        <v>1</v>
      </c>
    </row>
    <row r="5" spans="1:6">
      <c r="A5" s="109" t="s">
        <v>60</v>
      </c>
    </row>
    <row r="6" spans="1:6">
      <c r="A6" s="63" t="s">
        <v>61</v>
      </c>
      <c r="B6" s="65">
        <v>20</v>
      </c>
      <c r="D6" s="142" t="s">
        <v>25</v>
      </c>
      <c r="E6" s="143"/>
    </row>
    <row r="7" spans="1:6">
      <c r="A7" s="64" t="s">
        <v>62</v>
      </c>
      <c r="B7" s="66">
        <v>300000</v>
      </c>
      <c r="D7" s="4" t="s">
        <v>27</v>
      </c>
      <c r="E7" s="6">
        <v>0.08</v>
      </c>
    </row>
    <row r="8" spans="1:6">
      <c r="A8" s="64" t="s">
        <v>63</v>
      </c>
      <c r="B8" s="66">
        <v>170</v>
      </c>
      <c r="D8" s="4" t="s">
        <v>29</v>
      </c>
      <c r="E8" s="8" t="s">
        <v>30</v>
      </c>
    </row>
    <row r="9" spans="1:6">
      <c r="A9" s="64" t="s">
        <v>64</v>
      </c>
      <c r="B9" s="66">
        <v>210</v>
      </c>
      <c r="D9" s="4" t="s">
        <v>32</v>
      </c>
      <c r="E9" s="8" t="s">
        <v>33</v>
      </c>
    </row>
    <row r="10" spans="1:6">
      <c r="A10" s="64" t="s">
        <v>65</v>
      </c>
      <c r="B10" s="66">
        <v>1800</v>
      </c>
      <c r="D10" s="4" t="s">
        <v>34</v>
      </c>
      <c r="E10" s="5">
        <v>4000000</v>
      </c>
    </row>
    <row r="11" spans="1:6">
      <c r="A11" s="64" t="s">
        <v>66</v>
      </c>
      <c r="B11" s="66">
        <v>10</v>
      </c>
      <c r="D11" s="4" t="s">
        <v>36</v>
      </c>
      <c r="E11" s="6">
        <v>0.5</v>
      </c>
    </row>
    <row r="12" spans="1:6">
      <c r="A12" s="64" t="s">
        <v>67</v>
      </c>
      <c r="B12" s="66">
        <v>7</v>
      </c>
      <c r="D12" s="4" t="s">
        <v>37</v>
      </c>
      <c r="E12" s="9">
        <v>0.26</v>
      </c>
    </row>
    <row r="13" spans="1:6">
      <c r="D13" s="39" t="s">
        <v>39</v>
      </c>
      <c r="E13" s="38">
        <v>8.1600000000000006E-2</v>
      </c>
    </row>
    <row r="14" spans="1:6">
      <c r="A14" s="76" t="s">
        <v>53</v>
      </c>
      <c r="B14" s="78">
        <v>7.0000000000000007E-2</v>
      </c>
    </row>
    <row r="15" spans="1:6">
      <c r="A15" s="76" t="s">
        <v>68</v>
      </c>
      <c r="B15" s="78">
        <v>0.11</v>
      </c>
    </row>
    <row r="17" spans="1:10">
      <c r="A17" s="67" t="s">
        <v>69</v>
      </c>
      <c r="B17" s="68" t="s">
        <v>70</v>
      </c>
      <c r="C17" s="68" t="s">
        <v>71</v>
      </c>
      <c r="D17" s="68" t="s">
        <v>72</v>
      </c>
      <c r="E17" s="68" t="s">
        <v>73</v>
      </c>
      <c r="F17" s="68" t="s">
        <v>74</v>
      </c>
      <c r="G17" s="73" t="s">
        <v>75</v>
      </c>
      <c r="H17" s="69" t="s">
        <v>76</v>
      </c>
      <c r="I17" s="68" t="s">
        <v>77</v>
      </c>
      <c r="J17" s="68" t="s">
        <v>78</v>
      </c>
    </row>
    <row r="18" spans="1:10">
      <c r="A18" s="12">
        <v>0</v>
      </c>
      <c r="B18" s="13">
        <f>-(B6*B7)/2</f>
        <v>-3000000</v>
      </c>
      <c r="C18" s="13"/>
      <c r="D18" s="13">
        <v>-3000000</v>
      </c>
      <c r="E18" s="13"/>
      <c r="F18" s="13"/>
      <c r="G18" s="70">
        <f>SUM(B18:F18)</f>
        <v>-6000000</v>
      </c>
      <c r="H18" s="9"/>
      <c r="I18" s="13"/>
      <c r="J18" s="13"/>
    </row>
    <row r="19" spans="1:10">
      <c r="A19" s="12">
        <v>1</v>
      </c>
      <c r="B19" s="13"/>
      <c r="C19" s="13">
        <f>B6*B9*B10</f>
        <v>7560000</v>
      </c>
      <c r="D19" s="13">
        <f>-PMT(E13,10,D18)</f>
        <v>-450320.31201120879</v>
      </c>
      <c r="E19" s="13">
        <f>-(B6*B8*B10)</f>
        <v>-6120000</v>
      </c>
      <c r="F19" s="13">
        <v>0</v>
      </c>
      <c r="G19" s="70">
        <f t="shared" ref="G19:G28" si="0">SUM(B19:F19)</f>
        <v>989679.68798879161</v>
      </c>
      <c r="H19" s="9">
        <v>0.1429</v>
      </c>
      <c r="I19" s="13">
        <f>-G18*H19</f>
        <v>857400</v>
      </c>
      <c r="J19" s="13">
        <f>G19-I19</f>
        <v>132279.68798879161</v>
      </c>
    </row>
    <row r="20" spans="1:10">
      <c r="A20" s="12">
        <v>2</v>
      </c>
      <c r="B20" s="13"/>
      <c r="C20" s="13">
        <f>B6*B9*B10</f>
        <v>7560000</v>
      </c>
      <c r="D20" s="13">
        <f>-PMT(E13,10,D18)</f>
        <v>-450320.31201120879</v>
      </c>
      <c r="E20" s="13">
        <f>-(B6*B8*B10)</f>
        <v>-6120000</v>
      </c>
      <c r="F20" s="13">
        <v>0</v>
      </c>
      <c r="G20" s="70">
        <f t="shared" si="0"/>
        <v>989679.68798879161</v>
      </c>
      <c r="H20" s="9">
        <v>0.2429</v>
      </c>
      <c r="I20" s="13">
        <f>-G18*H20</f>
        <v>1457400</v>
      </c>
      <c r="J20" s="13">
        <f t="shared" ref="J20:J28" si="1">G20-I20</f>
        <v>-467720.31201120839</v>
      </c>
    </row>
    <row r="21" spans="1:10">
      <c r="A21" s="12">
        <v>3</v>
      </c>
      <c r="B21" s="13"/>
      <c r="C21" s="13">
        <f>B6*B9*B10</f>
        <v>7560000</v>
      </c>
      <c r="D21" s="13">
        <f>-PMT(E13,10,D18)</f>
        <v>-450320.31201120879</v>
      </c>
      <c r="E21" s="13">
        <f>-(B6*B8*B10)</f>
        <v>-6120000</v>
      </c>
      <c r="F21" s="13">
        <v>0</v>
      </c>
      <c r="G21" s="70">
        <f t="shared" si="0"/>
        <v>989679.68798879161</v>
      </c>
      <c r="H21" s="9">
        <v>0.1749</v>
      </c>
      <c r="I21" s="13">
        <f>-G18*H21</f>
        <v>1049400</v>
      </c>
      <c r="J21" s="13">
        <f t="shared" si="1"/>
        <v>-59720.312011208385</v>
      </c>
    </row>
    <row r="22" spans="1:10">
      <c r="A22" s="12">
        <v>4</v>
      </c>
      <c r="B22" s="13"/>
      <c r="C22" s="13">
        <f>B6*B9*B10</f>
        <v>7560000</v>
      </c>
      <c r="D22" s="13">
        <f>-PMT(E13,10,D18)</f>
        <v>-450320.31201120879</v>
      </c>
      <c r="E22" s="13">
        <f>-(B6*B8*B10)</f>
        <v>-6120000</v>
      </c>
      <c r="F22" s="13">
        <v>0</v>
      </c>
      <c r="G22" s="70">
        <f t="shared" si="0"/>
        <v>989679.68798879161</v>
      </c>
      <c r="H22" s="9">
        <v>0.1249</v>
      </c>
      <c r="I22" s="13">
        <f>-G18*H22</f>
        <v>749400</v>
      </c>
      <c r="J22" s="13">
        <f t="shared" si="1"/>
        <v>240279.68798879161</v>
      </c>
    </row>
    <row r="23" spans="1:10">
      <c r="A23" s="12">
        <v>5</v>
      </c>
      <c r="B23" s="13"/>
      <c r="C23" s="13">
        <f>B6*B9*B10</f>
        <v>7560000</v>
      </c>
      <c r="D23" s="13">
        <f>-PMT(E13,10,D18)</f>
        <v>-450320.31201120879</v>
      </c>
      <c r="E23" s="13">
        <f>-(B6*B8*B10)</f>
        <v>-6120000</v>
      </c>
      <c r="F23" s="13">
        <v>0</v>
      </c>
      <c r="G23" s="70">
        <f t="shared" si="0"/>
        <v>989679.68798879161</v>
      </c>
      <c r="H23" s="9">
        <v>8.9300000000000004E-2</v>
      </c>
      <c r="I23" s="13">
        <f>-G18*H23</f>
        <v>535800</v>
      </c>
      <c r="J23" s="13">
        <f t="shared" si="1"/>
        <v>453879.68798879161</v>
      </c>
    </row>
    <row r="24" spans="1:10">
      <c r="A24" s="12">
        <v>6</v>
      </c>
      <c r="B24" s="13"/>
      <c r="C24" s="13">
        <f>B6*B9*B10</f>
        <v>7560000</v>
      </c>
      <c r="D24" s="13">
        <f>-PMT(E13,10,D18)</f>
        <v>-450320.31201120879</v>
      </c>
      <c r="E24" s="13">
        <f>-(B6*B8*B10)</f>
        <v>-6120000</v>
      </c>
      <c r="F24" s="13">
        <v>0</v>
      </c>
      <c r="G24" s="70">
        <f t="shared" si="0"/>
        <v>989679.68798879161</v>
      </c>
      <c r="H24" s="9">
        <v>8.9200000000000002E-2</v>
      </c>
      <c r="I24" s="13">
        <f>-G18*H24</f>
        <v>535200</v>
      </c>
      <c r="J24" s="13">
        <f t="shared" si="1"/>
        <v>454479.68798879161</v>
      </c>
    </row>
    <row r="25" spans="1:10">
      <c r="A25" s="12">
        <v>7</v>
      </c>
      <c r="B25" s="13"/>
      <c r="C25" s="13">
        <f>B6*B9*B10</f>
        <v>7560000</v>
      </c>
      <c r="D25" s="13">
        <f>-PMT(E13,10,D18)</f>
        <v>-450320.31201120879</v>
      </c>
      <c r="E25" s="13">
        <f>-(B6*B8*B10)</f>
        <v>-6120000</v>
      </c>
      <c r="F25" s="13">
        <v>0</v>
      </c>
      <c r="G25" s="70">
        <f t="shared" si="0"/>
        <v>989679.68798879161</v>
      </c>
      <c r="H25" s="9">
        <v>8.9300000000000004E-2</v>
      </c>
      <c r="I25" s="13">
        <f>-G18*H25</f>
        <v>535800</v>
      </c>
      <c r="J25" s="13">
        <f t="shared" si="1"/>
        <v>453879.68798879161</v>
      </c>
    </row>
    <row r="26" spans="1:10">
      <c r="A26" s="12">
        <v>8</v>
      </c>
      <c r="B26" s="13"/>
      <c r="C26" s="13">
        <f>B6*B9*B10</f>
        <v>7560000</v>
      </c>
      <c r="D26" s="13">
        <f>-PMT(E13,10,D18)</f>
        <v>-450320.31201120879</v>
      </c>
      <c r="E26" s="13">
        <f>-(B6*B8*B10)</f>
        <v>-6120000</v>
      </c>
      <c r="F26" s="13">
        <v>0</v>
      </c>
      <c r="G26" s="70">
        <f t="shared" si="0"/>
        <v>989679.68798879161</v>
      </c>
      <c r="H26" s="9">
        <v>4.4600000000000001E-2</v>
      </c>
      <c r="I26" s="13">
        <f>-G18*H26</f>
        <v>267600</v>
      </c>
      <c r="J26" s="13">
        <f t="shared" si="1"/>
        <v>722079.68798879161</v>
      </c>
    </row>
    <row r="27" spans="1:10">
      <c r="A27" s="12">
        <v>9</v>
      </c>
      <c r="B27" s="13"/>
      <c r="C27" s="13">
        <f>B6*B9*B10</f>
        <v>7560000</v>
      </c>
      <c r="D27" s="13">
        <f>-PMT(E13,10,D18)</f>
        <v>-450320.31201120879</v>
      </c>
      <c r="E27" s="13">
        <f>-(B6*B8*B10)</f>
        <v>-6120000</v>
      </c>
      <c r="F27" s="13">
        <v>0</v>
      </c>
      <c r="G27" s="70">
        <f t="shared" si="0"/>
        <v>989679.68798879161</v>
      </c>
      <c r="H27" s="9">
        <v>0</v>
      </c>
      <c r="I27" s="13">
        <f>-G18*H27</f>
        <v>0</v>
      </c>
      <c r="J27" s="13">
        <f t="shared" si="1"/>
        <v>989679.68798879161</v>
      </c>
    </row>
    <row r="28" spans="1:10">
      <c r="A28" s="12">
        <v>10</v>
      </c>
      <c r="B28" s="13"/>
      <c r="C28" s="13">
        <f>B6*B9*B10</f>
        <v>7560000</v>
      </c>
      <c r="D28" s="13">
        <f>-PMT(E13,10,D18)</f>
        <v>-450320.31201120879</v>
      </c>
      <c r="E28" s="13">
        <f>-(B6*B8*B10)</f>
        <v>-6120000</v>
      </c>
      <c r="F28" s="13">
        <v>0</v>
      </c>
      <c r="G28" s="70">
        <f t="shared" si="0"/>
        <v>989679.68798879161</v>
      </c>
      <c r="H28" s="9">
        <v>0</v>
      </c>
      <c r="I28" s="13">
        <f>-G18*H28</f>
        <v>0</v>
      </c>
      <c r="J28" s="13">
        <f t="shared" si="1"/>
        <v>989679.68798879161</v>
      </c>
    </row>
    <row r="32" spans="1:10" ht="21">
      <c r="B32" s="108"/>
      <c r="C32" s="108"/>
      <c r="D32" s="126" t="s">
        <v>79</v>
      </c>
      <c r="E32" s="108"/>
      <c r="F32" s="108"/>
      <c r="G32" s="108"/>
      <c r="H32" s="108"/>
      <c r="I32" s="108"/>
    </row>
    <row r="33" spans="2:9">
      <c r="B33" s="108"/>
      <c r="C33" s="108"/>
      <c r="D33" s="108"/>
      <c r="E33" s="108"/>
      <c r="F33" s="108"/>
      <c r="G33" s="108"/>
      <c r="H33" s="108"/>
      <c r="I33" s="108"/>
    </row>
    <row r="34" spans="2:9">
      <c r="B34" s="108"/>
      <c r="C34" s="108"/>
      <c r="D34" s="108"/>
      <c r="E34" s="108"/>
      <c r="F34" s="108"/>
      <c r="G34" s="108"/>
      <c r="H34" s="108"/>
      <c r="I34" s="108"/>
    </row>
    <row r="35" spans="2:9">
      <c r="B35" s="108"/>
      <c r="C35" s="108"/>
      <c r="D35" s="108"/>
      <c r="E35" s="108"/>
      <c r="F35" s="108"/>
      <c r="G35" s="108"/>
      <c r="H35" s="108"/>
      <c r="I35" s="108"/>
    </row>
    <row r="36" spans="2:9">
      <c r="B36" s="108"/>
      <c r="C36" s="108" t="s">
        <v>80</v>
      </c>
      <c r="D36" s="108"/>
      <c r="E36" s="108"/>
      <c r="F36" s="108"/>
      <c r="G36" s="108"/>
      <c r="H36" s="108"/>
      <c r="I36" s="108"/>
    </row>
    <row r="37" spans="2:9">
      <c r="B37" s="108"/>
      <c r="C37" s="108" t="s">
        <v>81</v>
      </c>
      <c r="D37" s="108"/>
      <c r="E37" s="108"/>
      <c r="F37" s="108"/>
      <c r="G37" s="108"/>
      <c r="H37" s="108"/>
      <c r="I37" s="108"/>
    </row>
    <row r="38" spans="2:9">
      <c r="B38" s="108"/>
      <c r="C38" s="108" t="s">
        <v>82</v>
      </c>
      <c r="D38" s="108"/>
      <c r="E38" s="108"/>
      <c r="F38" s="108"/>
      <c r="G38" s="108"/>
      <c r="H38" s="108"/>
      <c r="I38" s="108"/>
    </row>
    <row r="39" spans="2:9">
      <c r="B39" s="108"/>
      <c r="C39" s="108" t="s">
        <v>83</v>
      </c>
      <c r="D39" s="108"/>
      <c r="E39" s="108"/>
      <c r="F39" s="108"/>
      <c r="G39" s="108"/>
      <c r="H39" s="108"/>
      <c r="I39" s="108"/>
    </row>
    <row r="40" spans="2:9">
      <c r="B40" s="108"/>
      <c r="C40" s="108" t="s">
        <v>84</v>
      </c>
      <c r="D40" s="108"/>
      <c r="E40" s="108"/>
      <c r="F40" s="108"/>
      <c r="G40" s="108"/>
      <c r="H40" s="108"/>
      <c r="I40" s="108"/>
    </row>
    <row r="41" spans="2:9">
      <c r="B41" s="108"/>
      <c r="C41" s="108" t="s">
        <v>85</v>
      </c>
      <c r="D41" s="108"/>
      <c r="E41" s="108"/>
      <c r="F41" s="108"/>
      <c r="G41" s="108"/>
      <c r="H41" s="108"/>
      <c r="I41" s="108"/>
    </row>
    <row r="42" spans="2:9">
      <c r="B42" s="108"/>
      <c r="C42" s="108" t="s">
        <v>86</v>
      </c>
      <c r="D42" s="108"/>
      <c r="E42" s="108"/>
      <c r="F42" s="108"/>
      <c r="G42" s="108"/>
      <c r="H42" s="108"/>
      <c r="I42" s="108"/>
    </row>
    <row r="43" spans="2:9">
      <c r="B43" s="108"/>
      <c r="C43" s="108"/>
      <c r="D43" s="108"/>
      <c r="E43" s="108"/>
      <c r="F43" s="108"/>
      <c r="G43" s="108"/>
      <c r="H43" s="108"/>
      <c r="I43" s="108"/>
    </row>
  </sheetData>
  <mergeCells count="6">
    <mergeCell ref="D6:E6"/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B4F9-E6F6-2249-919A-0F8DAD5F5DC5}">
  <dimension ref="A1:I42"/>
  <sheetViews>
    <sheetView workbookViewId="0">
      <selection activeCell="B27" sqref="B27"/>
    </sheetView>
  </sheetViews>
  <sheetFormatPr defaultColWidth="11" defaultRowHeight="15.95"/>
  <cols>
    <col min="1" max="1" width="21.875" customWidth="1"/>
    <col min="2" max="3" width="14.5" customWidth="1"/>
    <col min="4" max="4" width="16" customWidth="1"/>
    <col min="5" max="5" width="15.625" customWidth="1"/>
    <col min="6" max="6" width="16" customWidth="1"/>
    <col min="7" max="7" width="21" customWidth="1"/>
    <col min="8" max="8" width="25" customWidth="1"/>
  </cols>
  <sheetData>
    <row r="1" spans="1:7">
      <c r="A1" s="138" t="s">
        <v>0</v>
      </c>
      <c r="B1" s="140" t="s">
        <v>1</v>
      </c>
      <c r="C1" s="141"/>
      <c r="D1" s="138" t="s">
        <v>2</v>
      </c>
      <c r="E1" s="138" t="s">
        <v>3</v>
      </c>
      <c r="F1" s="138" t="s">
        <v>4</v>
      </c>
    </row>
    <row r="2" spans="1:7">
      <c r="A2" s="139"/>
      <c r="B2" s="25" t="s">
        <v>5</v>
      </c>
      <c r="C2" s="25" t="s">
        <v>6</v>
      </c>
      <c r="D2" s="139"/>
      <c r="E2" s="139"/>
      <c r="F2" s="139"/>
    </row>
    <row r="3" spans="1:7">
      <c r="A3" s="26" t="s">
        <v>7</v>
      </c>
      <c r="B3" s="27">
        <v>2</v>
      </c>
      <c r="C3" s="27">
        <v>1</v>
      </c>
      <c r="D3" s="27">
        <v>3</v>
      </c>
      <c r="E3" s="27">
        <v>1</v>
      </c>
      <c r="F3" s="27">
        <v>1</v>
      </c>
    </row>
    <row r="5" spans="1:7">
      <c r="A5" s="76" t="s">
        <v>53</v>
      </c>
      <c r="B5" s="77">
        <v>7.0000000000000007E-2</v>
      </c>
    </row>
    <row r="6" spans="1:7">
      <c r="A6" s="76" t="s">
        <v>68</v>
      </c>
      <c r="B6" s="77">
        <v>0.11</v>
      </c>
    </row>
    <row r="10" spans="1:7">
      <c r="A10" s="67" t="s">
        <v>69</v>
      </c>
      <c r="B10" s="68" t="s">
        <v>70</v>
      </c>
      <c r="C10" s="68" t="s">
        <v>72</v>
      </c>
      <c r="D10" s="68" t="s">
        <v>73</v>
      </c>
      <c r="E10" s="68" t="s">
        <v>71</v>
      </c>
      <c r="F10" s="68" t="s">
        <v>74</v>
      </c>
      <c r="G10" s="73" t="s">
        <v>75</v>
      </c>
    </row>
    <row r="11" spans="1:7">
      <c r="A11" s="12">
        <v>0</v>
      </c>
      <c r="B11" s="13">
        <v>-3000000</v>
      </c>
      <c r="C11" s="13">
        <v>-3000000</v>
      </c>
      <c r="D11" s="13"/>
      <c r="E11" s="13"/>
      <c r="F11" s="13"/>
      <c r="G11" s="70">
        <v>-6000000</v>
      </c>
    </row>
    <row r="12" spans="1:7">
      <c r="A12" s="12">
        <v>1</v>
      </c>
      <c r="B12" s="13"/>
      <c r="C12" s="13">
        <v>-450320.31</v>
      </c>
      <c r="D12" s="13">
        <v>-6120000</v>
      </c>
      <c r="E12" s="13">
        <v>7560000</v>
      </c>
      <c r="F12" s="13">
        <v>0</v>
      </c>
      <c r="G12" s="70">
        <v>989679.69</v>
      </c>
    </row>
    <row r="13" spans="1:7">
      <c r="A13" s="12">
        <v>2</v>
      </c>
      <c r="B13" s="13"/>
      <c r="C13" s="13">
        <v>-450320.31</v>
      </c>
      <c r="D13" s="13">
        <v>-6120000</v>
      </c>
      <c r="E13" s="13">
        <v>7560000</v>
      </c>
      <c r="F13" s="13">
        <v>0</v>
      </c>
      <c r="G13" s="70">
        <v>989679.69</v>
      </c>
    </row>
    <row r="14" spans="1:7">
      <c r="A14" s="12">
        <v>3</v>
      </c>
      <c r="B14" s="13"/>
      <c r="C14" s="13">
        <v>-450320.31</v>
      </c>
      <c r="D14" s="13">
        <v>-6120000</v>
      </c>
      <c r="E14" s="13">
        <v>7560000</v>
      </c>
      <c r="F14" s="13">
        <v>0</v>
      </c>
      <c r="G14" s="70">
        <v>989679.69</v>
      </c>
    </row>
    <row r="15" spans="1:7">
      <c r="A15" s="12">
        <v>4</v>
      </c>
      <c r="B15" s="13"/>
      <c r="C15" s="13">
        <v>-450320.31</v>
      </c>
      <c r="D15" s="13">
        <v>-6120000</v>
      </c>
      <c r="E15" s="13">
        <v>7560000</v>
      </c>
      <c r="F15" s="13">
        <v>0</v>
      </c>
      <c r="G15" s="70">
        <v>989679.69</v>
      </c>
    </row>
    <row r="16" spans="1:7">
      <c r="A16" s="12">
        <v>5</v>
      </c>
      <c r="B16" s="13"/>
      <c r="C16" s="13">
        <v>-450320.31</v>
      </c>
      <c r="D16" s="13">
        <v>-6120000</v>
      </c>
      <c r="E16" s="13">
        <v>7560000</v>
      </c>
      <c r="F16" s="13">
        <v>0</v>
      </c>
      <c r="G16" s="70">
        <v>989679.69</v>
      </c>
    </row>
    <row r="17" spans="1:9">
      <c r="A17" s="12">
        <v>6</v>
      </c>
      <c r="B17" s="13"/>
      <c r="C17" s="13">
        <v>-450320.31</v>
      </c>
      <c r="D17" s="13">
        <v>-6120000</v>
      </c>
      <c r="E17" s="13">
        <v>7560000</v>
      </c>
      <c r="F17" s="13">
        <v>0</v>
      </c>
      <c r="G17" s="70">
        <v>989679.69</v>
      </c>
    </row>
    <row r="18" spans="1:9">
      <c r="A18" s="12">
        <v>7</v>
      </c>
      <c r="B18" s="13"/>
      <c r="C18" s="13">
        <v>-450320.31</v>
      </c>
      <c r="D18" s="13">
        <v>-6120000</v>
      </c>
      <c r="E18" s="13">
        <v>7560000</v>
      </c>
      <c r="F18" s="13">
        <v>0</v>
      </c>
      <c r="G18" s="70">
        <v>989679.69</v>
      </c>
    </row>
    <row r="19" spans="1:9">
      <c r="A19" s="12">
        <v>8</v>
      </c>
      <c r="B19" s="13"/>
      <c r="C19" s="13">
        <v>-450320.31</v>
      </c>
      <c r="D19" s="13">
        <v>-6120000</v>
      </c>
      <c r="E19" s="13">
        <v>7560000</v>
      </c>
      <c r="F19" s="13">
        <v>0</v>
      </c>
      <c r="G19" s="70">
        <v>989679.69</v>
      </c>
    </row>
    <row r="20" spans="1:9">
      <c r="A20" s="12">
        <v>9</v>
      </c>
      <c r="B20" s="13"/>
      <c r="C20" s="13">
        <v>-450320.31</v>
      </c>
      <c r="D20" s="13">
        <v>-6120000</v>
      </c>
      <c r="E20" s="13">
        <v>7560000</v>
      </c>
      <c r="F20" s="13">
        <v>0</v>
      </c>
      <c r="G20" s="70">
        <v>989679.69</v>
      </c>
    </row>
    <row r="21" spans="1:9">
      <c r="A21" s="12">
        <v>10</v>
      </c>
      <c r="B21" s="13"/>
      <c r="C21" s="13">
        <v>-450320.31</v>
      </c>
      <c r="D21" s="13">
        <v>-6120000</v>
      </c>
      <c r="E21" s="13">
        <v>7560000</v>
      </c>
      <c r="F21" s="13">
        <v>0</v>
      </c>
      <c r="G21" s="70">
        <v>989679.69</v>
      </c>
    </row>
    <row r="24" spans="1:9">
      <c r="A24" s="74" t="s">
        <v>87</v>
      </c>
      <c r="B24" s="105">
        <f>NPV(B6,G12:G21)+G11</f>
        <v>-171546.68887569383</v>
      </c>
    </row>
    <row r="25" spans="1:9">
      <c r="A25" s="75" t="s">
        <v>88</v>
      </c>
      <c r="B25" s="107">
        <f>NPER(B6,G12,G11)</f>
        <v>10.533342633021251</v>
      </c>
    </row>
    <row r="26" spans="1:9">
      <c r="A26" s="75" t="s">
        <v>89</v>
      </c>
      <c r="B26" s="106">
        <f>IRR(G11:G21)</f>
        <v>0.10313931255839837</v>
      </c>
    </row>
    <row r="28" spans="1:9" ht="24">
      <c r="C28" s="111"/>
      <c r="D28" s="120" t="s">
        <v>90</v>
      </c>
      <c r="E28" s="108"/>
      <c r="F28" s="108"/>
      <c r="G28" s="108"/>
      <c r="H28" s="108"/>
      <c r="I28" s="108"/>
    </row>
    <row r="29" spans="1:9">
      <c r="C29" s="108" t="s">
        <v>91</v>
      </c>
      <c r="D29" s="108"/>
      <c r="E29" s="108"/>
      <c r="F29" s="108"/>
      <c r="G29" s="108"/>
      <c r="H29" s="108"/>
      <c r="I29" s="108"/>
    </row>
    <row r="30" spans="1:9">
      <c r="C30" s="108" t="s">
        <v>92</v>
      </c>
      <c r="D30" s="108"/>
      <c r="E30" s="112"/>
      <c r="F30" s="113"/>
      <c r="G30" s="108"/>
      <c r="H30" s="113"/>
      <c r="I30" s="115"/>
    </row>
    <row r="31" spans="1:9">
      <c r="C31" s="108" t="s">
        <v>93</v>
      </c>
      <c r="D31" s="108"/>
      <c r="E31" s="108"/>
      <c r="F31" s="114"/>
      <c r="G31" s="115"/>
      <c r="H31" s="114"/>
      <c r="I31" s="115"/>
    </row>
    <row r="32" spans="1:9">
      <c r="C32" s="108"/>
      <c r="D32" s="108"/>
      <c r="E32" s="108"/>
      <c r="F32" s="114"/>
      <c r="G32" s="115"/>
      <c r="H32" s="114"/>
      <c r="I32" s="115"/>
    </row>
    <row r="33" spans="6:9">
      <c r="F33" s="81"/>
      <c r="H33" s="117"/>
      <c r="I33" s="115"/>
    </row>
    <row r="34" spans="6:9">
      <c r="F34" s="83"/>
      <c r="G34" s="80"/>
      <c r="H34" s="84"/>
      <c r="I34" s="80"/>
    </row>
    <row r="35" spans="6:9">
      <c r="F35" s="79"/>
      <c r="G35" s="80"/>
      <c r="H35" s="83"/>
      <c r="I35" s="80"/>
    </row>
    <row r="36" spans="6:9">
      <c r="F36" s="79"/>
      <c r="G36" s="80"/>
      <c r="H36" s="84"/>
      <c r="I36" s="80"/>
    </row>
    <row r="37" spans="6:9">
      <c r="F37" s="81"/>
      <c r="H37" s="83"/>
      <c r="I37" s="80"/>
    </row>
    <row r="38" spans="6:9">
      <c r="F38" s="79"/>
      <c r="G38" s="80"/>
      <c r="H38" s="79"/>
      <c r="I38" s="80"/>
    </row>
    <row r="39" spans="6:9">
      <c r="F39" s="79"/>
      <c r="G39" s="80"/>
      <c r="H39" s="81"/>
    </row>
    <row r="40" spans="6:9">
      <c r="F40" s="84"/>
      <c r="G40" s="80"/>
      <c r="H40" s="84"/>
      <c r="I40" s="86"/>
    </row>
    <row r="41" spans="6:9">
      <c r="F41" s="83"/>
      <c r="G41" s="80"/>
      <c r="H41" s="83"/>
      <c r="I41" s="85"/>
    </row>
    <row r="42" spans="6:9">
      <c r="F42" s="82"/>
      <c r="H42" s="82"/>
    </row>
  </sheetData>
  <mergeCells count="5">
    <mergeCell ref="A1:A2"/>
    <mergeCell ref="B1:C1"/>
    <mergeCell ref="D1:D2"/>
    <mergeCell ref="E1:E2"/>
    <mergeCell ref="F1:F2"/>
  </mergeCells>
  <conditionalFormatting sqref="B24">
    <cfRule type="cellIs" dxfId="0" priority="1" operator="lessThan">
      <formula>"($1,71,546.69)"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0675-8287-2E4E-B1A0-5EC7FEC0CB2A}">
  <dimension ref="A3:E15"/>
  <sheetViews>
    <sheetView workbookViewId="0">
      <selection activeCell="B18" sqref="B18"/>
    </sheetView>
  </sheetViews>
  <sheetFormatPr defaultColWidth="11" defaultRowHeight="15.95"/>
  <cols>
    <col min="1" max="1" width="23" customWidth="1"/>
    <col min="2" max="2" width="20.125" customWidth="1"/>
    <col min="3" max="3" width="21.875" customWidth="1"/>
  </cols>
  <sheetData>
    <row r="3" spans="1:5">
      <c r="A3" s="144" t="s">
        <v>94</v>
      </c>
      <c r="B3" s="144"/>
      <c r="C3" s="144"/>
    </row>
    <row r="4" spans="1:5">
      <c r="A4" s="89" t="s">
        <v>95</v>
      </c>
      <c r="B4" s="90" t="s">
        <v>96</v>
      </c>
      <c r="C4" s="90" t="s">
        <v>97</v>
      </c>
    </row>
    <row r="5" spans="1:5">
      <c r="A5" s="87">
        <v>0.08</v>
      </c>
      <c r="B5" s="88">
        <v>0.2</v>
      </c>
      <c r="C5" s="88">
        <f>A5+B5*(1-A5)</f>
        <v>0.26400000000000001</v>
      </c>
    </row>
    <row r="10" spans="1:5" ht="24">
      <c r="B10" s="120" t="s">
        <v>98</v>
      </c>
      <c r="C10" s="108"/>
      <c r="D10" s="108"/>
      <c r="E10" s="108"/>
    </row>
    <row r="11" spans="1:5">
      <c r="B11" s="108"/>
      <c r="C11" s="108"/>
      <c r="D11" s="108"/>
      <c r="E11" s="108"/>
    </row>
    <row r="12" spans="1:5">
      <c r="B12" s="108" t="s">
        <v>99</v>
      </c>
      <c r="C12" s="108"/>
      <c r="D12" s="108"/>
      <c r="E12" s="108"/>
    </row>
    <row r="13" spans="1:5">
      <c r="B13" s="108" t="s">
        <v>100</v>
      </c>
      <c r="C13" s="108"/>
      <c r="D13" s="108"/>
      <c r="E13" s="108"/>
    </row>
    <row r="14" spans="1:5">
      <c r="B14" s="108" t="s">
        <v>101</v>
      </c>
      <c r="C14" s="108"/>
      <c r="D14" s="108"/>
      <c r="E14" s="108"/>
    </row>
    <row r="15" spans="1:5">
      <c r="B15" s="108" t="s">
        <v>102</v>
      </c>
      <c r="C15" s="108"/>
      <c r="D15" s="108"/>
      <c r="E15" s="108"/>
    </row>
  </sheetData>
  <mergeCells count="1"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B869-AAFB-814B-9125-3CF4C26D6644}">
  <dimension ref="A1:N48"/>
  <sheetViews>
    <sheetView topLeftCell="B16" zoomScale="107" workbookViewId="0">
      <selection activeCell="I24" sqref="I24"/>
    </sheetView>
  </sheetViews>
  <sheetFormatPr defaultColWidth="11" defaultRowHeight="15.95"/>
  <cols>
    <col min="1" max="1" width="20" customWidth="1"/>
    <col min="2" max="2" width="15" customWidth="1"/>
    <col min="3" max="3" width="17" customWidth="1"/>
    <col min="4" max="4" width="18.875" customWidth="1"/>
    <col min="5" max="5" width="19.5" customWidth="1"/>
    <col min="6" max="6" width="16.625" customWidth="1"/>
    <col min="7" max="7" width="23.625" customWidth="1"/>
    <col min="8" max="8" width="15.875" customWidth="1"/>
    <col min="9" max="9" width="16.5" customWidth="1"/>
    <col min="10" max="10" width="18.125" customWidth="1"/>
    <col min="11" max="11" width="16.875" customWidth="1"/>
    <col min="12" max="12" width="15.125" customWidth="1"/>
    <col min="13" max="13" width="16.875" customWidth="1"/>
    <col min="14" max="14" width="22.5" customWidth="1"/>
  </cols>
  <sheetData>
    <row r="1" spans="1:6">
      <c r="A1" s="138" t="s">
        <v>0</v>
      </c>
      <c r="B1" s="140" t="s">
        <v>1</v>
      </c>
      <c r="C1" s="141"/>
      <c r="D1" s="138" t="s">
        <v>2</v>
      </c>
      <c r="E1" s="138" t="s">
        <v>3</v>
      </c>
      <c r="F1" s="138" t="s">
        <v>4</v>
      </c>
    </row>
    <row r="2" spans="1:6">
      <c r="A2" s="139"/>
      <c r="B2" s="25" t="s">
        <v>5</v>
      </c>
      <c r="C2" s="25" t="s">
        <v>6</v>
      </c>
      <c r="D2" s="139"/>
      <c r="E2" s="139"/>
      <c r="F2" s="139"/>
    </row>
    <row r="3" spans="1:6">
      <c r="A3" s="26" t="s">
        <v>7</v>
      </c>
      <c r="B3" s="27">
        <v>2</v>
      </c>
      <c r="C3" s="27">
        <v>1</v>
      </c>
      <c r="D3" s="27">
        <v>3</v>
      </c>
      <c r="E3" s="27">
        <v>1</v>
      </c>
      <c r="F3" s="27">
        <v>1</v>
      </c>
    </row>
    <row r="6" spans="1:6">
      <c r="A6" s="110" t="s">
        <v>60</v>
      </c>
    </row>
    <row r="7" spans="1:6">
      <c r="A7" s="93" t="s">
        <v>61</v>
      </c>
      <c r="B7" s="94">
        <v>20</v>
      </c>
      <c r="D7" s="142" t="s">
        <v>25</v>
      </c>
      <c r="E7" s="143"/>
    </row>
    <row r="8" spans="1:6">
      <c r="A8" s="95" t="s">
        <v>62</v>
      </c>
      <c r="B8" s="96">
        <v>300000</v>
      </c>
      <c r="D8" s="4" t="s">
        <v>27</v>
      </c>
      <c r="E8" s="9">
        <v>0.08</v>
      </c>
    </row>
    <row r="9" spans="1:6">
      <c r="A9" s="95" t="s">
        <v>63</v>
      </c>
      <c r="B9" s="96">
        <v>170</v>
      </c>
      <c r="D9" s="4" t="s">
        <v>29</v>
      </c>
      <c r="E9" s="9" t="s">
        <v>30</v>
      </c>
    </row>
    <row r="10" spans="1:6">
      <c r="A10" s="95" t="s">
        <v>64</v>
      </c>
      <c r="B10" s="96">
        <v>210</v>
      </c>
      <c r="D10" s="4" t="s">
        <v>32</v>
      </c>
      <c r="E10" s="9" t="s">
        <v>33</v>
      </c>
    </row>
    <row r="11" spans="1:6">
      <c r="A11" s="95" t="s">
        <v>65</v>
      </c>
      <c r="B11" s="96">
        <v>1800</v>
      </c>
      <c r="D11" s="4" t="s">
        <v>34</v>
      </c>
      <c r="E11" s="5">
        <v>4000000</v>
      </c>
    </row>
    <row r="12" spans="1:6">
      <c r="A12" s="95" t="s">
        <v>66</v>
      </c>
      <c r="B12" s="96">
        <v>10</v>
      </c>
      <c r="D12" s="4" t="s">
        <v>103</v>
      </c>
      <c r="E12" s="10">
        <v>8.1600000000000006E-2</v>
      </c>
    </row>
    <row r="13" spans="1:6">
      <c r="A13" s="95" t="s">
        <v>67</v>
      </c>
      <c r="B13" s="96">
        <v>7</v>
      </c>
    </row>
    <row r="15" spans="1:6">
      <c r="A15" s="76" t="s">
        <v>53</v>
      </c>
      <c r="B15" s="77">
        <v>7.0000000000000007E-2</v>
      </c>
    </row>
    <row r="16" spans="1:6">
      <c r="A16" s="76" t="s">
        <v>68</v>
      </c>
      <c r="B16" s="77">
        <v>0.11</v>
      </c>
    </row>
    <row r="17" spans="1:14">
      <c r="A17" s="76" t="s">
        <v>104</v>
      </c>
      <c r="B17" s="97">
        <v>0.26400000000000001</v>
      </c>
    </row>
    <row r="20" spans="1:14">
      <c r="A20" s="67" t="s">
        <v>69</v>
      </c>
      <c r="B20" s="68" t="s">
        <v>70</v>
      </c>
      <c r="C20" s="68" t="s">
        <v>71</v>
      </c>
      <c r="D20" s="68" t="s">
        <v>72</v>
      </c>
      <c r="E20" s="68" t="s">
        <v>73</v>
      </c>
      <c r="F20" s="68" t="s">
        <v>74</v>
      </c>
      <c r="G20" s="67" t="s">
        <v>75</v>
      </c>
      <c r="H20" s="67" t="s">
        <v>105</v>
      </c>
      <c r="I20" s="68" t="s">
        <v>106</v>
      </c>
      <c r="J20" s="69" t="s">
        <v>76</v>
      </c>
      <c r="K20" s="68" t="s">
        <v>77</v>
      </c>
      <c r="L20" s="68" t="s">
        <v>78</v>
      </c>
      <c r="M20" s="68" t="s">
        <v>107</v>
      </c>
      <c r="N20" s="73" t="s">
        <v>108</v>
      </c>
    </row>
    <row r="21" spans="1:14">
      <c r="A21" s="12">
        <v>0</v>
      </c>
      <c r="B21" s="13">
        <v>-3000000</v>
      </c>
      <c r="C21" s="13"/>
      <c r="D21" s="13">
        <v>-3000000</v>
      </c>
      <c r="E21" s="13"/>
      <c r="F21" s="13"/>
      <c r="G21" s="14">
        <f>SUM(B21:F21)</f>
        <v>-6000000</v>
      </c>
      <c r="H21" s="15">
        <v>-3000000</v>
      </c>
      <c r="I21" s="13"/>
      <c r="J21" s="9"/>
      <c r="K21" s="13"/>
      <c r="L21" s="13"/>
      <c r="M21" s="2"/>
      <c r="N21" s="98">
        <f>G21-H21-I21-M21</f>
        <v>-3000000</v>
      </c>
    </row>
    <row r="22" spans="1:14">
      <c r="A22" s="12">
        <v>1</v>
      </c>
      <c r="B22" s="13"/>
      <c r="C22" s="13">
        <v>7560000</v>
      </c>
      <c r="D22" s="13">
        <v>-450320.31</v>
      </c>
      <c r="E22" s="13">
        <v>-6120000</v>
      </c>
      <c r="F22" s="13">
        <v>0</v>
      </c>
      <c r="G22" s="14">
        <f t="shared" ref="G22:G31" si="0">SUM(B22:F22)</f>
        <v>989679.69000000041</v>
      </c>
      <c r="H22" s="15">
        <f>PPMT(E12,A22,10,D21)</f>
        <v>205520.31201120876</v>
      </c>
      <c r="I22" s="16">
        <f>IPMT(E12,A22,10,D21)</f>
        <v>244800.00000000003</v>
      </c>
      <c r="J22" s="9">
        <v>0.1429</v>
      </c>
      <c r="K22" s="13">
        <f>-G21*J22</f>
        <v>857400</v>
      </c>
      <c r="L22" s="13">
        <f>G22-I22-K22</f>
        <v>-112520.30999999959</v>
      </c>
      <c r="M22" s="13">
        <f>L22*B17</f>
        <v>-29705.361839999892</v>
      </c>
      <c r="N22" s="98">
        <f t="shared" ref="N22:N31" si="1">G22-H22-I22-M22</f>
        <v>569064.73982879159</v>
      </c>
    </row>
    <row r="23" spans="1:14">
      <c r="A23" s="12">
        <v>2</v>
      </c>
      <c r="B23" s="13"/>
      <c r="C23" s="13">
        <v>7560000</v>
      </c>
      <c r="D23" s="13">
        <v>-450320.31</v>
      </c>
      <c r="E23" s="13">
        <v>-6120000</v>
      </c>
      <c r="F23" s="13">
        <v>0</v>
      </c>
      <c r="G23" s="14">
        <f t="shared" si="0"/>
        <v>989679.69000000041</v>
      </c>
      <c r="H23" s="15">
        <f>PPMT(E12,A23,10,D21)</f>
        <v>222290.76947132338</v>
      </c>
      <c r="I23" s="15">
        <f>IPMT(E12,A23,10,D21)</f>
        <v>228029.54253988541</v>
      </c>
      <c r="J23" s="9">
        <v>0.24490000000000001</v>
      </c>
      <c r="K23" s="13">
        <f>-G21*J23</f>
        <v>1469400</v>
      </c>
      <c r="L23" s="13">
        <f>G23-I23-K23</f>
        <v>-707749.85253988497</v>
      </c>
      <c r="M23" s="13">
        <f>L23*B17</f>
        <v>-186845.96107052965</v>
      </c>
      <c r="N23" s="98">
        <f t="shared" si="1"/>
        <v>726205.33905932133</v>
      </c>
    </row>
    <row r="24" spans="1:14">
      <c r="A24" s="12">
        <v>3</v>
      </c>
      <c r="B24" s="13"/>
      <c r="C24" s="13">
        <v>7560000</v>
      </c>
      <c r="D24" s="13">
        <v>-450320.31</v>
      </c>
      <c r="E24" s="13">
        <v>-6120000</v>
      </c>
      <c r="F24" s="13">
        <v>0</v>
      </c>
      <c r="G24" s="14">
        <f t="shared" si="0"/>
        <v>989679.69000000041</v>
      </c>
      <c r="H24" s="15">
        <f>PPMT(E12,A24,10,D21)</f>
        <v>240429.69626018338</v>
      </c>
      <c r="I24" s="15">
        <f>IPMT(E12,A24,10,D21)</f>
        <v>209890.61575102535</v>
      </c>
      <c r="J24" s="9">
        <v>0.1749</v>
      </c>
      <c r="K24" s="13">
        <f>-G21*J24</f>
        <v>1049400</v>
      </c>
      <c r="L24" s="13">
        <f>G24-I24-K24</f>
        <v>-269610.92575102497</v>
      </c>
      <c r="M24" s="13">
        <f>L24*B17</f>
        <v>-71177.284398270596</v>
      </c>
      <c r="N24" s="98">
        <f>G24-H24-I24-M24</f>
        <v>610536.66238706233</v>
      </c>
    </row>
    <row r="25" spans="1:14">
      <c r="A25" s="12">
        <v>4</v>
      </c>
      <c r="B25" s="13"/>
      <c r="C25" s="13">
        <v>7560000</v>
      </c>
      <c r="D25" s="13">
        <v>-450320.31</v>
      </c>
      <c r="E25" s="13">
        <v>-6120000</v>
      </c>
      <c r="F25" s="13">
        <v>0</v>
      </c>
      <c r="G25" s="14">
        <f t="shared" si="0"/>
        <v>989679.69000000041</v>
      </c>
      <c r="H25" s="15">
        <f>PPMT(E12,A25,10,D21)</f>
        <v>260048.75947501432</v>
      </c>
      <c r="I25" s="15">
        <f>IPMT(E12,A25,10,D21)</f>
        <v>190271.55253619442</v>
      </c>
      <c r="J25" s="9">
        <v>0.1249</v>
      </c>
      <c r="K25" s="13">
        <f>-G21*J25</f>
        <v>749400</v>
      </c>
      <c r="L25" s="13">
        <f t="shared" ref="L23:L31" si="2">G25-I25-K25</f>
        <v>50008.137463805964</v>
      </c>
      <c r="M25" s="13">
        <f>L25*B17</f>
        <v>13202.148290444775</v>
      </c>
      <c r="N25" s="98">
        <f>G25-H25-I25-M25</f>
        <v>526157.22969834693</v>
      </c>
    </row>
    <row r="26" spans="1:14">
      <c r="A26" s="12">
        <v>5</v>
      </c>
      <c r="B26" s="13"/>
      <c r="C26" s="13">
        <v>7560000</v>
      </c>
      <c r="D26" s="13">
        <v>-450320.31</v>
      </c>
      <c r="E26" s="13">
        <v>-6120000</v>
      </c>
      <c r="F26" s="13">
        <v>0</v>
      </c>
      <c r="G26" s="14">
        <f t="shared" si="0"/>
        <v>989679.69000000041</v>
      </c>
      <c r="H26" s="15">
        <f>PPMT(E12,A26,10,D21)</f>
        <v>281268.73824817553</v>
      </c>
      <c r="I26" s="15">
        <f>IPMT(E12,A26,10,D21)</f>
        <v>169051.57376303326</v>
      </c>
      <c r="J26" s="9">
        <v>8.9300000000000004E-2</v>
      </c>
      <c r="K26" s="13">
        <f>-G21*J26</f>
        <v>535800</v>
      </c>
      <c r="L26" s="13">
        <f t="shared" si="2"/>
        <v>284828.11623696715</v>
      </c>
      <c r="M26" s="13">
        <f>L26*B17</f>
        <v>75194.622686559334</v>
      </c>
      <c r="N26" s="98">
        <f t="shared" si="1"/>
        <v>464164.75530223234</v>
      </c>
    </row>
    <row r="27" spans="1:14">
      <c r="A27" s="12">
        <v>6</v>
      </c>
      <c r="B27" s="13"/>
      <c r="C27" s="13">
        <v>7560000</v>
      </c>
      <c r="D27" s="13">
        <v>-450320.31</v>
      </c>
      <c r="E27" s="13">
        <v>-6120000</v>
      </c>
      <c r="F27" s="13">
        <v>0</v>
      </c>
      <c r="G27" s="14">
        <f t="shared" si="0"/>
        <v>989679.69000000041</v>
      </c>
      <c r="H27" s="15">
        <f>PPMT(E12,A27,10,D21)</f>
        <v>304220.2672892267</v>
      </c>
      <c r="I27" s="15">
        <f>IPMT(E12,A27,10,D21)</f>
        <v>146100.04472198215</v>
      </c>
      <c r="J27" s="9">
        <v>8.9200000000000002E-2</v>
      </c>
      <c r="K27" s="13">
        <f>-G21*J27</f>
        <v>535200</v>
      </c>
      <c r="L27" s="13">
        <f>G27-I27-K27</f>
        <v>308379.6452780182</v>
      </c>
      <c r="M27" s="13">
        <f>L27*B17</f>
        <v>81412.226353396807</v>
      </c>
      <c r="N27" s="98">
        <f t="shared" si="1"/>
        <v>457947.15163539478</v>
      </c>
    </row>
    <row r="28" spans="1:14">
      <c r="A28" s="12">
        <v>7</v>
      </c>
      <c r="B28" s="13"/>
      <c r="C28" s="13">
        <v>7560000</v>
      </c>
      <c r="D28" s="13">
        <v>-450320.31</v>
      </c>
      <c r="E28" s="13">
        <v>-6120000</v>
      </c>
      <c r="F28" s="13">
        <v>0</v>
      </c>
      <c r="G28" s="14">
        <f t="shared" si="0"/>
        <v>989679.69000000041</v>
      </c>
      <c r="H28" s="15">
        <f>PPMT(E12,A28,10,D21)</f>
        <v>329044.64110002754</v>
      </c>
      <c r="I28" s="15">
        <f>IPMT(E12,A28,10,D21)</f>
        <v>121275.67091118124</v>
      </c>
      <c r="J28" s="9">
        <v>8.9300000000000004E-2</v>
      </c>
      <c r="K28" s="13">
        <f>-G21*J28</f>
        <v>535800</v>
      </c>
      <c r="L28" s="13">
        <f t="shared" si="2"/>
        <v>332604.01908881916</v>
      </c>
      <c r="M28" s="13">
        <f>L28*B17</f>
        <v>87807.461039448259</v>
      </c>
      <c r="N28" s="98">
        <f>G28-H28-I28-M28</f>
        <v>451551.91694934329</v>
      </c>
    </row>
    <row r="29" spans="1:14">
      <c r="A29" s="12">
        <v>8</v>
      </c>
      <c r="B29" s="13"/>
      <c r="C29" s="13">
        <v>7560000</v>
      </c>
      <c r="D29" s="13">
        <v>-450320.31</v>
      </c>
      <c r="E29" s="13">
        <v>-6120000</v>
      </c>
      <c r="F29" s="13">
        <v>0</v>
      </c>
      <c r="G29" s="14">
        <f t="shared" si="0"/>
        <v>989679.69000000041</v>
      </c>
      <c r="H29" s="15">
        <f>PPMT(E12,A29,10,D21)</f>
        <v>355894.68381378986</v>
      </c>
      <c r="I29" s="15">
        <f>IPMT(E12,A29,10,D21)</f>
        <v>94425.628197418977</v>
      </c>
      <c r="J29" s="9">
        <v>4.4600000000000001E-2</v>
      </c>
      <c r="K29" s="13">
        <f>-G21*J29</f>
        <v>267600</v>
      </c>
      <c r="L29" s="13">
        <f t="shared" si="2"/>
        <v>627654.06180258142</v>
      </c>
      <c r="M29" s="13">
        <f>L29*B17</f>
        <v>165700.6723158815</v>
      </c>
      <c r="N29" s="98">
        <f t="shared" si="1"/>
        <v>373658.70567291009</v>
      </c>
    </row>
    <row r="30" spans="1:14">
      <c r="A30" s="12">
        <v>9</v>
      </c>
      <c r="B30" s="13"/>
      <c r="C30" s="13">
        <v>7560000</v>
      </c>
      <c r="D30" s="13">
        <v>-450320.31</v>
      </c>
      <c r="E30" s="13">
        <v>-6120000</v>
      </c>
      <c r="F30" s="13">
        <v>0</v>
      </c>
      <c r="G30" s="14">
        <f t="shared" si="0"/>
        <v>989679.69000000041</v>
      </c>
      <c r="H30" s="15">
        <f>PPMT(E12,A30,10,D21)</f>
        <v>384935.69001299504</v>
      </c>
      <c r="I30" s="15">
        <f>IPMT(E12,A30,10,D21)</f>
        <v>65384.621998213734</v>
      </c>
      <c r="J30" s="9">
        <v>0</v>
      </c>
      <c r="K30" s="13">
        <f>-G21*J30</f>
        <v>0</v>
      </c>
      <c r="L30" s="13">
        <f t="shared" si="2"/>
        <v>924295.06800178671</v>
      </c>
      <c r="M30" s="13">
        <f>L30*B17</f>
        <v>244013.89795247171</v>
      </c>
      <c r="N30" s="98">
        <f t="shared" si="1"/>
        <v>295345.48003631993</v>
      </c>
    </row>
    <row r="31" spans="1:14">
      <c r="A31" s="12">
        <v>10</v>
      </c>
      <c r="B31" s="13"/>
      <c r="C31" s="13">
        <v>7560000</v>
      </c>
      <c r="D31" s="13">
        <v>-450320.31</v>
      </c>
      <c r="E31" s="13">
        <v>-6120000</v>
      </c>
      <c r="F31" s="13">
        <v>0</v>
      </c>
      <c r="G31" s="14">
        <f t="shared" si="0"/>
        <v>989679.69000000041</v>
      </c>
      <c r="H31" s="15">
        <f>PPMT(E12,A31,10,D21)</f>
        <v>416346.44231805543</v>
      </c>
      <c r="I31" s="15">
        <f>IPMT(E12,A31,10,D21)</f>
        <v>33973.869693153327</v>
      </c>
      <c r="J31" s="9">
        <v>0</v>
      </c>
      <c r="K31" s="13">
        <f>-G21*J31</f>
        <v>0</v>
      </c>
      <c r="L31" s="13">
        <f t="shared" si="2"/>
        <v>955705.8203068471</v>
      </c>
      <c r="M31" s="13">
        <f>L31*B17</f>
        <v>252306.33656100766</v>
      </c>
      <c r="N31" s="98">
        <f t="shared" si="1"/>
        <v>287053.04142778402</v>
      </c>
    </row>
    <row r="33" spans="1:8">
      <c r="A33" s="74" t="s">
        <v>87</v>
      </c>
      <c r="B33" s="105">
        <f>NPV(B16,N22:N31)+N21</f>
        <v>11574.811361273751</v>
      </c>
    </row>
    <row r="34" spans="1:8">
      <c r="A34" s="75" t="s">
        <v>109</v>
      </c>
      <c r="B34" s="105">
        <f>PMT(B16,10,-B33)</f>
        <v>1965.4194875285275</v>
      </c>
    </row>
    <row r="35" spans="1:8">
      <c r="A35" s="75" t="s">
        <v>89</v>
      </c>
      <c r="B35" s="106">
        <f>IRR(N21:N31)</f>
        <v>0.11106229928449429</v>
      </c>
    </row>
    <row r="37" spans="1:8" ht="24">
      <c r="C37" s="108"/>
      <c r="D37" s="108"/>
      <c r="E37" s="120" t="s">
        <v>110</v>
      </c>
      <c r="F37" s="108"/>
      <c r="G37" s="108"/>
      <c r="H37" s="108"/>
    </row>
    <row r="38" spans="1:8">
      <c r="C38" s="108"/>
      <c r="D38" s="108"/>
      <c r="E38" s="108"/>
      <c r="F38" s="108"/>
      <c r="G38" s="108"/>
      <c r="H38" s="108"/>
    </row>
    <row r="39" spans="1:8">
      <c r="C39" s="108"/>
      <c r="D39" s="108"/>
      <c r="E39" s="108"/>
      <c r="F39" s="108"/>
      <c r="G39" s="108"/>
      <c r="H39" s="108"/>
    </row>
    <row r="40" spans="1:8">
      <c r="C40" s="108"/>
      <c r="D40" s="108"/>
      <c r="E40" s="108"/>
      <c r="F40" s="108"/>
      <c r="G40" s="108"/>
      <c r="H40" s="108"/>
    </row>
    <row r="41" spans="1:8">
      <c r="C41" s="108"/>
      <c r="D41" s="108" t="s">
        <v>111</v>
      </c>
      <c r="E41" s="108"/>
      <c r="F41" s="108"/>
      <c r="G41" s="108"/>
      <c r="H41" s="108"/>
    </row>
    <row r="42" spans="1:8">
      <c r="C42" s="108"/>
      <c r="D42" s="108" t="s">
        <v>112</v>
      </c>
      <c r="E42" s="108"/>
      <c r="F42" s="108"/>
      <c r="G42" s="108"/>
      <c r="H42" s="108"/>
    </row>
    <row r="43" spans="1:8">
      <c r="C43" s="108"/>
      <c r="D43" s="108" t="s">
        <v>113</v>
      </c>
      <c r="E43" s="108"/>
      <c r="F43" s="108"/>
      <c r="G43" s="108"/>
      <c r="H43" s="108"/>
    </row>
    <row r="44" spans="1:8">
      <c r="C44" s="108"/>
      <c r="D44" s="108" t="s">
        <v>114</v>
      </c>
      <c r="E44" s="108"/>
      <c r="F44" s="108"/>
      <c r="G44" s="108"/>
      <c r="H44" s="108"/>
    </row>
    <row r="45" spans="1:8">
      <c r="C45" s="108"/>
      <c r="D45" s="108" t="s">
        <v>115</v>
      </c>
      <c r="E45" s="108"/>
      <c r="F45" s="108"/>
      <c r="G45" s="108"/>
      <c r="H45" s="108"/>
    </row>
    <row r="46" spans="1:8">
      <c r="C46" s="108"/>
      <c r="D46" s="108" t="s">
        <v>116</v>
      </c>
      <c r="E46" s="108"/>
      <c r="F46" s="108"/>
      <c r="G46" s="108"/>
      <c r="H46" s="108"/>
    </row>
    <row r="47" spans="1:8">
      <c r="C47" s="108"/>
      <c r="D47" s="108" t="s">
        <v>117</v>
      </c>
      <c r="E47" s="108"/>
      <c r="F47" s="108"/>
      <c r="G47" s="108"/>
      <c r="H47" s="108"/>
    </row>
    <row r="48" spans="1:8">
      <c r="C48" s="108"/>
      <c r="D48" s="108"/>
      <c r="E48" s="108"/>
      <c r="F48" s="108"/>
      <c r="G48" s="108"/>
      <c r="H48" s="108"/>
    </row>
  </sheetData>
  <mergeCells count="6">
    <mergeCell ref="D7:E7"/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82D6-A5E4-634C-A63F-81E8C081C80A}">
  <dimension ref="A2:O41"/>
  <sheetViews>
    <sheetView tabSelected="1" topLeftCell="A23" workbookViewId="0">
      <selection activeCell="E45" sqref="E45"/>
    </sheetView>
  </sheetViews>
  <sheetFormatPr defaultColWidth="11" defaultRowHeight="15.95"/>
  <cols>
    <col min="1" max="1" width="20.5" customWidth="1"/>
    <col min="2" max="3" width="17.5" customWidth="1"/>
    <col min="4" max="4" width="16.875" customWidth="1"/>
    <col min="5" max="5" width="17" customWidth="1"/>
    <col min="7" max="7" width="18.5" customWidth="1"/>
    <col min="8" max="8" width="14.125" customWidth="1"/>
    <col min="9" max="9" width="15" customWidth="1"/>
    <col min="10" max="10" width="14.625" customWidth="1"/>
    <col min="11" max="11" width="16.5" customWidth="1"/>
    <col min="12" max="12" width="14.375" customWidth="1"/>
    <col min="13" max="13" width="14" customWidth="1"/>
    <col min="14" max="14" width="14.125" customWidth="1"/>
    <col min="15" max="15" width="18.375" customWidth="1"/>
  </cols>
  <sheetData>
    <row r="2" spans="1:8">
      <c r="A2" s="138" t="s">
        <v>0</v>
      </c>
      <c r="B2" s="140" t="s">
        <v>1</v>
      </c>
      <c r="C2" s="141"/>
      <c r="D2" s="138" t="s">
        <v>2</v>
      </c>
      <c r="E2" s="138" t="s">
        <v>3</v>
      </c>
      <c r="F2" s="138" t="s">
        <v>4</v>
      </c>
    </row>
    <row r="3" spans="1:8">
      <c r="A3" s="139"/>
      <c r="B3" s="25" t="s">
        <v>5</v>
      </c>
      <c r="C3" s="25" t="s">
        <v>6</v>
      </c>
      <c r="D3" s="139"/>
      <c r="E3" s="139"/>
      <c r="F3" s="139"/>
    </row>
    <row r="4" spans="1:8">
      <c r="A4" s="26" t="s">
        <v>7</v>
      </c>
      <c r="B4" s="27">
        <v>2</v>
      </c>
      <c r="C4" s="27">
        <v>1</v>
      </c>
      <c r="D4" s="27">
        <v>3</v>
      </c>
      <c r="E4" s="27">
        <v>1</v>
      </c>
      <c r="F4" s="27">
        <v>1</v>
      </c>
    </row>
    <row r="7" spans="1:8">
      <c r="A7" s="110" t="s">
        <v>60</v>
      </c>
    </row>
    <row r="8" spans="1:8">
      <c r="A8" s="104" t="s">
        <v>61</v>
      </c>
      <c r="B8" s="65">
        <v>20</v>
      </c>
      <c r="D8" s="142" t="s">
        <v>25</v>
      </c>
      <c r="E8" s="145"/>
      <c r="G8" s="101" t="s">
        <v>53</v>
      </c>
      <c r="H8" s="102">
        <v>7.0000000000000007E-2</v>
      </c>
    </row>
    <row r="9" spans="1:8">
      <c r="A9" s="95" t="s">
        <v>62</v>
      </c>
      <c r="B9" s="66">
        <v>300000</v>
      </c>
      <c r="D9" s="4" t="s">
        <v>27</v>
      </c>
      <c r="E9" s="9">
        <v>0.08</v>
      </c>
      <c r="G9" s="61" t="s">
        <v>68</v>
      </c>
      <c r="H9" s="62">
        <v>0.11</v>
      </c>
    </row>
    <row r="10" spans="1:8">
      <c r="A10" s="95" t="s">
        <v>63</v>
      </c>
      <c r="B10" s="66">
        <v>170</v>
      </c>
      <c r="D10" s="4" t="s">
        <v>29</v>
      </c>
      <c r="E10" s="9" t="s">
        <v>30</v>
      </c>
      <c r="G10" s="61" t="s">
        <v>104</v>
      </c>
      <c r="H10" s="103">
        <v>0.26400000000000001</v>
      </c>
    </row>
    <row r="11" spans="1:8">
      <c r="A11" s="95" t="s">
        <v>64</v>
      </c>
      <c r="B11" s="66">
        <v>210</v>
      </c>
      <c r="D11" s="4" t="s">
        <v>32</v>
      </c>
      <c r="E11" s="9" t="s">
        <v>33</v>
      </c>
      <c r="G11" s="61" t="s">
        <v>4</v>
      </c>
      <c r="H11" s="103">
        <v>0.04</v>
      </c>
    </row>
    <row r="12" spans="1:8">
      <c r="A12" s="95" t="s">
        <v>65</v>
      </c>
      <c r="B12" s="66">
        <v>1800</v>
      </c>
      <c r="D12" s="4" t="s">
        <v>34</v>
      </c>
      <c r="E12" s="5">
        <v>4000000</v>
      </c>
      <c r="G12" s="61" t="s">
        <v>118</v>
      </c>
      <c r="H12" s="62">
        <f>H9+H11</f>
        <v>0.15</v>
      </c>
    </row>
    <row r="13" spans="1:8">
      <c r="A13" s="95" t="s">
        <v>66</v>
      </c>
      <c r="B13" s="66">
        <v>10</v>
      </c>
      <c r="D13" s="4" t="s">
        <v>103</v>
      </c>
      <c r="E13" s="10">
        <v>8.1600000000000006E-2</v>
      </c>
    </row>
    <row r="14" spans="1:8">
      <c r="A14" s="95" t="s">
        <v>67</v>
      </c>
      <c r="B14" s="66">
        <v>7</v>
      </c>
    </row>
    <row r="18" spans="1:15">
      <c r="A18" s="67" t="s">
        <v>69</v>
      </c>
      <c r="B18" s="68" t="s">
        <v>70</v>
      </c>
      <c r="C18" s="68" t="s">
        <v>71</v>
      </c>
      <c r="D18" s="68" t="s">
        <v>72</v>
      </c>
      <c r="E18" s="68" t="s">
        <v>73</v>
      </c>
      <c r="F18" s="68" t="s">
        <v>74</v>
      </c>
      <c r="G18" s="68" t="s">
        <v>75</v>
      </c>
      <c r="H18" s="67" t="s">
        <v>119</v>
      </c>
      <c r="I18" s="68" t="s">
        <v>105</v>
      </c>
      <c r="J18" s="68" t="s">
        <v>106</v>
      </c>
      <c r="K18" s="69" t="s">
        <v>76</v>
      </c>
      <c r="L18" s="68" t="s">
        <v>77</v>
      </c>
      <c r="M18" s="68" t="s">
        <v>78</v>
      </c>
      <c r="N18" s="68" t="s">
        <v>107</v>
      </c>
      <c r="O18" s="73" t="s">
        <v>108</v>
      </c>
    </row>
    <row r="19" spans="1:15">
      <c r="A19" s="12">
        <v>0</v>
      </c>
      <c r="B19" s="13">
        <v>-3000000</v>
      </c>
      <c r="C19" s="13"/>
      <c r="D19" s="13">
        <v>-3000000</v>
      </c>
      <c r="E19" s="13"/>
      <c r="F19" s="13"/>
      <c r="G19" s="17">
        <v>-6000000</v>
      </c>
      <c r="H19" s="15">
        <f>G19*(1+H11)^A19</f>
        <v>-6000000</v>
      </c>
      <c r="I19" s="13">
        <v>-3000000</v>
      </c>
      <c r="J19" s="13"/>
      <c r="K19" s="9"/>
      <c r="L19" s="13"/>
      <c r="M19" s="13"/>
      <c r="N19" s="2"/>
      <c r="O19" s="98">
        <f>H19-I19-J19-N19</f>
        <v>-3000000</v>
      </c>
    </row>
    <row r="20" spans="1:15">
      <c r="A20" s="12">
        <v>1</v>
      </c>
      <c r="B20" s="13"/>
      <c r="C20" s="13">
        <v>7560000</v>
      </c>
      <c r="D20" s="13">
        <v>-450320.31</v>
      </c>
      <c r="E20" s="13">
        <v>-6120000</v>
      </c>
      <c r="F20" s="13">
        <v>0</v>
      </c>
      <c r="G20" s="17">
        <f>SUM(C20:F20)</f>
        <v>989679.69000000041</v>
      </c>
      <c r="H20" s="15">
        <f>G20*(1+H11)^A20</f>
        <v>1029266.8776000005</v>
      </c>
      <c r="I20" s="15">
        <v>205520.31</v>
      </c>
      <c r="J20" s="16">
        <v>244800</v>
      </c>
      <c r="K20" s="18">
        <v>0.1429</v>
      </c>
      <c r="L20" s="13">
        <f>-H19*K20</f>
        <v>857400</v>
      </c>
      <c r="M20" s="13">
        <f>H20-J20-L20</f>
        <v>-72933.122399999527</v>
      </c>
      <c r="N20" s="13">
        <f>M20*H10</f>
        <v>-19254.344313599875</v>
      </c>
      <c r="O20" s="98">
        <f t="shared" ref="O20:O29" si="0">H20-I20-J20-N20</f>
        <v>598200.91191360028</v>
      </c>
    </row>
    <row r="21" spans="1:15">
      <c r="A21" s="12">
        <v>2</v>
      </c>
      <c r="B21" s="13"/>
      <c r="C21" s="13">
        <v>7560000</v>
      </c>
      <c r="D21" s="13">
        <v>-450320.31</v>
      </c>
      <c r="E21" s="13">
        <v>-6120000</v>
      </c>
      <c r="F21" s="13">
        <v>0</v>
      </c>
      <c r="G21" s="17">
        <f t="shared" ref="G21:G29" si="1">SUM(C21:F21)</f>
        <v>989679.69000000041</v>
      </c>
      <c r="H21" s="15">
        <f>G21*(1+H11)^A21</f>
        <v>1070437.5527040006</v>
      </c>
      <c r="I21" s="15">
        <v>222290.77</v>
      </c>
      <c r="J21" s="15">
        <v>228029.54</v>
      </c>
      <c r="K21" s="19">
        <v>0.24490000000000001</v>
      </c>
      <c r="L21" s="13">
        <f>-H19*K21</f>
        <v>1469400</v>
      </c>
      <c r="M21" s="13">
        <f t="shared" ref="M21:M29" si="2">H21-J21-L21</f>
        <v>-626991.98729599942</v>
      </c>
      <c r="N21" s="13">
        <f>M21*H10</f>
        <v>-165525.88464614385</v>
      </c>
      <c r="O21" s="98">
        <f>H21-I21-J21-N21</f>
        <v>785643.12735014444</v>
      </c>
    </row>
    <row r="22" spans="1:15">
      <c r="A22" s="12">
        <v>3</v>
      </c>
      <c r="B22" s="13"/>
      <c r="C22" s="13">
        <v>7560000</v>
      </c>
      <c r="D22" s="13">
        <v>-450320.31</v>
      </c>
      <c r="E22" s="13">
        <v>-6120000</v>
      </c>
      <c r="F22" s="13">
        <v>0</v>
      </c>
      <c r="G22" s="17">
        <f t="shared" si="1"/>
        <v>989679.69000000041</v>
      </c>
      <c r="H22" s="15">
        <f>G22*(1+H11)^A22</f>
        <v>1113255.0548121606</v>
      </c>
      <c r="I22" s="15">
        <v>240429.7</v>
      </c>
      <c r="J22" s="15">
        <v>209890.62</v>
      </c>
      <c r="K22" s="19">
        <v>0.1749</v>
      </c>
      <c r="L22" s="13">
        <f>-H19*K22</f>
        <v>1049400</v>
      </c>
      <c r="M22" s="13">
        <f t="shared" si="2"/>
        <v>-146035.56518783944</v>
      </c>
      <c r="N22" s="13">
        <f>M22*H10</f>
        <v>-38553.389209589615</v>
      </c>
      <c r="O22" s="98">
        <f t="shared" si="0"/>
        <v>701488.12402175018</v>
      </c>
    </row>
    <row r="23" spans="1:15">
      <c r="A23" s="12">
        <v>4</v>
      </c>
      <c r="B23" s="13"/>
      <c r="C23" s="13">
        <v>7560000</v>
      </c>
      <c r="D23" s="13">
        <v>-450320.31</v>
      </c>
      <c r="E23" s="13">
        <v>-6120000</v>
      </c>
      <c r="F23" s="13">
        <v>0</v>
      </c>
      <c r="G23" s="17">
        <f t="shared" si="1"/>
        <v>989679.69000000041</v>
      </c>
      <c r="H23" s="15">
        <f>G23*(1+H11)^A23</f>
        <v>1157785.2570046471</v>
      </c>
      <c r="I23" s="15">
        <v>260048.76</v>
      </c>
      <c r="J23" s="15">
        <v>190271.55</v>
      </c>
      <c r="K23" s="19">
        <v>0.1249</v>
      </c>
      <c r="L23" s="13">
        <f>-H19*K23</f>
        <v>749400</v>
      </c>
      <c r="M23" s="13">
        <f t="shared" si="2"/>
        <v>218113.707004647</v>
      </c>
      <c r="N23" s="13">
        <f>M23*H10</f>
        <v>57582.018649226811</v>
      </c>
      <c r="O23" s="98">
        <f t="shared" si="0"/>
        <v>649882.92835542024</v>
      </c>
    </row>
    <row r="24" spans="1:15">
      <c r="A24" s="12">
        <v>5</v>
      </c>
      <c r="B24" s="13"/>
      <c r="C24" s="13">
        <v>7560000</v>
      </c>
      <c r="D24" s="13">
        <v>-450320.31</v>
      </c>
      <c r="E24" s="13">
        <v>-6120000</v>
      </c>
      <c r="F24" s="13">
        <v>0</v>
      </c>
      <c r="G24" s="17">
        <f t="shared" si="1"/>
        <v>989679.69000000041</v>
      </c>
      <c r="H24" s="15">
        <f>G24*(1+H11)^A24</f>
        <v>1204096.667284833</v>
      </c>
      <c r="I24" s="15">
        <v>281268.74</v>
      </c>
      <c r="J24" s="15">
        <v>169051.57</v>
      </c>
      <c r="K24" s="19">
        <v>8.9300000000000004E-2</v>
      </c>
      <c r="L24" s="13">
        <f>-H19*K24</f>
        <v>535800</v>
      </c>
      <c r="M24" s="13">
        <f>H24-J24-L24</f>
        <v>499245.09728483297</v>
      </c>
      <c r="N24" s="13">
        <f>M24*H10</f>
        <v>131800.70568319591</v>
      </c>
      <c r="O24" s="98">
        <f t="shared" si="0"/>
        <v>621975.65160163702</v>
      </c>
    </row>
    <row r="25" spans="1:15">
      <c r="A25" s="12">
        <v>6</v>
      </c>
      <c r="B25" s="13"/>
      <c r="C25" s="13">
        <v>7560000</v>
      </c>
      <c r="D25" s="13">
        <v>-450320.31</v>
      </c>
      <c r="E25" s="13">
        <v>-6120000</v>
      </c>
      <c r="F25" s="13">
        <v>0</v>
      </c>
      <c r="G25" s="17">
        <f t="shared" si="1"/>
        <v>989679.69000000041</v>
      </c>
      <c r="H25" s="15">
        <f>G25*(1+H11)^A25</f>
        <v>1252260.5339762263</v>
      </c>
      <c r="I25" s="15">
        <v>304220.27</v>
      </c>
      <c r="J25" s="15">
        <v>146100.04</v>
      </c>
      <c r="K25" s="19">
        <v>8.9200000000000002E-2</v>
      </c>
      <c r="L25" s="13">
        <f>-H19*K25</f>
        <v>535200</v>
      </c>
      <c r="M25" s="13">
        <f t="shared" si="2"/>
        <v>570960.49397622631</v>
      </c>
      <c r="N25" s="13">
        <f>M25*H10</f>
        <v>150733.57040972376</v>
      </c>
      <c r="O25" s="98">
        <f t="shared" si="0"/>
        <v>651206.6535665025</v>
      </c>
    </row>
    <row r="26" spans="1:15">
      <c r="A26" s="12">
        <v>7</v>
      </c>
      <c r="B26" s="13"/>
      <c r="C26" s="13">
        <v>7560000</v>
      </c>
      <c r="D26" s="13">
        <v>-450320.31</v>
      </c>
      <c r="E26" s="13">
        <v>-6120000</v>
      </c>
      <c r="F26" s="13">
        <v>0</v>
      </c>
      <c r="G26" s="17">
        <f t="shared" si="1"/>
        <v>989679.69000000041</v>
      </c>
      <c r="H26" s="15">
        <f>G26*(1+H11)^A26</f>
        <v>1302350.9553352753</v>
      </c>
      <c r="I26" s="15">
        <v>329044.64</v>
      </c>
      <c r="J26" s="15">
        <v>121275.67</v>
      </c>
      <c r="K26" s="19">
        <v>8.9300000000000004E-2</v>
      </c>
      <c r="L26" s="13">
        <f>-H19*K26</f>
        <v>535800</v>
      </c>
      <c r="M26" s="13">
        <f t="shared" si="2"/>
        <v>645275.28533527534</v>
      </c>
      <c r="N26" s="13">
        <f>M26*H10</f>
        <v>170352.67532851271</v>
      </c>
      <c r="O26" s="98">
        <f t="shared" si="0"/>
        <v>681677.97000676254</v>
      </c>
    </row>
    <row r="27" spans="1:15">
      <c r="A27" s="12">
        <v>8</v>
      </c>
      <c r="B27" s="13"/>
      <c r="C27" s="13">
        <v>7560000</v>
      </c>
      <c r="D27" s="13">
        <v>-450320.31</v>
      </c>
      <c r="E27" s="13">
        <v>-6120000</v>
      </c>
      <c r="F27" s="13">
        <v>0</v>
      </c>
      <c r="G27" s="17">
        <f t="shared" si="1"/>
        <v>989679.69000000041</v>
      </c>
      <c r="H27" s="15">
        <f>G27*(1+H11)^A27</f>
        <v>1354444.9935486866</v>
      </c>
      <c r="I27" s="15">
        <v>355894.68</v>
      </c>
      <c r="J27" s="15">
        <v>94425.63</v>
      </c>
      <c r="K27" s="19">
        <v>4.4600000000000001E-2</v>
      </c>
      <c r="L27" s="13">
        <f>-H19*K27</f>
        <v>267600</v>
      </c>
      <c r="M27" s="13">
        <f t="shared" si="2"/>
        <v>992419.36354868673</v>
      </c>
      <c r="N27" s="13">
        <f>M27*H10</f>
        <v>261998.71197685332</v>
      </c>
      <c r="O27" s="98">
        <f t="shared" si="0"/>
        <v>642125.97157183336</v>
      </c>
    </row>
    <row r="28" spans="1:15">
      <c r="A28" s="12">
        <v>9</v>
      </c>
      <c r="B28" s="13"/>
      <c r="C28" s="13">
        <v>7560000</v>
      </c>
      <c r="D28" s="13">
        <v>-450320.31</v>
      </c>
      <c r="E28" s="13">
        <v>-6120000</v>
      </c>
      <c r="F28" s="13">
        <v>0</v>
      </c>
      <c r="G28" s="17">
        <f t="shared" si="1"/>
        <v>989679.69000000041</v>
      </c>
      <c r="H28" s="15">
        <f>G28*(1+H11)^A28</f>
        <v>1408622.7932906342</v>
      </c>
      <c r="I28" s="15">
        <v>384935.69</v>
      </c>
      <c r="J28" s="15">
        <v>65384.62</v>
      </c>
      <c r="K28" s="19">
        <v>0</v>
      </c>
      <c r="L28" s="13">
        <f>-H19*K28</f>
        <v>0</v>
      </c>
      <c r="M28" s="13">
        <f t="shared" si="2"/>
        <v>1343238.1732906341</v>
      </c>
      <c r="N28" s="13">
        <f>M28*H10</f>
        <v>354614.87774872739</v>
      </c>
      <c r="O28" s="98">
        <f t="shared" si="0"/>
        <v>603687.60554190679</v>
      </c>
    </row>
    <row r="29" spans="1:15">
      <c r="A29" s="12">
        <v>10</v>
      </c>
      <c r="B29" s="13"/>
      <c r="C29" s="13">
        <v>7560000</v>
      </c>
      <c r="D29" s="13">
        <v>-450320.31</v>
      </c>
      <c r="E29" s="13">
        <v>-6120000</v>
      </c>
      <c r="F29" s="13">
        <v>0</v>
      </c>
      <c r="G29" s="17">
        <f t="shared" si="1"/>
        <v>989679.69000000041</v>
      </c>
      <c r="H29" s="15">
        <f>G29*(1+H11)^A29</f>
        <v>1464967.7050222596</v>
      </c>
      <c r="I29" s="15">
        <v>416346.44</v>
      </c>
      <c r="J29" s="15">
        <v>33973.870000000003</v>
      </c>
      <c r="K29" s="19">
        <v>0</v>
      </c>
      <c r="L29" s="13">
        <f>-H19*K29</f>
        <v>0</v>
      </c>
      <c r="M29" s="13">
        <f t="shared" si="2"/>
        <v>1430993.8350222595</v>
      </c>
      <c r="N29" s="13">
        <f>M29*H10</f>
        <v>377782.37244587654</v>
      </c>
      <c r="O29" s="98">
        <f t="shared" si="0"/>
        <v>636865.02257638308</v>
      </c>
    </row>
    <row r="31" spans="1:15">
      <c r="A31" s="71" t="s">
        <v>87</v>
      </c>
      <c r="B31" s="99">
        <f>NPV(H12,O20:O29)+O19</f>
        <v>333021.8200140777</v>
      </c>
    </row>
    <row r="32" spans="1:15">
      <c r="A32" s="72" t="s">
        <v>89</v>
      </c>
      <c r="B32" s="100">
        <f>IRR(O19:O29)</f>
        <v>0.17895844345770695</v>
      </c>
    </row>
    <row r="33" spans="1:8">
      <c r="A33" s="72" t="s">
        <v>120</v>
      </c>
      <c r="B33" s="100">
        <f>MIRR(O19:O29,,H12)</f>
        <v>0.16216965238572079</v>
      </c>
    </row>
    <row r="34" spans="1:8" ht="21">
      <c r="C34" s="108"/>
      <c r="D34" s="108"/>
      <c r="E34" s="126" t="s">
        <v>121</v>
      </c>
      <c r="F34" s="108"/>
      <c r="G34" s="108"/>
      <c r="H34" s="108"/>
    </row>
    <row r="35" spans="1:8">
      <c r="C35" s="108"/>
      <c r="D35" s="108"/>
      <c r="E35" s="108"/>
      <c r="F35" s="108"/>
      <c r="G35" s="108"/>
      <c r="H35" s="108"/>
    </row>
    <row r="36" spans="1:8">
      <c r="C36" s="108"/>
      <c r="D36" s="108" t="s">
        <v>122</v>
      </c>
      <c r="E36" s="108"/>
      <c r="F36" s="108"/>
      <c r="G36" s="108"/>
      <c r="H36" s="108"/>
    </row>
    <row r="37" spans="1:8">
      <c r="C37" s="108"/>
      <c r="D37" s="108" t="s">
        <v>123</v>
      </c>
      <c r="E37" s="108"/>
      <c r="F37" s="108"/>
      <c r="G37" s="108"/>
      <c r="H37" s="108"/>
    </row>
    <row r="38" spans="1:8">
      <c r="C38" s="108"/>
      <c r="D38" s="108" t="s">
        <v>124</v>
      </c>
      <c r="E38" s="108"/>
      <c r="F38" s="108"/>
      <c r="G38" s="108"/>
      <c r="H38" s="108"/>
    </row>
    <row r="39" spans="1:8">
      <c r="C39" s="108"/>
      <c r="D39" s="108" t="s">
        <v>125</v>
      </c>
      <c r="E39" s="108"/>
      <c r="F39" s="108"/>
      <c r="G39" s="108"/>
      <c r="H39" s="108"/>
    </row>
    <row r="40" spans="1:8">
      <c r="C40" s="108"/>
      <c r="D40" s="108" t="s">
        <v>126</v>
      </c>
      <c r="E40" s="108"/>
      <c r="F40" s="108"/>
      <c r="G40" s="108"/>
      <c r="H40" s="108"/>
    </row>
    <row r="41" spans="1:8">
      <c r="C41" s="108"/>
      <c r="D41" s="108" t="s">
        <v>127</v>
      </c>
      <c r="E41" s="108"/>
      <c r="F41" s="108"/>
      <c r="G41" s="108"/>
      <c r="H41" s="108"/>
    </row>
  </sheetData>
  <mergeCells count="6">
    <mergeCell ref="D8:E8"/>
    <mergeCell ref="A2:A3"/>
    <mergeCell ref="B2:C2"/>
    <mergeCell ref="D2:D3"/>
    <mergeCell ref="E2:E3"/>
    <mergeCell ref="F2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F668-A441-C447-A4C6-2FC89D7818A4}">
  <dimension ref="E4:X17"/>
  <sheetViews>
    <sheetView workbookViewId="0">
      <selection activeCell="I25" sqref="I25"/>
    </sheetView>
  </sheetViews>
  <sheetFormatPr defaultColWidth="11" defaultRowHeight="15.95"/>
  <sheetData>
    <row r="4" spans="5:24"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5:24" ht="24">
      <c r="E5" s="108"/>
      <c r="F5" s="108"/>
      <c r="G5" s="120" t="s">
        <v>128</v>
      </c>
      <c r="H5" s="108"/>
      <c r="I5" s="108"/>
      <c r="J5" s="108"/>
      <c r="K5" s="108"/>
      <c r="L5" s="108"/>
      <c r="M5" s="108"/>
      <c r="N5" s="108"/>
      <c r="O5" s="108"/>
    </row>
    <row r="6" spans="5:24"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7" spans="5:24" ht="26.1">
      <c r="E7" s="108"/>
      <c r="F7" s="121" t="s">
        <v>129</v>
      </c>
      <c r="G7" s="122"/>
      <c r="H7" s="122"/>
      <c r="I7" s="122"/>
      <c r="J7" s="122"/>
      <c r="K7" s="122"/>
      <c r="L7" s="122"/>
      <c r="M7" s="122"/>
      <c r="N7" s="122"/>
      <c r="O7" s="123"/>
      <c r="P7" s="119"/>
      <c r="Q7" s="119"/>
      <c r="R7" s="118"/>
      <c r="S7" s="118"/>
      <c r="T7" s="118"/>
      <c r="U7" s="118"/>
      <c r="V7" s="118"/>
      <c r="W7" s="118"/>
      <c r="X7" s="118"/>
    </row>
    <row r="8" spans="5:24" ht="26.1">
      <c r="E8" s="108"/>
      <c r="F8" s="124" t="s">
        <v>130</v>
      </c>
      <c r="G8" s="122"/>
      <c r="H8" s="122"/>
      <c r="I8" s="122"/>
      <c r="J8" s="122"/>
      <c r="K8" s="122"/>
      <c r="L8" s="122"/>
      <c r="M8" s="122"/>
      <c r="N8" s="122"/>
      <c r="O8" s="123"/>
      <c r="P8" s="119"/>
      <c r="Q8" s="119"/>
      <c r="R8" s="118"/>
      <c r="S8" s="118"/>
      <c r="T8" s="118"/>
      <c r="U8" s="118"/>
      <c r="V8" s="118"/>
      <c r="W8" s="118"/>
      <c r="X8" s="118"/>
    </row>
    <row r="9" spans="5:24" ht="26.1">
      <c r="E9" s="108"/>
      <c r="F9" s="124" t="s">
        <v>131</v>
      </c>
      <c r="G9" s="122"/>
      <c r="H9" s="122"/>
      <c r="I9" s="122"/>
      <c r="J9" s="122"/>
      <c r="K9" s="122"/>
      <c r="L9" s="122"/>
      <c r="M9" s="122"/>
      <c r="N9" s="122"/>
      <c r="O9" s="123"/>
      <c r="P9" s="119"/>
      <c r="Q9" s="119"/>
      <c r="R9" s="118"/>
      <c r="S9" s="118"/>
      <c r="T9" s="118"/>
      <c r="U9" s="118"/>
      <c r="V9" s="118"/>
      <c r="W9" s="118"/>
      <c r="X9" s="118"/>
    </row>
    <row r="10" spans="5:24" ht="26.1">
      <c r="E10" s="108"/>
      <c r="F10" s="124" t="s">
        <v>132</v>
      </c>
      <c r="G10" s="122"/>
      <c r="H10" s="122"/>
      <c r="I10" s="122"/>
      <c r="J10" s="122"/>
      <c r="K10" s="122"/>
      <c r="L10" s="122"/>
      <c r="M10" s="122"/>
      <c r="N10" s="122"/>
      <c r="O10" s="123"/>
      <c r="P10" s="119"/>
      <c r="Q10" s="119"/>
      <c r="R10" s="118"/>
      <c r="S10" s="118"/>
      <c r="T10" s="118"/>
      <c r="U10" s="118"/>
      <c r="V10" s="118"/>
      <c r="W10" s="118"/>
      <c r="X10" s="118"/>
    </row>
    <row r="11" spans="5:24" ht="26.1">
      <c r="E11" s="108"/>
      <c r="F11" s="121" t="s">
        <v>133</v>
      </c>
      <c r="G11" s="122"/>
      <c r="H11" s="122"/>
      <c r="I11" s="122"/>
      <c r="J11" s="122"/>
      <c r="K11" s="122"/>
      <c r="L11" s="122"/>
      <c r="M11" s="122"/>
      <c r="N11" s="122"/>
      <c r="O11" s="123"/>
      <c r="P11" s="119"/>
      <c r="Q11" s="119"/>
      <c r="R11" s="118"/>
      <c r="S11" s="118"/>
      <c r="T11" s="118"/>
      <c r="U11" s="118"/>
      <c r="V11" s="118"/>
      <c r="W11" s="118"/>
      <c r="X11" s="118"/>
    </row>
    <row r="12" spans="5:24" ht="26.1">
      <c r="E12" s="108"/>
      <c r="F12" s="125" t="s">
        <v>134</v>
      </c>
      <c r="G12" s="122"/>
      <c r="H12" s="122"/>
      <c r="I12" s="122"/>
      <c r="J12" s="122"/>
      <c r="K12" s="122"/>
      <c r="L12" s="122"/>
      <c r="M12" s="122"/>
      <c r="N12" s="122"/>
      <c r="O12" s="123"/>
      <c r="P12" s="119"/>
      <c r="Q12" s="119"/>
      <c r="R12" s="118"/>
      <c r="S12" s="118"/>
      <c r="T12" s="118"/>
      <c r="U12" s="118"/>
      <c r="V12" s="118"/>
      <c r="W12" s="118"/>
      <c r="X12" s="118"/>
    </row>
    <row r="13" spans="5:24" ht="26.1">
      <c r="E13" s="108"/>
      <c r="F13" s="121" t="s">
        <v>135</v>
      </c>
      <c r="G13" s="122"/>
      <c r="H13" s="122"/>
      <c r="I13" s="122"/>
      <c r="J13" s="122"/>
      <c r="K13" s="122"/>
      <c r="L13" s="122"/>
      <c r="M13" s="122"/>
      <c r="N13" s="122"/>
      <c r="O13" s="123"/>
      <c r="P13" s="119"/>
      <c r="Q13" s="119"/>
      <c r="R13" s="118"/>
      <c r="S13" s="118"/>
      <c r="T13" s="118"/>
      <c r="U13" s="118"/>
      <c r="V13" s="118"/>
      <c r="W13" s="118"/>
      <c r="X13" s="118"/>
    </row>
    <row r="14" spans="5:24" ht="26.1">
      <c r="E14" s="108"/>
      <c r="F14" s="125" t="s">
        <v>136</v>
      </c>
      <c r="G14" s="122"/>
      <c r="H14" s="122"/>
      <c r="I14" s="122"/>
      <c r="J14" s="122"/>
      <c r="K14" s="122"/>
      <c r="L14" s="122"/>
      <c r="M14" s="122"/>
      <c r="N14" s="122"/>
      <c r="O14" s="123"/>
      <c r="P14" s="119"/>
      <c r="Q14" s="119"/>
      <c r="R14" s="118"/>
      <c r="S14" s="118"/>
      <c r="T14" s="118"/>
      <c r="U14" s="118"/>
      <c r="V14" s="118"/>
      <c r="W14" s="118"/>
      <c r="X14" s="118"/>
    </row>
    <row r="15" spans="5:24" ht="26.1">
      <c r="E15" s="108"/>
      <c r="F15" s="121" t="s">
        <v>137</v>
      </c>
      <c r="G15" s="122"/>
      <c r="H15" s="122"/>
      <c r="I15" s="122"/>
      <c r="J15" s="122"/>
      <c r="K15" s="122"/>
      <c r="L15" s="122"/>
      <c r="M15" s="122"/>
      <c r="N15" s="122"/>
      <c r="O15" s="123"/>
      <c r="P15" s="119"/>
      <c r="Q15" s="119"/>
      <c r="R15" s="118"/>
      <c r="S15" s="118"/>
      <c r="T15" s="118"/>
      <c r="U15" s="118"/>
      <c r="V15" s="118"/>
      <c r="W15" s="118"/>
      <c r="X15" s="118"/>
    </row>
    <row r="16" spans="5:24" ht="26.1">
      <c r="E16" s="108"/>
      <c r="F16" s="125" t="s">
        <v>138</v>
      </c>
      <c r="G16" s="122"/>
      <c r="H16" s="122"/>
      <c r="I16" s="122"/>
      <c r="J16" s="122"/>
      <c r="K16" s="122"/>
      <c r="L16" s="122"/>
      <c r="M16" s="122"/>
      <c r="N16" s="122"/>
      <c r="O16" s="123"/>
      <c r="P16" s="119"/>
      <c r="Q16" s="119"/>
      <c r="R16" s="118"/>
      <c r="S16" s="118"/>
      <c r="T16" s="118"/>
      <c r="U16" s="118"/>
      <c r="V16" s="118"/>
      <c r="W16" s="118"/>
      <c r="X16" s="118"/>
    </row>
    <row r="17" spans="5:15" ht="18.95">
      <c r="E17" s="108"/>
      <c r="F17" s="122"/>
      <c r="G17" s="122"/>
      <c r="H17" s="122"/>
      <c r="I17" s="122"/>
      <c r="J17" s="122"/>
      <c r="K17" s="122"/>
      <c r="L17" s="122"/>
      <c r="M17" s="122"/>
      <c r="N17" s="122"/>
      <c r="O17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2023-08-17T04:03:47Z</dcterms:created>
  <dcterms:modified xsi:type="dcterms:W3CDTF">2023-08-21T01:04:26Z</dcterms:modified>
  <cp:category/>
  <cp:contentStatus/>
</cp:coreProperties>
</file>