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https://microsofteur-my.sharepoint.com/personal/lauroojeda_microsoft_com/Documents/Documents/Work/git/pgParmAdvisor/"/>
    </mc:Choice>
  </mc:AlternateContent>
  <xr:revisionPtr revIDLastSave="392" documentId="8_{AE0042BA-89E6-4DE5-910F-3B6DCE97CA5B}" xr6:coauthVersionLast="47" xr6:coauthVersionMax="47" xr10:uidLastSave="{AC3D83D1-69B2-4529-89C2-4853A9B1ADAE}"/>
  <bookViews>
    <workbookView xWindow="2730" yWindow="2730" windowWidth="21600" windowHeight="12645" firstSheet="2" activeTab="5" xr2:uid="{BEBC529B-D024-4383-90EE-1464D01CAE3B}"/>
  </bookViews>
  <sheets>
    <sheet name="Parameters" sheetId="1" r:id="rId1"/>
    <sheet name="Data" sheetId="3" r:id="rId2"/>
    <sheet name="Descriptive formulas" sheetId="4" r:id="rId3"/>
    <sheet name="temp" sheetId="5" r:id="rId4"/>
    <sheet name="Tests" sheetId="6" r:id="rId5"/>
    <sheet name="Commands" sheetId="7" r:id="rId6"/>
  </sheets>
  <definedNames>
    <definedName name="_xlnm._FilterDatabase" localSheetId="4" hidden="1">Tests!$A$1:$L$22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7" l="1"/>
  <c r="B4" i="7"/>
  <c r="B2" i="7"/>
  <c r="G5" i="4"/>
  <c r="H5" i="4"/>
  <c r="I5" i="4"/>
  <c r="J5" i="4"/>
  <c r="K5" i="4"/>
  <c r="L5" i="4"/>
  <c r="M5" i="4"/>
  <c r="N5" i="4"/>
  <c r="O5" i="4"/>
  <c r="E5" i="4"/>
  <c r="F5" i="4"/>
  <c r="D5" i="4"/>
  <c r="C4" i="5"/>
  <c r="C5" i="5"/>
  <c r="C6" i="5"/>
  <c r="C7" i="5"/>
  <c r="C8" i="5"/>
  <c r="C9" i="5"/>
  <c r="C10" i="5"/>
  <c r="C11" i="5"/>
  <c r="G11" i="1"/>
  <c r="H11" i="1" s="1"/>
  <c r="I11" i="1" s="1"/>
  <c r="G9" i="1"/>
  <c r="G4" i="1"/>
  <c r="H4" i="1" s="1"/>
  <c r="I4" i="1" s="1"/>
  <c r="G8" i="1"/>
  <c r="I7" i="1"/>
  <c r="H7" i="1"/>
  <c r="G7" i="1"/>
  <c r="H6" i="1"/>
  <c r="G6" i="1"/>
  <c r="I6" i="1"/>
  <c r="H5" i="1"/>
  <c r="I5" i="1"/>
  <c r="G5" i="1"/>
  <c r="I8" i="1"/>
  <c r="H8" i="1"/>
  <c r="G14" i="1"/>
  <c r="H14" i="1" s="1"/>
  <c r="I14" i="1" s="1"/>
  <c r="G13" i="1"/>
  <c r="H13" i="1" s="1"/>
  <c r="I13" i="1" s="1"/>
  <c r="H2" i="1"/>
  <c r="I2" i="1"/>
  <c r="G2" i="1"/>
  <c r="G20" i="1" l="1"/>
  <c r="G10" i="1"/>
  <c r="H9" i="1"/>
  <c r="H20" i="1" l="1"/>
  <c r="H10" i="1"/>
  <c r="I9" i="1"/>
  <c r="I10" i="1" l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tc={007CE0CE-7A01-432E-B46C-83DF696DA0C1}</author>
    <author>tc={7A0D7422-1906-4006-87C3-8471B60B6243}</author>
  </authors>
  <commentList>
    <comment ref="E1" authorId="0" shapeId="0" xr:uid="{007CE0CE-7A01-432E-B46C-83DF696DA0C1}">
      <text>
        <t>[Threaded comment]
Your version of Excel allows you to read this threaded comment; however, any edits to it will get removed if the file is opened in a newer version of Excel. Learn more: https://go.microsoft.com/fwlink/?linkid=870924
Comment:
    I think it would be easier if you run me through the spreadsheet, so I do not post moronic comments :-)
Reply:
    Fair, lets do it.</t>
      </text>
    </comment>
    <comment ref="F1" authorId="1" shapeId="0" xr:uid="{7A0D7422-1906-4006-87C3-8471B60B6243}">
      <text>
        <t>[Threaded comment]
Your version of Excel allows you to read this threaded comment; however, any edits to it will get removed if the file is opened in a newer version of Excel. Learn more: https://go.microsoft.com/fwlink/?linkid=870924
Comment:
    if the purpose of this column is to have the default for Flex server, I would indicate what is the specific PGSQL version
Reply:
    As of now, these parameters defaults span across all versions of Flex-PG</t>
      </text>
    </comment>
  </commentList>
</comments>
</file>

<file path=xl/sharedStrings.xml><?xml version="1.0" encoding="utf-8"?>
<sst xmlns="http://schemas.openxmlformats.org/spreadsheetml/2006/main" count="522" uniqueCount="227">
  <si>
    <t>Category</t>
  </si>
  <si>
    <t>Sub-category</t>
  </si>
  <si>
    <t>Resource</t>
  </si>
  <si>
    <t>Relevance</t>
  </si>
  <si>
    <t>Parameter</t>
  </si>
  <si>
    <t>Default</t>
  </si>
  <si>
    <t>Conservative</t>
  </si>
  <si>
    <t>Balanced</t>
  </si>
  <si>
    <t>Aggressive</t>
  </si>
  <si>
    <t>Unit</t>
  </si>
  <si>
    <t>Notes</t>
  </si>
  <si>
    <t>Server Settings</t>
  </si>
  <si>
    <t>Performance</t>
  </si>
  <si>
    <t>Settings</t>
  </si>
  <si>
    <t>High</t>
  </si>
  <si>
    <t>max_connections</t>
  </si>
  <si>
    <t>Postgresql</t>
  </si>
  <si>
    <t>Server</t>
  </si>
  <si>
    <t>Storage</t>
  </si>
  <si>
    <t>Memory</t>
  </si>
  <si>
    <t>Disk</t>
  </si>
  <si>
    <t>random_page_cost</t>
  </si>
  <si>
    <t>Type</t>
  </si>
  <si>
    <t>Version</t>
  </si>
  <si>
    <t>Tier</t>
  </si>
  <si>
    <t>Class</t>
  </si>
  <si>
    <t>CPUs</t>
  </si>
  <si>
    <t>Size (GiB)</t>
  </si>
  <si>
    <t>IOPS</t>
  </si>
  <si>
    <t>Size (GB)</t>
  </si>
  <si>
    <t>Maintenance</t>
  </si>
  <si>
    <t>Parallelism</t>
  </si>
  <si>
    <t>CPU</t>
  </si>
  <si>
    <t>max_parallel_maintenance_workers</t>
  </si>
  <si>
    <t>Flex server</t>
  </si>
  <si>
    <t>General Purpose</t>
  </si>
  <si>
    <t>D16s</t>
  </si>
  <si>
    <t>SSD_v2</t>
  </si>
  <si>
    <t>maintenance_work_mem</t>
  </si>
  <si>
    <t>MB</t>
  </si>
  <si>
    <t>effective_cache_size</t>
  </si>
  <si>
    <t>Load Settings</t>
  </si>
  <si>
    <t>shared_buffers</t>
  </si>
  <si>
    <t>Paula: https://postgresqlco.nf/doc/en/param/shared_buffers/</t>
  </si>
  <si>
    <t>Max Connections</t>
  </si>
  <si>
    <t>Database role</t>
  </si>
  <si>
    <t>JOINs in worse/important query</t>
  </si>
  <si>
    <t>Database size(GB)</t>
  </si>
  <si>
    <t>Size of busier table (GB)</t>
  </si>
  <si>
    <t>work_mem</t>
  </si>
  <si>
    <t>max_parallel_workers</t>
  </si>
  <si>
    <t>max_parallel_workers_per_gather</t>
  </si>
  <si>
    <t>max_worker_processes</t>
  </si>
  <si>
    <t>default_statistics_target</t>
  </si>
  <si>
    <t>Increasing it will likely to improve overall performance, BUT vacuum will take much longer</t>
  </si>
  <si>
    <t>from_collapse_limit</t>
  </si>
  <si>
    <t>join_collapse_limit</t>
  </si>
  <si>
    <t>Won´t apply now</t>
  </si>
  <si>
    <t>WAL</t>
  </si>
  <si>
    <t>Low</t>
  </si>
  <si>
    <t>wal_buffers</t>
  </si>
  <si>
    <t>Medium</t>
  </si>
  <si>
    <t>max_wal_size</t>
  </si>
  <si>
    <t>GB</t>
  </si>
  <si>
    <t>min_wal_size</t>
  </si>
  <si>
    <t>Vacuum</t>
  </si>
  <si>
    <t>autovacuum_analyze_threshold</t>
  </si>
  <si>
    <t>https://docs.azure.cn/en-us/postgresql/flexible-server/concepts-intelligent-tuning</t>
  </si>
  <si>
    <t>autovacuum_max_workers</t>
  </si>
  <si>
    <t>autovacuum_vacuum_insert_threshold</t>
  </si>
  <si>
    <t>vacuum_cost_limit</t>
  </si>
  <si>
    <t>PG types</t>
  </si>
  <si>
    <t>PG versions</t>
  </si>
  <si>
    <t>Server tier</t>
  </si>
  <si>
    <t>Server size</t>
  </si>
  <si>
    <t>Storage type</t>
  </si>
  <si>
    <t>Storage IOPS</t>
  </si>
  <si>
    <t>Memory size</t>
  </si>
  <si>
    <t>Database type</t>
  </si>
  <si>
    <t>Burstable</t>
  </si>
  <si>
    <t>B1ms</t>
  </si>
  <si>
    <t>SSD</t>
  </si>
  <si>
    <t>OLTP</t>
  </si>
  <si>
    <t>Orion</t>
  </si>
  <si>
    <t>B2s</t>
  </si>
  <si>
    <t>OLAP</t>
  </si>
  <si>
    <t>Memory Optimized</t>
  </si>
  <si>
    <t>D2s</t>
  </si>
  <si>
    <t>RAG</t>
  </si>
  <si>
    <t>D4s</t>
  </si>
  <si>
    <t>Mixed</t>
  </si>
  <si>
    <t>D8s</t>
  </si>
  <si>
    <t>D32s</t>
  </si>
  <si>
    <t>D48s</t>
  </si>
  <si>
    <t>D64s</t>
  </si>
  <si>
    <t>D2ds</t>
  </si>
  <si>
    <t>D4ds</t>
  </si>
  <si>
    <t>D8ds</t>
  </si>
  <si>
    <t>D16ds</t>
  </si>
  <si>
    <t>D32ds</t>
  </si>
  <si>
    <t>D48ds</t>
  </si>
  <si>
    <t>D64ds</t>
  </si>
  <si>
    <t>E2s</t>
  </si>
  <si>
    <t>E4s</t>
  </si>
  <si>
    <t>E8s</t>
  </si>
  <si>
    <t>E16s</t>
  </si>
  <si>
    <t>E32s</t>
  </si>
  <si>
    <t>E48s</t>
  </si>
  <si>
    <t>E64s</t>
  </si>
  <si>
    <t>E2ds</t>
  </si>
  <si>
    <t>E4ds</t>
  </si>
  <si>
    <t>E8ds</t>
  </si>
  <si>
    <t>E16ds</t>
  </si>
  <si>
    <t>E20ds</t>
  </si>
  <si>
    <t>E32ds</t>
  </si>
  <si>
    <t>E48ds</t>
  </si>
  <si>
    <t>E64ds</t>
  </si>
  <si>
    <t>DESCRIPTIVE FORMULAS</t>
  </si>
  <si>
    <t>Base</t>
  </si>
  <si>
    <t>conservative</t>
  </si>
  <si>
    <t>balanced</t>
  </si>
  <si>
    <t>aggressive</t>
  </si>
  <si>
    <t>General</t>
  </si>
  <si>
    <t>C4 * 5</t>
  </si>
  <si>
    <t>C4 * 10</t>
  </si>
  <si>
    <t>C7 * 1.2</t>
  </si>
  <si>
    <t>C7 * 1.1</t>
  </si>
  <si>
    <t>C7 * 1.08</t>
  </si>
  <si>
    <t>C7 * 1.05</t>
  </si>
  <si>
    <t>C7 * 1.15</t>
  </si>
  <si>
    <t>ROUND((memory * 1024 / max_connections), 0)</t>
  </si>
  <si>
    <t>C8 * 1</t>
  </si>
  <si>
    <t>C8 * 1.2</t>
  </si>
  <si>
    <t>C8 * 1.5</t>
  </si>
  <si>
    <t>C8 * 1.25</t>
  </si>
  <si>
    <t>C8 * 0.9</t>
  </si>
  <si>
    <t>C8 * 1.1</t>
  </si>
  <si>
    <t>C8 * 1.3</t>
  </si>
  <si>
    <t>ROUND((memory * 1024 * 0.1), 0)</t>
  </si>
  <si>
    <t>ROUND((memory * 1024 * 0.75), 0)</t>
  </si>
  <si>
    <t>C10 * 0.8</t>
  </si>
  <si>
    <t>C10 * 1</t>
  </si>
  <si>
    <t>C10 * 1.2</t>
  </si>
  <si>
    <t>C10 * 1.5</t>
  </si>
  <si>
    <t>C10 * 1.25</t>
  </si>
  <si>
    <t>C10 * 0.9</t>
  </si>
  <si>
    <t>C10 * 1.1</t>
  </si>
  <si>
    <t>C10 * 1.3</t>
  </si>
  <si>
    <t>ROUND((memory * 1024 * 0.25), 0)</t>
  </si>
  <si>
    <t>C11 * 1</t>
  </si>
  <si>
    <t>C11 * 1.5</t>
  </si>
  <si>
    <t>C11 * 1.25</t>
  </si>
  <si>
    <t>C12 * 1</t>
  </si>
  <si>
    <t>C12 * 1.5</t>
  </si>
  <si>
    <t>C12 * 2</t>
  </si>
  <si>
    <t>C14 * 1</t>
  </si>
  <si>
    <t>C14 * 1.5</t>
  </si>
  <si>
    <t>C14 * 2</t>
  </si>
  <si>
    <t>C15 * 1</t>
  </si>
  <si>
    <t>C15 * 1.5</t>
  </si>
  <si>
    <t>C15 * 2</t>
  </si>
  <si>
    <t>Master parms</t>
  </si>
  <si>
    <t>Memory (GB)</t>
  </si>
  <si>
    <t>IF((server_cpus &lt;= 8) THEN 2 ELSE (server_cpus / 4))</t>
  </si>
  <si>
    <t>C11 * 1.6</t>
  </si>
  <si>
    <t>Convert from MB to kB</t>
  </si>
  <si>
    <t>Divide the amount of concurrent sessions from the last 7 days (get from the metrics)</t>
  </si>
  <si>
    <t>Max of 64MB for OLTP, RAG/OLAP max of 128MB</t>
  </si>
  <si>
    <t>work only if cpus&gt;4vcpu</t>
  </si>
  <si>
    <t>32MB</t>
  </si>
  <si>
    <t>64MB</t>
  </si>
  <si>
    <t>16MB</t>
  </si>
  <si>
    <t>*2</t>
  </si>
  <si>
    <t>1GB</t>
  </si>
  <si>
    <t>2GB</t>
  </si>
  <si>
    <t>Remove it from the tool</t>
  </si>
  <si>
    <t>autovacuum</t>
  </si>
  <si>
    <t>ON</t>
  </si>
  <si>
    <t>on</t>
  </si>
  <si>
    <t>Set to vCPUs - 1</t>
  </si>
  <si>
    <t>2, 4, 8 (max)</t>
  </si>
  <si>
    <t>follow the formula for 16+</t>
  </si>
  <si>
    <t>Total CPUs</t>
  </si>
  <si>
    <r>
      <rPr>
        <b/>
        <sz val="11"/>
        <color theme="1"/>
        <rFont val="Aptos Narrow"/>
        <family val="2"/>
        <scheme val="minor"/>
      </rPr>
      <t xml:space="preserve">IF((server_cpus &lt;= 8) </t>
    </r>
    <r>
      <rPr>
        <sz val="11"/>
        <color theme="1"/>
        <rFont val="Aptos Narrow"/>
        <family val="2"/>
        <scheme val="minor"/>
      </rPr>
      <t>THAN 8 ELSE (server_cpus / 2))</t>
    </r>
  </si>
  <si>
    <t>C4 * 2</t>
  </si>
  <si>
    <t>C4 * 4</t>
  </si>
  <si>
    <t>C4 * 8</t>
  </si>
  <si>
    <t>C4 * 16</t>
  </si>
  <si>
    <t>For OLAP, minimum of 8 vCPUs</t>
  </si>
  <si>
    <t>geqo_threshold</t>
  </si>
  <si>
    <t>tweak it to tweak the collapse_limits</t>
  </si>
  <si>
    <t>Mem</t>
  </si>
  <si>
    <t>Setting</t>
  </si>
  <si>
    <t>Role</t>
  </si>
  <si>
    <t>Standard_D2ds_v4</t>
  </si>
  <si>
    <t>iops</t>
  </si>
  <si>
    <t>Standard_D4ds_v4</t>
  </si>
  <si>
    <t>Standard_D8ds_v4</t>
  </si>
  <si>
    <t>Standard_D16ds_v4</t>
  </si>
  <si>
    <t>Standard_D32ds_v4</t>
  </si>
  <si>
    <t>Standard_D48ds_v4</t>
  </si>
  <si>
    <t>Standard_D64ds_v4</t>
  </si>
  <si>
    <t>Adjusted</t>
  </si>
  <si>
    <t>Sessions</t>
  </si>
  <si>
    <t>initialize</t>
  </si>
  <si>
    <t>Query</t>
  </si>
  <si>
    <t>Parallel</t>
  </si>
  <si>
    <t>Connect</t>
  </si>
  <si>
    <t>pg16-test.postgres.database.azure.com</t>
  </si>
  <si>
    <t>pg-test2.postgres.database.azure.com</t>
  </si>
  <si>
    <t>N/A</t>
  </si>
  <si>
    <t>P30/5000</t>
  </si>
  <si>
    <t>Tested server</t>
  </si>
  <si>
    <t>pg16-test</t>
  </si>
  <si>
    <t>pg-test2</t>
  </si>
  <si>
    <t>Time test</t>
  </si>
  <si>
    <t>04/08@17:20</t>
  </si>
  <si>
    <t>Initialize s1000 (s)</t>
  </si>
  <si>
    <t>tps 10min</t>
  </si>
  <si>
    <t>04/08@18:15</t>
  </si>
  <si>
    <t>YrgT24Nvdk12</t>
  </si>
  <si>
    <t>OraVM</t>
  </si>
  <si>
    <t>C:\Users\lauroojeda\Documents\instantclient_21_19&gt; .\sqlplus.exe system/YrgT24Nvdk12@13.95.148.163:1521/XE</t>
  </si>
  <si>
    <t>Container</t>
  </si>
  <si>
    <t>XEPDB1</t>
  </si>
  <si>
    <t>EM</t>
  </si>
  <si>
    <t>https://13.95.148.163:5500/em/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</si>
</sst>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theme="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name val="Aptos Narrow"/>
      <family val="2"/>
      <scheme val="minor"/>
    </font>
    <font>
      <sz val="11"/>
      <color rgb="FFA31515"/>
      <name val="Consolas"/>
      <family val="3"/>
    </font>
    <font>
      <b/>
      <sz val="11"/>
      <color rgb="FFA31515"/>
      <name val="Consolas"/>
      <family val="3"/>
    </font>
    <font>
      <b/>
      <sz val="11"/>
      <color rgb="FF008000"/>
      <name val="Consolas"/>
      <family val="3"/>
    </font>
    <font>
      <b/>
      <sz val="11"/>
      <color theme="3" tint="0.249977111117893"/>
      <name val="Aptos Narrow"/>
      <family val="2"/>
      <scheme val="minor"/>
    </font>
    <font>
      <sz val="8"/>
      <name val="Aptos Narrow"/>
      <family val="2"/>
      <scheme val="minor"/>
    </font>
    <font>
      <strike/>
      <sz val="11"/>
      <color rgb="FFFF0000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1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1" fillId="4" borderId="0" xfId="0" applyFont="1" applyFill="1" applyAlignment="1">
      <alignment horizontal="center"/>
    </xf>
    <xf numFmtId="0" fontId="1" fillId="4" borderId="0" xfId="0" applyFont="1" applyFill="1" applyAlignment="1">
      <alignment horizontal="center" wrapText="1"/>
    </xf>
    <xf numFmtId="0" fontId="2" fillId="4" borderId="0" xfId="0" applyFont="1" applyFill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2" fillId="4" borderId="9" xfId="0" applyFont="1" applyFill="1" applyBorder="1" applyAlignment="1">
      <alignment horizontal="center"/>
    </xf>
    <xf numFmtId="0" fontId="0" fillId="0" borderId="11" xfId="0" applyBorder="1"/>
    <xf numFmtId="0" fontId="3" fillId="0" borderId="0" xfId="1" applyAlignment="1">
      <alignment wrapText="1"/>
    </xf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wrapText="1"/>
    </xf>
    <xf numFmtId="0" fontId="5" fillId="2" borderId="0" xfId="0" applyFont="1" applyFill="1"/>
    <xf numFmtId="0" fontId="6" fillId="3" borderId="3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6" fillId="3" borderId="0" xfId="0" applyFont="1" applyFill="1" applyAlignment="1">
      <alignment horizontal="center"/>
    </xf>
    <xf numFmtId="0" fontId="6" fillId="3" borderId="10" xfId="0" applyFont="1" applyFill="1" applyBorder="1" applyAlignment="1">
      <alignment horizont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0" fillId="0" borderId="3" xfId="0" applyBorder="1"/>
    <xf numFmtId="0" fontId="0" fillId="0" borderId="4" xfId="0" applyBorder="1"/>
    <xf numFmtId="0" fontId="8" fillId="3" borderId="3" xfId="0" applyFont="1" applyFill="1" applyBorder="1" applyAlignment="1">
      <alignment vertical="center"/>
    </xf>
    <xf numFmtId="0" fontId="8" fillId="3" borderId="0" xfId="0" applyFont="1" applyFill="1" applyAlignment="1">
      <alignment vertical="center"/>
    </xf>
    <xf numFmtId="0" fontId="0" fillId="3" borderId="3" xfId="0" applyFill="1" applyBorder="1"/>
    <xf numFmtId="0" fontId="0" fillId="3" borderId="5" xfId="0" applyFill="1" applyBorder="1"/>
    <xf numFmtId="0" fontId="8" fillId="7" borderId="0" xfId="0" applyFont="1" applyFill="1" applyAlignment="1">
      <alignment vertical="center"/>
    </xf>
    <xf numFmtId="0" fontId="0" fillId="7" borderId="0" xfId="0" applyFill="1"/>
    <xf numFmtId="0" fontId="0" fillId="7" borderId="8" xfId="0" applyFill="1" applyBorder="1"/>
    <xf numFmtId="0" fontId="8" fillId="8" borderId="4" xfId="0" applyFont="1" applyFill="1" applyBorder="1" applyAlignment="1">
      <alignment vertical="center"/>
    </xf>
    <xf numFmtId="0" fontId="0" fillId="8" borderId="4" xfId="0" applyFill="1" applyBorder="1"/>
    <xf numFmtId="0" fontId="0" fillId="8" borderId="6" xfId="0" applyFill="1" applyBorder="1"/>
    <xf numFmtId="0" fontId="0" fillId="3" borderId="1" xfId="0" applyFill="1" applyBorder="1"/>
    <xf numFmtId="0" fontId="0" fillId="7" borderId="7" xfId="0" applyFill="1" applyBorder="1"/>
    <xf numFmtId="0" fontId="0" fillId="8" borderId="2" xfId="0" applyFill="1" applyBorder="1"/>
    <xf numFmtId="0" fontId="12" fillId="0" borderId="3" xfId="0" applyFont="1" applyBorder="1"/>
    <xf numFmtId="0" fontId="12" fillId="0" borderId="4" xfId="0" applyFont="1" applyBorder="1"/>
    <xf numFmtId="0" fontId="12" fillId="3" borderId="3" xfId="0" applyFont="1" applyFill="1" applyBorder="1"/>
    <xf numFmtId="0" fontId="12" fillId="7" borderId="0" xfId="0" applyFont="1" applyFill="1"/>
    <xf numFmtId="0" fontId="12" fillId="8" borderId="4" xfId="0" applyFont="1" applyFill="1" applyBorder="1"/>
    <xf numFmtId="0" fontId="12" fillId="0" borderId="0" xfId="0" applyFont="1"/>
    <xf numFmtId="0" fontId="0" fillId="9" borderId="0" xfId="0" applyFill="1"/>
    <xf numFmtId="0" fontId="5" fillId="5" borderId="0" xfId="0" applyFont="1" applyFill="1" applyAlignment="1">
      <alignment horizontal="center"/>
    </xf>
    <xf numFmtId="0" fontId="1" fillId="4" borderId="12" xfId="0" applyFont="1" applyFill="1" applyBorder="1" applyAlignment="1">
      <alignment horizontal="center"/>
    </xf>
    <xf numFmtId="0" fontId="1" fillId="4" borderId="13" xfId="0" applyFont="1" applyFill="1" applyBorder="1" applyAlignment="1">
      <alignment horizontal="center"/>
    </xf>
    <xf numFmtId="0" fontId="1" fillId="4" borderId="14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0" fontId="8" fillId="6" borderId="7" xfId="0" applyFont="1" applyFill="1" applyBorder="1" applyAlignment="1">
      <alignment horizontal="center" vertical="center"/>
    </xf>
    <xf numFmtId="0" fontId="8" fillId="6" borderId="2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10" fillId="6" borderId="0" xfId="0" applyFont="1" applyFill="1" applyAlignment="1">
      <alignment horizontal="center"/>
    </xf>
    <xf numFmtId="0" fontId="8" fillId="6" borderId="9" xfId="0" applyFont="1" applyFill="1" applyBorder="1" applyAlignment="1">
      <alignment horizontal="center" vertical="center"/>
    </xf>
    <xf numFmtId="0" fontId="8" fillId="6" borderId="11" xfId="0" applyFont="1" applyFill="1" applyBorder="1" applyAlignment="1">
      <alignment horizontal="center" vertical="center"/>
    </xf>
    <xf numFmtId="0" fontId="8" fillId="6" borderId="6" xfId="0" applyFont="1" applyFill="1" applyBorder="1" applyAlignment="1">
      <alignment horizontal="center" vertical="center"/>
    </xf>
    <xf numFmtId="0" fontId="8" fillId="6" borderId="5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Paula Berenguel" id="{D399781F-6144-464A-A4A9-C94060504BA1}" userId="S::paberen@microsoft.com::bab3730a-792b-421e-afdf-ce9aabce56ed" providerId="AD"/>
  <person displayName="Lauro Ojeda" id="{93D9B33E-7F3F-4A60-867F-FBD6B3FE05E2}" userId="S::lauroojeda@microsoft.com::b4951e28-6e0a-4e78-b7e9-b9d2530f5d50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1" dT="2025-06-17T21:01:50.12" personId="{D399781F-6144-464A-A4A9-C94060504BA1}" id="{007CE0CE-7A01-432E-B46C-83DF696DA0C1}">
    <text>I think it would be easier if you run me through the spreadsheet, so I do not post moronic comments :-)</text>
  </threadedComment>
  <threadedComment ref="E1" dT="2025-06-18T10:52:01.90" personId="{93D9B33E-7F3F-4A60-867F-FBD6B3FE05E2}" id="{FB6A3578-DCB5-4D30-B0D0-6E5F2D0ECD84}" parentId="{007CE0CE-7A01-432E-B46C-83DF696DA0C1}">
    <text>Fair, lets do it.</text>
  </threadedComment>
  <threadedComment ref="F1" dT="2025-06-17T21:00:01.64" personId="{D399781F-6144-464A-A4A9-C94060504BA1}" id="{7A0D7422-1906-4006-87C3-8471B60B6243}">
    <text>if the purpose of this column is to have the default for Flex server, I would indicate what is the specific PGSQL version</text>
  </threadedComment>
  <threadedComment ref="F1" dT="2025-06-18T10:51:02.48" personId="{93D9B33E-7F3F-4A60-867F-FBD6B3FE05E2}" id="{8A84FF53-6823-44B1-8874-E11FDCEBE299}" parentId="{7A0D7422-1906-4006-87C3-8471B60B6243}">
    <text>As of now, these parameters defaults span across all versions of Flex-PG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ocs.azure.cn/en-us/postgresql/flexible-server/concepts-intelligent-tuning" TargetMode="External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DEF953-4AC0-43ED-ABB4-E76F26C897B8}">
  <dimension ref="A1:U23"/>
  <sheetViews>
    <sheetView topLeftCell="B1" zoomScale="120" zoomScaleNormal="120" workbookViewId="0">
      <selection activeCell="E23" sqref="E23:H23"/>
    </sheetView>
  </sheetViews>
  <sheetFormatPr defaultRowHeight="15" x14ac:dyDescent="0.25"/>
  <cols>
    <col min="1" max="1" width="12.42578125" bestFit="1" customWidth="1"/>
    <col min="2" max="2" width="12.42578125" customWidth="1"/>
    <col min="3" max="3" width="9.140625" bestFit="1" customWidth="1"/>
    <col min="4" max="4" width="9.85546875" bestFit="1" customWidth="1"/>
    <col min="5" max="5" width="35.85546875" bestFit="1" customWidth="1"/>
    <col min="6" max="6" width="7.28515625" bestFit="1" customWidth="1"/>
    <col min="7" max="7" width="12.140625" bestFit="1" customWidth="1"/>
    <col min="8" max="8" width="9.28515625" bestFit="1" customWidth="1"/>
    <col min="9" max="9" width="10.28515625" bestFit="1" customWidth="1"/>
    <col min="10" max="10" width="5.42578125" customWidth="1"/>
    <col min="11" max="11" width="45.42578125" style="1" customWidth="1"/>
    <col min="12" max="12" width="3.5703125" style="2" customWidth="1"/>
    <col min="13" max="13" width="16.140625" bestFit="1" customWidth="1"/>
    <col min="14" max="14" width="13.42578125" bestFit="1" customWidth="1"/>
    <col min="15" max="15" width="29.28515625" bestFit="1" customWidth="1"/>
    <col min="16" max="16" width="17.42578125" bestFit="1" customWidth="1"/>
    <col min="17" max="18" width="22.140625" bestFit="1" customWidth="1"/>
    <col min="19" max="19" width="9.28515625" bestFit="1" customWidth="1"/>
    <col min="21" max="21" width="8.7109375" bestFit="1" customWidth="1"/>
  </cols>
  <sheetData>
    <row r="1" spans="1:2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 t="s">
        <v>10</v>
      </c>
      <c r="M1" s="45" t="s">
        <v>11</v>
      </c>
      <c r="N1" s="46"/>
      <c r="O1" s="46"/>
      <c r="P1" s="46"/>
      <c r="Q1" s="46"/>
      <c r="R1" s="46"/>
      <c r="S1" s="46"/>
      <c r="T1" s="46"/>
      <c r="U1" s="47"/>
    </row>
    <row r="2" spans="1:21" x14ac:dyDescent="0.25">
      <c r="A2" s="13" t="s">
        <v>12</v>
      </c>
      <c r="B2" s="13" t="s">
        <v>13</v>
      </c>
      <c r="C2" s="13"/>
      <c r="D2" s="13" t="s">
        <v>14</v>
      </c>
      <c r="E2" s="13" t="s">
        <v>15</v>
      </c>
      <c r="F2" s="13">
        <v>50</v>
      </c>
      <c r="G2" s="13">
        <f>$M$8</f>
        <v>1500</v>
      </c>
      <c r="H2" s="13">
        <f>$M$8</f>
        <v>1500</v>
      </c>
      <c r="I2" s="13">
        <f>$M$8</f>
        <v>1500</v>
      </c>
      <c r="J2" s="13"/>
      <c r="K2"/>
      <c r="M2" s="48" t="s">
        <v>16</v>
      </c>
      <c r="N2" s="49"/>
      <c r="O2" s="48" t="s">
        <v>17</v>
      </c>
      <c r="P2" s="50"/>
      <c r="Q2" s="49"/>
      <c r="R2" s="48" t="s">
        <v>18</v>
      </c>
      <c r="S2" s="50"/>
      <c r="T2" s="49"/>
      <c r="U2" s="9" t="s">
        <v>19</v>
      </c>
    </row>
    <row r="3" spans="1:21" s="13" customFormat="1" x14ac:dyDescent="0.25">
      <c r="A3" s="13" t="s">
        <v>12</v>
      </c>
      <c r="B3" s="13" t="s">
        <v>13</v>
      </c>
      <c r="C3" s="13" t="s">
        <v>20</v>
      </c>
      <c r="D3" s="13" t="s">
        <v>14</v>
      </c>
      <c r="E3" s="13" t="s">
        <v>21</v>
      </c>
      <c r="F3" s="13">
        <v>2</v>
      </c>
      <c r="G3" s="13">
        <v>1.2</v>
      </c>
      <c r="H3" s="13">
        <v>1.1000000000000001</v>
      </c>
      <c r="I3" s="13">
        <v>1.05</v>
      </c>
      <c r="J3"/>
      <c r="K3"/>
      <c r="L3" s="15"/>
      <c r="M3" s="16" t="s">
        <v>22</v>
      </c>
      <c r="N3" s="17" t="s">
        <v>23</v>
      </c>
      <c r="O3" s="16" t="s">
        <v>24</v>
      </c>
      <c r="P3" s="18" t="s">
        <v>25</v>
      </c>
      <c r="Q3" s="17" t="s">
        <v>26</v>
      </c>
      <c r="R3" s="16" t="s">
        <v>22</v>
      </c>
      <c r="S3" s="18" t="s">
        <v>27</v>
      </c>
      <c r="T3" s="17" t="s">
        <v>28</v>
      </c>
      <c r="U3" s="19" t="s">
        <v>29</v>
      </c>
    </row>
    <row r="4" spans="1:21" x14ac:dyDescent="0.25">
      <c r="A4" s="13" t="s">
        <v>30</v>
      </c>
      <c r="B4" s="13" t="s">
        <v>31</v>
      </c>
      <c r="C4" s="13" t="s">
        <v>32</v>
      </c>
      <c r="D4" s="13"/>
      <c r="E4" s="13" t="s">
        <v>33</v>
      </c>
      <c r="F4" s="13">
        <v>2</v>
      </c>
      <c r="G4" s="13">
        <f>IF($Q$4*0.1&lt;=F4,F4,ROUND($Q$4*0.2,0))</f>
        <v>2</v>
      </c>
      <c r="H4" s="13">
        <f>IF($Q$4*0.2&lt;=G4,G4,ROUND($Q$4*0.25,0))</f>
        <v>4</v>
      </c>
      <c r="I4" s="13">
        <f>IF($Q$4*0.3&lt;=H4,H4,ROUND($Q$4*0.3,0))</f>
        <v>5</v>
      </c>
      <c r="M4" s="6" t="s">
        <v>34</v>
      </c>
      <c r="N4" s="7">
        <v>16</v>
      </c>
      <c r="O4" s="6" t="s">
        <v>35</v>
      </c>
      <c r="P4" s="8" t="s">
        <v>91</v>
      </c>
      <c r="Q4" s="7">
        <v>16</v>
      </c>
      <c r="R4" s="6" t="s">
        <v>37</v>
      </c>
      <c r="S4" s="8">
        <v>500</v>
      </c>
      <c r="T4" s="7">
        <v>20000</v>
      </c>
      <c r="U4" s="10">
        <v>32</v>
      </c>
    </row>
    <row r="5" spans="1:21" x14ac:dyDescent="0.25">
      <c r="A5" s="13" t="s">
        <v>30</v>
      </c>
      <c r="B5" s="13" t="s">
        <v>13</v>
      </c>
      <c r="C5" s="13" t="s">
        <v>19</v>
      </c>
      <c r="D5" s="13"/>
      <c r="E5" s="13" t="s">
        <v>38</v>
      </c>
      <c r="F5" s="13">
        <v>97</v>
      </c>
      <c r="G5" s="13">
        <f>ROUND(($U$4*1024)*0.05,0)</f>
        <v>1638</v>
      </c>
      <c r="H5" s="13">
        <f>ROUND(($U$4*1024)*0.075,0)</f>
        <v>2458</v>
      </c>
      <c r="I5" s="13">
        <f>ROUND(($U$4*1024)*0.1,0)</f>
        <v>3277</v>
      </c>
      <c r="J5" s="13" t="s">
        <v>39</v>
      </c>
      <c r="K5" s="14"/>
    </row>
    <row r="6" spans="1:21" x14ac:dyDescent="0.25">
      <c r="A6" s="13" t="s">
        <v>12</v>
      </c>
      <c r="B6" s="13" t="s">
        <v>19</v>
      </c>
      <c r="C6" s="13" t="s">
        <v>19</v>
      </c>
      <c r="D6" s="13"/>
      <c r="E6" s="13" t="s">
        <v>40</v>
      </c>
      <c r="F6" s="13">
        <v>1792</v>
      </c>
      <c r="G6" s="13">
        <f>ROUND(($U$4*1024)*0.5,0)</f>
        <v>16384</v>
      </c>
      <c r="H6" s="13">
        <f>ROUND(($U$4*1024)*0.65,0)</f>
        <v>21299</v>
      </c>
      <c r="I6" s="13">
        <f>ROUND(($U$4*1024)*0.8,0)</f>
        <v>26214</v>
      </c>
      <c r="J6" s="13" t="s">
        <v>39</v>
      </c>
      <c r="K6" s="14"/>
      <c r="M6" s="45" t="s">
        <v>41</v>
      </c>
      <c r="N6" s="46"/>
      <c r="O6" s="46"/>
      <c r="P6" s="46"/>
      <c r="Q6" s="47"/>
    </row>
    <row r="7" spans="1:21" ht="45" x14ac:dyDescent="0.25">
      <c r="A7" s="13" t="s">
        <v>12</v>
      </c>
      <c r="B7" s="13" t="s">
        <v>19</v>
      </c>
      <c r="C7" s="13" t="s">
        <v>19</v>
      </c>
      <c r="D7" s="13" t="s">
        <v>14</v>
      </c>
      <c r="E7" s="13" t="s">
        <v>42</v>
      </c>
      <c r="F7" s="13">
        <v>256</v>
      </c>
      <c r="G7" s="13">
        <f>ROUND(($U$4*1024)*0.25,0)</f>
        <v>8192</v>
      </c>
      <c r="H7" s="13">
        <f>ROUND(($U$4*1024)*0.3,0)</f>
        <v>9830</v>
      </c>
      <c r="I7" s="13">
        <f>ROUND(($U$4*1024)*0.35,0)</f>
        <v>11469</v>
      </c>
      <c r="J7" s="13" t="s">
        <v>39</v>
      </c>
      <c r="K7" s="14" t="s">
        <v>43</v>
      </c>
      <c r="M7" s="5" t="s">
        <v>44</v>
      </c>
      <c r="N7" s="5" t="s">
        <v>45</v>
      </c>
      <c r="O7" s="5" t="s">
        <v>46</v>
      </c>
      <c r="P7" s="5" t="s">
        <v>47</v>
      </c>
      <c r="Q7" s="5" t="s">
        <v>48</v>
      </c>
    </row>
    <row r="8" spans="1:21" x14ac:dyDescent="0.25">
      <c r="A8" s="13" t="s">
        <v>12</v>
      </c>
      <c r="B8" s="13" t="s">
        <v>19</v>
      </c>
      <c r="C8" s="13" t="s">
        <v>19</v>
      </c>
      <c r="D8" s="13" t="s">
        <v>14</v>
      </c>
      <c r="E8" s="13" t="s">
        <v>49</v>
      </c>
      <c r="F8" s="13">
        <v>4</v>
      </c>
      <c r="G8" s="13">
        <f>ROUND(($U$4*1024)/($M$8*0.25)/($O$8*0.5),0)</f>
        <v>9</v>
      </c>
      <c r="H8" s="13">
        <f>ROUND(($U$4*1024)/($M$8*0.1)/($O$8*0.5),0)</f>
        <v>22</v>
      </c>
      <c r="I8" s="13">
        <f>ROUND(($U$4*1024)/($M$8*0.05)/($O$8*0.5),0)</f>
        <v>44</v>
      </c>
      <c r="J8" s="13" t="s">
        <v>39</v>
      </c>
      <c r="K8" s="14"/>
      <c r="M8">
        <v>1500</v>
      </c>
      <c r="O8">
        <v>20</v>
      </c>
      <c r="P8">
        <v>500</v>
      </c>
    </row>
    <row r="9" spans="1:21" s="13" customFormat="1" x14ac:dyDescent="0.25">
      <c r="A9" s="13" t="s">
        <v>12</v>
      </c>
      <c r="B9" s="13" t="s">
        <v>31</v>
      </c>
      <c r="C9" s="13" t="s">
        <v>32</v>
      </c>
      <c r="E9" s="13" t="s">
        <v>50</v>
      </c>
      <c r="F9" s="13">
        <v>8</v>
      </c>
      <c r="G9" s="13">
        <f>IF($Q$4&lt;=F9,F9,ROUND($Q$4*0.8,0))</f>
        <v>13</v>
      </c>
      <c r="H9" s="13">
        <f>IF($Q$4&lt;=G9,G9,ROUND($Q$4,0))</f>
        <v>16</v>
      </c>
      <c r="I9" s="13">
        <f>IF($Q$4&lt;=H9,H9,ROUND($Q$4,0))</f>
        <v>16</v>
      </c>
      <c r="K9" s="14"/>
      <c r="L9" s="15"/>
    </row>
    <row r="10" spans="1:21" s="13" customFormat="1" x14ac:dyDescent="0.25">
      <c r="A10" s="13" t="s">
        <v>12</v>
      </c>
      <c r="B10" s="13" t="s">
        <v>31</v>
      </c>
      <c r="C10" s="13" t="s">
        <v>32</v>
      </c>
      <c r="E10" s="13" t="s">
        <v>51</v>
      </c>
      <c r="F10" s="13">
        <v>2</v>
      </c>
      <c r="G10" s="13">
        <f>ROUND(G9/2,0)</f>
        <v>7</v>
      </c>
      <c r="H10" s="13">
        <f>ROUND(H9/2,0)</f>
        <v>8</v>
      </c>
      <c r="I10" s="13">
        <f>ROUND(I9/2,0)</f>
        <v>8</v>
      </c>
      <c r="K10" s="14"/>
      <c r="L10" s="15"/>
    </row>
    <row r="11" spans="1:21" s="13" customFormat="1" x14ac:dyDescent="0.25">
      <c r="A11" s="13" t="s">
        <v>12</v>
      </c>
      <c r="B11" s="13" t="s">
        <v>31</v>
      </c>
      <c r="C11" s="13" t="s">
        <v>32</v>
      </c>
      <c r="E11" s="13" t="s">
        <v>52</v>
      </c>
      <c r="F11" s="13">
        <v>8</v>
      </c>
      <c r="G11" s="13">
        <f>IF($Q$4&lt;=F11,F11,ROUND($Q$4*0.8,0))</f>
        <v>13</v>
      </c>
      <c r="H11" s="13">
        <f>IF($Q$4&lt;=G11,G11,ROUND($Q$4,0))</f>
        <v>16</v>
      </c>
      <c r="I11" s="13">
        <f>IF($Q$4&lt;=H11,H11,ROUND($Q$4,0))</f>
        <v>16</v>
      </c>
      <c r="K11" s="14"/>
      <c r="L11" s="15"/>
    </row>
    <row r="12" spans="1:21" s="13" customFormat="1" ht="30" x14ac:dyDescent="0.25">
      <c r="A12" s="13" t="s">
        <v>12</v>
      </c>
      <c r="B12" s="13" t="s">
        <v>13</v>
      </c>
      <c r="C12" s="13" t="s">
        <v>32</v>
      </c>
      <c r="E12" s="13" t="s">
        <v>53</v>
      </c>
      <c r="F12" s="13">
        <v>100</v>
      </c>
      <c r="G12" s="13">
        <v>500</v>
      </c>
      <c r="H12" s="13">
        <v>1000</v>
      </c>
      <c r="I12" s="13">
        <v>5000</v>
      </c>
      <c r="K12" s="14" t="s">
        <v>54</v>
      </c>
      <c r="L12" s="15"/>
    </row>
    <row r="13" spans="1:21" s="13" customFormat="1" x14ac:dyDescent="0.25">
      <c r="A13" s="13" t="s">
        <v>12</v>
      </c>
      <c r="B13" s="13" t="s">
        <v>13</v>
      </c>
      <c r="C13" s="13" t="s">
        <v>19</v>
      </c>
      <c r="E13" s="13" t="s">
        <v>55</v>
      </c>
      <c r="F13" s="13">
        <v>8</v>
      </c>
      <c r="G13" s="13">
        <f>40</f>
        <v>40</v>
      </c>
      <c r="H13" s="13">
        <f>$U$4+G13</f>
        <v>72</v>
      </c>
      <c r="I13" s="13">
        <f>H13*1.5</f>
        <v>108</v>
      </c>
      <c r="K13" s="14"/>
      <c r="L13" s="15"/>
    </row>
    <row r="14" spans="1:21" s="13" customFormat="1" x14ac:dyDescent="0.25">
      <c r="A14" s="13" t="s">
        <v>12</v>
      </c>
      <c r="B14" s="13" t="s">
        <v>13</v>
      </c>
      <c r="C14" s="13" t="s">
        <v>19</v>
      </c>
      <c r="E14" s="13" t="s">
        <v>56</v>
      </c>
      <c r="F14" s="13">
        <v>8</v>
      </c>
      <c r="G14" s="13">
        <f>40</f>
        <v>40</v>
      </c>
      <c r="H14" s="13">
        <f>$U$4+G14</f>
        <v>72</v>
      </c>
      <c r="I14" s="13">
        <f>H14*1.5</f>
        <v>108</v>
      </c>
      <c r="K14" s="14"/>
      <c r="L14" s="15"/>
    </row>
    <row r="15" spans="1:21" s="13" customFormat="1" x14ac:dyDescent="0.25">
      <c r="A15" s="44" t="s">
        <v>57</v>
      </c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15"/>
    </row>
    <row r="16" spans="1:21" s="13" customFormat="1" x14ac:dyDescent="0.25">
      <c r="A16" t="s">
        <v>12</v>
      </c>
      <c r="B16" t="s">
        <v>19</v>
      </c>
      <c r="C16" t="s">
        <v>58</v>
      </c>
      <c r="D16" t="s">
        <v>59</v>
      </c>
      <c r="E16" t="s">
        <v>60</v>
      </c>
      <c r="F16">
        <v>16</v>
      </c>
      <c r="G16"/>
      <c r="H16"/>
      <c r="I16"/>
      <c r="J16" t="s">
        <v>39</v>
      </c>
      <c r="K16" s="1"/>
      <c r="L16" s="15"/>
    </row>
    <row r="17" spans="1:12" s="13" customFormat="1" x14ac:dyDescent="0.25">
      <c r="A17" t="s">
        <v>12</v>
      </c>
      <c r="B17" t="s">
        <v>13</v>
      </c>
      <c r="C17" t="s">
        <v>58</v>
      </c>
      <c r="D17" t="s">
        <v>61</v>
      </c>
      <c r="E17" t="s">
        <v>62</v>
      </c>
      <c r="F17">
        <v>2</v>
      </c>
      <c r="G17"/>
      <c r="H17"/>
      <c r="I17"/>
      <c r="J17" t="s">
        <v>63</v>
      </c>
      <c r="K17" s="1"/>
      <c r="L17" s="15"/>
    </row>
    <row r="18" spans="1:12" x14ac:dyDescent="0.25">
      <c r="A18" t="s">
        <v>12</v>
      </c>
      <c r="B18" t="s">
        <v>13</v>
      </c>
      <c r="C18" t="s">
        <v>58</v>
      </c>
      <c r="D18" t="s">
        <v>59</v>
      </c>
      <c r="E18" t="s">
        <v>64</v>
      </c>
      <c r="F18">
        <v>80</v>
      </c>
      <c r="J18" t="s">
        <v>39</v>
      </c>
    </row>
    <row r="19" spans="1:12" ht="30" x14ac:dyDescent="0.25">
      <c r="A19" t="s">
        <v>30</v>
      </c>
      <c r="B19" t="s">
        <v>65</v>
      </c>
      <c r="C19" t="s">
        <v>32</v>
      </c>
      <c r="D19" t="s">
        <v>59</v>
      </c>
      <c r="E19" t="s">
        <v>66</v>
      </c>
      <c r="F19">
        <v>50</v>
      </c>
      <c r="G19">
        <v>500</v>
      </c>
      <c r="H19">
        <v>1000</v>
      </c>
      <c r="I19">
        <v>2000</v>
      </c>
      <c r="K19" s="11" t="s">
        <v>67</v>
      </c>
    </row>
    <row r="20" spans="1:12" x14ac:dyDescent="0.25">
      <c r="A20" t="s">
        <v>30</v>
      </c>
      <c r="B20" t="s">
        <v>65</v>
      </c>
      <c r="C20" t="s">
        <v>32</v>
      </c>
      <c r="D20" t="s">
        <v>61</v>
      </c>
      <c r="E20" t="s">
        <v>68</v>
      </c>
      <c r="F20">
        <v>3</v>
      </c>
      <c r="G20">
        <f>ROUND(G9*0.2,0)</f>
        <v>3</v>
      </c>
      <c r="H20">
        <f>ROUND(H9*0.2,0)</f>
        <v>3</v>
      </c>
      <c r="I20">
        <f>ROUND(I9*0.3,0)</f>
        <v>5</v>
      </c>
    </row>
    <row r="21" spans="1:12" x14ac:dyDescent="0.25">
      <c r="A21" t="s">
        <v>30</v>
      </c>
      <c r="B21" t="s">
        <v>65</v>
      </c>
      <c r="C21" t="s">
        <v>32</v>
      </c>
      <c r="E21" t="s">
        <v>69</v>
      </c>
      <c r="F21">
        <v>1000</v>
      </c>
      <c r="G21">
        <v>1000</v>
      </c>
      <c r="H21">
        <v>3000</v>
      </c>
      <c r="I21">
        <v>5000</v>
      </c>
    </row>
    <row r="22" spans="1:12" s="13" customFormat="1" x14ac:dyDescent="0.25">
      <c r="A22" t="s">
        <v>30</v>
      </c>
      <c r="B22" t="s">
        <v>65</v>
      </c>
      <c r="C22" t="s">
        <v>32</v>
      </c>
      <c r="D22"/>
      <c r="E22" t="s">
        <v>70</v>
      </c>
      <c r="F22">
        <v>200</v>
      </c>
      <c r="G22">
        <v>500</v>
      </c>
      <c r="H22">
        <v>2000</v>
      </c>
      <c r="I22">
        <v>3000</v>
      </c>
      <c r="J22"/>
      <c r="K22" s="1"/>
      <c r="L22" s="15"/>
    </row>
    <row r="23" spans="1:12" x14ac:dyDescent="0.25">
      <c r="E23" s="12" t="s">
        <v>176</v>
      </c>
      <c r="F23" t="s">
        <v>177</v>
      </c>
      <c r="G23" t="s">
        <v>177</v>
      </c>
      <c r="H23" t="s">
        <v>177</v>
      </c>
    </row>
  </sheetData>
  <sortState xmlns:xlrd2="http://schemas.microsoft.com/office/spreadsheetml/2017/richdata2" ref="A4:K19">
    <sortCondition ref="A4:A19"/>
    <sortCondition ref="B4:B19"/>
    <sortCondition ref="E4:E19"/>
  </sortState>
  <mergeCells count="6">
    <mergeCell ref="A15:K15"/>
    <mergeCell ref="M6:Q6"/>
    <mergeCell ref="M2:N2"/>
    <mergeCell ref="R2:T2"/>
    <mergeCell ref="M1:U1"/>
    <mergeCell ref="O2:Q2"/>
  </mergeCells>
  <hyperlinks>
    <hyperlink ref="K19" r:id="rId1" xr:uid="{9FF4111F-49BA-468E-BF27-544DBE20F1F6}"/>
  </hyperlinks>
  <pageMargins left="0.7" right="0.7" top="0.75" bottom="0.75" header="0.3" footer="0.3"/>
  <pageSetup paperSize="9" orientation="portrait"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4B380B18-B1AE-402F-841E-761A562C8C89}">
          <x14:formula1>
            <xm:f>Data!$G$2:$G$19</xm:f>
          </x14:formula1>
          <xm:sqref>U4</xm:sqref>
        </x14:dataValidation>
        <x14:dataValidation type="list" allowBlank="1" showInputMessage="1" showErrorMessage="1" xr:uid="{D5EBF18A-8F9E-41FE-97BD-A7705033AD5C}">
          <x14:formula1>
            <xm:f>Data!$F$2:$F$25</xm:f>
          </x14:formula1>
          <xm:sqref>T4</xm:sqref>
        </x14:dataValidation>
        <x14:dataValidation type="list" allowBlank="1" showInputMessage="1" showErrorMessage="1" xr:uid="{0B23066A-6049-415A-8C2C-27DD43B5B3E7}">
          <x14:formula1>
            <xm:f>Data!$E$2:$E$8</xm:f>
          </x14:formula1>
          <xm:sqref>R4</xm:sqref>
        </x14:dataValidation>
        <x14:dataValidation type="list" allowBlank="1" showInputMessage="1" showErrorMessage="1" xr:uid="{E07E1A5A-2730-4709-BDD3-44860C052C26}">
          <x14:formula1>
            <xm:f>Data!$D$2:$D$32</xm:f>
          </x14:formula1>
          <xm:sqref>P4</xm:sqref>
        </x14:dataValidation>
        <x14:dataValidation type="list" allowBlank="1" showInputMessage="1" showErrorMessage="1" xr:uid="{C1662498-9210-43CA-BF3F-452B911F12B4}">
          <x14:formula1>
            <xm:f>Data!$C$2:$C$4</xm:f>
          </x14:formula1>
          <xm:sqref>O4</xm:sqref>
        </x14:dataValidation>
        <x14:dataValidation type="list" allowBlank="1" showInputMessage="1" showErrorMessage="1" xr:uid="{0D8ACD91-2B73-4E5B-9E79-7B77D620927A}">
          <x14:formula1>
            <xm:f>Data!$B$2:$B$6</xm:f>
          </x14:formula1>
          <xm:sqref>N4</xm:sqref>
        </x14:dataValidation>
        <x14:dataValidation type="list" allowBlank="1" showInputMessage="1" showErrorMessage="1" xr:uid="{4EADFD19-47DB-4BD4-989C-23E5A6FB59E5}">
          <x14:formula1>
            <xm:f>Data!$A$2:$A$3</xm:f>
          </x14:formula1>
          <xm:sqref>M4</xm:sqref>
        </x14:dataValidation>
        <x14:dataValidation type="list" allowBlank="1" showInputMessage="1" showErrorMessage="1" xr:uid="{8846BB12-3B8D-413F-84CA-EFC78E2B4A39}">
          <x14:formula1>
            <xm:f>Data!$H$2:$H$9</xm:f>
          </x14:formula1>
          <xm:sqref>N8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8371C-E4AE-4499-8386-1D9E04B4A671}">
  <dimension ref="A1:H32"/>
  <sheetViews>
    <sheetView topLeftCell="B1" workbookViewId="0">
      <selection activeCell="H4" sqref="H4"/>
    </sheetView>
  </sheetViews>
  <sheetFormatPr defaultRowHeight="15" x14ac:dyDescent="0.25"/>
  <cols>
    <col min="1" max="1" width="10.140625" bestFit="1" customWidth="1"/>
    <col min="2" max="2" width="11.28515625" bestFit="1" customWidth="1"/>
    <col min="3" max="3" width="17.7109375" bestFit="1" customWidth="1"/>
    <col min="5" max="5" width="11.5703125" bestFit="1" customWidth="1"/>
    <col min="6" max="6" width="12.140625" bestFit="1" customWidth="1"/>
    <col min="7" max="7" width="11.85546875" bestFit="1" customWidth="1"/>
    <col min="8" max="8" width="12.85546875" customWidth="1"/>
  </cols>
  <sheetData>
    <row r="1" spans="1:8" x14ac:dyDescent="0.25">
      <c r="A1" t="s">
        <v>71</v>
      </c>
      <c r="B1" t="s">
        <v>72</v>
      </c>
      <c r="C1" t="s">
        <v>73</v>
      </c>
      <c r="D1" t="s">
        <v>74</v>
      </c>
      <c r="E1" t="s">
        <v>75</v>
      </c>
      <c r="F1" t="s">
        <v>76</v>
      </c>
      <c r="G1" t="s">
        <v>77</v>
      </c>
      <c r="H1" t="s">
        <v>78</v>
      </c>
    </row>
    <row r="2" spans="1:8" x14ac:dyDescent="0.25">
      <c r="A2" t="s">
        <v>34</v>
      </c>
      <c r="B2">
        <v>13</v>
      </c>
      <c r="C2" t="s">
        <v>79</v>
      </c>
      <c r="D2" t="s">
        <v>80</v>
      </c>
      <c r="E2" t="s">
        <v>81</v>
      </c>
      <c r="F2">
        <v>120</v>
      </c>
      <c r="G2">
        <v>2</v>
      </c>
      <c r="H2" t="s">
        <v>82</v>
      </c>
    </row>
    <row r="3" spans="1:8" x14ac:dyDescent="0.25">
      <c r="A3" t="s">
        <v>83</v>
      </c>
      <c r="B3">
        <v>14</v>
      </c>
      <c r="C3" t="s">
        <v>35</v>
      </c>
      <c r="D3" t="s">
        <v>84</v>
      </c>
      <c r="E3" t="s">
        <v>37</v>
      </c>
      <c r="F3">
        <v>240</v>
      </c>
      <c r="G3">
        <v>4</v>
      </c>
      <c r="H3" t="s">
        <v>85</v>
      </c>
    </row>
    <row r="4" spans="1:8" x14ac:dyDescent="0.25">
      <c r="B4">
        <v>15</v>
      </c>
      <c r="C4" t="s">
        <v>86</v>
      </c>
      <c r="D4" t="s">
        <v>87</v>
      </c>
      <c r="F4">
        <v>500</v>
      </c>
      <c r="G4">
        <v>8</v>
      </c>
      <c r="H4" t="s">
        <v>88</v>
      </c>
    </row>
    <row r="5" spans="1:8" x14ac:dyDescent="0.25">
      <c r="B5">
        <v>16</v>
      </c>
      <c r="D5" t="s">
        <v>89</v>
      </c>
      <c r="F5">
        <v>1100</v>
      </c>
      <c r="G5">
        <v>16</v>
      </c>
      <c r="H5" t="s">
        <v>90</v>
      </c>
    </row>
    <row r="6" spans="1:8" x14ac:dyDescent="0.25">
      <c r="B6">
        <v>17</v>
      </c>
      <c r="D6" t="s">
        <v>91</v>
      </c>
      <c r="F6">
        <v>2300</v>
      </c>
      <c r="G6">
        <v>32</v>
      </c>
    </row>
    <row r="7" spans="1:8" x14ac:dyDescent="0.25">
      <c r="D7" t="s">
        <v>36</v>
      </c>
      <c r="F7">
        <v>3200</v>
      </c>
      <c r="G7">
        <v>64</v>
      </c>
    </row>
    <row r="8" spans="1:8" x14ac:dyDescent="0.25">
      <c r="D8" t="s">
        <v>92</v>
      </c>
      <c r="F8">
        <v>5000</v>
      </c>
      <c r="G8">
        <v>128</v>
      </c>
    </row>
    <row r="9" spans="1:8" x14ac:dyDescent="0.25">
      <c r="D9" t="s">
        <v>93</v>
      </c>
      <c r="F9">
        <v>6400</v>
      </c>
      <c r="G9">
        <v>160</v>
      </c>
    </row>
    <row r="10" spans="1:8" x14ac:dyDescent="0.25">
      <c r="D10" t="s">
        <v>94</v>
      </c>
      <c r="F10">
        <v>7500</v>
      </c>
      <c r="G10">
        <v>192</v>
      </c>
    </row>
    <row r="11" spans="1:8" x14ac:dyDescent="0.25">
      <c r="D11" t="s">
        <v>95</v>
      </c>
      <c r="F11">
        <v>12800</v>
      </c>
      <c r="G11">
        <v>256</v>
      </c>
    </row>
    <row r="12" spans="1:8" x14ac:dyDescent="0.25">
      <c r="D12" t="s">
        <v>96</v>
      </c>
      <c r="F12">
        <v>16000</v>
      </c>
      <c r="G12">
        <v>384</v>
      </c>
    </row>
    <row r="13" spans="1:8" x14ac:dyDescent="0.25">
      <c r="D13" t="s">
        <v>97</v>
      </c>
      <c r="F13">
        <v>18000</v>
      </c>
      <c r="G13">
        <v>432</v>
      </c>
    </row>
    <row r="14" spans="1:8" x14ac:dyDescent="0.25">
      <c r="D14" t="s">
        <v>98</v>
      </c>
      <c r="F14">
        <v>20000</v>
      </c>
    </row>
    <row r="15" spans="1:8" x14ac:dyDescent="0.25">
      <c r="D15" t="s">
        <v>99</v>
      </c>
      <c r="F15">
        <v>25600</v>
      </c>
    </row>
    <row r="16" spans="1:8" x14ac:dyDescent="0.25">
      <c r="D16" t="s">
        <v>100</v>
      </c>
      <c r="F16">
        <v>32000</v>
      </c>
    </row>
    <row r="17" spans="4:6" x14ac:dyDescent="0.25">
      <c r="D17" t="s">
        <v>101</v>
      </c>
      <c r="F17">
        <v>51200</v>
      </c>
    </row>
    <row r="18" spans="4:6" x14ac:dyDescent="0.25">
      <c r="D18" t="s">
        <v>102</v>
      </c>
      <c r="F18">
        <v>76800</v>
      </c>
    </row>
    <row r="19" spans="4:6" x14ac:dyDescent="0.25">
      <c r="D19" t="s">
        <v>103</v>
      </c>
      <c r="F19">
        <v>80000</v>
      </c>
    </row>
    <row r="20" spans="4:6" x14ac:dyDescent="0.25">
      <c r="D20" t="s">
        <v>104</v>
      </c>
    </row>
    <row r="21" spans="4:6" x14ac:dyDescent="0.25">
      <c r="D21" t="s">
        <v>105</v>
      </c>
    </row>
    <row r="22" spans="4:6" x14ac:dyDescent="0.25">
      <c r="D22" t="s">
        <v>106</v>
      </c>
    </row>
    <row r="23" spans="4:6" x14ac:dyDescent="0.25">
      <c r="D23" t="s">
        <v>107</v>
      </c>
    </row>
    <row r="24" spans="4:6" x14ac:dyDescent="0.25">
      <c r="D24" t="s">
        <v>108</v>
      </c>
    </row>
    <row r="25" spans="4:6" x14ac:dyDescent="0.25">
      <c r="D25" t="s">
        <v>109</v>
      </c>
    </row>
    <row r="26" spans="4:6" x14ac:dyDescent="0.25">
      <c r="D26" t="s">
        <v>110</v>
      </c>
    </row>
    <row r="27" spans="4:6" x14ac:dyDescent="0.25">
      <c r="D27" t="s">
        <v>111</v>
      </c>
    </row>
    <row r="28" spans="4:6" x14ac:dyDescent="0.25">
      <c r="D28" t="s">
        <v>112</v>
      </c>
    </row>
    <row r="29" spans="4:6" x14ac:dyDescent="0.25">
      <c r="D29" t="s">
        <v>113</v>
      </c>
    </row>
    <row r="30" spans="4:6" x14ac:dyDescent="0.25">
      <c r="D30" t="s">
        <v>114</v>
      </c>
    </row>
    <row r="31" spans="4:6" x14ac:dyDescent="0.25">
      <c r="D31" t="s">
        <v>115</v>
      </c>
    </row>
    <row r="32" spans="4:6" x14ac:dyDescent="0.25">
      <c r="D32" t="s">
        <v>116</v>
      </c>
    </row>
  </sheetData>
  <sortState xmlns:xlrd2="http://schemas.microsoft.com/office/spreadsheetml/2017/richdata2" ref="F2:F20">
    <sortCondition ref="F2:F2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9FCCE-BB27-40DB-8D4E-637C7837C328}">
  <dimension ref="A1:S20"/>
  <sheetViews>
    <sheetView workbookViewId="0">
      <selection activeCell="B4" sqref="B4:B6"/>
    </sheetView>
  </sheetViews>
  <sheetFormatPr defaultRowHeight="15" x14ac:dyDescent="0.25"/>
  <cols>
    <col min="2" max="2" width="35.85546875" bestFit="1" customWidth="1"/>
    <col min="3" max="3" width="47.85546875" bestFit="1" customWidth="1"/>
    <col min="4" max="4" width="14.85546875" bestFit="1" customWidth="1"/>
    <col min="5" max="5" width="10.140625" bestFit="1" customWidth="1"/>
    <col min="6" max="6" width="12.42578125" bestFit="1" customWidth="1"/>
    <col min="7" max="7" width="14.85546875" bestFit="1" customWidth="1"/>
    <col min="8" max="8" width="10.140625" bestFit="1" customWidth="1"/>
    <col min="9" max="9" width="12.42578125" bestFit="1" customWidth="1"/>
    <col min="10" max="10" width="14.85546875" bestFit="1" customWidth="1"/>
    <col min="11" max="11" width="10.140625" bestFit="1" customWidth="1"/>
    <col min="12" max="12" width="12.42578125" bestFit="1" customWidth="1"/>
    <col min="13" max="13" width="14.85546875" bestFit="1" customWidth="1"/>
    <col min="14" max="14" width="10.140625" bestFit="1" customWidth="1"/>
    <col min="15" max="15" width="12.42578125" bestFit="1" customWidth="1"/>
    <col min="16" max="16" width="20.28515625" bestFit="1" customWidth="1"/>
    <col min="18" max="18" width="16.140625" bestFit="1" customWidth="1"/>
    <col min="19" max="19" width="13.28515625" bestFit="1" customWidth="1"/>
  </cols>
  <sheetData>
    <row r="1" spans="1:19" x14ac:dyDescent="0.25">
      <c r="A1" s="54" t="s">
        <v>117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</row>
    <row r="2" spans="1:19" x14ac:dyDescent="0.25">
      <c r="A2" s="53" t="s">
        <v>25</v>
      </c>
      <c r="B2" s="52" t="s">
        <v>4</v>
      </c>
      <c r="C2" s="55" t="s">
        <v>118</v>
      </c>
      <c r="D2" s="51" t="s">
        <v>82</v>
      </c>
      <c r="E2" s="51"/>
      <c r="F2" s="52"/>
      <c r="G2" s="53" t="s">
        <v>85</v>
      </c>
      <c r="H2" s="51"/>
      <c r="I2" s="52"/>
      <c r="J2" s="53" t="s">
        <v>88</v>
      </c>
      <c r="K2" s="51"/>
      <c r="L2" s="52"/>
      <c r="M2" s="53" t="s">
        <v>90</v>
      </c>
      <c r="N2" s="51"/>
      <c r="O2" s="52"/>
    </row>
    <row r="3" spans="1:19" x14ac:dyDescent="0.25">
      <c r="A3" s="58"/>
      <c r="B3" s="57"/>
      <c r="C3" s="56"/>
      <c r="D3" s="25" t="s">
        <v>119</v>
      </c>
      <c r="E3" s="28" t="s">
        <v>120</v>
      </c>
      <c r="F3" s="31" t="s">
        <v>121</v>
      </c>
      <c r="G3" s="24" t="s">
        <v>119</v>
      </c>
      <c r="H3" s="28" t="s">
        <v>120</v>
      </c>
      <c r="I3" s="31" t="s">
        <v>121</v>
      </c>
      <c r="J3" s="24" t="s">
        <v>119</v>
      </c>
      <c r="K3" s="28" t="s">
        <v>120</v>
      </c>
      <c r="L3" s="31" t="s">
        <v>121</v>
      </c>
      <c r="M3" s="24" t="s">
        <v>119</v>
      </c>
      <c r="N3" s="28" t="s">
        <v>120</v>
      </c>
      <c r="O3" s="31" t="s">
        <v>121</v>
      </c>
    </row>
    <row r="4" spans="1:19" x14ac:dyDescent="0.25">
      <c r="A4" s="22" t="s">
        <v>122</v>
      </c>
      <c r="B4" s="23" t="s">
        <v>53</v>
      </c>
      <c r="C4" s="22">
        <v>100</v>
      </c>
      <c r="D4" s="34" t="s">
        <v>184</v>
      </c>
      <c r="E4" s="35" t="s">
        <v>123</v>
      </c>
      <c r="F4" s="36" t="s">
        <v>124</v>
      </c>
      <c r="G4" s="34" t="s">
        <v>185</v>
      </c>
      <c r="H4" s="35" t="s">
        <v>186</v>
      </c>
      <c r="I4" s="36" t="s">
        <v>187</v>
      </c>
      <c r="J4" s="34" t="s">
        <v>184</v>
      </c>
      <c r="K4" s="35" t="s">
        <v>123</v>
      </c>
      <c r="L4" s="36" t="s">
        <v>124</v>
      </c>
      <c r="M4" s="34" t="s">
        <v>184</v>
      </c>
      <c r="N4" s="35" t="s">
        <v>123</v>
      </c>
      <c r="O4" s="36" t="s">
        <v>124</v>
      </c>
      <c r="P4" t="s">
        <v>188</v>
      </c>
    </row>
    <row r="5" spans="1:19" x14ac:dyDescent="0.25">
      <c r="A5" s="22" t="s">
        <v>122</v>
      </c>
      <c r="B5" s="23" t="s">
        <v>55</v>
      </c>
      <c r="C5" s="22"/>
      <c r="D5" s="26">
        <f>D7*0.75</f>
        <v>12</v>
      </c>
      <c r="E5" s="29">
        <f t="shared" ref="E5:O5" si="0">E7*0.75</f>
        <v>15</v>
      </c>
      <c r="F5" s="32">
        <f t="shared" si="0"/>
        <v>18</v>
      </c>
      <c r="G5" s="26">
        <f t="shared" si="0"/>
        <v>12</v>
      </c>
      <c r="H5" s="29">
        <f t="shared" si="0"/>
        <v>18</v>
      </c>
      <c r="I5" s="32">
        <f t="shared" si="0"/>
        <v>24</v>
      </c>
      <c r="J5" s="26">
        <f t="shared" si="0"/>
        <v>12</v>
      </c>
      <c r="K5" s="29">
        <f t="shared" si="0"/>
        <v>15</v>
      </c>
      <c r="L5" s="32">
        <f t="shared" si="0"/>
        <v>18</v>
      </c>
      <c r="M5" s="26">
        <f t="shared" si="0"/>
        <v>12</v>
      </c>
      <c r="N5" s="29">
        <f t="shared" si="0"/>
        <v>15</v>
      </c>
      <c r="O5" s="32">
        <f t="shared" si="0"/>
        <v>18</v>
      </c>
      <c r="P5" t="s">
        <v>188</v>
      </c>
    </row>
    <row r="6" spans="1:19" x14ac:dyDescent="0.25">
      <c r="A6" s="22" t="s">
        <v>122</v>
      </c>
      <c r="B6" s="23" t="s">
        <v>56</v>
      </c>
      <c r="C6" s="22"/>
      <c r="D6" s="26">
        <v>12</v>
      </c>
      <c r="E6" s="29">
        <v>15</v>
      </c>
      <c r="F6" s="32">
        <v>18</v>
      </c>
      <c r="G6" s="26">
        <v>12</v>
      </c>
      <c r="H6" s="29">
        <v>18</v>
      </c>
      <c r="I6" s="32">
        <v>24</v>
      </c>
      <c r="J6" s="26">
        <v>12</v>
      </c>
      <c r="K6" s="29">
        <v>15</v>
      </c>
      <c r="L6" s="32">
        <v>18</v>
      </c>
      <c r="M6" s="26">
        <v>12</v>
      </c>
      <c r="N6" s="29">
        <v>15</v>
      </c>
      <c r="O6" s="32">
        <v>18</v>
      </c>
      <c r="P6" t="s">
        <v>188</v>
      </c>
    </row>
    <row r="7" spans="1:19" x14ac:dyDescent="0.25">
      <c r="A7" s="22"/>
      <c r="B7" s="23" t="s">
        <v>189</v>
      </c>
      <c r="C7" s="22" t="s">
        <v>190</v>
      </c>
      <c r="D7" s="26">
        <v>16</v>
      </c>
      <c r="E7" s="29">
        <v>20</v>
      </c>
      <c r="F7" s="32">
        <v>24</v>
      </c>
      <c r="G7" s="26">
        <v>16</v>
      </c>
      <c r="H7" s="29">
        <v>24</v>
      </c>
      <c r="I7" s="32">
        <v>32</v>
      </c>
      <c r="J7" s="26">
        <v>16</v>
      </c>
      <c r="K7" s="29">
        <v>20</v>
      </c>
      <c r="L7" s="32">
        <v>24</v>
      </c>
      <c r="M7" s="26">
        <v>16</v>
      </c>
      <c r="N7" s="29">
        <v>20</v>
      </c>
      <c r="O7" s="32">
        <v>24</v>
      </c>
    </row>
    <row r="8" spans="1:19" x14ac:dyDescent="0.25">
      <c r="A8" s="22" t="s">
        <v>122</v>
      </c>
      <c r="B8" s="23" t="s">
        <v>21</v>
      </c>
      <c r="C8" s="22">
        <v>1</v>
      </c>
      <c r="D8" s="26" t="s">
        <v>125</v>
      </c>
      <c r="E8" s="29" t="s">
        <v>126</v>
      </c>
      <c r="F8" s="32" t="s">
        <v>127</v>
      </c>
      <c r="G8" s="26" t="s">
        <v>126</v>
      </c>
      <c r="H8" s="29" t="s">
        <v>127</v>
      </c>
      <c r="I8" s="32" t="s">
        <v>128</v>
      </c>
      <c r="J8" s="26" t="s">
        <v>129</v>
      </c>
      <c r="K8" s="29" t="s">
        <v>126</v>
      </c>
      <c r="L8" s="32" t="s">
        <v>126</v>
      </c>
      <c r="M8" s="26" t="s">
        <v>129</v>
      </c>
      <c r="N8" s="29" t="s">
        <v>126</v>
      </c>
      <c r="O8" s="32" t="s">
        <v>126</v>
      </c>
    </row>
    <row r="9" spans="1:19" x14ac:dyDescent="0.25">
      <c r="A9" s="22" t="s">
        <v>19</v>
      </c>
      <c r="B9" s="23" t="s">
        <v>49</v>
      </c>
      <c r="C9" s="22" t="s">
        <v>130</v>
      </c>
      <c r="D9" s="26" t="s">
        <v>171</v>
      </c>
      <c r="E9" s="29" t="s">
        <v>169</v>
      </c>
      <c r="F9" s="32" t="s">
        <v>170</v>
      </c>
      <c r="G9" s="26" t="s">
        <v>172</v>
      </c>
      <c r="H9" s="29" t="s">
        <v>132</v>
      </c>
      <c r="I9" s="32" t="s">
        <v>133</v>
      </c>
      <c r="J9" s="26" t="s">
        <v>131</v>
      </c>
      <c r="K9" s="29" t="s">
        <v>134</v>
      </c>
      <c r="L9" s="32" t="s">
        <v>133</v>
      </c>
      <c r="M9" s="26" t="s">
        <v>135</v>
      </c>
      <c r="N9" s="29" t="s">
        <v>136</v>
      </c>
      <c r="O9" s="32" t="s">
        <v>137</v>
      </c>
      <c r="P9" t="s">
        <v>167</v>
      </c>
      <c r="R9" t="s">
        <v>166</v>
      </c>
      <c r="S9" t="s">
        <v>168</v>
      </c>
    </row>
    <row r="10" spans="1:19" x14ac:dyDescent="0.25">
      <c r="A10" s="22" t="s">
        <v>19</v>
      </c>
      <c r="B10" s="23" t="s">
        <v>38</v>
      </c>
      <c r="C10" s="22" t="s">
        <v>138</v>
      </c>
      <c r="D10" s="29" t="s">
        <v>173</v>
      </c>
      <c r="E10" s="29" t="s">
        <v>173</v>
      </c>
      <c r="F10" s="32" t="s">
        <v>174</v>
      </c>
      <c r="G10" s="29" t="s">
        <v>173</v>
      </c>
      <c r="H10" s="29" t="s">
        <v>173</v>
      </c>
      <c r="I10" s="32" t="s">
        <v>174</v>
      </c>
      <c r="J10" s="29" t="s">
        <v>173</v>
      </c>
      <c r="K10" s="29" t="s">
        <v>173</v>
      </c>
      <c r="L10" s="32" t="s">
        <v>174</v>
      </c>
      <c r="M10" s="29" t="s">
        <v>173</v>
      </c>
      <c r="N10" s="29" t="s">
        <v>173</v>
      </c>
      <c r="O10" s="32" t="s">
        <v>174</v>
      </c>
    </row>
    <row r="11" spans="1:19" s="42" customFormat="1" x14ac:dyDescent="0.25">
      <c r="A11" s="37" t="s">
        <v>19</v>
      </c>
      <c r="B11" s="38" t="s">
        <v>40</v>
      </c>
      <c r="C11" s="37" t="s">
        <v>139</v>
      </c>
      <c r="D11" s="39" t="s">
        <v>140</v>
      </c>
      <c r="E11" s="40" t="s">
        <v>141</v>
      </c>
      <c r="F11" s="41" t="s">
        <v>142</v>
      </c>
      <c r="G11" s="39" t="s">
        <v>141</v>
      </c>
      <c r="H11" s="40" t="s">
        <v>142</v>
      </c>
      <c r="I11" s="41" t="s">
        <v>143</v>
      </c>
      <c r="J11" s="39" t="s">
        <v>141</v>
      </c>
      <c r="K11" s="40" t="s">
        <v>144</v>
      </c>
      <c r="L11" s="41" t="s">
        <v>143</v>
      </c>
      <c r="M11" s="39" t="s">
        <v>145</v>
      </c>
      <c r="N11" s="40" t="s">
        <v>146</v>
      </c>
      <c r="O11" s="41" t="s">
        <v>147</v>
      </c>
      <c r="P11" s="42" t="s">
        <v>175</v>
      </c>
    </row>
    <row r="12" spans="1:19" x14ac:dyDescent="0.25">
      <c r="A12" s="22" t="s">
        <v>19</v>
      </c>
      <c r="B12" s="23" t="s">
        <v>42</v>
      </c>
      <c r="C12" s="22" t="s">
        <v>148</v>
      </c>
      <c r="D12" s="26" t="s">
        <v>149</v>
      </c>
      <c r="E12" s="29" t="s">
        <v>151</v>
      </c>
      <c r="F12" s="32" t="s">
        <v>150</v>
      </c>
      <c r="G12" s="26" t="s">
        <v>149</v>
      </c>
      <c r="H12" s="29" t="s">
        <v>151</v>
      </c>
      <c r="I12" s="32" t="s">
        <v>164</v>
      </c>
      <c r="J12" s="26" t="s">
        <v>149</v>
      </c>
      <c r="K12" s="29" t="s">
        <v>151</v>
      </c>
      <c r="L12" s="32" t="s">
        <v>164</v>
      </c>
      <c r="M12" s="26" t="s">
        <v>149</v>
      </c>
      <c r="N12" s="29" t="s">
        <v>151</v>
      </c>
      <c r="O12" s="32" t="s">
        <v>150</v>
      </c>
      <c r="P12" t="s">
        <v>165</v>
      </c>
    </row>
    <row r="13" spans="1:19" x14ac:dyDescent="0.25">
      <c r="A13" s="22" t="s">
        <v>32</v>
      </c>
      <c r="B13" s="23" t="s">
        <v>50</v>
      </c>
      <c r="C13" s="22" t="s">
        <v>183</v>
      </c>
      <c r="D13" s="26" t="s">
        <v>152</v>
      </c>
      <c r="E13" s="29" t="s">
        <v>153</v>
      </c>
      <c r="F13" s="32" t="s">
        <v>154</v>
      </c>
      <c r="G13" s="26" t="s">
        <v>152</v>
      </c>
      <c r="H13" s="29" t="s">
        <v>153</v>
      </c>
      <c r="I13" s="32" t="s">
        <v>154</v>
      </c>
      <c r="J13" s="26" t="s">
        <v>152</v>
      </c>
      <c r="K13" s="29" t="s">
        <v>153</v>
      </c>
      <c r="L13" s="32" t="s">
        <v>154</v>
      </c>
      <c r="M13" s="26" t="s">
        <v>152</v>
      </c>
      <c r="N13" s="29" t="s">
        <v>153</v>
      </c>
      <c r="O13" s="32" t="s">
        <v>154</v>
      </c>
      <c r="P13" t="s">
        <v>179</v>
      </c>
      <c r="Q13" t="s">
        <v>181</v>
      </c>
    </row>
    <row r="14" spans="1:19" x14ac:dyDescent="0.25">
      <c r="A14" s="22" t="s">
        <v>32</v>
      </c>
      <c r="B14" s="23" t="s">
        <v>52</v>
      </c>
      <c r="C14" s="22" t="s">
        <v>182</v>
      </c>
      <c r="D14" s="26"/>
      <c r="E14" s="29"/>
      <c r="F14" s="32"/>
      <c r="G14" s="26"/>
      <c r="H14" s="29"/>
      <c r="I14" s="32"/>
      <c r="J14" s="26"/>
      <c r="K14" s="29"/>
      <c r="L14" s="32"/>
      <c r="M14" s="26"/>
      <c r="N14" s="29"/>
      <c r="O14" s="32"/>
    </row>
    <row r="15" spans="1:19" x14ac:dyDescent="0.25">
      <c r="A15" s="22" t="s">
        <v>32</v>
      </c>
      <c r="B15" s="23" t="s">
        <v>51</v>
      </c>
      <c r="C15" s="22" t="s">
        <v>163</v>
      </c>
      <c r="D15" s="26">
        <v>2</v>
      </c>
      <c r="E15" s="29">
        <v>4</v>
      </c>
      <c r="F15" s="32">
        <v>8</v>
      </c>
      <c r="G15" s="26">
        <v>4</v>
      </c>
      <c r="H15" s="29">
        <v>6</v>
      </c>
      <c r="I15" s="32">
        <v>8</v>
      </c>
      <c r="J15" s="26" t="s">
        <v>155</v>
      </c>
      <c r="K15" s="29" t="s">
        <v>156</v>
      </c>
      <c r="L15" s="32" t="s">
        <v>157</v>
      </c>
      <c r="M15" s="26" t="s">
        <v>155</v>
      </c>
      <c r="N15" s="29" t="s">
        <v>156</v>
      </c>
      <c r="O15" s="32" t="s">
        <v>157</v>
      </c>
      <c r="P15" t="s">
        <v>180</v>
      </c>
    </row>
    <row r="16" spans="1:19" x14ac:dyDescent="0.25">
      <c r="A16" s="6" t="s">
        <v>32</v>
      </c>
      <c r="B16" s="7" t="s">
        <v>33</v>
      </c>
      <c r="C16" s="10" t="s">
        <v>163</v>
      </c>
      <c r="D16" s="26">
        <v>2</v>
      </c>
      <c r="E16" s="29">
        <v>4</v>
      </c>
      <c r="F16" s="32">
        <v>8</v>
      </c>
      <c r="G16" s="26">
        <v>4</v>
      </c>
      <c r="H16" s="29">
        <v>6</v>
      </c>
      <c r="I16" s="32">
        <v>8</v>
      </c>
      <c r="J16" s="27" t="s">
        <v>158</v>
      </c>
      <c r="K16" s="30" t="s">
        <v>159</v>
      </c>
      <c r="L16" s="33" t="s">
        <v>160</v>
      </c>
      <c r="M16" s="27" t="s">
        <v>158</v>
      </c>
      <c r="N16" s="30" t="s">
        <v>159</v>
      </c>
      <c r="O16" s="33" t="s">
        <v>160</v>
      </c>
      <c r="P16" t="s">
        <v>180</v>
      </c>
    </row>
    <row r="17" spans="2:7" x14ac:dyDescent="0.25">
      <c r="B17" s="23" t="s">
        <v>176</v>
      </c>
      <c r="D17" s="26" t="s">
        <v>178</v>
      </c>
      <c r="E17" s="26" t="s">
        <v>178</v>
      </c>
      <c r="F17" s="26" t="s">
        <v>178</v>
      </c>
      <c r="G17" s="26" t="s">
        <v>178</v>
      </c>
    </row>
    <row r="20" spans="2:7" x14ac:dyDescent="0.25">
      <c r="B20" s="13"/>
    </row>
  </sheetData>
  <mergeCells count="8">
    <mergeCell ref="D2:F2"/>
    <mergeCell ref="G2:I2"/>
    <mergeCell ref="J2:L2"/>
    <mergeCell ref="M2:O2"/>
    <mergeCell ref="A1:O1"/>
    <mergeCell ref="C2:C3"/>
    <mergeCell ref="B2:B3"/>
    <mergeCell ref="A2:A3"/>
  </mergeCells>
  <phoneticPr fontId="1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4D6595-2690-4C7C-8BCE-ADA0F2904695}">
  <dimension ref="B1:S22"/>
  <sheetViews>
    <sheetView workbookViewId="0">
      <selection activeCell="C10" sqref="C10"/>
    </sheetView>
  </sheetViews>
  <sheetFormatPr defaultRowHeight="15" x14ac:dyDescent="0.25"/>
  <cols>
    <col min="2" max="2" width="25.140625" customWidth="1"/>
  </cols>
  <sheetData>
    <row r="1" spans="2:19" x14ac:dyDescent="0.25">
      <c r="D1" s="59" t="s">
        <v>82</v>
      </c>
      <c r="E1" s="59"/>
      <c r="F1" s="59"/>
      <c r="G1" s="59" t="s">
        <v>85</v>
      </c>
      <c r="H1" s="59"/>
      <c r="I1" s="59"/>
      <c r="J1" s="59" t="s">
        <v>88</v>
      </c>
      <c r="K1" s="59"/>
      <c r="L1" s="59"/>
      <c r="M1" s="60" t="s">
        <v>90</v>
      </c>
      <c r="N1" s="60"/>
      <c r="O1" s="60"/>
      <c r="S1" t="s">
        <v>161</v>
      </c>
    </row>
    <row r="2" spans="2:19" x14ac:dyDescent="0.25">
      <c r="B2" s="21" t="s">
        <v>4</v>
      </c>
      <c r="C2" s="21" t="s">
        <v>118</v>
      </c>
      <c r="D2" s="21" t="s">
        <v>119</v>
      </c>
      <c r="E2" s="21" t="s">
        <v>120</v>
      </c>
      <c r="F2" s="21" t="s">
        <v>121</v>
      </c>
      <c r="G2" s="21" t="s">
        <v>119</v>
      </c>
      <c r="H2" s="21" t="s">
        <v>120</v>
      </c>
      <c r="I2" s="21" t="s">
        <v>121</v>
      </c>
      <c r="J2" s="21" t="s">
        <v>119</v>
      </c>
      <c r="K2" s="21" t="s">
        <v>120</v>
      </c>
      <c r="L2" s="21" t="s">
        <v>121</v>
      </c>
      <c r="M2" s="21" t="s">
        <v>119</v>
      </c>
      <c r="N2" s="21" t="s">
        <v>120</v>
      </c>
      <c r="O2" s="21" t="s">
        <v>121</v>
      </c>
      <c r="R2" s="20" t="s">
        <v>162</v>
      </c>
      <c r="S2">
        <v>16</v>
      </c>
    </row>
    <row r="3" spans="2:19" x14ac:dyDescent="0.25">
      <c r="B3" t="s">
        <v>21</v>
      </c>
      <c r="C3">
        <v>1</v>
      </c>
      <c r="D3">
        <v>1.2</v>
      </c>
      <c r="E3">
        <v>1.1000000000000001</v>
      </c>
      <c r="F3">
        <v>1.08</v>
      </c>
      <c r="R3" t="s">
        <v>26</v>
      </c>
      <c r="S3">
        <v>8</v>
      </c>
    </row>
    <row r="4" spans="2:19" x14ac:dyDescent="0.25">
      <c r="B4" t="s">
        <v>33</v>
      </c>
      <c r="C4">
        <f>IF($S$5&lt;=8, 2, ($S$5/4))</f>
        <v>2</v>
      </c>
      <c r="R4" t="s">
        <v>44</v>
      </c>
      <c r="S4">
        <v>500</v>
      </c>
    </row>
    <row r="5" spans="2:19" x14ac:dyDescent="0.25">
      <c r="B5" t="s">
        <v>38</v>
      </c>
      <c r="C5">
        <f>ROUND($S$2*1024*0.1,0)</f>
        <v>1638</v>
      </c>
    </row>
    <row r="6" spans="2:19" x14ac:dyDescent="0.25">
      <c r="B6" t="s">
        <v>40</v>
      </c>
      <c r="C6">
        <f>ROUND($S$2*1024*0.75,0)</f>
        <v>12288</v>
      </c>
    </row>
    <row r="7" spans="2:19" x14ac:dyDescent="0.25">
      <c r="B7" t="s">
        <v>42</v>
      </c>
      <c r="C7">
        <f>ROUND($S$2*1024*0.25,0)</f>
        <v>4096</v>
      </c>
    </row>
    <row r="8" spans="2:19" x14ac:dyDescent="0.25">
      <c r="B8" t="s">
        <v>49</v>
      </c>
      <c r="C8">
        <f>ROUND($S$2*1024/S4,0)</f>
        <v>33</v>
      </c>
    </row>
    <row r="9" spans="2:19" x14ac:dyDescent="0.25">
      <c r="B9" t="s">
        <v>50</v>
      </c>
      <c r="C9">
        <f>IF($S$3&lt;=16, 8, ($S$3/2))</f>
        <v>8</v>
      </c>
    </row>
    <row r="10" spans="2:19" x14ac:dyDescent="0.25">
      <c r="B10" t="s">
        <v>51</v>
      </c>
      <c r="C10">
        <f>IF($S$5&lt;=8, 2, ($S$5/4))</f>
        <v>2</v>
      </c>
    </row>
    <row r="11" spans="2:19" x14ac:dyDescent="0.25">
      <c r="B11" t="s">
        <v>52</v>
      </c>
      <c r="C11">
        <f>IF($S$5&lt;=16, 8, ($S$5/2))</f>
        <v>8</v>
      </c>
    </row>
    <row r="12" spans="2:19" x14ac:dyDescent="0.25">
      <c r="B12" t="s">
        <v>53</v>
      </c>
      <c r="C12">
        <v>100</v>
      </c>
      <c r="D12">
        <v>5</v>
      </c>
    </row>
    <row r="13" spans="2:19" x14ac:dyDescent="0.25">
      <c r="B13" t="s">
        <v>55</v>
      </c>
      <c r="C13">
        <v>40</v>
      </c>
    </row>
    <row r="14" spans="2:19" x14ac:dyDescent="0.25">
      <c r="B14" t="s">
        <v>56</v>
      </c>
      <c r="C14">
        <v>40</v>
      </c>
    </row>
    <row r="16" spans="2:19" x14ac:dyDescent="0.25">
      <c r="B16" s="12" t="s">
        <v>60</v>
      </c>
    </row>
    <row r="17" spans="2:2" x14ac:dyDescent="0.25">
      <c r="B17" s="12" t="s">
        <v>62</v>
      </c>
    </row>
    <row r="18" spans="2:2" x14ac:dyDescent="0.25">
      <c r="B18" s="12" t="s">
        <v>64</v>
      </c>
    </row>
    <row r="19" spans="2:2" x14ac:dyDescent="0.25">
      <c r="B19" s="12" t="s">
        <v>66</v>
      </c>
    </row>
    <row r="20" spans="2:2" x14ac:dyDescent="0.25">
      <c r="B20" s="12" t="s">
        <v>68</v>
      </c>
    </row>
    <row r="21" spans="2:2" x14ac:dyDescent="0.25">
      <c r="B21" s="12" t="s">
        <v>69</v>
      </c>
    </row>
    <row r="22" spans="2:2" x14ac:dyDescent="0.25">
      <c r="B22" s="12" t="s">
        <v>70</v>
      </c>
    </row>
  </sheetData>
  <mergeCells count="4">
    <mergeCell ref="D1:F1"/>
    <mergeCell ref="G1:I1"/>
    <mergeCell ref="J1:L1"/>
    <mergeCell ref="M1:O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6493B-D0D4-4F62-8B21-F4819FD5F8DB}">
  <dimension ref="A1:L22"/>
  <sheetViews>
    <sheetView workbookViewId="0">
      <selection activeCell="L8" sqref="L8"/>
    </sheetView>
  </sheetViews>
  <sheetFormatPr defaultRowHeight="15" x14ac:dyDescent="0.25"/>
  <cols>
    <col min="1" max="1" width="18.28515625" bestFit="1" customWidth="1"/>
    <col min="4" max="4" width="8.85546875" bestFit="1" customWidth="1"/>
    <col min="7" max="7" width="14.7109375" bestFit="1" customWidth="1"/>
    <col min="8" max="8" width="12" bestFit="1" customWidth="1"/>
    <col min="9" max="9" width="16.42578125" bestFit="1" customWidth="1"/>
    <col min="10" max="10" width="11.140625" bestFit="1" customWidth="1"/>
    <col min="11" max="11" width="7.85546875" bestFit="1" customWidth="1"/>
    <col min="12" max="12" width="9.5703125" bestFit="1" customWidth="1"/>
  </cols>
  <sheetData>
    <row r="1" spans="1:12" x14ac:dyDescent="0.25">
      <c r="A1" t="s">
        <v>25</v>
      </c>
      <c r="B1" t="s">
        <v>32</v>
      </c>
      <c r="C1" t="s">
        <v>191</v>
      </c>
      <c r="D1" t="s">
        <v>195</v>
      </c>
      <c r="E1" t="s">
        <v>193</v>
      </c>
      <c r="F1" t="s">
        <v>192</v>
      </c>
      <c r="G1" t="s">
        <v>212</v>
      </c>
      <c r="H1" t="s">
        <v>215</v>
      </c>
      <c r="I1" t="s">
        <v>217</v>
      </c>
      <c r="J1" t="s">
        <v>203</v>
      </c>
      <c r="K1" t="s">
        <v>206</v>
      </c>
      <c r="L1" t="s">
        <v>218</v>
      </c>
    </row>
    <row r="2" spans="1:12" s="29" customFormat="1" x14ac:dyDescent="0.25">
      <c r="A2" s="29" t="s">
        <v>194</v>
      </c>
      <c r="B2" s="29">
        <v>2</v>
      </c>
      <c r="C2" s="29">
        <v>8</v>
      </c>
      <c r="D2" s="29">
        <v>3200</v>
      </c>
      <c r="E2" s="29" t="s">
        <v>82</v>
      </c>
      <c r="F2" s="29" t="s">
        <v>5</v>
      </c>
      <c r="G2" s="29" t="s">
        <v>213</v>
      </c>
      <c r="I2" s="29">
        <v>1213.21</v>
      </c>
      <c r="J2" s="29">
        <v>100</v>
      </c>
      <c r="K2" s="29">
        <v>10</v>
      </c>
      <c r="L2" s="29">
        <v>371.88</v>
      </c>
    </row>
    <row r="3" spans="1:12" s="29" customFormat="1" x14ac:dyDescent="0.25">
      <c r="A3" s="29" t="s">
        <v>194</v>
      </c>
      <c r="B3" s="29">
        <v>2</v>
      </c>
      <c r="C3" s="29">
        <v>8</v>
      </c>
      <c r="D3" s="29">
        <v>3200</v>
      </c>
      <c r="E3" s="29" t="s">
        <v>82</v>
      </c>
      <c r="F3" s="29" t="s">
        <v>202</v>
      </c>
      <c r="G3" s="29" t="s">
        <v>213</v>
      </c>
      <c r="I3" s="29">
        <v>1216.8699999999999</v>
      </c>
      <c r="J3" s="29">
        <v>100</v>
      </c>
      <c r="K3" s="29">
        <v>10</v>
      </c>
      <c r="L3" s="29">
        <v>419.16</v>
      </c>
    </row>
    <row r="4" spans="1:12" s="43" customFormat="1" x14ac:dyDescent="0.25">
      <c r="A4" s="43" t="s">
        <v>194</v>
      </c>
      <c r="B4" s="43">
        <v>2</v>
      </c>
      <c r="C4" s="43">
        <v>8</v>
      </c>
      <c r="D4" s="43">
        <v>3200</v>
      </c>
      <c r="E4" s="43" t="s">
        <v>85</v>
      </c>
      <c r="F4" s="43" t="s">
        <v>202</v>
      </c>
      <c r="I4" s="43" t="s">
        <v>210</v>
      </c>
      <c r="J4" s="43" t="s">
        <v>210</v>
      </c>
      <c r="K4" s="43" t="s">
        <v>210</v>
      </c>
      <c r="L4" s="43" t="s">
        <v>210</v>
      </c>
    </row>
    <row r="5" spans="1:12" s="29" customFormat="1" x14ac:dyDescent="0.25">
      <c r="A5" s="29" t="s">
        <v>196</v>
      </c>
      <c r="B5" s="29">
        <v>4</v>
      </c>
      <c r="C5" s="29">
        <v>16</v>
      </c>
      <c r="D5" s="29" t="s">
        <v>211</v>
      </c>
      <c r="E5" s="29" t="s">
        <v>82</v>
      </c>
      <c r="F5" s="29" t="s">
        <v>5</v>
      </c>
      <c r="G5" s="29" t="s">
        <v>214</v>
      </c>
      <c r="H5" s="29" t="s">
        <v>216</v>
      </c>
      <c r="I5" s="29">
        <v>1276.75</v>
      </c>
      <c r="J5" s="29">
        <v>200</v>
      </c>
      <c r="K5" s="29">
        <v>40</v>
      </c>
      <c r="L5" s="29">
        <v>826.95</v>
      </c>
    </row>
    <row r="6" spans="1:12" s="29" customFormat="1" x14ac:dyDescent="0.25">
      <c r="A6" s="29" t="s">
        <v>196</v>
      </c>
      <c r="B6" s="29">
        <v>4</v>
      </c>
      <c r="C6" s="29">
        <v>16</v>
      </c>
      <c r="D6" s="29" t="s">
        <v>211</v>
      </c>
      <c r="E6" s="29" t="s">
        <v>82</v>
      </c>
      <c r="F6" s="29" t="s">
        <v>202</v>
      </c>
      <c r="G6" s="29" t="s">
        <v>214</v>
      </c>
      <c r="H6" s="29" t="s">
        <v>219</v>
      </c>
      <c r="I6" s="29">
        <v>1251.1300000000001</v>
      </c>
      <c r="J6" s="29">
        <v>200</v>
      </c>
      <c r="K6" s="29">
        <v>40</v>
      </c>
      <c r="L6" s="29">
        <v>828</v>
      </c>
    </row>
    <row r="7" spans="1:12" s="43" customFormat="1" x14ac:dyDescent="0.25">
      <c r="A7" s="43" t="s">
        <v>196</v>
      </c>
      <c r="B7" s="43">
        <v>4</v>
      </c>
      <c r="C7" s="43">
        <v>16</v>
      </c>
      <c r="D7" s="43" t="s">
        <v>211</v>
      </c>
      <c r="E7" s="43" t="s">
        <v>85</v>
      </c>
      <c r="F7" s="43" t="s">
        <v>202</v>
      </c>
      <c r="I7" s="43" t="s">
        <v>210</v>
      </c>
      <c r="J7" s="43" t="s">
        <v>210</v>
      </c>
      <c r="K7" s="43" t="s">
        <v>210</v>
      </c>
      <c r="L7" s="43" t="s">
        <v>210</v>
      </c>
    </row>
    <row r="8" spans="1:12" s="29" customFormat="1" x14ac:dyDescent="0.25">
      <c r="A8" s="29" t="s">
        <v>197</v>
      </c>
      <c r="B8" s="29">
        <v>8</v>
      </c>
      <c r="C8" s="29">
        <v>32</v>
      </c>
      <c r="D8" s="29" t="s">
        <v>211</v>
      </c>
      <c r="E8" s="29" t="s">
        <v>82</v>
      </c>
      <c r="F8" s="29" t="s">
        <v>5</v>
      </c>
      <c r="G8" s="29" t="s">
        <v>213</v>
      </c>
      <c r="H8" s="29" t="s">
        <v>216</v>
      </c>
      <c r="I8" s="29">
        <v>1184.6600000000001</v>
      </c>
      <c r="J8" s="29">
        <v>400</v>
      </c>
      <c r="K8" s="29">
        <v>80</v>
      </c>
      <c r="L8" s="29">
        <v>1628.76</v>
      </c>
    </row>
    <row r="9" spans="1:12" s="29" customFormat="1" x14ac:dyDescent="0.25">
      <c r="A9" s="29" t="s">
        <v>197</v>
      </c>
      <c r="B9" s="29">
        <v>8</v>
      </c>
      <c r="C9" s="29">
        <v>32</v>
      </c>
      <c r="D9" s="29" t="s">
        <v>211</v>
      </c>
      <c r="E9" s="29" t="s">
        <v>82</v>
      </c>
      <c r="F9" s="29" t="s">
        <v>202</v>
      </c>
      <c r="G9" s="29" t="s">
        <v>213</v>
      </c>
      <c r="H9" s="29" t="s">
        <v>219</v>
      </c>
      <c r="I9" s="29">
        <v>1176.29</v>
      </c>
      <c r="J9" s="29">
        <v>400</v>
      </c>
      <c r="K9" s="29">
        <v>80</v>
      </c>
      <c r="L9" s="29">
        <v>1644</v>
      </c>
    </row>
    <row r="10" spans="1:12" x14ac:dyDescent="0.25">
      <c r="A10" t="s">
        <v>197</v>
      </c>
      <c r="B10">
        <v>8</v>
      </c>
      <c r="C10">
        <v>32</v>
      </c>
      <c r="D10" t="s">
        <v>211</v>
      </c>
      <c r="E10" t="s">
        <v>85</v>
      </c>
      <c r="F10" t="s">
        <v>202</v>
      </c>
    </row>
    <row r="11" spans="1:12" x14ac:dyDescent="0.25">
      <c r="A11" t="s">
        <v>198</v>
      </c>
      <c r="B11">
        <v>16</v>
      </c>
      <c r="C11">
        <v>64</v>
      </c>
      <c r="D11" t="s">
        <v>211</v>
      </c>
      <c r="E11" t="s">
        <v>82</v>
      </c>
      <c r="F11" t="s">
        <v>5</v>
      </c>
    </row>
    <row r="12" spans="1:12" x14ac:dyDescent="0.25">
      <c r="A12" t="s">
        <v>198</v>
      </c>
      <c r="B12">
        <v>16</v>
      </c>
      <c r="C12">
        <v>64</v>
      </c>
      <c r="D12" t="s">
        <v>211</v>
      </c>
      <c r="E12" t="s">
        <v>82</v>
      </c>
      <c r="F12" t="s">
        <v>202</v>
      </c>
    </row>
    <row r="13" spans="1:12" x14ac:dyDescent="0.25">
      <c r="A13" t="s">
        <v>198</v>
      </c>
      <c r="B13">
        <v>16</v>
      </c>
      <c r="C13">
        <v>64</v>
      </c>
      <c r="D13" t="s">
        <v>211</v>
      </c>
      <c r="E13" t="s">
        <v>85</v>
      </c>
      <c r="F13" t="s">
        <v>202</v>
      </c>
    </row>
    <row r="14" spans="1:12" x14ac:dyDescent="0.25">
      <c r="A14" t="s">
        <v>199</v>
      </c>
      <c r="B14">
        <v>32</v>
      </c>
      <c r="C14">
        <v>128</v>
      </c>
      <c r="D14" t="s">
        <v>211</v>
      </c>
      <c r="E14" t="s">
        <v>82</v>
      </c>
      <c r="F14" t="s">
        <v>5</v>
      </c>
    </row>
    <row r="15" spans="1:12" x14ac:dyDescent="0.25">
      <c r="A15" t="s">
        <v>199</v>
      </c>
      <c r="B15">
        <v>32</v>
      </c>
      <c r="C15">
        <v>128</v>
      </c>
      <c r="D15" t="s">
        <v>211</v>
      </c>
      <c r="E15" t="s">
        <v>82</v>
      </c>
      <c r="F15" t="s">
        <v>202</v>
      </c>
    </row>
    <row r="16" spans="1:12" x14ac:dyDescent="0.25">
      <c r="A16" t="s">
        <v>199</v>
      </c>
      <c r="B16">
        <v>32</v>
      </c>
      <c r="C16">
        <v>128</v>
      </c>
      <c r="D16" t="s">
        <v>211</v>
      </c>
      <c r="E16" t="s">
        <v>85</v>
      </c>
      <c r="F16" t="s">
        <v>202</v>
      </c>
    </row>
    <row r="17" spans="1:6" x14ac:dyDescent="0.25">
      <c r="A17" t="s">
        <v>200</v>
      </c>
      <c r="B17">
        <v>48</v>
      </c>
      <c r="C17">
        <v>192</v>
      </c>
      <c r="D17" t="s">
        <v>211</v>
      </c>
      <c r="E17" t="s">
        <v>82</v>
      </c>
      <c r="F17" t="s">
        <v>5</v>
      </c>
    </row>
    <row r="18" spans="1:6" x14ac:dyDescent="0.25">
      <c r="A18" t="s">
        <v>200</v>
      </c>
      <c r="B18">
        <v>48</v>
      </c>
      <c r="C18">
        <v>192</v>
      </c>
      <c r="D18" t="s">
        <v>211</v>
      </c>
      <c r="E18" t="s">
        <v>82</v>
      </c>
      <c r="F18" t="s">
        <v>202</v>
      </c>
    </row>
    <row r="19" spans="1:6" x14ac:dyDescent="0.25">
      <c r="A19" t="s">
        <v>200</v>
      </c>
      <c r="B19">
        <v>48</v>
      </c>
      <c r="C19">
        <v>192</v>
      </c>
      <c r="D19" t="s">
        <v>211</v>
      </c>
      <c r="E19" t="s">
        <v>85</v>
      </c>
      <c r="F19" t="s">
        <v>202</v>
      </c>
    </row>
    <row r="20" spans="1:6" x14ac:dyDescent="0.25">
      <c r="A20" t="s">
        <v>201</v>
      </c>
      <c r="B20">
        <v>64</v>
      </c>
      <c r="C20">
        <v>256</v>
      </c>
      <c r="D20" t="s">
        <v>211</v>
      </c>
      <c r="E20" t="s">
        <v>82</v>
      </c>
      <c r="F20" t="s">
        <v>5</v>
      </c>
    </row>
    <row r="21" spans="1:6" x14ac:dyDescent="0.25">
      <c r="A21" t="s">
        <v>201</v>
      </c>
      <c r="B21">
        <v>64</v>
      </c>
      <c r="C21">
        <v>256</v>
      </c>
      <c r="D21" t="s">
        <v>211</v>
      </c>
      <c r="E21" t="s">
        <v>82</v>
      </c>
      <c r="F21" t="s">
        <v>202</v>
      </c>
    </row>
    <row r="22" spans="1:6" x14ac:dyDescent="0.25">
      <c r="A22" t="s">
        <v>201</v>
      </c>
      <c r="B22">
        <v>64</v>
      </c>
      <c r="C22">
        <v>256</v>
      </c>
      <c r="D22" t="s">
        <v>211</v>
      </c>
      <c r="E22" t="s">
        <v>85</v>
      </c>
      <c r="F22" t="s">
        <v>202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20E04-9D23-49E1-ADD6-B3D592504491}">
  <dimension ref="A1:H10"/>
  <sheetViews>
    <sheetView tabSelected="1" workbookViewId="0">
      <selection activeCell="D8" sqref="D8"/>
    </sheetView>
  </sheetViews>
  <sheetFormatPr defaultRowHeight="15" x14ac:dyDescent="0.25"/>
  <cols>
    <col min="2" max="2" width="98.7109375" bestFit="1" customWidth="1"/>
    <col min="3" max="3" width="10.85546875" customWidth="1"/>
    <col min="5" max="5" width="36.7109375" bestFit="1" customWidth="1"/>
    <col min="8" max="8" width="36.7109375" bestFit="1" customWidth="1"/>
    <col min="9" max="9" width="35.7109375" bestFit="1" customWidth="1"/>
  </cols>
  <sheetData>
    <row r="1" spans="1:8" x14ac:dyDescent="0.25">
      <c r="D1" t="s">
        <v>17</v>
      </c>
      <c r="E1" t="s">
        <v>209</v>
      </c>
      <c r="H1" t="s">
        <v>208</v>
      </c>
    </row>
    <row r="2" spans="1:8" x14ac:dyDescent="0.25">
      <c r="A2" t="s">
        <v>207</v>
      </c>
      <c r="B2" t="str">
        <f>_xlfn.CONCAT("psql ""postgresql://dbadmin:YrgT24Nvdk@",E1,":5432/postgres""")</f>
        <v>psql "postgresql://dbadmin:YrgT24Nvdk@pg-test2.postgres.database.azure.com:5432/postgres"</v>
      </c>
      <c r="D2" t="s">
        <v>32</v>
      </c>
      <c r="E2">
        <v>4</v>
      </c>
      <c r="H2" t="s">
        <v>209</v>
      </c>
    </row>
    <row r="3" spans="1:8" x14ac:dyDescent="0.25">
      <c r="A3" t="s">
        <v>204</v>
      </c>
      <c r="B3" t="str">
        <f>_xlfn.CONCAT("time pgbench -i -s ",1000," --foreign-keys -h ",E1," -U dbadmin postgres")</f>
        <v>time pgbench -i -s 1000 --foreign-keys -h pg-test2.postgres.database.azure.com -U dbadmin postgres</v>
      </c>
    </row>
    <row r="4" spans="1:8" x14ac:dyDescent="0.25">
      <c r="A4" t="s">
        <v>205</v>
      </c>
      <c r="B4" t="str">
        <f>_xlfn.CONCAT("time pgbench -c ",E2*100/2," -j ", E2*10," -T 600 -M prepared -h ",E1," -U dbadmin postgres")</f>
        <v>time pgbench -c 200 -j 40 -T 600 -M prepared -h pg-test2.postgres.database.azure.com -U dbadmin postgres</v>
      </c>
    </row>
    <row r="8" spans="1:8" x14ac:dyDescent="0.25">
      <c r="C8" t="s">
        <v>221</v>
      </c>
      <c r="D8" t="s">
        <v>220</v>
      </c>
      <c r="E8" t="s">
        <v>222</v>
      </c>
    </row>
    <row r="9" spans="1:8" x14ac:dyDescent="0.25">
      <c r="C9" t="s">
        <v>223</v>
      </c>
      <c r="D9" t="s">
        <v>224</v>
      </c>
    </row>
    <row r="10" spans="1:8" x14ac:dyDescent="0.25">
      <c r="C10" t="s">
        <v>225</v>
      </c>
      <c r="D10" t="s">
        <v>226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Parameters</vt:lpstr>
      <vt:lpstr>Data</vt:lpstr>
      <vt:lpstr>Descriptive formulas</vt:lpstr>
      <vt:lpstr>temp</vt:lpstr>
      <vt:lpstr>Tests</vt:lpstr>
      <vt:lpstr>Commands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Lauro Ojeda</dc:creator>
  <cp:keywords/>
  <dc:description/>
  <cp:lastModifiedBy>Lauro Ojeda</cp:lastModifiedBy>
  <cp:revision/>
  <dcterms:created xsi:type="dcterms:W3CDTF">2025-06-05T10:06:09Z</dcterms:created>
  <dcterms:modified xsi:type="dcterms:W3CDTF">2025-08-13T11:35:06Z</dcterms:modified>
  <cp:category/>
  <cp:contentStatus/>
</cp:coreProperties>
</file>